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rting_app\static\excel_template\"/>
    </mc:Choice>
  </mc:AlternateContent>
  <bookViews>
    <workbookView xWindow="0" yWindow="0" windowWidth="28800" windowHeight="12312" tabRatio="807" activeTab="10"/>
  </bookViews>
  <sheets>
    <sheet name="Summary" sheetId="1" r:id="rId1"/>
    <sheet name="Daily_Total " sheetId="153" r:id="rId2"/>
    <sheet name="FB BoostUp" sheetId="173" r:id="rId3"/>
    <sheet name="Facebook Carousel" sheetId="165" state="hidden" r:id="rId4"/>
    <sheet name="Facebook Video" sheetId="150" r:id="rId5"/>
    <sheet name="Youtube Trueview" sheetId="152" r:id="rId6"/>
    <sheet name="IG Video" sheetId="167" r:id="rId7"/>
    <sheet name="Snapchat Video" sheetId="168" r:id="rId8"/>
    <sheet name="Twitter" sheetId="155" state="hidden" r:id="rId9"/>
    <sheet name="Snapchat Image" sheetId="169" r:id="rId10"/>
    <sheet name="GDN" sheetId="147" r:id="rId11"/>
    <sheet name="UAC" sheetId="171" r:id="rId12"/>
    <sheet name="Influencer Overall" sheetId="162" r:id="rId13"/>
    <sheet name="Influencer_Data" sheetId="161" r:id="rId14"/>
    <sheet name="LG.com Overview" sheetId="160" r:id="rId15"/>
    <sheet name="Owned Media" sheetId="172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4" hidden="1">'Facebook Video'!$Z$75:$AG$75</definedName>
    <definedName name="_xlnm.Database">[1]엔미즈_코리아!$A$2:$AA$38</definedName>
    <definedName name="dfdf" localSheetId="1">#REF!</definedName>
    <definedName name="dfdf" localSheetId="3">#REF!</definedName>
    <definedName name="dfdf" localSheetId="4">#REF!</definedName>
    <definedName name="dfdf" localSheetId="2">#REF!</definedName>
    <definedName name="dfdf" localSheetId="10">#REF!</definedName>
    <definedName name="dfdf" localSheetId="6">#REF!</definedName>
    <definedName name="dfdf" localSheetId="12">#REF!</definedName>
    <definedName name="dfdf" localSheetId="14">#REF!</definedName>
    <definedName name="dfdf" localSheetId="15">#REF!</definedName>
    <definedName name="dfdf" localSheetId="9">#REF!</definedName>
    <definedName name="dfdf" localSheetId="7">#REF!</definedName>
    <definedName name="dfdf" localSheetId="8">#REF!</definedName>
    <definedName name="dfdf" localSheetId="11">#REF!</definedName>
    <definedName name="dfdf" localSheetId="5">#REF!</definedName>
    <definedName name="dfdf">#REF!</definedName>
    <definedName name="internet" localSheetId="1">#REF!</definedName>
    <definedName name="internet" localSheetId="3">#REF!</definedName>
    <definedName name="internet" localSheetId="4">#REF!</definedName>
    <definedName name="internet" localSheetId="2">#REF!</definedName>
    <definedName name="internet" localSheetId="10">#REF!</definedName>
    <definedName name="internet" localSheetId="6">#REF!</definedName>
    <definedName name="internet" localSheetId="12">#REF!</definedName>
    <definedName name="internet" localSheetId="14">#REF!</definedName>
    <definedName name="internet" localSheetId="15">#REF!</definedName>
    <definedName name="internet" localSheetId="9">#REF!</definedName>
    <definedName name="internet" localSheetId="7">#REF!</definedName>
    <definedName name="internet" localSheetId="8">#REF!</definedName>
    <definedName name="internet" localSheetId="11">#REF!</definedName>
    <definedName name="internet" localSheetId="5">#REF!</definedName>
    <definedName name="internet">#REF!</definedName>
    <definedName name="_xlnm.Print_Area" localSheetId="1">'Daily_Total '!$A$8:$E$32</definedName>
    <definedName name="_xlnm.Print_Area" localSheetId="3">'Facebook Carousel'!$A$3:$L$25</definedName>
    <definedName name="_xlnm.Print_Area" localSheetId="4">'Facebook Video'!$A$8:$U$30</definedName>
    <definedName name="_xlnm.Print_Area" localSheetId="2">'FB BoostUp'!$A$3:$L$24</definedName>
    <definedName name="_xlnm.Print_Area" localSheetId="10">GDN!$A$7:$BY$30</definedName>
    <definedName name="_xlnm.Print_Area" localSheetId="6">'IG Video'!$A$4:$U$26</definedName>
    <definedName name="_xlnm.Print_Area" localSheetId="12">'Influencer Overall'!$A$2:$X$79</definedName>
    <definedName name="_xlnm.Print_Area" localSheetId="9">'Snapchat Image'!$A$5:$L$26</definedName>
    <definedName name="_xlnm.Print_Area" localSheetId="7">'Snapchat Video'!$A$6:$U$27</definedName>
    <definedName name="_xlnm.Print_Area" localSheetId="0">Summary!$B$32:$F$68</definedName>
    <definedName name="_xlnm.Print_Area" localSheetId="8">Twitter!$A$3:$U$24</definedName>
    <definedName name="_xlnm.Print_Area" localSheetId="11">UAC!$A$6:$U$27</definedName>
    <definedName name="_xlnm.Print_Area" localSheetId="5">'Youtube Trueview'!$A$7:$U$30</definedName>
    <definedName name="sd" localSheetId="1">#REF!</definedName>
    <definedName name="sd" localSheetId="3">#REF!</definedName>
    <definedName name="sd" localSheetId="4">#REF!</definedName>
    <definedName name="sd" localSheetId="2">#REF!</definedName>
    <definedName name="sd" localSheetId="10">#REF!</definedName>
    <definedName name="sd" localSheetId="6">#REF!</definedName>
    <definedName name="sd" localSheetId="12">#REF!</definedName>
    <definedName name="sd" localSheetId="14">#REF!</definedName>
    <definedName name="sd" localSheetId="15">#REF!</definedName>
    <definedName name="sd" localSheetId="9">#REF!</definedName>
    <definedName name="sd" localSheetId="7">#REF!</definedName>
    <definedName name="sd" localSheetId="8">#REF!</definedName>
    <definedName name="sd" localSheetId="11">#REF!</definedName>
    <definedName name="sd" localSheetId="5">#REF!</definedName>
    <definedName name="sd">#REF!</definedName>
    <definedName name="sdfsd" localSheetId="1">#REF!</definedName>
    <definedName name="sdfsd" localSheetId="3">#REF!</definedName>
    <definedName name="sdfsd" localSheetId="4">#REF!</definedName>
    <definedName name="sdfsd" localSheetId="2">#REF!</definedName>
    <definedName name="sdfsd" localSheetId="6">#REF!</definedName>
    <definedName name="sdfsd" localSheetId="12">#REF!</definedName>
    <definedName name="sdfsd" localSheetId="14">#REF!</definedName>
    <definedName name="sdfsd" localSheetId="15">#REF!</definedName>
    <definedName name="sdfsd" localSheetId="9">#REF!</definedName>
    <definedName name="sdfsd" localSheetId="7">#REF!</definedName>
    <definedName name="sdfsd" localSheetId="8">#REF!</definedName>
    <definedName name="sdfsd" localSheetId="11">#REF!</definedName>
    <definedName name="sdfsd" localSheetId="5">#REF!</definedName>
    <definedName name="sdfsd">#REF!</definedName>
    <definedName name="sdfsf" localSheetId="1">#REF!</definedName>
    <definedName name="sdfsf" localSheetId="3">#REF!</definedName>
    <definedName name="sdfsf" localSheetId="4">#REF!</definedName>
    <definedName name="sdfsf" localSheetId="2">#REF!</definedName>
    <definedName name="sdfsf" localSheetId="10">#REF!</definedName>
    <definedName name="sdfsf" localSheetId="6">#REF!</definedName>
    <definedName name="sdfsf" localSheetId="12">#REF!</definedName>
    <definedName name="sdfsf" localSheetId="14">#REF!</definedName>
    <definedName name="sdfsf" localSheetId="15">#REF!</definedName>
    <definedName name="sdfsf" localSheetId="9">#REF!</definedName>
    <definedName name="sdfsf" localSheetId="7">#REF!</definedName>
    <definedName name="sdfsf" localSheetId="8">#REF!</definedName>
    <definedName name="sdfsf" localSheetId="11">#REF!</definedName>
    <definedName name="sdfsf" localSheetId="5">#REF!</definedName>
    <definedName name="sdfsf">#REF!</definedName>
    <definedName name="sds" localSheetId="1">#REF!</definedName>
    <definedName name="sds" localSheetId="3">#REF!</definedName>
    <definedName name="sds" localSheetId="4">#REF!</definedName>
    <definedName name="sds" localSheetId="2">#REF!</definedName>
    <definedName name="sds" localSheetId="10">#REF!</definedName>
    <definedName name="sds" localSheetId="6">#REF!</definedName>
    <definedName name="sds" localSheetId="12">#REF!</definedName>
    <definedName name="sds" localSheetId="14">#REF!</definedName>
    <definedName name="sds" localSheetId="15">#REF!</definedName>
    <definedName name="sds" localSheetId="9">#REF!</definedName>
    <definedName name="sds" localSheetId="7">#REF!</definedName>
    <definedName name="sds" localSheetId="8">#REF!</definedName>
    <definedName name="sds" localSheetId="11">#REF!</definedName>
    <definedName name="sds" localSheetId="5">#REF!</definedName>
    <definedName name="sds">#REF!</definedName>
    <definedName name="Sum" localSheetId="1">#REF!</definedName>
    <definedName name="Sum" localSheetId="3">#REF!</definedName>
    <definedName name="Sum" localSheetId="4">#REF!</definedName>
    <definedName name="Sum" localSheetId="2">#REF!</definedName>
    <definedName name="Sum" localSheetId="10">#REF!</definedName>
    <definedName name="Sum" localSheetId="6">#REF!</definedName>
    <definedName name="Sum" localSheetId="12">#REF!</definedName>
    <definedName name="Sum" localSheetId="14">#REF!</definedName>
    <definedName name="Sum" localSheetId="15">#REF!</definedName>
    <definedName name="Sum" localSheetId="9">#REF!</definedName>
    <definedName name="Sum" localSheetId="7">#REF!</definedName>
    <definedName name="Sum" localSheetId="8">#REF!</definedName>
    <definedName name="Sum" localSheetId="11">#REF!</definedName>
    <definedName name="Sum" localSheetId="5">#REF!</definedName>
    <definedName name="Sum">#REF!</definedName>
    <definedName name="안녕" localSheetId="1">#REF!</definedName>
    <definedName name="안녕" localSheetId="3">#REF!</definedName>
    <definedName name="안녕" localSheetId="4">#REF!</definedName>
    <definedName name="안녕" localSheetId="2">#REF!</definedName>
    <definedName name="안녕" localSheetId="10">#REF!</definedName>
    <definedName name="안녕" localSheetId="6">#REF!</definedName>
    <definedName name="안녕" localSheetId="12">#REF!</definedName>
    <definedName name="안녕" localSheetId="14">#REF!</definedName>
    <definedName name="안녕" localSheetId="15">#REF!</definedName>
    <definedName name="안녕" localSheetId="9">#REF!</definedName>
    <definedName name="안녕" localSheetId="7">#REF!</definedName>
    <definedName name="안녕" localSheetId="8">#REF!</definedName>
    <definedName name="안녕" localSheetId="11">#REF!</definedName>
    <definedName name="안녕" localSheetId="5">#REF!</definedName>
    <definedName name="안녕">#REF!</definedName>
    <definedName name="영역" localSheetId="1">#REF!</definedName>
    <definedName name="영역" localSheetId="3">#REF!</definedName>
    <definedName name="영역" localSheetId="4">#REF!</definedName>
    <definedName name="영역" localSheetId="2">#REF!</definedName>
    <definedName name="영역" localSheetId="10">#REF!</definedName>
    <definedName name="영역" localSheetId="6">#REF!</definedName>
    <definedName name="영역" localSheetId="12">#REF!</definedName>
    <definedName name="영역" localSheetId="14">#REF!</definedName>
    <definedName name="영역" localSheetId="15">#REF!</definedName>
    <definedName name="영역" localSheetId="9">#REF!</definedName>
    <definedName name="영역" localSheetId="7">#REF!</definedName>
    <definedName name="영역" localSheetId="8">#REF!</definedName>
    <definedName name="영역" localSheetId="11">#REF!</definedName>
    <definedName name="영역" localSheetId="5">#REF!</definedName>
    <definedName name="영역">#REF!</definedName>
    <definedName name="전체단가표" localSheetId="15">[2]전체단가표!$A$2:$F$140</definedName>
    <definedName name="전체단가표">[3]전체단가표!$A$2:$F$140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1" i="160" l="1"/>
  <c r="I112" i="160"/>
  <c r="K111" i="160"/>
  <c r="K112" i="160"/>
  <c r="L69" i="171"/>
  <c r="L70" i="171"/>
  <c r="V69" i="171"/>
  <c r="V70" i="171"/>
  <c r="T69" i="171"/>
  <c r="U69" i="171" s="1"/>
  <c r="T70" i="171"/>
  <c r="U70" i="171" s="1"/>
  <c r="T18" i="171"/>
  <c r="Q18" i="171"/>
  <c r="U18" i="171" s="1"/>
  <c r="J18" i="171"/>
  <c r="D18" i="171"/>
  <c r="C18" i="171"/>
  <c r="L18" i="171" l="1"/>
  <c r="V18" i="171"/>
  <c r="K18" i="171"/>
  <c r="S108" i="153"/>
  <c r="S109" i="153"/>
  <c r="P108" i="153"/>
  <c r="T108" i="153" s="1"/>
  <c r="P109" i="153"/>
  <c r="T109" i="153" s="1"/>
  <c r="M108" i="153"/>
  <c r="M109" i="153"/>
  <c r="J108" i="153"/>
  <c r="J109" i="153"/>
  <c r="I108" i="153"/>
  <c r="I109" i="153"/>
  <c r="H108" i="153"/>
  <c r="H109" i="153"/>
  <c r="G108" i="153"/>
  <c r="G109" i="153"/>
  <c r="F108" i="153"/>
  <c r="F109" i="153"/>
  <c r="E108" i="153"/>
  <c r="N108" i="153" s="1"/>
  <c r="E109" i="153"/>
  <c r="N109" i="153" s="1"/>
  <c r="D108" i="153"/>
  <c r="D109" i="153"/>
  <c r="C108" i="153"/>
  <c r="C109" i="153"/>
  <c r="AJ68" i="169"/>
  <c r="AJ69" i="169"/>
  <c r="AI68" i="169"/>
  <c r="AI69" i="169"/>
  <c r="AE68" i="169"/>
  <c r="AE69" i="169"/>
  <c r="Y68" i="169"/>
  <c r="Y69" i="169"/>
  <c r="X68" i="169"/>
  <c r="X69" i="169"/>
  <c r="T68" i="169"/>
  <c r="T69" i="169"/>
  <c r="N68" i="169"/>
  <c r="N69" i="169"/>
  <c r="M68" i="169"/>
  <c r="M69" i="169"/>
  <c r="G68" i="169"/>
  <c r="G69" i="169"/>
  <c r="V109" i="153" l="1"/>
  <c r="V108" i="153"/>
  <c r="U109" i="153"/>
  <c r="U108" i="153"/>
  <c r="L108" i="153"/>
  <c r="O109" i="153"/>
  <c r="O108" i="153"/>
  <c r="L109" i="153"/>
  <c r="K110" i="160"/>
  <c r="I110" i="160"/>
  <c r="K109" i="160"/>
  <c r="I109" i="160"/>
  <c r="K108" i="160"/>
  <c r="I108" i="160"/>
  <c r="V68" i="171"/>
  <c r="T68" i="171"/>
  <c r="U68" i="171" s="1"/>
  <c r="L68" i="171"/>
  <c r="AJ67" i="169"/>
  <c r="AI67" i="169"/>
  <c r="Y67" i="169"/>
  <c r="X67" i="169"/>
  <c r="N67" i="169"/>
  <c r="M67" i="169"/>
  <c r="S107" i="153"/>
  <c r="P107" i="153"/>
  <c r="T107" i="153" s="1"/>
  <c r="M107" i="153"/>
  <c r="J107" i="153"/>
  <c r="I107" i="153"/>
  <c r="H107" i="153"/>
  <c r="H106" i="153"/>
  <c r="G107" i="153"/>
  <c r="F107" i="153"/>
  <c r="D105" i="153"/>
  <c r="E107" i="153"/>
  <c r="D106" i="153"/>
  <c r="C107" i="153"/>
  <c r="AE67" i="169"/>
  <c r="T67" i="169"/>
  <c r="G67" i="169"/>
  <c r="P17" i="169"/>
  <c r="O17" i="169"/>
  <c r="H17" i="169"/>
  <c r="D17" i="169"/>
  <c r="E17" i="169"/>
  <c r="F17" i="169" s="1"/>
  <c r="N107" i="153" l="1"/>
  <c r="M17" i="169"/>
  <c r="U107" i="153"/>
  <c r="N17" i="169"/>
  <c r="C17" i="169"/>
  <c r="G17" i="169" s="1"/>
  <c r="S25" i="153"/>
  <c r="M25" i="153"/>
  <c r="X110" i="153"/>
  <c r="X25" i="153" s="1"/>
  <c r="W110" i="153"/>
  <c r="W25" i="153" s="1"/>
  <c r="S106" i="153"/>
  <c r="S105" i="153"/>
  <c r="S110" i="153" s="1"/>
  <c r="P106" i="153"/>
  <c r="T106" i="153" s="1"/>
  <c r="P105" i="153"/>
  <c r="M106" i="153"/>
  <c r="J106" i="153"/>
  <c r="I106" i="153"/>
  <c r="G106" i="153"/>
  <c r="F106" i="153"/>
  <c r="M105" i="153"/>
  <c r="J105" i="153"/>
  <c r="F105" i="153"/>
  <c r="F110" i="153" s="1"/>
  <c r="G105" i="153"/>
  <c r="H105" i="153"/>
  <c r="H110" i="153" s="1"/>
  <c r="I105" i="153"/>
  <c r="E106" i="153"/>
  <c r="E105" i="153"/>
  <c r="E103" i="153"/>
  <c r="C106" i="153"/>
  <c r="C105" i="153"/>
  <c r="AJ64" i="169"/>
  <c r="AJ65" i="169"/>
  <c r="AI64" i="169"/>
  <c r="AI65" i="169"/>
  <c r="AE64" i="169"/>
  <c r="AE65" i="169"/>
  <c r="Y64" i="169"/>
  <c r="Y65" i="169"/>
  <c r="X64" i="169"/>
  <c r="X65" i="169"/>
  <c r="T64" i="169"/>
  <c r="T65" i="169"/>
  <c r="N64" i="169"/>
  <c r="N65" i="169"/>
  <c r="M64" i="169"/>
  <c r="M65" i="169"/>
  <c r="G64" i="169"/>
  <c r="G65" i="169"/>
  <c r="X111" i="153"/>
  <c r="W111" i="153"/>
  <c r="Y23" i="152"/>
  <c r="X23" i="152"/>
  <c r="Q23" i="152"/>
  <c r="D23" i="152"/>
  <c r="E23" i="152"/>
  <c r="F23" i="152"/>
  <c r="G23" i="152"/>
  <c r="H23" i="152"/>
  <c r="I23" i="152"/>
  <c r="J23" i="152"/>
  <c r="C23" i="152"/>
  <c r="O66" i="169"/>
  <c r="O70" i="169"/>
  <c r="V65" i="171"/>
  <c r="V66" i="171"/>
  <c r="T65" i="171"/>
  <c r="U65" i="171" s="1"/>
  <c r="T66" i="171"/>
  <c r="U66" i="171" s="1"/>
  <c r="L65" i="171"/>
  <c r="L66" i="171"/>
  <c r="Q67" i="171"/>
  <c r="C67" i="171"/>
  <c r="D67" i="171"/>
  <c r="D107" i="153" s="1"/>
  <c r="J67" i="171"/>
  <c r="V67" i="171" s="1"/>
  <c r="R71" i="171"/>
  <c r="S71" i="171"/>
  <c r="J103" i="153"/>
  <c r="J102" i="153"/>
  <c r="J101" i="153"/>
  <c r="J100" i="153"/>
  <c r="J99" i="153"/>
  <c r="U106" i="153" l="1"/>
  <c r="O107" i="153"/>
  <c r="L107" i="153"/>
  <c r="V107" i="153"/>
  <c r="N23" i="152"/>
  <c r="L105" i="153"/>
  <c r="C110" i="153"/>
  <c r="C25" i="153"/>
  <c r="L106" i="153"/>
  <c r="E25" i="153"/>
  <c r="N25" i="153" s="1"/>
  <c r="U105" i="153"/>
  <c r="O105" i="153"/>
  <c r="N105" i="153"/>
  <c r="M110" i="153"/>
  <c r="F25" i="153"/>
  <c r="G25" i="153"/>
  <c r="I110" i="153"/>
  <c r="P25" i="153"/>
  <c r="T25" i="153" s="1"/>
  <c r="P110" i="153"/>
  <c r="V105" i="153"/>
  <c r="T105" i="153"/>
  <c r="D25" i="153"/>
  <c r="O106" i="153"/>
  <c r="D110" i="153"/>
  <c r="V106" i="153"/>
  <c r="J25" i="153"/>
  <c r="I25" i="153"/>
  <c r="H25" i="153"/>
  <c r="G110" i="153"/>
  <c r="W23" i="152"/>
  <c r="L23" i="152"/>
  <c r="O23" i="152"/>
  <c r="N106" i="153"/>
  <c r="J110" i="153"/>
  <c r="E110" i="153"/>
  <c r="N110" i="153" s="1"/>
  <c r="V23" i="152"/>
  <c r="X104" i="153"/>
  <c r="P103" i="153"/>
  <c r="P102" i="153"/>
  <c r="P101" i="153"/>
  <c r="S100" i="153"/>
  <c r="P100" i="153"/>
  <c r="F101" i="153"/>
  <c r="G101" i="153"/>
  <c r="H101" i="153"/>
  <c r="I101" i="153"/>
  <c r="F102" i="153"/>
  <c r="G102" i="153"/>
  <c r="H102" i="153"/>
  <c r="I102" i="153"/>
  <c r="F103" i="153"/>
  <c r="G103" i="153"/>
  <c r="H103" i="153"/>
  <c r="I103" i="153"/>
  <c r="E102" i="153"/>
  <c r="E101" i="153"/>
  <c r="E100" i="153"/>
  <c r="I33" i="173"/>
  <c r="J33" i="173"/>
  <c r="K33" i="173"/>
  <c r="L33" i="173"/>
  <c r="H32" i="173"/>
  <c r="H33" i="173" s="1"/>
  <c r="K127" i="1" s="1"/>
  <c r="E99" i="153"/>
  <c r="O119" i="1"/>
  <c r="O118" i="1"/>
  <c r="O115" i="1"/>
  <c r="O114" i="1"/>
  <c r="O112" i="1"/>
  <c r="O111" i="1"/>
  <c r="O110" i="1"/>
  <c r="O108" i="1"/>
  <c r="O107" i="1"/>
  <c r="O106" i="1"/>
  <c r="O104" i="1"/>
  <c r="O103" i="1"/>
  <c r="O102" i="1"/>
  <c r="O99" i="1"/>
  <c r="O98" i="1"/>
  <c r="L110" i="153" l="1"/>
  <c r="V110" i="153"/>
  <c r="V25" i="153"/>
  <c r="T110" i="153"/>
  <c r="L25" i="153"/>
  <c r="O25" i="153"/>
  <c r="U25" i="153"/>
  <c r="U110" i="153"/>
  <c r="O110" i="153"/>
  <c r="T100" i="153"/>
  <c r="U102" i="153"/>
  <c r="C103" i="153"/>
  <c r="D103" i="153"/>
  <c r="D102" i="153"/>
  <c r="V102" i="153" s="1"/>
  <c r="C102" i="153"/>
  <c r="C101" i="153"/>
  <c r="D101" i="153"/>
  <c r="M101" i="153"/>
  <c r="N101" i="153" s="1"/>
  <c r="S101" i="153"/>
  <c r="T101" i="153" s="1"/>
  <c r="U101" i="153"/>
  <c r="M102" i="153"/>
  <c r="N102" i="153" s="1"/>
  <c r="S102" i="153"/>
  <c r="M103" i="153"/>
  <c r="N103" i="153" s="1"/>
  <c r="S103" i="153"/>
  <c r="T103" i="153" s="1"/>
  <c r="D99" i="153"/>
  <c r="H99" i="153"/>
  <c r="I99" i="153"/>
  <c r="C99" i="153"/>
  <c r="D100" i="153"/>
  <c r="V100" i="153" s="1"/>
  <c r="H100" i="153"/>
  <c r="I100" i="153"/>
  <c r="U100" i="153"/>
  <c r="C100" i="153"/>
  <c r="R105" i="160"/>
  <c r="R104" i="160"/>
  <c r="R103" i="160"/>
  <c r="I105" i="160"/>
  <c r="I106" i="160"/>
  <c r="I107" i="160"/>
  <c r="V61" i="171"/>
  <c r="V62" i="171"/>
  <c r="V63" i="171"/>
  <c r="V64" i="171"/>
  <c r="T64" i="171"/>
  <c r="U64" i="171" s="1"/>
  <c r="T63" i="171"/>
  <c r="U63" i="171" s="1"/>
  <c r="T62" i="171"/>
  <c r="U62" i="171" s="1"/>
  <c r="T61" i="171"/>
  <c r="U61" i="171" s="1"/>
  <c r="L61" i="171"/>
  <c r="L62" i="171"/>
  <c r="L63" i="171"/>
  <c r="L64" i="171"/>
  <c r="AJ63" i="169"/>
  <c r="AI63" i="169"/>
  <c r="AE63" i="169"/>
  <c r="Y63" i="169"/>
  <c r="X63" i="169"/>
  <c r="T63" i="169"/>
  <c r="N63" i="169"/>
  <c r="M63" i="169"/>
  <c r="G63" i="169"/>
  <c r="AJ62" i="169"/>
  <c r="AI62" i="169"/>
  <c r="AE62" i="169"/>
  <c r="Y62" i="169"/>
  <c r="X62" i="169"/>
  <c r="T62" i="169"/>
  <c r="N62" i="169"/>
  <c r="M62" i="169"/>
  <c r="G62" i="169"/>
  <c r="AJ61" i="169"/>
  <c r="AI61" i="169"/>
  <c r="AE61" i="169"/>
  <c r="Y61" i="169"/>
  <c r="X61" i="169"/>
  <c r="T61" i="169"/>
  <c r="N61" i="169"/>
  <c r="M61" i="169"/>
  <c r="G61" i="169"/>
  <c r="AJ60" i="169"/>
  <c r="AI60" i="169"/>
  <c r="AE60" i="169"/>
  <c r="Y60" i="169"/>
  <c r="X60" i="169"/>
  <c r="T60" i="169"/>
  <c r="N60" i="169"/>
  <c r="M60" i="169"/>
  <c r="G60" i="169"/>
  <c r="G100" i="153" s="1"/>
  <c r="BY60" i="167"/>
  <c r="BX60" i="167"/>
  <c r="BT60" i="167"/>
  <c r="BS60" i="167"/>
  <c r="BR60" i="167"/>
  <c r="BG60" i="167"/>
  <c r="BF60" i="167"/>
  <c r="AO60" i="167"/>
  <c r="AN60" i="167"/>
  <c r="AJ60" i="167"/>
  <c r="AI60" i="167"/>
  <c r="AH60" i="167"/>
  <c r="W60" i="167"/>
  <c r="V60" i="167"/>
  <c r="O60" i="167"/>
  <c r="N60" i="167"/>
  <c r="L60" i="167"/>
  <c r="BY99" i="150"/>
  <c r="BX99" i="150"/>
  <c r="BT99" i="150"/>
  <c r="BS99" i="150"/>
  <c r="BR99" i="150"/>
  <c r="BB99" i="150"/>
  <c r="BA99" i="150"/>
  <c r="AZ99" i="150"/>
  <c r="W99" i="150"/>
  <c r="V99" i="150"/>
  <c r="O99" i="150"/>
  <c r="N99" i="150"/>
  <c r="L99" i="150"/>
  <c r="M100" i="153"/>
  <c r="N100" i="153" s="1"/>
  <c r="L102" i="153" l="1"/>
  <c r="L103" i="153"/>
  <c r="O101" i="153"/>
  <c r="O103" i="153"/>
  <c r="T102" i="153"/>
  <c r="O102" i="153"/>
  <c r="V101" i="153"/>
  <c r="V103" i="153"/>
  <c r="L101" i="153"/>
  <c r="U103" i="153"/>
  <c r="L100" i="153"/>
  <c r="O100" i="153"/>
  <c r="K27" i="1" l="1"/>
  <c r="I18" i="173"/>
  <c r="J18" i="173"/>
  <c r="P32" i="173"/>
  <c r="O32" i="173"/>
  <c r="E32" i="173"/>
  <c r="E33" i="173" s="1"/>
  <c r="M127" i="1" s="1"/>
  <c r="O127" i="1" s="1"/>
  <c r="D32" i="173"/>
  <c r="D33" i="173" s="1"/>
  <c r="I127" i="1" s="1"/>
  <c r="C32" i="173"/>
  <c r="C33" i="173" s="1"/>
  <c r="G127" i="1" s="1"/>
  <c r="N31" i="173"/>
  <c r="M31" i="173"/>
  <c r="G31" i="173"/>
  <c r="F31" i="173"/>
  <c r="N30" i="173"/>
  <c r="M30" i="173"/>
  <c r="G30" i="173"/>
  <c r="F30" i="173"/>
  <c r="N29" i="173"/>
  <c r="M29" i="173"/>
  <c r="G29" i="173"/>
  <c r="F29" i="173"/>
  <c r="N28" i="173"/>
  <c r="M28" i="173"/>
  <c r="G28" i="173"/>
  <c r="F28" i="173"/>
  <c r="N27" i="173"/>
  <c r="M27" i="173"/>
  <c r="G27" i="173"/>
  <c r="F27" i="173"/>
  <c r="N26" i="173"/>
  <c r="M26" i="173"/>
  <c r="G26" i="173"/>
  <c r="F26" i="173"/>
  <c r="N25" i="173"/>
  <c r="M25" i="173"/>
  <c r="G25" i="173"/>
  <c r="F25" i="173"/>
  <c r="H16" i="173"/>
  <c r="E16" i="173"/>
  <c r="D16" i="173"/>
  <c r="C16" i="173"/>
  <c r="P15" i="173"/>
  <c r="O15" i="173"/>
  <c r="H15" i="173"/>
  <c r="E15" i="173"/>
  <c r="D15" i="173"/>
  <c r="C15" i="173"/>
  <c r="K14" i="173"/>
  <c r="K18" i="173" s="1"/>
  <c r="H14" i="173"/>
  <c r="H18" i="173" s="1"/>
  <c r="E14" i="173"/>
  <c r="E18" i="173" s="1"/>
  <c r="D14" i="173"/>
  <c r="D18" i="173" s="1"/>
  <c r="C14" i="173"/>
  <c r="C18" i="173" s="1"/>
  <c r="J24" i="147"/>
  <c r="I24" i="147"/>
  <c r="I104" i="160"/>
  <c r="I103" i="160"/>
  <c r="I102" i="160"/>
  <c r="I101" i="160"/>
  <c r="K101" i="160"/>
  <c r="K102" i="160"/>
  <c r="K103" i="160"/>
  <c r="K104" i="160"/>
  <c r="C23" i="150"/>
  <c r="T17" i="171"/>
  <c r="Q17" i="171"/>
  <c r="U17" i="171" s="1"/>
  <c r="E17" i="171"/>
  <c r="F17" i="171"/>
  <c r="G17" i="171"/>
  <c r="H17" i="171"/>
  <c r="I17" i="171"/>
  <c r="J17" i="171"/>
  <c r="D17" i="171"/>
  <c r="C17" i="171"/>
  <c r="V60" i="171"/>
  <c r="T60" i="171"/>
  <c r="T58" i="171"/>
  <c r="T57" i="171"/>
  <c r="L60" i="171"/>
  <c r="R112" i="160"/>
  <c r="K107" i="160"/>
  <c r="D10" i="150"/>
  <c r="U60" i="171" l="1"/>
  <c r="T67" i="171"/>
  <c r="I27" i="1"/>
  <c r="P27" i="1" s="1"/>
  <c r="M27" i="1"/>
  <c r="R27" i="1" s="1"/>
  <c r="O14" i="173"/>
  <c r="O18" i="173" s="1"/>
  <c r="O33" i="173"/>
  <c r="P14" i="173"/>
  <c r="P18" i="173" s="1"/>
  <c r="P33" i="173"/>
  <c r="Q27" i="1" s="1"/>
  <c r="V17" i="171"/>
  <c r="K17" i="171"/>
  <c r="G14" i="173"/>
  <c r="G18" i="173" s="1"/>
  <c r="M14" i="173"/>
  <c r="M18" i="173" s="1"/>
  <c r="F14" i="173"/>
  <c r="F18" i="173" s="1"/>
  <c r="N14" i="173"/>
  <c r="N18" i="173" s="1"/>
  <c r="L14" i="173"/>
  <c r="L18" i="173" s="1"/>
  <c r="K15" i="173"/>
  <c r="L15" i="173" s="1"/>
  <c r="G15" i="173"/>
  <c r="M15" i="173"/>
  <c r="F15" i="173"/>
  <c r="N15" i="173"/>
  <c r="G16" i="173"/>
  <c r="M16" i="173"/>
  <c r="F16" i="173"/>
  <c r="N16" i="173"/>
  <c r="G32" i="173"/>
  <c r="G33" i="173" s="1"/>
  <c r="J127" i="1" s="1"/>
  <c r="M32" i="173"/>
  <c r="M33" i="173" s="1"/>
  <c r="F32" i="173"/>
  <c r="F33" i="173" s="1"/>
  <c r="N32" i="173"/>
  <c r="N33" i="173" s="1"/>
  <c r="L17" i="171"/>
  <c r="N127" i="1" l="1"/>
  <c r="N27" i="1"/>
  <c r="O27" i="1"/>
  <c r="J27" i="1"/>
  <c r="S24" i="153"/>
  <c r="M24" i="153"/>
  <c r="AJ59" i="169" l="1"/>
  <c r="AI59" i="169"/>
  <c r="AI56" i="169"/>
  <c r="AJ56" i="169"/>
  <c r="AI57" i="169"/>
  <c r="AJ57" i="169"/>
  <c r="AE59" i="169"/>
  <c r="AE56" i="169"/>
  <c r="AE57" i="169"/>
  <c r="Y59" i="169"/>
  <c r="X59" i="169"/>
  <c r="X57" i="169"/>
  <c r="Y57" i="169"/>
  <c r="X56" i="169"/>
  <c r="Y56" i="169"/>
  <c r="T59" i="169"/>
  <c r="T56" i="169"/>
  <c r="T57" i="169"/>
  <c r="N59" i="169"/>
  <c r="N56" i="169"/>
  <c r="N57" i="169"/>
  <c r="M59" i="169"/>
  <c r="M56" i="169"/>
  <c r="M57" i="169"/>
  <c r="G59" i="169"/>
  <c r="G99" i="153" s="1"/>
  <c r="G56" i="169"/>
  <c r="G57" i="169"/>
  <c r="C58" i="169"/>
  <c r="D58" i="169"/>
  <c r="BY60" i="168"/>
  <c r="BY57" i="168"/>
  <c r="BY58" i="168"/>
  <c r="BX60" i="168"/>
  <c r="BX57" i="168"/>
  <c r="BX58" i="168"/>
  <c r="BT60" i="168"/>
  <c r="BT57" i="168"/>
  <c r="BT58" i="168"/>
  <c r="BS60" i="168"/>
  <c r="BS57" i="168"/>
  <c r="BS58" i="168"/>
  <c r="BR60" i="168"/>
  <c r="BR57" i="168"/>
  <c r="BR58" i="168"/>
  <c r="BG60" i="168"/>
  <c r="BG57" i="168"/>
  <c r="BG58" i="168"/>
  <c r="BF60" i="168"/>
  <c r="BF57" i="168"/>
  <c r="BF58" i="168"/>
  <c r="BB60" i="168"/>
  <c r="BB57" i="168"/>
  <c r="BB58" i="168"/>
  <c r="BA60" i="168"/>
  <c r="BA57" i="168"/>
  <c r="BA58" i="168"/>
  <c r="AZ60" i="168"/>
  <c r="AZ57" i="168"/>
  <c r="AZ58" i="168"/>
  <c r="AO60" i="168"/>
  <c r="AN60" i="168"/>
  <c r="AN57" i="168"/>
  <c r="AO57" i="168"/>
  <c r="AN58" i="168"/>
  <c r="AO58" i="168"/>
  <c r="AJ60" i="168"/>
  <c r="AI60" i="168"/>
  <c r="AI57" i="168"/>
  <c r="AJ57" i="168"/>
  <c r="AI58" i="168"/>
  <c r="AJ58" i="168"/>
  <c r="AH60" i="168"/>
  <c r="AH57" i="168"/>
  <c r="AH58" i="168"/>
  <c r="W60" i="168"/>
  <c r="V60" i="168"/>
  <c r="V57" i="168"/>
  <c r="W57" i="168"/>
  <c r="V58" i="168"/>
  <c r="W58" i="168"/>
  <c r="O60" i="168"/>
  <c r="O57" i="168"/>
  <c r="O58" i="168"/>
  <c r="N60" i="168"/>
  <c r="N57" i="168"/>
  <c r="N58" i="168"/>
  <c r="L60" i="168"/>
  <c r="L57" i="168"/>
  <c r="L58" i="168"/>
  <c r="C59" i="168"/>
  <c r="D59" i="168"/>
  <c r="E59" i="168"/>
  <c r="F59" i="168"/>
  <c r="G59" i="168"/>
  <c r="H59" i="168"/>
  <c r="I59" i="168"/>
  <c r="J59" i="168"/>
  <c r="Y16" i="167"/>
  <c r="X16" i="167"/>
  <c r="Q16" i="167"/>
  <c r="D16" i="167"/>
  <c r="E16" i="167"/>
  <c r="F16" i="167"/>
  <c r="G16" i="167"/>
  <c r="H16" i="167"/>
  <c r="I16" i="167"/>
  <c r="J16" i="167"/>
  <c r="C16" i="167"/>
  <c r="BY59" i="167"/>
  <c r="BY56" i="167"/>
  <c r="BY57" i="167"/>
  <c r="BX59" i="167"/>
  <c r="BX56" i="167"/>
  <c r="BX57" i="167"/>
  <c r="BT59" i="167"/>
  <c r="BT56" i="167"/>
  <c r="BT57" i="167"/>
  <c r="BS59" i="167"/>
  <c r="BS56" i="167"/>
  <c r="BS57" i="167"/>
  <c r="BR59" i="167"/>
  <c r="BR56" i="167"/>
  <c r="BR57" i="167"/>
  <c r="BG59" i="167"/>
  <c r="BF59" i="167"/>
  <c r="BF56" i="167"/>
  <c r="BG56" i="167"/>
  <c r="BF57" i="167"/>
  <c r="BG57" i="167"/>
  <c r="BB59" i="167"/>
  <c r="BB56" i="167"/>
  <c r="BB57" i="167"/>
  <c r="BA59" i="167"/>
  <c r="BA56" i="167"/>
  <c r="BA57" i="167"/>
  <c r="AZ59" i="167"/>
  <c r="AZ56" i="167"/>
  <c r="AZ57" i="167"/>
  <c r="AO59" i="167"/>
  <c r="AO56" i="167"/>
  <c r="AO57" i="167"/>
  <c r="AN59" i="167"/>
  <c r="AN56" i="167"/>
  <c r="AN57" i="167"/>
  <c r="AJ59" i="167"/>
  <c r="AJ56" i="167"/>
  <c r="AJ57" i="167"/>
  <c r="AI59" i="167"/>
  <c r="AI56" i="167"/>
  <c r="AI57" i="167"/>
  <c r="AH59" i="167"/>
  <c r="AH56" i="167"/>
  <c r="AH57" i="167"/>
  <c r="L59" i="167"/>
  <c r="N59" i="167"/>
  <c r="O59" i="167"/>
  <c r="W59" i="167"/>
  <c r="V59" i="167"/>
  <c r="W56" i="167"/>
  <c r="W57" i="167"/>
  <c r="V56" i="167"/>
  <c r="V57" i="167"/>
  <c r="O56" i="167"/>
  <c r="O57" i="167"/>
  <c r="N56" i="167"/>
  <c r="N57" i="167"/>
  <c r="L57" i="167"/>
  <c r="L56" i="167"/>
  <c r="Q23" i="150" l="1"/>
  <c r="D23" i="150"/>
  <c r="E23" i="150"/>
  <c r="F23" i="150"/>
  <c r="G23" i="150"/>
  <c r="H23" i="150"/>
  <c r="I23" i="150"/>
  <c r="J23" i="150"/>
  <c r="BT97" i="150"/>
  <c r="BT96" i="150"/>
  <c r="BS97" i="150"/>
  <c r="BS96" i="150"/>
  <c r="BR97" i="150"/>
  <c r="BR96" i="150"/>
  <c r="BB97" i="150"/>
  <c r="BB96" i="150"/>
  <c r="BA97" i="150"/>
  <c r="BA96" i="150"/>
  <c r="AZ97" i="150"/>
  <c r="AZ96" i="150"/>
  <c r="AJ97" i="150"/>
  <c r="AJ96" i="150"/>
  <c r="AI97" i="150"/>
  <c r="AI96" i="150"/>
  <c r="AH97" i="150"/>
  <c r="AH96" i="150"/>
  <c r="W97" i="150"/>
  <c r="W96" i="150"/>
  <c r="V97" i="150"/>
  <c r="V96" i="150"/>
  <c r="O97" i="150"/>
  <c r="O96" i="150"/>
  <c r="N97" i="150"/>
  <c r="N96" i="150"/>
  <c r="L97" i="150"/>
  <c r="L96" i="150"/>
  <c r="S98" i="153"/>
  <c r="S99" i="153"/>
  <c r="S97" i="153"/>
  <c r="P98" i="153"/>
  <c r="T98" i="153" s="1"/>
  <c r="P97" i="153"/>
  <c r="M98" i="153"/>
  <c r="M99" i="153"/>
  <c r="M97" i="153"/>
  <c r="M104" i="153" s="1"/>
  <c r="J98" i="153"/>
  <c r="J97" i="153"/>
  <c r="F98" i="153"/>
  <c r="G98" i="153"/>
  <c r="H98" i="153"/>
  <c r="I98" i="153"/>
  <c r="F97" i="153"/>
  <c r="G97" i="153"/>
  <c r="H97" i="153"/>
  <c r="I97" i="153"/>
  <c r="N99" i="153"/>
  <c r="E98" i="153"/>
  <c r="N98" i="153" s="1"/>
  <c r="E97" i="153"/>
  <c r="D98" i="153"/>
  <c r="D97" i="153"/>
  <c r="C98" i="153"/>
  <c r="C97" i="153"/>
  <c r="P22" i="147"/>
  <c r="O22" i="147"/>
  <c r="H22" i="147"/>
  <c r="D22" i="147"/>
  <c r="E22" i="147"/>
  <c r="C22" i="147"/>
  <c r="P16" i="169"/>
  <c r="O16" i="169"/>
  <c r="H16" i="169"/>
  <c r="D16" i="169"/>
  <c r="E16" i="169"/>
  <c r="C16" i="169"/>
  <c r="Q17" i="168"/>
  <c r="D17" i="168"/>
  <c r="E17" i="168"/>
  <c r="F17" i="168"/>
  <c r="G17" i="168"/>
  <c r="H17" i="168"/>
  <c r="I17" i="168"/>
  <c r="J17" i="168"/>
  <c r="C17" i="168"/>
  <c r="L17" i="168" s="1"/>
  <c r="X17" i="168"/>
  <c r="O16" i="167"/>
  <c r="L16" i="167"/>
  <c r="W16" i="167"/>
  <c r="V16" i="167"/>
  <c r="Q22" i="152"/>
  <c r="D22" i="152"/>
  <c r="E22" i="152"/>
  <c r="F22" i="152"/>
  <c r="G22" i="152"/>
  <c r="H22" i="152"/>
  <c r="I22" i="152"/>
  <c r="J22" i="152"/>
  <c r="C22" i="152"/>
  <c r="X24" i="153"/>
  <c r="W104" i="153"/>
  <c r="W24" i="153" s="1"/>
  <c r="AQ66" i="169"/>
  <c r="AO66" i="169"/>
  <c r="AT66" i="169" s="1"/>
  <c r="AN66" i="169"/>
  <c r="AM66" i="169"/>
  <c r="AF66" i="169"/>
  <c r="AD66" i="169"/>
  <c r="AC66" i="169"/>
  <c r="AB66" i="169"/>
  <c r="U66" i="169"/>
  <c r="S66" i="169"/>
  <c r="R66" i="169"/>
  <c r="Q66" i="169"/>
  <c r="P66" i="169"/>
  <c r="H66" i="169"/>
  <c r="E66" i="169"/>
  <c r="D66" i="169"/>
  <c r="C66" i="169"/>
  <c r="BU67" i="168"/>
  <c r="BQ67" i="168"/>
  <c r="BP67" i="168"/>
  <c r="BO67" i="168"/>
  <c r="BN67" i="168"/>
  <c r="BM67" i="168"/>
  <c r="BL67" i="168"/>
  <c r="BK67" i="168"/>
  <c r="BJ67" i="168"/>
  <c r="BC67" i="168"/>
  <c r="AY67" i="168"/>
  <c r="AX67" i="168"/>
  <c r="AW67" i="168"/>
  <c r="AV67" i="168"/>
  <c r="AU67" i="168"/>
  <c r="AT67" i="168"/>
  <c r="AS67" i="168"/>
  <c r="AR67" i="168"/>
  <c r="AK67" i="168"/>
  <c r="AG67" i="168"/>
  <c r="AF67" i="168"/>
  <c r="AE67" i="168"/>
  <c r="AD67" i="168"/>
  <c r="AC67" i="168"/>
  <c r="AB67" i="168"/>
  <c r="AA67" i="168"/>
  <c r="Z67" i="168"/>
  <c r="Y67" i="168"/>
  <c r="Y17" i="168" s="1"/>
  <c r="X67" i="168"/>
  <c r="Q67" i="168"/>
  <c r="J67" i="168"/>
  <c r="I67" i="168"/>
  <c r="H67" i="168"/>
  <c r="G67" i="168"/>
  <c r="F67" i="168"/>
  <c r="E67" i="168"/>
  <c r="D67" i="168"/>
  <c r="C67" i="168"/>
  <c r="BU66" i="167"/>
  <c r="BQ66" i="167"/>
  <c r="BP66" i="167"/>
  <c r="BO66" i="167"/>
  <c r="BN66" i="167"/>
  <c r="BM66" i="167"/>
  <c r="BL66" i="167"/>
  <c r="BK66" i="167"/>
  <c r="BJ66" i="167"/>
  <c r="BC66" i="167"/>
  <c r="AY66" i="167"/>
  <c r="AX66" i="167"/>
  <c r="AW66" i="167"/>
  <c r="AV66" i="167"/>
  <c r="AU66" i="167"/>
  <c r="AT66" i="167"/>
  <c r="AS66" i="167"/>
  <c r="AR66" i="167"/>
  <c r="AK66" i="167"/>
  <c r="AG66" i="167"/>
  <c r="AF66" i="167"/>
  <c r="AE66" i="167"/>
  <c r="AD66" i="167"/>
  <c r="AC66" i="167"/>
  <c r="AB66" i="167"/>
  <c r="AH66" i="167" s="1"/>
  <c r="AA66" i="167"/>
  <c r="Z66" i="167"/>
  <c r="Y66" i="167"/>
  <c r="X66" i="167"/>
  <c r="Q66" i="167"/>
  <c r="J66" i="167"/>
  <c r="I66" i="167"/>
  <c r="H66" i="167"/>
  <c r="G66" i="167"/>
  <c r="F66" i="167"/>
  <c r="E66" i="167"/>
  <c r="D66" i="167"/>
  <c r="C66" i="167"/>
  <c r="Y22" i="152"/>
  <c r="X22" i="152"/>
  <c r="BU103" i="150"/>
  <c r="BQ103" i="150"/>
  <c r="BP103" i="150"/>
  <c r="BS103" i="150" s="1"/>
  <c r="BO103" i="150"/>
  <c r="BN103" i="150"/>
  <c r="BM103" i="150"/>
  <c r="BL103" i="150"/>
  <c r="BK103" i="150"/>
  <c r="BJ103" i="150"/>
  <c r="BC103" i="150"/>
  <c r="AY103" i="150"/>
  <c r="AX103" i="150"/>
  <c r="AW103" i="150"/>
  <c r="AV103" i="150"/>
  <c r="AU103" i="150"/>
  <c r="AT103" i="150"/>
  <c r="AS103" i="150"/>
  <c r="AR103" i="150"/>
  <c r="AK103" i="150"/>
  <c r="AG103" i="150"/>
  <c r="AF103" i="150"/>
  <c r="AE103" i="150"/>
  <c r="AD103" i="150"/>
  <c r="AC103" i="150"/>
  <c r="AB103" i="150"/>
  <c r="AA103" i="150"/>
  <c r="Z103" i="150"/>
  <c r="Y103" i="150"/>
  <c r="Y23" i="150" s="1"/>
  <c r="X103" i="150"/>
  <c r="X23" i="150" s="1"/>
  <c r="Q103" i="150"/>
  <c r="J103" i="150"/>
  <c r="I103" i="150"/>
  <c r="H103" i="150"/>
  <c r="G103" i="150"/>
  <c r="F103" i="150"/>
  <c r="E103" i="150"/>
  <c r="D103" i="150"/>
  <c r="C103" i="150"/>
  <c r="AO97" i="150"/>
  <c r="AN97" i="150"/>
  <c r="AN96" i="150"/>
  <c r="BG97" i="150"/>
  <c r="BG96" i="150"/>
  <c r="BF97" i="150"/>
  <c r="BF96" i="150"/>
  <c r="BY97" i="150"/>
  <c r="BY96" i="150"/>
  <c r="BX97" i="150"/>
  <c r="BX96" i="150"/>
  <c r="AE66" i="169" l="1"/>
  <c r="W17" i="168"/>
  <c r="F22" i="147"/>
  <c r="O17" i="168"/>
  <c r="BX103" i="150"/>
  <c r="N66" i="167"/>
  <c r="AJ66" i="167"/>
  <c r="AI66" i="167"/>
  <c r="BB66" i="167"/>
  <c r="BA66" i="167"/>
  <c r="AZ66" i="167"/>
  <c r="BG66" i="167"/>
  <c r="BB67" i="168"/>
  <c r="T66" i="169"/>
  <c r="AP66" i="169"/>
  <c r="AU66" i="169"/>
  <c r="N23" i="150"/>
  <c r="L23" i="150"/>
  <c r="AJ66" i="169"/>
  <c r="M16" i="169"/>
  <c r="N16" i="169"/>
  <c r="BX66" i="167"/>
  <c r="V22" i="152"/>
  <c r="BY103" i="150"/>
  <c r="AN103" i="150"/>
  <c r="L99" i="153"/>
  <c r="H24" i="153"/>
  <c r="N22" i="152"/>
  <c r="L22" i="152"/>
  <c r="J24" i="153"/>
  <c r="N97" i="153"/>
  <c r="E24" i="153"/>
  <c r="W22" i="152"/>
  <c r="O22" i="152"/>
  <c r="G24" i="153"/>
  <c r="I24" i="153"/>
  <c r="AH67" i="168"/>
  <c r="W67" i="168"/>
  <c r="AZ67" i="168"/>
  <c r="AI67" i="168"/>
  <c r="N67" i="168"/>
  <c r="BR66" i="167"/>
  <c r="BT66" i="167"/>
  <c r="BY66" i="167"/>
  <c r="AO66" i="167"/>
  <c r="O23" i="150"/>
  <c r="V23" i="150"/>
  <c r="W23" i="150"/>
  <c r="M22" i="147"/>
  <c r="D24" i="153"/>
  <c r="G22" i="147"/>
  <c r="C24" i="153"/>
  <c r="T97" i="153"/>
  <c r="V97" i="153"/>
  <c r="V98" i="153"/>
  <c r="N22" i="147"/>
  <c r="Y66" i="169"/>
  <c r="F16" i="169"/>
  <c r="G16" i="169"/>
  <c r="BY67" i="168"/>
  <c r="BT67" i="168"/>
  <c r="BA67" i="168"/>
  <c r="BF67" i="168"/>
  <c r="AO67" i="168"/>
  <c r="AJ67" i="168"/>
  <c r="L67" i="168"/>
  <c r="O99" i="153"/>
  <c r="O67" i="168"/>
  <c r="K16" i="167"/>
  <c r="N16" i="167"/>
  <c r="BB103" i="150"/>
  <c r="H104" i="153"/>
  <c r="AO103" i="150"/>
  <c r="AI103" i="150"/>
  <c r="O97" i="153"/>
  <c r="O98" i="153"/>
  <c r="AH103" i="150"/>
  <c r="U97" i="153"/>
  <c r="BR103" i="150"/>
  <c r="BT103" i="150"/>
  <c r="BA103" i="150"/>
  <c r="BG103" i="150"/>
  <c r="L103" i="150"/>
  <c r="O103" i="150"/>
  <c r="U98" i="153"/>
  <c r="W103" i="150"/>
  <c r="L97" i="153"/>
  <c r="I104" i="153"/>
  <c r="L98" i="153"/>
  <c r="S104" i="153"/>
  <c r="J104" i="153"/>
  <c r="G104" i="153"/>
  <c r="E104" i="153"/>
  <c r="N104" i="153" s="1"/>
  <c r="D104" i="153"/>
  <c r="C104" i="153"/>
  <c r="V17" i="168"/>
  <c r="N17" i="168"/>
  <c r="K17" i="168"/>
  <c r="AI66" i="169"/>
  <c r="X66" i="169"/>
  <c r="N66" i="169"/>
  <c r="M66" i="169"/>
  <c r="BX67" i="168"/>
  <c r="BF66" i="167"/>
  <c r="AN66" i="167"/>
  <c r="W66" i="167"/>
  <c r="G66" i="169"/>
  <c r="V67" i="168"/>
  <c r="AN67" i="168"/>
  <c r="BR67" i="168"/>
  <c r="BG67" i="168"/>
  <c r="BS67" i="168"/>
  <c r="V66" i="167"/>
  <c r="L66" i="167"/>
  <c r="BS66" i="167"/>
  <c r="O66" i="167"/>
  <c r="AJ103" i="150"/>
  <c r="BF103" i="150"/>
  <c r="V103" i="150"/>
  <c r="N103" i="150"/>
  <c r="AZ103" i="150"/>
  <c r="T53" i="171"/>
  <c r="T54" i="171"/>
  <c r="T55" i="171"/>
  <c r="T56" i="171"/>
  <c r="O24" i="153" l="1"/>
  <c r="N24" i="153"/>
  <c r="L24" i="153"/>
  <c r="O104" i="153"/>
  <c r="L104" i="153"/>
  <c r="BT52" i="167"/>
  <c r="BT53" i="167"/>
  <c r="BT54" i="167"/>
  <c r="BT55" i="167"/>
  <c r="BS52" i="167"/>
  <c r="BS53" i="167"/>
  <c r="BS54" i="167"/>
  <c r="BS55" i="167"/>
  <c r="BR52" i="167"/>
  <c r="BR53" i="167"/>
  <c r="BR54" i="167"/>
  <c r="BR55" i="167"/>
  <c r="BB52" i="167"/>
  <c r="BB53" i="167"/>
  <c r="BB54" i="167"/>
  <c r="BB55" i="167"/>
  <c r="BA52" i="167"/>
  <c r="BA53" i="167"/>
  <c r="BA54" i="167"/>
  <c r="BA55" i="167"/>
  <c r="AZ52" i="167"/>
  <c r="AZ53" i="167"/>
  <c r="AZ54" i="167"/>
  <c r="AZ55" i="167"/>
  <c r="AJ52" i="167"/>
  <c r="AJ53" i="167"/>
  <c r="AJ54" i="167"/>
  <c r="AJ55" i="167"/>
  <c r="AI52" i="167"/>
  <c r="AI53" i="167"/>
  <c r="AI54" i="167"/>
  <c r="AI55" i="167"/>
  <c r="AH52" i="167"/>
  <c r="AH53" i="167"/>
  <c r="AH54" i="167"/>
  <c r="AH55" i="167"/>
  <c r="W52" i="167"/>
  <c r="W53" i="167"/>
  <c r="W54" i="167"/>
  <c r="W55" i="167"/>
  <c r="V52" i="167"/>
  <c r="V53" i="167"/>
  <c r="V54" i="167"/>
  <c r="V55" i="167"/>
  <c r="O52" i="167"/>
  <c r="O53" i="167"/>
  <c r="O54" i="167"/>
  <c r="O55" i="167"/>
  <c r="N52" i="167"/>
  <c r="N53" i="167"/>
  <c r="N54" i="167"/>
  <c r="N55" i="167"/>
  <c r="L52" i="167"/>
  <c r="L53" i="167"/>
  <c r="L54" i="167"/>
  <c r="L55" i="167"/>
  <c r="BT91" i="150"/>
  <c r="BT92" i="150"/>
  <c r="BT93" i="150"/>
  <c r="BT94" i="150"/>
  <c r="BS91" i="150"/>
  <c r="BS92" i="150"/>
  <c r="BS93" i="150"/>
  <c r="BS94" i="150"/>
  <c r="BR91" i="150"/>
  <c r="BR92" i="150"/>
  <c r="BR93" i="150"/>
  <c r="BR94" i="150"/>
  <c r="BB91" i="150"/>
  <c r="BB92" i="150"/>
  <c r="BB93" i="150"/>
  <c r="BB94" i="150"/>
  <c r="BA91" i="150"/>
  <c r="BA92" i="150"/>
  <c r="BA93" i="150"/>
  <c r="BA94" i="150"/>
  <c r="AZ91" i="150"/>
  <c r="AZ92" i="150"/>
  <c r="AZ93" i="150"/>
  <c r="AZ94" i="150"/>
  <c r="AJ91" i="150"/>
  <c r="AJ92" i="150"/>
  <c r="AJ93" i="150"/>
  <c r="AJ94" i="150"/>
  <c r="AI91" i="150"/>
  <c r="AI92" i="150"/>
  <c r="AI93" i="150"/>
  <c r="AI94" i="150"/>
  <c r="AH91" i="150"/>
  <c r="AH92" i="150"/>
  <c r="AH93" i="150"/>
  <c r="AH94" i="150"/>
  <c r="W91" i="150"/>
  <c r="W92" i="150"/>
  <c r="W93" i="150"/>
  <c r="W94" i="150"/>
  <c r="V91" i="150"/>
  <c r="V92" i="150"/>
  <c r="V93" i="150"/>
  <c r="V94" i="150"/>
  <c r="O91" i="150"/>
  <c r="O92" i="150"/>
  <c r="O93" i="150"/>
  <c r="O94" i="150"/>
  <c r="N91" i="150"/>
  <c r="N92" i="150"/>
  <c r="N93" i="150"/>
  <c r="N94" i="150"/>
  <c r="L91" i="150"/>
  <c r="L92" i="150"/>
  <c r="L93" i="150"/>
  <c r="L94" i="150"/>
  <c r="AE52" i="169"/>
  <c r="AE53" i="169"/>
  <c r="AE54" i="169"/>
  <c r="AE55" i="169"/>
  <c r="T52" i="169"/>
  <c r="T53" i="169"/>
  <c r="T54" i="169"/>
  <c r="T55" i="169"/>
  <c r="N52" i="169"/>
  <c r="N53" i="169"/>
  <c r="N54" i="169"/>
  <c r="N55" i="169"/>
  <c r="M52" i="169"/>
  <c r="M53" i="169"/>
  <c r="M54" i="169"/>
  <c r="M55" i="169"/>
  <c r="G52" i="169"/>
  <c r="G53" i="169"/>
  <c r="G54" i="169"/>
  <c r="G55" i="169"/>
  <c r="BT53" i="168"/>
  <c r="BT54" i="168"/>
  <c r="BT55" i="168"/>
  <c r="BT56" i="168"/>
  <c r="BS53" i="168"/>
  <c r="BS54" i="168"/>
  <c r="BS55" i="168"/>
  <c r="BS56" i="168"/>
  <c r="BR53" i="168"/>
  <c r="BR54" i="168"/>
  <c r="BR55" i="168"/>
  <c r="BR56" i="168"/>
  <c r="BB53" i="168"/>
  <c r="BB54" i="168"/>
  <c r="BB55" i="168"/>
  <c r="BB56" i="168"/>
  <c r="BA53" i="168"/>
  <c r="BA54" i="168"/>
  <c r="BA55" i="168"/>
  <c r="BA56" i="168"/>
  <c r="AZ53" i="168"/>
  <c r="AZ54" i="168"/>
  <c r="AZ55" i="168"/>
  <c r="AZ56" i="168"/>
  <c r="AJ53" i="168"/>
  <c r="AJ54" i="168"/>
  <c r="AJ55" i="168"/>
  <c r="AJ56" i="168"/>
  <c r="AI53" i="168"/>
  <c r="AI54" i="168"/>
  <c r="AI55" i="168"/>
  <c r="AI56" i="168"/>
  <c r="AH53" i="168"/>
  <c r="AH54" i="168"/>
  <c r="AH55" i="168"/>
  <c r="AH56" i="168"/>
  <c r="W53" i="168"/>
  <c r="W54" i="168"/>
  <c r="W55" i="168"/>
  <c r="W56" i="168"/>
  <c r="V53" i="168"/>
  <c r="V54" i="168"/>
  <c r="V55" i="168"/>
  <c r="V56" i="168"/>
  <c r="O53" i="168"/>
  <c r="O54" i="168"/>
  <c r="O55" i="168"/>
  <c r="O56" i="168"/>
  <c r="N53" i="168"/>
  <c r="N54" i="168"/>
  <c r="N55" i="168"/>
  <c r="N56" i="168"/>
  <c r="L53" i="168"/>
  <c r="L54" i="168"/>
  <c r="L55" i="168"/>
  <c r="L56" i="168"/>
  <c r="S92" i="153" l="1"/>
  <c r="S93" i="153"/>
  <c r="S94" i="153"/>
  <c r="S95" i="153"/>
  <c r="P92" i="153"/>
  <c r="P93" i="153"/>
  <c r="T93" i="153" s="1"/>
  <c r="P94" i="153"/>
  <c r="T94" i="153" s="1"/>
  <c r="P95" i="153"/>
  <c r="T95" i="153" s="1"/>
  <c r="M92" i="153"/>
  <c r="M93" i="153"/>
  <c r="M94" i="153"/>
  <c r="M95" i="153"/>
  <c r="J92" i="153"/>
  <c r="J93" i="153"/>
  <c r="J94" i="153"/>
  <c r="J95" i="153"/>
  <c r="I92" i="153"/>
  <c r="I93" i="153"/>
  <c r="I94" i="153"/>
  <c r="I95" i="153"/>
  <c r="H92" i="153"/>
  <c r="H93" i="153"/>
  <c r="H94" i="153"/>
  <c r="H95" i="153"/>
  <c r="G92" i="153"/>
  <c r="G93" i="153"/>
  <c r="G94" i="153"/>
  <c r="G95" i="153"/>
  <c r="F92" i="153"/>
  <c r="F93" i="153"/>
  <c r="F94" i="153"/>
  <c r="F95" i="153"/>
  <c r="E92" i="153"/>
  <c r="N92" i="153" s="1"/>
  <c r="E93" i="153"/>
  <c r="N93" i="153" s="1"/>
  <c r="E94" i="153"/>
  <c r="N94" i="153" s="1"/>
  <c r="E95" i="153"/>
  <c r="N95" i="153" s="1"/>
  <c r="D92" i="153"/>
  <c r="D93" i="153"/>
  <c r="D94" i="153"/>
  <c r="D95" i="153"/>
  <c r="C92" i="153"/>
  <c r="C93" i="153"/>
  <c r="C94" i="153"/>
  <c r="C95" i="153"/>
  <c r="AJ52" i="169"/>
  <c r="AJ53" i="169"/>
  <c r="AJ54" i="169"/>
  <c r="AJ55" i="169"/>
  <c r="AI55" i="169"/>
  <c r="AI52" i="169"/>
  <c r="AI53" i="169"/>
  <c r="AI54" i="169"/>
  <c r="Y52" i="169"/>
  <c r="Y53" i="169"/>
  <c r="Y54" i="169"/>
  <c r="Y55" i="169"/>
  <c r="X52" i="169"/>
  <c r="X53" i="169"/>
  <c r="X54" i="169"/>
  <c r="X55" i="169"/>
  <c r="BY53" i="168"/>
  <c r="BY54" i="168"/>
  <c r="BY55" i="168"/>
  <c r="BY56" i="168"/>
  <c r="BX53" i="168"/>
  <c r="BX54" i="168"/>
  <c r="BX55" i="168"/>
  <c r="BX56" i="168"/>
  <c r="BG53" i="168"/>
  <c r="BG54" i="168"/>
  <c r="BG55" i="168"/>
  <c r="BG56" i="168"/>
  <c r="BF53" i="168"/>
  <c r="BF54" i="168"/>
  <c r="BF55" i="168"/>
  <c r="BF56" i="168"/>
  <c r="AO53" i="168"/>
  <c r="AO54" i="168"/>
  <c r="AO55" i="168"/>
  <c r="AO56" i="168"/>
  <c r="AN53" i="168"/>
  <c r="AN54" i="168"/>
  <c r="AN55" i="168"/>
  <c r="AN56" i="168"/>
  <c r="BY52" i="167"/>
  <c r="BY53" i="167"/>
  <c r="BY54" i="167"/>
  <c r="BY55" i="167"/>
  <c r="BX52" i="167"/>
  <c r="BX53" i="167"/>
  <c r="BX54" i="167"/>
  <c r="BX55" i="167"/>
  <c r="BG52" i="167"/>
  <c r="BG53" i="167"/>
  <c r="BG54" i="167"/>
  <c r="BG55" i="167"/>
  <c r="BF52" i="167"/>
  <c r="BF53" i="167"/>
  <c r="BF54" i="167"/>
  <c r="BF55" i="167"/>
  <c r="AO52" i="167"/>
  <c r="AO53" i="167"/>
  <c r="AO54" i="167"/>
  <c r="AO55" i="167"/>
  <c r="AN52" i="167"/>
  <c r="AN53" i="167"/>
  <c r="AN54" i="167"/>
  <c r="AN55" i="167"/>
  <c r="BY91" i="150"/>
  <c r="BY92" i="150"/>
  <c r="BY93" i="150"/>
  <c r="BY94" i="150"/>
  <c r="BX92" i="150"/>
  <c r="BX93" i="150"/>
  <c r="BX94" i="150"/>
  <c r="BX91" i="150"/>
  <c r="BG91" i="150"/>
  <c r="BG92" i="150"/>
  <c r="BG93" i="150"/>
  <c r="BG94" i="150"/>
  <c r="BF91" i="150"/>
  <c r="BF92" i="150"/>
  <c r="BF93" i="150"/>
  <c r="BF94" i="150"/>
  <c r="AO91" i="150"/>
  <c r="AO92" i="150"/>
  <c r="AO93" i="150"/>
  <c r="AO94" i="150"/>
  <c r="AN94" i="150"/>
  <c r="AN91" i="150"/>
  <c r="AN92" i="150"/>
  <c r="AN93" i="150"/>
  <c r="T92" i="153" l="1"/>
  <c r="U94" i="153"/>
  <c r="U95" i="153"/>
  <c r="U93" i="153"/>
  <c r="O93" i="153"/>
  <c r="O92" i="153"/>
  <c r="L94" i="153"/>
  <c r="L95" i="153"/>
  <c r="U92" i="153"/>
  <c r="V94" i="153"/>
  <c r="L93" i="153"/>
  <c r="V93" i="153"/>
  <c r="L92" i="153"/>
  <c r="V92" i="153"/>
  <c r="V95" i="153"/>
  <c r="O95" i="153"/>
  <c r="O94" i="153"/>
  <c r="H21" i="147" l="1"/>
  <c r="D21" i="147"/>
  <c r="E21" i="147"/>
  <c r="F21" i="147" s="1"/>
  <c r="C21" i="147"/>
  <c r="P21" i="147"/>
  <c r="O21" i="147"/>
  <c r="P15" i="169"/>
  <c r="O15" i="169"/>
  <c r="Y15" i="167"/>
  <c r="X15" i="167"/>
  <c r="Q21" i="152"/>
  <c r="D21" i="152"/>
  <c r="E21" i="152"/>
  <c r="F21" i="152"/>
  <c r="G21" i="152"/>
  <c r="H21" i="152"/>
  <c r="I21" i="152"/>
  <c r="J21" i="152"/>
  <c r="C21" i="152"/>
  <c r="Y21" i="152"/>
  <c r="X21" i="152"/>
  <c r="Q22" i="150"/>
  <c r="D22" i="150"/>
  <c r="E22" i="150"/>
  <c r="F22" i="150"/>
  <c r="G22" i="150"/>
  <c r="H22" i="150"/>
  <c r="I22" i="150"/>
  <c r="J22" i="150"/>
  <c r="C22" i="150"/>
  <c r="BU95" i="150"/>
  <c r="BQ95" i="150"/>
  <c r="BP95" i="150"/>
  <c r="BO95" i="150"/>
  <c r="BN95" i="150"/>
  <c r="BM95" i="150"/>
  <c r="BL95" i="150"/>
  <c r="BK95" i="150"/>
  <c r="BJ95" i="150"/>
  <c r="BC95" i="150"/>
  <c r="AY95" i="150"/>
  <c r="AX95" i="150"/>
  <c r="AW95" i="150"/>
  <c r="AV95" i="150"/>
  <c r="AU95" i="150"/>
  <c r="AT95" i="150"/>
  <c r="AS95" i="150"/>
  <c r="AR95" i="150"/>
  <c r="AK95" i="150"/>
  <c r="AG95" i="150"/>
  <c r="AF95" i="150"/>
  <c r="AE95" i="150"/>
  <c r="AD95" i="150"/>
  <c r="AC95" i="150"/>
  <c r="AB95" i="150"/>
  <c r="AA95" i="150"/>
  <c r="Z95" i="150"/>
  <c r="Y95" i="150"/>
  <c r="Y22" i="150" s="1"/>
  <c r="X95" i="150"/>
  <c r="X22" i="150" s="1"/>
  <c r="Q95" i="150"/>
  <c r="J95" i="150"/>
  <c r="I95" i="150"/>
  <c r="H95" i="150"/>
  <c r="G95" i="150"/>
  <c r="F95" i="150"/>
  <c r="E95" i="150"/>
  <c r="D95" i="150"/>
  <c r="C95" i="150"/>
  <c r="X96" i="153"/>
  <c r="X23" i="153" s="1"/>
  <c r="W96" i="153"/>
  <c r="W23" i="153" s="1"/>
  <c r="S23" i="153"/>
  <c r="M23" i="153"/>
  <c r="S91" i="153"/>
  <c r="S90" i="153"/>
  <c r="S89" i="153"/>
  <c r="P91" i="153"/>
  <c r="P90" i="153"/>
  <c r="T90" i="153" s="1"/>
  <c r="P89" i="153"/>
  <c r="T89" i="153" s="1"/>
  <c r="M90" i="153"/>
  <c r="M91" i="153"/>
  <c r="M89" i="153"/>
  <c r="J91" i="153"/>
  <c r="J90" i="153"/>
  <c r="I94" i="160"/>
  <c r="T16" i="171"/>
  <c r="T52" i="171"/>
  <c r="T50" i="171"/>
  <c r="T49" i="171"/>
  <c r="J89" i="153"/>
  <c r="F91" i="153"/>
  <c r="G91" i="153"/>
  <c r="H91" i="153"/>
  <c r="I91" i="153"/>
  <c r="F90" i="153"/>
  <c r="G90" i="153"/>
  <c r="H90" i="153"/>
  <c r="I90" i="153"/>
  <c r="F89" i="153"/>
  <c r="G89" i="153"/>
  <c r="H89" i="153"/>
  <c r="I89" i="153"/>
  <c r="E91" i="153"/>
  <c r="E90" i="153"/>
  <c r="N90" i="153" s="1"/>
  <c r="E89" i="153"/>
  <c r="D91" i="153"/>
  <c r="D90" i="153"/>
  <c r="D89" i="153"/>
  <c r="C91" i="153"/>
  <c r="C90" i="153"/>
  <c r="C89" i="153"/>
  <c r="AO96" i="150" l="1"/>
  <c r="V21" i="152"/>
  <c r="O95" i="150"/>
  <c r="AI95" i="150"/>
  <c r="BB95" i="150"/>
  <c r="V22" i="150"/>
  <c r="N22" i="150"/>
  <c r="W21" i="152"/>
  <c r="AO95" i="150"/>
  <c r="AN95" i="150"/>
  <c r="O22" i="150"/>
  <c r="N95" i="150"/>
  <c r="O21" i="152"/>
  <c r="L21" i="152"/>
  <c r="BX95" i="150"/>
  <c r="W22" i="150"/>
  <c r="G21" i="147"/>
  <c r="C96" i="153"/>
  <c r="F96" i="153"/>
  <c r="N91" i="153"/>
  <c r="I96" i="153"/>
  <c r="H96" i="153"/>
  <c r="T91" i="153"/>
  <c r="M96" i="153"/>
  <c r="D23" i="153"/>
  <c r="O90" i="153"/>
  <c r="S96" i="153"/>
  <c r="L90" i="153"/>
  <c r="G96" i="153"/>
  <c r="O91" i="153"/>
  <c r="L91" i="153"/>
  <c r="J96" i="153"/>
  <c r="E23" i="153"/>
  <c r="N23" i="153" s="1"/>
  <c r="U89" i="153"/>
  <c r="I23" i="153"/>
  <c r="C23" i="153"/>
  <c r="N21" i="147"/>
  <c r="N89" i="153"/>
  <c r="U91" i="153"/>
  <c r="H23" i="153"/>
  <c r="D96" i="153"/>
  <c r="P96" i="153"/>
  <c r="BA95" i="150"/>
  <c r="N21" i="152"/>
  <c r="U90" i="153"/>
  <c r="G23" i="153"/>
  <c r="E96" i="153"/>
  <c r="V95" i="150"/>
  <c r="L22" i="150"/>
  <c r="L89" i="153"/>
  <c r="V89" i="153"/>
  <c r="F23" i="153"/>
  <c r="P23" i="153"/>
  <c r="BG95" i="150"/>
  <c r="O89" i="153"/>
  <c r="V91" i="153"/>
  <c r="BR95" i="150"/>
  <c r="V90" i="153"/>
  <c r="AH95" i="150"/>
  <c r="BT95" i="150"/>
  <c r="BS95" i="150"/>
  <c r="AJ95" i="150"/>
  <c r="M21" i="147"/>
  <c r="J23" i="153"/>
  <c r="W95" i="150"/>
  <c r="BY95" i="150"/>
  <c r="BF95" i="150"/>
  <c r="L95" i="150"/>
  <c r="AZ95" i="150"/>
  <c r="BY89" i="150"/>
  <c r="BY90" i="150"/>
  <c r="BY88" i="150"/>
  <c r="BX89" i="150"/>
  <c r="BX90" i="150"/>
  <c r="BX88" i="150"/>
  <c r="BT89" i="150"/>
  <c r="BT90" i="150"/>
  <c r="BT88" i="150"/>
  <c r="BS89" i="150"/>
  <c r="BS90" i="150"/>
  <c r="BS88" i="150"/>
  <c r="BR89" i="150"/>
  <c r="BR90" i="150"/>
  <c r="BR88" i="150"/>
  <c r="BG89" i="150"/>
  <c r="BG90" i="150"/>
  <c r="BG88" i="150"/>
  <c r="BF89" i="150"/>
  <c r="BF90" i="150"/>
  <c r="BF88" i="150"/>
  <c r="BB89" i="150"/>
  <c r="BB90" i="150"/>
  <c r="BB88" i="150"/>
  <c r="BA89" i="150"/>
  <c r="BA90" i="150"/>
  <c r="BA88" i="150"/>
  <c r="AZ89" i="150"/>
  <c r="AZ90" i="150"/>
  <c r="AZ88" i="150"/>
  <c r="AO89" i="150"/>
  <c r="AO90" i="150"/>
  <c r="AN89" i="150"/>
  <c r="AN90" i="150"/>
  <c r="AN88" i="150"/>
  <c r="AJ89" i="150"/>
  <c r="AJ90" i="150"/>
  <c r="AJ88" i="150"/>
  <c r="AI89" i="150"/>
  <c r="AI90" i="150"/>
  <c r="AI88" i="150"/>
  <c r="AH89" i="150"/>
  <c r="AH90" i="150"/>
  <c r="AH88" i="150"/>
  <c r="W89" i="150"/>
  <c r="W90" i="150"/>
  <c r="W88" i="150"/>
  <c r="V89" i="150"/>
  <c r="V90" i="150"/>
  <c r="V88" i="150"/>
  <c r="O89" i="150"/>
  <c r="O90" i="150"/>
  <c r="O88" i="150"/>
  <c r="N89" i="150"/>
  <c r="N90" i="150"/>
  <c r="N88" i="150"/>
  <c r="L89" i="150"/>
  <c r="L90" i="150"/>
  <c r="L88" i="150"/>
  <c r="R90" i="160"/>
  <c r="R91" i="160"/>
  <c r="R92" i="160"/>
  <c r="R93" i="160"/>
  <c r="T45" i="171"/>
  <c r="T46" i="171"/>
  <c r="T47" i="171"/>
  <c r="T48" i="171"/>
  <c r="S84" i="153"/>
  <c r="S85" i="153"/>
  <c r="S86" i="153"/>
  <c r="S87" i="153"/>
  <c r="P85" i="153"/>
  <c r="P86" i="153"/>
  <c r="P87" i="153"/>
  <c r="P84" i="153"/>
  <c r="M84" i="153"/>
  <c r="M85" i="153"/>
  <c r="M86" i="153"/>
  <c r="M87" i="153"/>
  <c r="J85" i="153"/>
  <c r="J86" i="153"/>
  <c r="J87" i="153"/>
  <c r="J84" i="153"/>
  <c r="G85" i="153"/>
  <c r="H85" i="153"/>
  <c r="I85" i="153"/>
  <c r="G86" i="153"/>
  <c r="H86" i="153"/>
  <c r="I86" i="153"/>
  <c r="G87" i="153"/>
  <c r="H87" i="153"/>
  <c r="I87" i="153"/>
  <c r="H84" i="153"/>
  <c r="I84" i="153"/>
  <c r="G84" i="153"/>
  <c r="F85" i="153"/>
  <c r="F86" i="153"/>
  <c r="F87" i="153"/>
  <c r="F84" i="153"/>
  <c r="E85" i="153"/>
  <c r="N85" i="153" s="1"/>
  <c r="E86" i="153"/>
  <c r="N86" i="153" s="1"/>
  <c r="E87" i="153"/>
  <c r="E84" i="153"/>
  <c r="D85" i="153"/>
  <c r="D86" i="153"/>
  <c r="D87" i="153"/>
  <c r="D84" i="153"/>
  <c r="C85" i="153"/>
  <c r="C86" i="153"/>
  <c r="C87" i="153"/>
  <c r="C84" i="153"/>
  <c r="U96" i="153" l="1"/>
  <c r="N96" i="153"/>
  <c r="O96" i="153"/>
  <c r="N84" i="153"/>
  <c r="T96" i="153"/>
  <c r="V96" i="153"/>
  <c r="L23" i="153"/>
  <c r="U23" i="153"/>
  <c r="O23" i="153"/>
  <c r="N87" i="153"/>
  <c r="V23" i="153"/>
  <c r="T23" i="153"/>
  <c r="L96" i="153"/>
  <c r="V87" i="153"/>
  <c r="U87" i="153"/>
  <c r="V86" i="153"/>
  <c r="U86" i="153"/>
  <c r="U85" i="153"/>
  <c r="V85" i="153"/>
  <c r="V84" i="153"/>
  <c r="T86" i="153"/>
  <c r="T84" i="153"/>
  <c r="T85" i="153"/>
  <c r="T87" i="153"/>
  <c r="O86" i="153"/>
  <c r="O87" i="153"/>
  <c r="O85" i="153"/>
  <c r="O84" i="153"/>
  <c r="U84" i="153"/>
  <c r="L84" i="153"/>
  <c r="L87" i="153"/>
  <c r="L86" i="153"/>
  <c r="L85" i="153"/>
  <c r="BY83" i="150"/>
  <c r="BY84" i="150"/>
  <c r="BY85" i="150"/>
  <c r="BY86" i="150"/>
  <c r="BX83" i="150"/>
  <c r="BX84" i="150"/>
  <c r="BX85" i="150"/>
  <c r="BX86" i="150"/>
  <c r="BT83" i="150"/>
  <c r="BT84" i="150"/>
  <c r="BT85" i="150"/>
  <c r="BT86" i="150"/>
  <c r="BS83" i="150"/>
  <c r="BS84" i="150"/>
  <c r="BS85" i="150"/>
  <c r="BS86" i="150"/>
  <c r="BR83" i="150"/>
  <c r="BR84" i="150"/>
  <c r="BR85" i="150"/>
  <c r="BR86" i="150"/>
  <c r="BG83" i="150"/>
  <c r="BG84" i="150"/>
  <c r="BG85" i="150"/>
  <c r="BG86" i="150"/>
  <c r="BF83" i="150"/>
  <c r="BF84" i="150"/>
  <c r="BF85" i="150"/>
  <c r="BF86" i="150"/>
  <c r="BB83" i="150"/>
  <c r="BB84" i="150"/>
  <c r="BB85" i="150"/>
  <c r="BB86" i="150"/>
  <c r="BA83" i="150"/>
  <c r="BA84" i="150"/>
  <c r="BA85" i="150"/>
  <c r="BA86" i="150"/>
  <c r="AZ83" i="150"/>
  <c r="AZ84" i="150"/>
  <c r="AZ85" i="150"/>
  <c r="AZ86" i="150"/>
  <c r="AO83" i="150"/>
  <c r="AO84" i="150"/>
  <c r="AO85" i="150"/>
  <c r="AO86" i="150"/>
  <c r="AN83" i="150"/>
  <c r="AN84" i="150"/>
  <c r="AN85" i="150"/>
  <c r="AN86" i="150"/>
  <c r="AJ83" i="150"/>
  <c r="AJ84" i="150"/>
  <c r="AJ85" i="150"/>
  <c r="AJ86" i="150"/>
  <c r="AI83" i="150"/>
  <c r="AI84" i="150"/>
  <c r="AI85" i="150"/>
  <c r="AI86" i="150"/>
  <c r="AH83" i="150"/>
  <c r="AH84" i="150"/>
  <c r="AH85" i="150"/>
  <c r="AH86" i="150"/>
  <c r="W83" i="150"/>
  <c r="W84" i="150"/>
  <c r="W85" i="150"/>
  <c r="W86" i="150"/>
  <c r="V83" i="150"/>
  <c r="V84" i="150"/>
  <c r="V85" i="150"/>
  <c r="V86" i="150"/>
  <c r="O83" i="150"/>
  <c r="O84" i="150"/>
  <c r="O85" i="150"/>
  <c r="O86" i="150"/>
  <c r="N83" i="150"/>
  <c r="N84" i="150"/>
  <c r="N85" i="150"/>
  <c r="N86" i="150"/>
  <c r="L83" i="150"/>
  <c r="L84" i="150"/>
  <c r="L85" i="150"/>
  <c r="L86" i="150"/>
  <c r="M22" i="153" l="1"/>
  <c r="Y14" i="167"/>
  <c r="X14" i="167"/>
  <c r="Q16" i="171"/>
  <c r="P14" i="169"/>
  <c r="O14" i="169"/>
  <c r="D74" i="153"/>
  <c r="D73" i="153"/>
  <c r="D71" i="153"/>
  <c r="D70" i="153"/>
  <c r="D68" i="153"/>
  <c r="D69" i="153"/>
  <c r="D83" i="153"/>
  <c r="D82" i="153"/>
  <c r="D81" i="153"/>
  <c r="D79" i="153"/>
  <c r="D78" i="153"/>
  <c r="D77" i="153"/>
  <c r="D76" i="153"/>
  <c r="D75" i="153"/>
  <c r="D67" i="153"/>
  <c r="J71" i="153"/>
  <c r="J70" i="153"/>
  <c r="H20" i="147"/>
  <c r="D20" i="147"/>
  <c r="E20" i="147"/>
  <c r="C20" i="147"/>
  <c r="D21" i="150"/>
  <c r="E21" i="150"/>
  <c r="F21" i="150"/>
  <c r="G21" i="150"/>
  <c r="H21" i="150"/>
  <c r="I21" i="150"/>
  <c r="C21" i="150"/>
  <c r="J65" i="153"/>
  <c r="J64" i="153"/>
  <c r="J83" i="153"/>
  <c r="J82" i="153"/>
  <c r="J81" i="153"/>
  <c r="J76" i="153"/>
  <c r="J77" i="153"/>
  <c r="J78" i="153"/>
  <c r="J79" i="153"/>
  <c r="J75" i="153"/>
  <c r="J74" i="153"/>
  <c r="J73" i="153"/>
  <c r="J68" i="153"/>
  <c r="J69" i="153"/>
  <c r="J67" i="153"/>
  <c r="C83" i="153"/>
  <c r="C82" i="153"/>
  <c r="C81" i="153"/>
  <c r="C71" i="153"/>
  <c r="C70" i="153"/>
  <c r="C76" i="153"/>
  <c r="C77" i="153"/>
  <c r="C78" i="153"/>
  <c r="C79" i="153"/>
  <c r="C75" i="153"/>
  <c r="C68" i="153"/>
  <c r="C69" i="153"/>
  <c r="Y14" i="147"/>
  <c r="AB15" i="168"/>
  <c r="AB13" i="168"/>
  <c r="AB14" i="167"/>
  <c r="T60" i="167" s="1"/>
  <c r="U60" i="167" s="1"/>
  <c r="AB12" i="167"/>
  <c r="M60" i="167" s="1"/>
  <c r="P60" i="167" s="1"/>
  <c r="AF16" i="152"/>
  <c r="AF14" i="152"/>
  <c r="AF15" i="150"/>
  <c r="M99" i="150" s="1"/>
  <c r="P99" i="150" s="1"/>
  <c r="AF17" i="150"/>
  <c r="T99" i="150" s="1"/>
  <c r="U99" i="150" s="1"/>
  <c r="S14" i="165"/>
  <c r="S12" i="169"/>
  <c r="K87" i="160"/>
  <c r="I89" i="160"/>
  <c r="I88" i="160"/>
  <c r="I87" i="160"/>
  <c r="T44" i="171"/>
  <c r="T41" i="171"/>
  <c r="T42" i="171"/>
  <c r="T15" i="171"/>
  <c r="S22" i="153"/>
  <c r="K68" i="169" l="1"/>
  <c r="L68" i="169" s="1"/>
  <c r="K69" i="169"/>
  <c r="L69" i="169" s="1"/>
  <c r="K67" i="169"/>
  <c r="L67" i="169" s="1"/>
  <c r="K17" i="169"/>
  <c r="L17" i="169" s="1"/>
  <c r="K64" i="169"/>
  <c r="L64" i="169" s="1"/>
  <c r="K65" i="169"/>
  <c r="L65" i="169" s="1"/>
  <c r="K61" i="169"/>
  <c r="L61" i="169" s="1"/>
  <c r="K63" i="169"/>
  <c r="L63" i="169" s="1"/>
  <c r="K60" i="169"/>
  <c r="L60" i="169" s="1"/>
  <c r="K62" i="169"/>
  <c r="L62" i="169" s="1"/>
  <c r="M59" i="167"/>
  <c r="M56" i="167"/>
  <c r="P56" i="167" s="1"/>
  <c r="M57" i="167"/>
  <c r="P57" i="167" s="1"/>
  <c r="M16" i="167"/>
  <c r="P16" i="167" s="1"/>
  <c r="T59" i="167"/>
  <c r="T56" i="167"/>
  <c r="U56" i="167" s="1"/>
  <c r="T57" i="167"/>
  <c r="U57" i="167" s="1"/>
  <c r="T16" i="167"/>
  <c r="U16" i="167" s="1"/>
  <c r="M60" i="168"/>
  <c r="M57" i="168"/>
  <c r="P57" i="168" s="1"/>
  <c r="M58" i="168"/>
  <c r="P58" i="168" s="1"/>
  <c r="M17" i="168"/>
  <c r="P17" i="168" s="1"/>
  <c r="T60" i="168"/>
  <c r="T57" i="168"/>
  <c r="U57" i="168" s="1"/>
  <c r="T58" i="168"/>
  <c r="U58" i="168" s="1"/>
  <c r="T17" i="168"/>
  <c r="U17" i="168" s="1"/>
  <c r="K59" i="169"/>
  <c r="K56" i="169"/>
  <c r="L56" i="169" s="1"/>
  <c r="K57" i="169"/>
  <c r="L57" i="169" s="1"/>
  <c r="K16" i="169"/>
  <c r="L16" i="169" s="1"/>
  <c r="T97" i="150"/>
  <c r="U97" i="150" s="1"/>
  <c r="T96" i="150"/>
  <c r="M97" i="150"/>
  <c r="P97" i="150" s="1"/>
  <c r="M96" i="150"/>
  <c r="K15" i="169"/>
  <c r="K52" i="169"/>
  <c r="L52" i="169" s="1"/>
  <c r="K53" i="169"/>
  <c r="L53" i="169" s="1"/>
  <c r="K54" i="169"/>
  <c r="L54" i="169" s="1"/>
  <c r="K55" i="169"/>
  <c r="L55" i="169" s="1"/>
  <c r="T91" i="150"/>
  <c r="U91" i="150" s="1"/>
  <c r="T92" i="150"/>
  <c r="U92" i="150" s="1"/>
  <c r="T93" i="150"/>
  <c r="U93" i="150" s="1"/>
  <c r="T94" i="150"/>
  <c r="U94" i="150" s="1"/>
  <c r="M91" i="150"/>
  <c r="P91" i="150" s="1"/>
  <c r="M92" i="150"/>
  <c r="P92" i="150" s="1"/>
  <c r="M93" i="150"/>
  <c r="P93" i="150" s="1"/>
  <c r="M94" i="150"/>
  <c r="P94" i="150" s="1"/>
  <c r="M15" i="167"/>
  <c r="M52" i="167"/>
  <c r="P52" i="167" s="1"/>
  <c r="M53" i="167"/>
  <c r="P53" i="167" s="1"/>
  <c r="M54" i="167"/>
  <c r="P54" i="167" s="1"/>
  <c r="M55" i="167"/>
  <c r="P55" i="167" s="1"/>
  <c r="T15" i="167"/>
  <c r="T52" i="167"/>
  <c r="U52" i="167" s="1"/>
  <c r="T53" i="167"/>
  <c r="U53" i="167" s="1"/>
  <c r="T54" i="167"/>
  <c r="U54" i="167" s="1"/>
  <c r="T55" i="167"/>
  <c r="U55" i="167" s="1"/>
  <c r="M16" i="168"/>
  <c r="M53" i="168"/>
  <c r="P53" i="168" s="1"/>
  <c r="M54" i="168"/>
  <c r="P54" i="168" s="1"/>
  <c r="M55" i="168"/>
  <c r="P55" i="168" s="1"/>
  <c r="M56" i="168"/>
  <c r="P56" i="168" s="1"/>
  <c r="T16" i="168"/>
  <c r="T53" i="168"/>
  <c r="U53" i="168" s="1"/>
  <c r="T54" i="168"/>
  <c r="U54" i="168" s="1"/>
  <c r="T55" i="168"/>
  <c r="U55" i="168" s="1"/>
  <c r="T56" i="168"/>
  <c r="U56" i="168" s="1"/>
  <c r="M124" i="1"/>
  <c r="T88" i="150"/>
  <c r="T89" i="150"/>
  <c r="U89" i="150" s="1"/>
  <c r="T90" i="150"/>
  <c r="U90" i="150" s="1"/>
  <c r="M89" i="150"/>
  <c r="P89" i="150" s="1"/>
  <c r="M90" i="150"/>
  <c r="P90" i="150" s="1"/>
  <c r="M88" i="150"/>
  <c r="M51" i="167"/>
  <c r="M48" i="167"/>
  <c r="M49" i="167"/>
  <c r="T51" i="167"/>
  <c r="T48" i="167"/>
  <c r="T49" i="167"/>
  <c r="K51" i="169"/>
  <c r="K48" i="169"/>
  <c r="K49" i="169"/>
  <c r="M52" i="168"/>
  <c r="M49" i="168"/>
  <c r="M50" i="168"/>
  <c r="T49" i="168"/>
  <c r="T52" i="168"/>
  <c r="T50" i="168"/>
  <c r="K14" i="169"/>
  <c r="K45" i="169"/>
  <c r="K46" i="169"/>
  <c r="K47" i="169"/>
  <c r="K44" i="169"/>
  <c r="M15" i="168"/>
  <c r="M46" i="168"/>
  <c r="M47" i="168"/>
  <c r="M48" i="168"/>
  <c r="M45" i="168"/>
  <c r="T15" i="168"/>
  <c r="T46" i="168"/>
  <c r="T47" i="168"/>
  <c r="T45" i="168"/>
  <c r="T48" i="168"/>
  <c r="T85" i="150"/>
  <c r="U85" i="150" s="1"/>
  <c r="T84" i="150"/>
  <c r="U84" i="150" s="1"/>
  <c r="T83" i="150"/>
  <c r="U83" i="150" s="1"/>
  <c r="T86" i="150"/>
  <c r="U86" i="150" s="1"/>
  <c r="M14" i="167"/>
  <c r="M45" i="167"/>
  <c r="M46" i="167"/>
  <c r="M47" i="167"/>
  <c r="M44" i="167"/>
  <c r="T14" i="167"/>
  <c r="T46" i="167"/>
  <c r="T44" i="167"/>
  <c r="T45" i="167"/>
  <c r="T47" i="167"/>
  <c r="M84" i="150"/>
  <c r="P84" i="150" s="1"/>
  <c r="M85" i="150"/>
  <c r="P85" i="150" s="1"/>
  <c r="M83" i="150"/>
  <c r="P83" i="150" s="1"/>
  <c r="M86" i="150"/>
  <c r="P86" i="150" s="1"/>
  <c r="I124" i="1"/>
  <c r="K124" i="1"/>
  <c r="M14" i="168"/>
  <c r="K16" i="165"/>
  <c r="K15" i="165"/>
  <c r="T23" i="152" l="1"/>
  <c r="U23" i="152" s="1"/>
  <c r="M23" i="152"/>
  <c r="O124" i="1"/>
  <c r="U60" i="168"/>
  <c r="T67" i="168"/>
  <c r="U67" i="168" s="1"/>
  <c r="P60" i="168"/>
  <c r="M67" i="168"/>
  <c r="P67" i="168" s="1"/>
  <c r="U59" i="167"/>
  <c r="T66" i="167"/>
  <c r="U66" i="167" s="1"/>
  <c r="P59" i="167"/>
  <c r="M66" i="167"/>
  <c r="P66" i="167" s="1"/>
  <c r="L59" i="169"/>
  <c r="K66" i="169"/>
  <c r="P96" i="150"/>
  <c r="M103" i="150"/>
  <c r="T103" i="150"/>
  <c r="U96" i="150"/>
  <c r="U88" i="150"/>
  <c r="T95" i="150"/>
  <c r="P88" i="150"/>
  <c r="M95" i="150"/>
  <c r="J124" i="1"/>
  <c r="F81" i="153"/>
  <c r="G81" i="153"/>
  <c r="H81" i="153"/>
  <c r="F82" i="153"/>
  <c r="G82" i="153"/>
  <c r="H82" i="153"/>
  <c r="F83" i="153"/>
  <c r="G83" i="153"/>
  <c r="H83" i="153"/>
  <c r="I81" i="153"/>
  <c r="I82" i="153"/>
  <c r="I83" i="153"/>
  <c r="E83" i="153"/>
  <c r="E81" i="153"/>
  <c r="P23" i="152" l="1"/>
  <c r="L66" i="169"/>
  <c r="M22" i="152"/>
  <c r="P22" i="152" s="1"/>
  <c r="T22" i="152"/>
  <c r="U22" i="152" s="1"/>
  <c r="K22" i="147"/>
  <c r="P103" i="150"/>
  <c r="M23" i="150"/>
  <c r="P95" i="150"/>
  <c r="M22" i="150"/>
  <c r="U103" i="150"/>
  <c r="T23" i="150"/>
  <c r="T22" i="150"/>
  <c r="U22" i="150" s="1"/>
  <c r="U95" i="150"/>
  <c r="T21" i="152"/>
  <c r="U21" i="152" s="1"/>
  <c r="M21" i="152"/>
  <c r="P21" i="152" s="1"/>
  <c r="K21" i="147"/>
  <c r="L21" i="147" s="1"/>
  <c r="J22" i="153"/>
  <c r="H22" i="153"/>
  <c r="I22" i="153"/>
  <c r="G22" i="153"/>
  <c r="F22" i="153"/>
  <c r="K43" i="169"/>
  <c r="K40" i="169"/>
  <c r="K41" i="169"/>
  <c r="G40" i="169"/>
  <c r="G41" i="169"/>
  <c r="T44" i="168"/>
  <c r="T41" i="168"/>
  <c r="T42" i="168"/>
  <c r="M44" i="168"/>
  <c r="M41" i="168"/>
  <c r="M42" i="168"/>
  <c r="L22" i="147" l="1"/>
  <c r="U23" i="150"/>
  <c r="P23" i="150"/>
  <c r="T43" i="167"/>
  <c r="T40" i="167"/>
  <c r="T41" i="167"/>
  <c r="M43" i="167"/>
  <c r="M40" i="167"/>
  <c r="M41" i="167"/>
  <c r="BY82" i="150"/>
  <c r="BX82" i="150"/>
  <c r="BY81" i="150"/>
  <c r="BX81" i="150"/>
  <c r="BY80" i="150"/>
  <c r="BX80" i="150"/>
  <c r="BT82" i="150"/>
  <c r="BS82" i="150"/>
  <c r="BR82" i="150"/>
  <c r="BT81" i="150"/>
  <c r="BS81" i="150"/>
  <c r="BR81" i="150"/>
  <c r="BT80" i="150"/>
  <c r="BS80" i="150"/>
  <c r="BR80" i="150"/>
  <c r="BG82" i="150"/>
  <c r="BF82" i="150"/>
  <c r="BG81" i="150"/>
  <c r="BF81" i="150"/>
  <c r="BG80" i="150"/>
  <c r="BF80" i="150"/>
  <c r="BB82" i="150"/>
  <c r="BA82" i="150"/>
  <c r="AZ82" i="150"/>
  <c r="BB81" i="150"/>
  <c r="BA81" i="150"/>
  <c r="AZ81" i="150"/>
  <c r="BB80" i="150"/>
  <c r="BA80" i="150"/>
  <c r="AZ80" i="150"/>
  <c r="AO82" i="150"/>
  <c r="AN82" i="150"/>
  <c r="AO81" i="150"/>
  <c r="AN81" i="150"/>
  <c r="AN80" i="150"/>
  <c r="AH81" i="150"/>
  <c r="AI81" i="150"/>
  <c r="AJ81" i="150"/>
  <c r="AH82" i="150"/>
  <c r="AI82" i="150"/>
  <c r="AJ82" i="150"/>
  <c r="AJ80" i="150"/>
  <c r="AI80" i="150"/>
  <c r="AH80" i="150"/>
  <c r="V81" i="150"/>
  <c r="W81" i="150"/>
  <c r="V82" i="150"/>
  <c r="W82" i="150"/>
  <c r="W80" i="150"/>
  <c r="V80" i="150"/>
  <c r="T81" i="150"/>
  <c r="U81" i="150" s="1"/>
  <c r="T82" i="150"/>
  <c r="U82" i="150" s="1"/>
  <c r="T80" i="150"/>
  <c r="U80" i="150" s="1"/>
  <c r="N82" i="150"/>
  <c r="O82" i="150"/>
  <c r="N81" i="150"/>
  <c r="O81" i="150"/>
  <c r="O80" i="150"/>
  <c r="N80" i="150"/>
  <c r="M81" i="150"/>
  <c r="M82" i="150"/>
  <c r="P82" i="150" s="1"/>
  <c r="M80" i="150"/>
  <c r="L81" i="150"/>
  <c r="L82" i="150"/>
  <c r="L80" i="150"/>
  <c r="K42" i="165"/>
  <c r="K40" i="165"/>
  <c r="K39" i="165"/>
  <c r="P83" i="153"/>
  <c r="P82" i="153"/>
  <c r="V82" i="153" s="1"/>
  <c r="P81" i="153"/>
  <c r="E82" i="153"/>
  <c r="M83" i="153"/>
  <c r="N83" i="153" s="1"/>
  <c r="S83" i="153"/>
  <c r="M82" i="153"/>
  <c r="S82" i="153"/>
  <c r="S81" i="153"/>
  <c r="M81" i="153"/>
  <c r="X88" i="153"/>
  <c r="X22" i="153" s="1"/>
  <c r="W88" i="153"/>
  <c r="W22" i="153" s="1"/>
  <c r="N20" i="147"/>
  <c r="G20" i="147"/>
  <c r="F20" i="147"/>
  <c r="P20" i="147"/>
  <c r="O20" i="147"/>
  <c r="Q20" i="152"/>
  <c r="J20" i="152"/>
  <c r="D20" i="152"/>
  <c r="E20" i="152"/>
  <c r="F20" i="152"/>
  <c r="G20" i="152"/>
  <c r="H20" i="152"/>
  <c r="I20" i="152"/>
  <c r="C20" i="152"/>
  <c r="Q21" i="150"/>
  <c r="W21" i="150" s="1"/>
  <c r="J21" i="150"/>
  <c r="N21" i="150" s="1"/>
  <c r="L21" i="150"/>
  <c r="Y20" i="152"/>
  <c r="X20" i="152"/>
  <c r="T20" i="152"/>
  <c r="M20" i="152"/>
  <c r="BU87" i="150"/>
  <c r="BQ87" i="150"/>
  <c r="BP87" i="150"/>
  <c r="BO87" i="150"/>
  <c r="BN87" i="150"/>
  <c r="BM87" i="150"/>
  <c r="BL87" i="150"/>
  <c r="BK87" i="150"/>
  <c r="BJ87" i="150"/>
  <c r="BC87" i="150"/>
  <c r="AY87" i="150"/>
  <c r="AX87" i="150"/>
  <c r="AW87" i="150"/>
  <c r="AV87" i="150"/>
  <c r="AU87" i="150"/>
  <c r="AT87" i="150"/>
  <c r="AS87" i="150"/>
  <c r="AR87" i="150"/>
  <c r="AK87" i="150"/>
  <c r="AG87" i="150"/>
  <c r="AF87" i="150"/>
  <c r="AE87" i="150"/>
  <c r="AD87" i="150"/>
  <c r="AC87" i="150"/>
  <c r="AB87" i="150"/>
  <c r="AA87" i="150"/>
  <c r="Z87" i="150"/>
  <c r="Y87" i="150"/>
  <c r="Y21" i="150" s="1"/>
  <c r="X87" i="150"/>
  <c r="X21" i="150" s="1"/>
  <c r="Q87" i="150"/>
  <c r="J87" i="150"/>
  <c r="I87" i="150"/>
  <c r="H87" i="150"/>
  <c r="G87" i="150"/>
  <c r="F87" i="150"/>
  <c r="E87" i="150"/>
  <c r="D87" i="150"/>
  <c r="C87" i="150"/>
  <c r="T13" i="155"/>
  <c r="Q13" i="155"/>
  <c r="AO88" i="150" l="1"/>
  <c r="P81" i="150"/>
  <c r="P22" i="150"/>
  <c r="O20" i="152"/>
  <c r="U20" i="152"/>
  <c r="BX87" i="150"/>
  <c r="O87" i="150"/>
  <c r="K20" i="147"/>
  <c r="L20" i="147" s="1"/>
  <c r="AI87" i="150"/>
  <c r="P22" i="153"/>
  <c r="T22" i="153" s="1"/>
  <c r="P80" i="150"/>
  <c r="T87" i="150"/>
  <c r="U87" i="150" s="1"/>
  <c r="N82" i="153"/>
  <c r="E22" i="153"/>
  <c r="N22" i="153" s="1"/>
  <c r="BA87" i="150"/>
  <c r="T83" i="153"/>
  <c r="AJ87" i="150"/>
  <c r="AH87" i="150"/>
  <c r="C22" i="153"/>
  <c r="D22" i="153"/>
  <c r="W20" i="152"/>
  <c r="M20" i="147"/>
  <c r="S88" i="153"/>
  <c r="BG87" i="150"/>
  <c r="W87" i="150"/>
  <c r="BY87" i="150"/>
  <c r="O21" i="150"/>
  <c r="N81" i="153"/>
  <c r="M88" i="153"/>
  <c r="H88" i="153"/>
  <c r="P20" i="152"/>
  <c r="V20" i="152"/>
  <c r="BB87" i="150"/>
  <c r="BF87" i="150"/>
  <c r="AN87" i="150"/>
  <c r="M87" i="150"/>
  <c r="L81" i="153"/>
  <c r="L87" i="150"/>
  <c r="U81" i="153"/>
  <c r="L82" i="153"/>
  <c r="D88" i="153"/>
  <c r="V81" i="153"/>
  <c r="T82" i="153"/>
  <c r="U82" i="153"/>
  <c r="P88" i="153"/>
  <c r="O82" i="153"/>
  <c r="O81" i="153"/>
  <c r="U83" i="153"/>
  <c r="J88" i="153"/>
  <c r="I88" i="153"/>
  <c r="F88" i="153"/>
  <c r="V83" i="153"/>
  <c r="L83" i="153"/>
  <c r="O83" i="153"/>
  <c r="G88" i="153"/>
  <c r="E88" i="153"/>
  <c r="C88" i="153"/>
  <c r="T81" i="153"/>
  <c r="N20" i="152"/>
  <c r="L20" i="152"/>
  <c r="V21" i="150"/>
  <c r="AO87" i="150"/>
  <c r="BS87" i="150"/>
  <c r="N87" i="150"/>
  <c r="AZ87" i="150"/>
  <c r="BT87" i="150"/>
  <c r="V87" i="150"/>
  <c r="BR87" i="150"/>
  <c r="E76" i="153"/>
  <c r="E77" i="153"/>
  <c r="E78" i="153"/>
  <c r="E79" i="153"/>
  <c r="P76" i="153"/>
  <c r="P77" i="153"/>
  <c r="P78" i="153"/>
  <c r="P79" i="153"/>
  <c r="P75" i="153"/>
  <c r="P87" i="150" l="1"/>
  <c r="M21" i="150"/>
  <c r="P21" i="150" s="1"/>
  <c r="U22" i="153"/>
  <c r="V22" i="153"/>
  <c r="T21" i="150"/>
  <c r="U21" i="150" s="1"/>
  <c r="L22" i="153"/>
  <c r="O22" i="153"/>
  <c r="N88" i="153"/>
  <c r="V88" i="153"/>
  <c r="L88" i="153"/>
  <c r="T88" i="153"/>
  <c r="U88" i="153"/>
  <c r="O88" i="153"/>
  <c r="E75" i="153"/>
  <c r="T29" i="167"/>
  <c r="T38" i="165"/>
  <c r="D8" i="160" l="1"/>
  <c r="T37" i="171" l="1"/>
  <c r="T38" i="171"/>
  <c r="T39" i="171"/>
  <c r="T40" i="171"/>
  <c r="K84" i="160"/>
  <c r="K85" i="160"/>
  <c r="K86" i="160"/>
  <c r="K83" i="160"/>
  <c r="I83" i="160"/>
  <c r="I84" i="160"/>
  <c r="I85" i="160"/>
  <c r="I86" i="160"/>
  <c r="Y79" i="150"/>
  <c r="X79" i="150"/>
  <c r="S76" i="153" l="1"/>
  <c r="S77" i="153"/>
  <c r="S78" i="153"/>
  <c r="S79" i="153"/>
  <c r="M76" i="153"/>
  <c r="M77" i="153"/>
  <c r="M78" i="153"/>
  <c r="M79" i="153"/>
  <c r="F76" i="153"/>
  <c r="G76" i="153"/>
  <c r="H76" i="153"/>
  <c r="I76" i="153"/>
  <c r="L77" i="153"/>
  <c r="F77" i="153"/>
  <c r="G77" i="153"/>
  <c r="H77" i="153"/>
  <c r="I77" i="153"/>
  <c r="U77" i="153"/>
  <c r="F78" i="153"/>
  <c r="G78" i="153"/>
  <c r="H78" i="153"/>
  <c r="I78" i="153"/>
  <c r="F79" i="153"/>
  <c r="G79" i="153"/>
  <c r="H79" i="153"/>
  <c r="I79" i="153"/>
  <c r="L79" i="153" l="1"/>
  <c r="L76" i="153"/>
  <c r="V79" i="153"/>
  <c r="L78" i="153"/>
  <c r="N77" i="153"/>
  <c r="V76" i="153"/>
  <c r="N79" i="153"/>
  <c r="O79" i="153"/>
  <c r="O78" i="153"/>
  <c r="O77" i="153"/>
  <c r="N78" i="153"/>
  <c r="U78" i="153"/>
  <c r="N76" i="153"/>
  <c r="T76" i="153"/>
  <c r="T78" i="153"/>
  <c r="T77" i="153"/>
  <c r="V78" i="153"/>
  <c r="V77" i="153"/>
  <c r="U79" i="153"/>
  <c r="T79" i="153"/>
  <c r="K36" i="169" l="1"/>
  <c r="K37" i="169"/>
  <c r="K38" i="169"/>
  <c r="K39" i="169"/>
  <c r="T37" i="168"/>
  <c r="T38" i="168"/>
  <c r="T39" i="168"/>
  <c r="T40" i="168"/>
  <c r="M37" i="168"/>
  <c r="M38" i="168"/>
  <c r="M39" i="168"/>
  <c r="M40" i="168"/>
  <c r="T36" i="167"/>
  <c r="T37" i="167"/>
  <c r="T38" i="167"/>
  <c r="T39" i="167"/>
  <c r="M36" i="167"/>
  <c r="M37" i="167"/>
  <c r="M38" i="167"/>
  <c r="M39" i="167"/>
  <c r="BX75" i="150"/>
  <c r="BY75" i="150"/>
  <c r="BX76" i="150"/>
  <c r="BY76" i="150"/>
  <c r="BX77" i="150"/>
  <c r="BY77" i="150"/>
  <c r="BX78" i="150"/>
  <c r="BY78" i="150"/>
  <c r="BR75" i="150"/>
  <c r="BS75" i="150"/>
  <c r="BT75" i="150"/>
  <c r="BR76" i="150"/>
  <c r="BS76" i="150"/>
  <c r="BT76" i="150"/>
  <c r="BR77" i="150"/>
  <c r="BS77" i="150"/>
  <c r="BT77" i="150"/>
  <c r="BR78" i="150"/>
  <c r="BS78" i="150"/>
  <c r="BT78" i="150"/>
  <c r="BF75" i="150"/>
  <c r="BG75" i="150"/>
  <c r="BF76" i="150"/>
  <c r="BG76" i="150"/>
  <c r="BF77" i="150"/>
  <c r="BG77" i="150"/>
  <c r="BF78" i="150"/>
  <c r="BG78" i="150"/>
  <c r="AZ75" i="150"/>
  <c r="BA75" i="150"/>
  <c r="BB75" i="150"/>
  <c r="AZ76" i="150"/>
  <c r="BA76" i="150"/>
  <c r="BB76" i="150"/>
  <c r="AZ77" i="150"/>
  <c r="BA77" i="150"/>
  <c r="BB77" i="150"/>
  <c r="AZ78" i="150"/>
  <c r="BA78" i="150"/>
  <c r="BB78" i="150"/>
  <c r="AN75" i="150"/>
  <c r="AO75" i="150"/>
  <c r="AN76" i="150"/>
  <c r="AO76" i="150"/>
  <c r="AN77" i="150"/>
  <c r="AO77" i="150"/>
  <c r="AN78" i="150"/>
  <c r="AO78" i="150"/>
  <c r="AH75" i="150"/>
  <c r="AI75" i="150"/>
  <c r="AJ75" i="150"/>
  <c r="AH76" i="150"/>
  <c r="AI76" i="150"/>
  <c r="AJ76" i="150"/>
  <c r="AH77" i="150"/>
  <c r="AI77" i="150"/>
  <c r="AJ77" i="150"/>
  <c r="AH78" i="150"/>
  <c r="AI78" i="150"/>
  <c r="AJ78" i="150"/>
  <c r="T75" i="150"/>
  <c r="U75" i="150" s="1"/>
  <c r="V75" i="150"/>
  <c r="W75" i="150"/>
  <c r="T76" i="150"/>
  <c r="U76" i="150" s="1"/>
  <c r="V76" i="150"/>
  <c r="W76" i="150"/>
  <c r="T77" i="150"/>
  <c r="U77" i="150" s="1"/>
  <c r="V77" i="150"/>
  <c r="W77" i="150"/>
  <c r="T78" i="150"/>
  <c r="U78" i="150" s="1"/>
  <c r="V78" i="150"/>
  <c r="W78" i="150"/>
  <c r="M75" i="150"/>
  <c r="P75" i="150" s="1"/>
  <c r="N75" i="150"/>
  <c r="O75" i="150"/>
  <c r="M76" i="150"/>
  <c r="P76" i="150" s="1"/>
  <c r="N76" i="150"/>
  <c r="O76" i="150"/>
  <c r="M77" i="150"/>
  <c r="P77" i="150" s="1"/>
  <c r="N77" i="150"/>
  <c r="O77" i="150"/>
  <c r="M78" i="150"/>
  <c r="P78" i="150" s="1"/>
  <c r="N78" i="150"/>
  <c r="O78" i="150"/>
  <c r="L75" i="150"/>
  <c r="L76" i="150"/>
  <c r="L77" i="150"/>
  <c r="L78" i="150"/>
  <c r="K74" i="150"/>
  <c r="K75" i="150"/>
  <c r="K76" i="150"/>
  <c r="K77" i="150"/>
  <c r="K78" i="150"/>
  <c r="K73" i="150"/>
  <c r="K71" i="150"/>
  <c r="J79" i="150"/>
  <c r="K35" i="165"/>
  <c r="K36" i="165"/>
  <c r="K37" i="165"/>
  <c r="K38" i="165"/>
  <c r="D10" i="153"/>
  <c r="K25" i="153" s="1"/>
  <c r="F28" i="165"/>
  <c r="F29" i="165"/>
  <c r="F30" i="165"/>
  <c r="F31" i="165"/>
  <c r="F32" i="165"/>
  <c r="F27" i="165"/>
  <c r="F26" i="165"/>
  <c r="K99" i="150" l="1"/>
  <c r="K103" i="150"/>
  <c r="K23" i="150" s="1"/>
  <c r="K24" i="153"/>
  <c r="K97" i="150"/>
  <c r="K96" i="150"/>
  <c r="K95" i="150"/>
  <c r="K22" i="150" s="1"/>
  <c r="K91" i="150"/>
  <c r="K92" i="150"/>
  <c r="K93" i="150"/>
  <c r="K94" i="150"/>
  <c r="K23" i="153"/>
  <c r="K88" i="150"/>
  <c r="K89" i="150"/>
  <c r="K90" i="150"/>
  <c r="K83" i="150"/>
  <c r="K87" i="150"/>
  <c r="K21" i="150" s="1"/>
  <c r="K84" i="150"/>
  <c r="K85" i="150"/>
  <c r="K86" i="150"/>
  <c r="K22" i="153"/>
  <c r="K81" i="150"/>
  <c r="K82" i="150"/>
  <c r="K80" i="150"/>
  <c r="K13" i="169"/>
  <c r="K12" i="169"/>
  <c r="K79" i="150" l="1"/>
  <c r="K20" i="150" s="1"/>
  <c r="T36" i="171"/>
  <c r="T14" i="171"/>
  <c r="T32" i="171"/>
  <c r="T33" i="171"/>
  <c r="T34" i="171"/>
  <c r="T31" i="171"/>
  <c r="T13" i="171"/>
  <c r="C35" i="171"/>
  <c r="D35" i="171"/>
  <c r="I82" i="160"/>
  <c r="I81" i="160"/>
  <c r="I80" i="160"/>
  <c r="S21" i="153" l="1"/>
  <c r="S20" i="153"/>
  <c r="M21" i="153"/>
  <c r="M20" i="153"/>
  <c r="X80" i="153"/>
  <c r="X21" i="153" s="1"/>
  <c r="W80" i="153"/>
  <c r="W21" i="153" s="1"/>
  <c r="H19" i="147"/>
  <c r="D19" i="147"/>
  <c r="E19" i="147"/>
  <c r="F19" i="147" s="1"/>
  <c r="C19" i="147"/>
  <c r="Y19" i="152"/>
  <c r="X19" i="152"/>
  <c r="Q19" i="152"/>
  <c r="D19" i="152"/>
  <c r="E19" i="152"/>
  <c r="F19" i="152"/>
  <c r="G19" i="152"/>
  <c r="H19" i="152"/>
  <c r="I19" i="152"/>
  <c r="J19" i="152"/>
  <c r="C19" i="152"/>
  <c r="Y20" i="150"/>
  <c r="X20" i="150"/>
  <c r="Q20" i="150"/>
  <c r="J20" i="150"/>
  <c r="D20" i="150"/>
  <c r="E20" i="150"/>
  <c r="F20" i="150"/>
  <c r="G20" i="150"/>
  <c r="H20" i="150"/>
  <c r="I20" i="150"/>
  <c r="C20" i="150"/>
  <c r="K23" i="152" l="1"/>
  <c r="K22" i="152"/>
  <c r="K21" i="152"/>
  <c r="V19" i="152"/>
  <c r="G19" i="147"/>
  <c r="O20" i="150"/>
  <c r="K20" i="152"/>
  <c r="W19" i="152"/>
  <c r="K19" i="152"/>
  <c r="N19" i="152"/>
  <c r="W20" i="150"/>
  <c r="N19" i="147"/>
  <c r="O19" i="152"/>
  <c r="L19" i="152"/>
  <c r="L20" i="150"/>
  <c r="N20" i="150"/>
  <c r="V20" i="150"/>
  <c r="I21" i="1" l="1"/>
  <c r="I123" i="1" l="1"/>
  <c r="M122" i="1"/>
  <c r="M121" i="1"/>
  <c r="I121" i="1"/>
  <c r="M117" i="1"/>
  <c r="I117" i="1"/>
  <c r="M113" i="1"/>
  <c r="M109" i="1"/>
  <c r="M105" i="1"/>
  <c r="I105" i="1"/>
  <c r="M101" i="1"/>
  <c r="K97" i="1"/>
  <c r="M97" i="1"/>
  <c r="I97" i="1"/>
  <c r="P19" i="147"/>
  <c r="O19" i="147"/>
  <c r="BU79" i="150"/>
  <c r="BQ79" i="150"/>
  <c r="BP79" i="150"/>
  <c r="BO79" i="150"/>
  <c r="BN79" i="150"/>
  <c r="BM79" i="150"/>
  <c r="BL79" i="150"/>
  <c r="BK79" i="150"/>
  <c r="BJ79" i="150"/>
  <c r="BC79" i="150"/>
  <c r="AY79" i="150"/>
  <c r="AX79" i="150"/>
  <c r="AW79" i="150"/>
  <c r="AV79" i="150"/>
  <c r="AU79" i="150"/>
  <c r="AT79" i="150"/>
  <c r="AS79" i="150"/>
  <c r="AR79" i="150"/>
  <c r="AK79" i="150"/>
  <c r="AG79" i="150"/>
  <c r="AF79" i="150"/>
  <c r="AE79" i="150"/>
  <c r="AD79" i="150"/>
  <c r="AC79" i="150"/>
  <c r="AB79" i="150"/>
  <c r="AA79" i="150"/>
  <c r="Z79" i="150"/>
  <c r="Q79" i="150"/>
  <c r="K101" i="1" l="1"/>
  <c r="K105" i="1"/>
  <c r="K109" i="1"/>
  <c r="K113" i="1"/>
  <c r="O113" i="1" s="1"/>
  <c r="K117" i="1"/>
  <c r="O117" i="1" s="1"/>
  <c r="K121" i="1"/>
  <c r="O121" i="1" s="1"/>
  <c r="K122" i="1"/>
  <c r="O122" i="1" s="1"/>
  <c r="K123" i="1"/>
  <c r="O123" i="1" s="1"/>
  <c r="O109" i="1"/>
  <c r="O101" i="1"/>
  <c r="O105" i="1"/>
  <c r="K25" i="1"/>
  <c r="AO80" i="150"/>
  <c r="I109" i="1"/>
  <c r="BX79" i="150"/>
  <c r="BF79" i="150"/>
  <c r="BY79" i="150"/>
  <c r="AI79" i="150"/>
  <c r="AO79" i="150"/>
  <c r="M19" i="147"/>
  <c r="AZ79" i="150"/>
  <c r="BB79" i="150"/>
  <c r="I113" i="1"/>
  <c r="BR79" i="150"/>
  <c r="M19" i="152"/>
  <c r="P19" i="152" s="1"/>
  <c r="BG79" i="150"/>
  <c r="I122" i="1"/>
  <c r="BT79" i="150"/>
  <c r="T19" i="152"/>
  <c r="U19" i="152" s="1"/>
  <c r="AJ79" i="150"/>
  <c r="I101" i="1"/>
  <c r="I125" i="1" s="1"/>
  <c r="BS79" i="150"/>
  <c r="BA79" i="150"/>
  <c r="AN79" i="150"/>
  <c r="AH79" i="150"/>
  <c r="O97" i="1" l="1"/>
  <c r="K125" i="1"/>
  <c r="O125" i="1" s="1"/>
  <c r="J109" i="1"/>
  <c r="K72" i="150"/>
  <c r="D79" i="150"/>
  <c r="E79" i="150"/>
  <c r="F79" i="150"/>
  <c r="G79" i="150"/>
  <c r="H79" i="150"/>
  <c r="I79" i="150"/>
  <c r="C79" i="150"/>
  <c r="C104" i="150" s="1"/>
  <c r="S74" i="153"/>
  <c r="S75" i="153"/>
  <c r="S73" i="153"/>
  <c r="P74" i="153"/>
  <c r="P73" i="153"/>
  <c r="M74" i="153"/>
  <c r="M75" i="153"/>
  <c r="M73" i="153"/>
  <c r="G74" i="153"/>
  <c r="H74" i="153"/>
  <c r="I74" i="153"/>
  <c r="G73" i="153"/>
  <c r="H73" i="153"/>
  <c r="I73" i="153"/>
  <c r="F74" i="153"/>
  <c r="F73" i="153"/>
  <c r="E74" i="153"/>
  <c r="E73" i="153"/>
  <c r="C74" i="153"/>
  <c r="C73" i="153"/>
  <c r="K35" i="169"/>
  <c r="K32" i="169"/>
  <c r="K33" i="169"/>
  <c r="T36" i="168"/>
  <c r="T33" i="168"/>
  <c r="T34" i="168"/>
  <c r="M36" i="168"/>
  <c r="M33" i="168"/>
  <c r="M34" i="168"/>
  <c r="Y34" i="167"/>
  <c r="T35" i="167"/>
  <c r="T32" i="167"/>
  <c r="T33" i="167"/>
  <c r="M35" i="167"/>
  <c r="M32" i="167"/>
  <c r="M33" i="167"/>
  <c r="T73" i="150"/>
  <c r="U73" i="150" s="1"/>
  <c r="V73" i="150"/>
  <c r="W73" i="150"/>
  <c r="T74" i="150"/>
  <c r="U74" i="150" s="1"/>
  <c r="V74" i="150"/>
  <c r="W74" i="150"/>
  <c r="BX73" i="150"/>
  <c r="BY73" i="150"/>
  <c r="BX74" i="150"/>
  <c r="BY74" i="150"/>
  <c r="BY72" i="150"/>
  <c r="BX72" i="150"/>
  <c r="BT73" i="150"/>
  <c r="BT74" i="150"/>
  <c r="BT72" i="150"/>
  <c r="BR73" i="150"/>
  <c r="BS73" i="150"/>
  <c r="BR74" i="150"/>
  <c r="BS74" i="150"/>
  <c r="BS72" i="150"/>
  <c r="BR72" i="150"/>
  <c r="BG73" i="150"/>
  <c r="BG74" i="150"/>
  <c r="BG72" i="150"/>
  <c r="BF73" i="150"/>
  <c r="BF74" i="150"/>
  <c r="BF72" i="150"/>
  <c r="AZ73" i="150"/>
  <c r="BA73" i="150"/>
  <c r="BB73" i="150"/>
  <c r="AZ74" i="150"/>
  <c r="BA74" i="150"/>
  <c r="BB74" i="150"/>
  <c r="BB72" i="150"/>
  <c r="BA72" i="150"/>
  <c r="AZ72" i="150"/>
  <c r="AO73" i="150"/>
  <c r="AO74" i="150"/>
  <c r="AN73" i="150"/>
  <c r="AN74" i="150"/>
  <c r="AN72" i="150"/>
  <c r="AJ73" i="150"/>
  <c r="AJ74" i="150"/>
  <c r="AJ72" i="150"/>
  <c r="AI73" i="150"/>
  <c r="AI74" i="150"/>
  <c r="AI72" i="150"/>
  <c r="AH73" i="150"/>
  <c r="AH74" i="150"/>
  <c r="AH72" i="150"/>
  <c r="W72" i="150"/>
  <c r="V72" i="150"/>
  <c r="T72" i="150"/>
  <c r="O73" i="150"/>
  <c r="O74" i="150"/>
  <c r="O72" i="150"/>
  <c r="N73" i="150"/>
  <c r="N74" i="150"/>
  <c r="N72" i="150"/>
  <c r="M73" i="150"/>
  <c r="P73" i="150" s="1"/>
  <c r="M74" i="150"/>
  <c r="P74" i="150" s="1"/>
  <c r="M72" i="150"/>
  <c r="L73" i="150"/>
  <c r="L74" i="150"/>
  <c r="L72" i="150"/>
  <c r="K34" i="165"/>
  <c r="T59" i="171"/>
  <c r="Q59" i="171"/>
  <c r="U67" i="171" s="1"/>
  <c r="M59" i="171"/>
  <c r="M67" i="171" s="1"/>
  <c r="J59" i="171"/>
  <c r="I59" i="171"/>
  <c r="I67" i="171" s="1"/>
  <c r="H59" i="171"/>
  <c r="H67" i="171" s="1"/>
  <c r="G59" i="171"/>
  <c r="G67" i="171" s="1"/>
  <c r="F59" i="171"/>
  <c r="F67" i="171" s="1"/>
  <c r="E59" i="171"/>
  <c r="E67" i="171" s="1"/>
  <c r="P67" i="171" s="1"/>
  <c r="D59" i="171"/>
  <c r="C59" i="171"/>
  <c r="V58" i="171"/>
  <c r="U58" i="171"/>
  <c r="P58" i="171"/>
  <c r="O58" i="171"/>
  <c r="N58" i="171"/>
  <c r="L58" i="171"/>
  <c r="V57" i="171"/>
  <c r="U57" i="171"/>
  <c r="P57" i="171"/>
  <c r="O57" i="171"/>
  <c r="N57" i="171"/>
  <c r="L57" i="171"/>
  <c r="V56" i="171"/>
  <c r="U56" i="171"/>
  <c r="P56" i="171"/>
  <c r="O56" i="171"/>
  <c r="N56" i="171"/>
  <c r="L56" i="171"/>
  <c r="V55" i="171"/>
  <c r="U55" i="171"/>
  <c r="P55" i="171"/>
  <c r="O55" i="171"/>
  <c r="N55" i="171"/>
  <c r="L55" i="171"/>
  <c r="V54" i="171"/>
  <c r="U54" i="171"/>
  <c r="P54" i="171"/>
  <c r="O54" i="171"/>
  <c r="N54" i="171"/>
  <c r="L54" i="171"/>
  <c r="V53" i="171"/>
  <c r="U53" i="171"/>
  <c r="P53" i="171"/>
  <c r="O53" i="171"/>
  <c r="N53" i="171"/>
  <c r="L53" i="171"/>
  <c r="V52" i="171"/>
  <c r="U52" i="171"/>
  <c r="P52" i="171"/>
  <c r="O52" i="171"/>
  <c r="N52" i="171"/>
  <c r="L52" i="171"/>
  <c r="T51" i="171"/>
  <c r="Q51" i="171"/>
  <c r="M51" i="171"/>
  <c r="J51" i="171"/>
  <c r="I51" i="171"/>
  <c r="H51" i="171"/>
  <c r="G51" i="171"/>
  <c r="F51" i="171"/>
  <c r="E51" i="171"/>
  <c r="D51" i="171"/>
  <c r="C51" i="171"/>
  <c r="V50" i="171"/>
  <c r="U50" i="171"/>
  <c r="P50" i="171"/>
  <c r="O50" i="171"/>
  <c r="N50" i="171"/>
  <c r="L50" i="171"/>
  <c r="V49" i="171"/>
  <c r="U49" i="171"/>
  <c r="P49" i="171"/>
  <c r="O49" i="171"/>
  <c r="N49" i="171"/>
  <c r="L49" i="171"/>
  <c r="V48" i="171"/>
  <c r="U48" i="171"/>
  <c r="P48" i="171"/>
  <c r="O48" i="171"/>
  <c r="N48" i="171"/>
  <c r="L48" i="171"/>
  <c r="V47" i="171"/>
  <c r="U47" i="171"/>
  <c r="P47" i="171"/>
  <c r="O47" i="171"/>
  <c r="N47" i="171"/>
  <c r="L47" i="171"/>
  <c r="V46" i="171"/>
  <c r="U46" i="171"/>
  <c r="P46" i="171"/>
  <c r="O46" i="171"/>
  <c r="N46" i="171"/>
  <c r="L46" i="171"/>
  <c r="V45" i="171"/>
  <c r="U45" i="171"/>
  <c r="P45" i="171"/>
  <c r="O45" i="171"/>
  <c r="N45" i="171"/>
  <c r="L45" i="171"/>
  <c r="V44" i="171"/>
  <c r="U44" i="171"/>
  <c r="P44" i="171"/>
  <c r="O44" i="171"/>
  <c r="N44" i="171"/>
  <c r="L44" i="171"/>
  <c r="T43" i="171"/>
  <c r="Q43" i="171"/>
  <c r="M43" i="171"/>
  <c r="J43" i="171"/>
  <c r="I43" i="171"/>
  <c r="H43" i="171"/>
  <c r="G43" i="171"/>
  <c r="F43" i="171"/>
  <c r="E43" i="171"/>
  <c r="E71" i="171" s="1"/>
  <c r="D43" i="171"/>
  <c r="D71" i="171" s="1"/>
  <c r="C43" i="171"/>
  <c r="C71" i="171" s="1"/>
  <c r="V42" i="171"/>
  <c r="U42" i="171"/>
  <c r="P42" i="171"/>
  <c r="O42" i="171"/>
  <c r="N42" i="171"/>
  <c r="L42" i="171"/>
  <c r="V41" i="171"/>
  <c r="U41" i="171"/>
  <c r="P41" i="171"/>
  <c r="O41" i="171"/>
  <c r="N41" i="171"/>
  <c r="L41" i="171"/>
  <c r="V40" i="171"/>
  <c r="U40" i="171"/>
  <c r="P40" i="171"/>
  <c r="O40" i="171"/>
  <c r="N40" i="171"/>
  <c r="L40" i="171"/>
  <c r="V39" i="171"/>
  <c r="U39" i="171"/>
  <c r="P39" i="171"/>
  <c r="O39" i="171"/>
  <c r="N39" i="171"/>
  <c r="L39" i="171"/>
  <c r="V38" i="171"/>
  <c r="U38" i="171"/>
  <c r="P38" i="171"/>
  <c r="O38" i="171"/>
  <c r="N38" i="171"/>
  <c r="L38" i="171"/>
  <c r="V37" i="171"/>
  <c r="U37" i="171"/>
  <c r="P37" i="171"/>
  <c r="O37" i="171"/>
  <c r="N37" i="171"/>
  <c r="L37" i="171"/>
  <c r="V36" i="171"/>
  <c r="U36" i="171"/>
  <c r="P36" i="171"/>
  <c r="O36" i="171"/>
  <c r="N36" i="171"/>
  <c r="L36" i="171"/>
  <c r="Q35" i="171"/>
  <c r="Q71" i="171" s="1"/>
  <c r="J35" i="171"/>
  <c r="I35" i="171"/>
  <c r="I71" i="171" s="1"/>
  <c r="H35" i="171"/>
  <c r="H71" i="171" s="1"/>
  <c r="G35" i="171"/>
  <c r="G71" i="171" s="1"/>
  <c r="F35" i="171"/>
  <c r="F71" i="171" s="1"/>
  <c r="V34" i="171"/>
  <c r="U34" i="171"/>
  <c r="P34" i="171"/>
  <c r="O34" i="171"/>
  <c r="N34" i="171"/>
  <c r="L34" i="171"/>
  <c r="K34" i="171"/>
  <c r="V33" i="171"/>
  <c r="U33" i="171"/>
  <c r="P33" i="171"/>
  <c r="O33" i="171"/>
  <c r="N33" i="171"/>
  <c r="L33" i="171"/>
  <c r="K33" i="171"/>
  <c r="V32" i="171"/>
  <c r="U32" i="171"/>
  <c r="O32" i="171"/>
  <c r="N32" i="171"/>
  <c r="M32" i="171"/>
  <c r="P32" i="171" s="1"/>
  <c r="L32" i="171"/>
  <c r="K32" i="171"/>
  <c r="V31" i="171"/>
  <c r="U31" i="171"/>
  <c r="O31" i="171"/>
  <c r="N31" i="171"/>
  <c r="M31" i="171"/>
  <c r="L31" i="171"/>
  <c r="K31" i="171"/>
  <c r="V30" i="171"/>
  <c r="U30" i="171"/>
  <c r="O30" i="171"/>
  <c r="N30" i="171"/>
  <c r="M30" i="171"/>
  <c r="P30" i="171" s="1"/>
  <c r="L30" i="171"/>
  <c r="K30" i="171"/>
  <c r="V29" i="171"/>
  <c r="U29" i="171"/>
  <c r="O29" i="171"/>
  <c r="N29" i="171"/>
  <c r="M29" i="171"/>
  <c r="P29" i="171" s="1"/>
  <c r="L29" i="171"/>
  <c r="K29" i="171"/>
  <c r="V28" i="171"/>
  <c r="O28" i="171"/>
  <c r="N28" i="171"/>
  <c r="M28" i="171"/>
  <c r="P28" i="171" s="1"/>
  <c r="L28" i="171"/>
  <c r="K28" i="171"/>
  <c r="M16" i="171"/>
  <c r="J16" i="171"/>
  <c r="I16" i="171"/>
  <c r="H16" i="171"/>
  <c r="G16" i="171"/>
  <c r="F16" i="171"/>
  <c r="E16" i="171"/>
  <c r="D16" i="171"/>
  <c r="C16" i="171"/>
  <c r="Q15" i="171"/>
  <c r="M15" i="171"/>
  <c r="J15" i="171"/>
  <c r="K15" i="171" s="1"/>
  <c r="I15" i="171"/>
  <c r="H15" i="171"/>
  <c r="G15" i="171"/>
  <c r="F15" i="171"/>
  <c r="E15" i="171"/>
  <c r="D15" i="171"/>
  <c r="C15" i="171"/>
  <c r="Q14" i="171"/>
  <c r="M14" i="171"/>
  <c r="J14" i="171"/>
  <c r="K14" i="171" s="1"/>
  <c r="I14" i="171"/>
  <c r="H14" i="171"/>
  <c r="G14" i="171"/>
  <c r="F14" i="171"/>
  <c r="E14" i="171"/>
  <c r="D14" i="171"/>
  <c r="C14" i="171"/>
  <c r="Q13" i="171"/>
  <c r="M13" i="171"/>
  <c r="J13" i="171"/>
  <c r="I13" i="171"/>
  <c r="H13" i="171"/>
  <c r="G13" i="171"/>
  <c r="F13" i="171"/>
  <c r="E13" i="171"/>
  <c r="D13" i="171"/>
  <c r="C13" i="171"/>
  <c r="K70" i="171" l="1"/>
  <c r="K69" i="171"/>
  <c r="K68" i="171"/>
  <c r="K66" i="171"/>
  <c r="K65" i="171"/>
  <c r="K67" i="171"/>
  <c r="J71" i="171"/>
  <c r="L67" i="171"/>
  <c r="O67" i="171"/>
  <c r="N67" i="171"/>
  <c r="K63" i="171"/>
  <c r="K64" i="171"/>
  <c r="K62" i="171"/>
  <c r="K61" i="171"/>
  <c r="K60" i="171"/>
  <c r="V59" i="171"/>
  <c r="M80" i="153"/>
  <c r="W79" i="150"/>
  <c r="D104" i="150"/>
  <c r="S80" i="153"/>
  <c r="K39" i="171"/>
  <c r="L79" i="150"/>
  <c r="N79" i="150"/>
  <c r="U13" i="171"/>
  <c r="O43" i="171"/>
  <c r="O51" i="171"/>
  <c r="I21" i="171"/>
  <c r="V13" i="171"/>
  <c r="K54" i="171"/>
  <c r="K58" i="171"/>
  <c r="P14" i="171"/>
  <c r="L16" i="171"/>
  <c r="U72" i="150"/>
  <c r="T79" i="150"/>
  <c r="C21" i="171"/>
  <c r="K13" i="171"/>
  <c r="P16" i="171"/>
  <c r="U16" i="171"/>
  <c r="K41" i="171"/>
  <c r="U43" i="171"/>
  <c r="T73" i="153"/>
  <c r="T35" i="171"/>
  <c r="T71" i="171" s="1"/>
  <c r="P72" i="150"/>
  <c r="D21" i="171"/>
  <c r="K40" i="171"/>
  <c r="N73" i="153"/>
  <c r="N74" i="153"/>
  <c r="M79" i="150"/>
  <c r="L43" i="171"/>
  <c r="F21" i="171"/>
  <c r="L35" i="171"/>
  <c r="K46" i="171"/>
  <c r="O79" i="150"/>
  <c r="V79" i="150"/>
  <c r="N13" i="171"/>
  <c r="V43" i="171"/>
  <c r="U51" i="171"/>
  <c r="K56" i="171"/>
  <c r="O74" i="153"/>
  <c r="L74" i="153"/>
  <c r="O73" i="153"/>
  <c r="V74" i="153"/>
  <c r="L73" i="153"/>
  <c r="U73" i="153"/>
  <c r="M35" i="171"/>
  <c r="M71" i="171" s="1"/>
  <c r="P43" i="171"/>
  <c r="V51" i="171"/>
  <c r="K55" i="171"/>
  <c r="T74" i="153"/>
  <c r="P51" i="171"/>
  <c r="U74" i="153"/>
  <c r="M21" i="171"/>
  <c r="N14" i="171"/>
  <c r="Q21" i="171"/>
  <c r="K126" i="1" s="1"/>
  <c r="O14" i="171"/>
  <c r="P15" i="171"/>
  <c r="O16" i="171"/>
  <c r="K38" i="171"/>
  <c r="K49" i="171"/>
  <c r="L59" i="171"/>
  <c r="O59" i="171"/>
  <c r="V73" i="153"/>
  <c r="L51" i="171"/>
  <c r="L14" i="171"/>
  <c r="L15" i="171"/>
  <c r="G21" i="171"/>
  <c r="T21" i="171"/>
  <c r="K48" i="171"/>
  <c r="P59" i="171"/>
  <c r="O13" i="171"/>
  <c r="H21" i="171"/>
  <c r="O35" i="171"/>
  <c r="K47" i="171"/>
  <c r="K57" i="171"/>
  <c r="U59" i="171"/>
  <c r="K16" i="171"/>
  <c r="N35" i="171"/>
  <c r="N43" i="171"/>
  <c r="U15" i="171"/>
  <c r="V16" i="171"/>
  <c r="U28" i="171"/>
  <c r="N16" i="171"/>
  <c r="K37" i="171"/>
  <c r="K45" i="171"/>
  <c r="K53" i="171"/>
  <c r="E21" i="171"/>
  <c r="P13" i="171"/>
  <c r="V15" i="171"/>
  <c r="P31" i="171"/>
  <c r="U14" i="171"/>
  <c r="N15" i="171"/>
  <c r="J21" i="171"/>
  <c r="K36" i="171"/>
  <c r="K44" i="171"/>
  <c r="K52" i="171"/>
  <c r="V14" i="171"/>
  <c r="O15" i="171"/>
  <c r="K35" i="171"/>
  <c r="K43" i="171"/>
  <c r="K51" i="171"/>
  <c r="K59" i="171"/>
  <c r="N51" i="171"/>
  <c r="N59" i="171"/>
  <c r="L13" i="171"/>
  <c r="V35" i="171"/>
  <c r="K42" i="171"/>
  <c r="K50" i="171"/>
  <c r="P18" i="147"/>
  <c r="O18" i="147"/>
  <c r="I26" i="1" l="1"/>
  <c r="I126" i="1"/>
  <c r="M26" i="1"/>
  <c r="M126" i="1"/>
  <c r="X12" i="171"/>
  <c r="Z12" i="171" s="1"/>
  <c r="K26" i="1"/>
  <c r="O76" i="153"/>
  <c r="U76" i="153"/>
  <c r="K19" i="147"/>
  <c r="L19" i="147" s="1"/>
  <c r="P79" i="150"/>
  <c r="M20" i="150"/>
  <c r="P20" i="150" s="1"/>
  <c r="P71" i="171"/>
  <c r="U71" i="171"/>
  <c r="U35" i="171"/>
  <c r="P35" i="171"/>
  <c r="L21" i="171"/>
  <c r="J26" i="1" s="1"/>
  <c r="J126" i="1" s="1"/>
  <c r="U21" i="171"/>
  <c r="T20" i="150"/>
  <c r="U20" i="150" s="1"/>
  <c r="U79" i="150"/>
  <c r="L71" i="171"/>
  <c r="V71" i="171"/>
  <c r="K71" i="171"/>
  <c r="N71" i="171"/>
  <c r="O71" i="171"/>
  <c r="V21" i="171"/>
  <c r="K21" i="171"/>
  <c r="N21" i="171"/>
  <c r="O21" i="171"/>
  <c r="P21" i="171"/>
  <c r="J113" i="1"/>
  <c r="I77" i="160"/>
  <c r="I78" i="160"/>
  <c r="I79" i="160"/>
  <c r="I76" i="160"/>
  <c r="R73" i="160"/>
  <c r="R74" i="160"/>
  <c r="I70" i="160"/>
  <c r="K70" i="160"/>
  <c r="H18" i="147"/>
  <c r="E18" i="147"/>
  <c r="F18" i="147" s="1"/>
  <c r="D18" i="147"/>
  <c r="C18" i="147"/>
  <c r="I66" i="160"/>
  <c r="K66" i="160"/>
  <c r="I67" i="160"/>
  <c r="K67" i="160"/>
  <c r="I68" i="160"/>
  <c r="K68" i="160"/>
  <c r="I69" i="160"/>
  <c r="K69" i="160"/>
  <c r="V73" i="160"/>
  <c r="V74" i="160"/>
  <c r="R75" i="160"/>
  <c r="V75" i="160"/>
  <c r="S68" i="153"/>
  <c r="S69" i="153"/>
  <c r="S70" i="153"/>
  <c r="S71" i="153"/>
  <c r="S67" i="153"/>
  <c r="P68" i="153"/>
  <c r="P69" i="153"/>
  <c r="P70" i="153"/>
  <c r="P71" i="153"/>
  <c r="Q67" i="153"/>
  <c r="R67" i="153"/>
  <c r="P67" i="153"/>
  <c r="M68" i="153"/>
  <c r="M69" i="153"/>
  <c r="M70" i="153"/>
  <c r="M71" i="153"/>
  <c r="M67" i="153"/>
  <c r="M111" i="153" s="1"/>
  <c r="G67" i="153"/>
  <c r="H67" i="153"/>
  <c r="I67" i="153"/>
  <c r="G68" i="153"/>
  <c r="H68" i="153"/>
  <c r="I68" i="153"/>
  <c r="G69" i="153"/>
  <c r="H69" i="153"/>
  <c r="I69" i="153"/>
  <c r="G70" i="153"/>
  <c r="H70" i="153"/>
  <c r="I70" i="153"/>
  <c r="G71" i="153"/>
  <c r="H71" i="153"/>
  <c r="I71" i="153"/>
  <c r="F68" i="153"/>
  <c r="F69" i="153"/>
  <c r="F70" i="153"/>
  <c r="F71" i="153"/>
  <c r="F67" i="153"/>
  <c r="E68" i="153"/>
  <c r="E69" i="153"/>
  <c r="E70" i="153"/>
  <c r="E71" i="153"/>
  <c r="E67" i="153"/>
  <c r="C67" i="153"/>
  <c r="Q18" i="152"/>
  <c r="J18" i="152"/>
  <c r="I18" i="152"/>
  <c r="H18" i="152"/>
  <c r="G18" i="152"/>
  <c r="F18" i="152"/>
  <c r="E18" i="152"/>
  <c r="D18" i="152"/>
  <c r="C18" i="152"/>
  <c r="T67" i="150"/>
  <c r="T68" i="150"/>
  <c r="T69" i="150"/>
  <c r="T70" i="150"/>
  <c r="T66" i="150"/>
  <c r="Q19" i="150"/>
  <c r="K68" i="150"/>
  <c r="K69" i="150"/>
  <c r="K70" i="150"/>
  <c r="K67" i="150"/>
  <c r="K66" i="150"/>
  <c r="V70" i="150"/>
  <c r="W70" i="150"/>
  <c r="L70" i="150"/>
  <c r="M70" i="150"/>
  <c r="P70" i="150" s="1"/>
  <c r="N70" i="150"/>
  <c r="O70" i="150"/>
  <c r="J19" i="150"/>
  <c r="D19" i="150"/>
  <c r="E19" i="150"/>
  <c r="F19" i="150"/>
  <c r="G19" i="150"/>
  <c r="H19" i="150"/>
  <c r="I19" i="150"/>
  <c r="C19" i="150"/>
  <c r="S111" i="153" l="1"/>
  <c r="N126" i="1"/>
  <c r="N26" i="1"/>
  <c r="R26" i="1"/>
  <c r="L126" i="1"/>
  <c r="L26" i="1"/>
  <c r="N71" i="153"/>
  <c r="T69" i="153"/>
  <c r="O26" i="1"/>
  <c r="T67" i="153"/>
  <c r="L19" i="150"/>
  <c r="O19" i="150"/>
  <c r="K73" i="153"/>
  <c r="K74" i="153"/>
  <c r="O18" i="152"/>
  <c r="G18" i="147"/>
  <c r="T71" i="153"/>
  <c r="W19" i="150"/>
  <c r="W18" i="152"/>
  <c r="L18" i="152"/>
  <c r="U67" i="153"/>
  <c r="N18" i="147"/>
  <c r="L70" i="153"/>
  <c r="U71" i="153"/>
  <c r="V70" i="153"/>
  <c r="U69" i="153"/>
  <c r="K68" i="153"/>
  <c r="V71" i="153"/>
  <c r="L68" i="153"/>
  <c r="J117" i="1"/>
  <c r="J97" i="1"/>
  <c r="J105" i="1"/>
  <c r="J122" i="1"/>
  <c r="N67" i="153"/>
  <c r="J121" i="1"/>
  <c r="J123" i="1"/>
  <c r="J101" i="1"/>
  <c r="V19" i="150"/>
  <c r="N68" i="153"/>
  <c r="O69" i="153"/>
  <c r="N19" i="150"/>
  <c r="L67" i="153"/>
  <c r="N70" i="153"/>
  <c r="O71" i="153"/>
  <c r="V67" i="153"/>
  <c r="K67" i="153"/>
  <c r="L71" i="153"/>
  <c r="N69" i="153"/>
  <c r="V69" i="153"/>
  <c r="K71" i="153"/>
  <c r="K70" i="153"/>
  <c r="V68" i="153"/>
  <c r="T70" i="153"/>
  <c r="L69" i="153"/>
  <c r="O67" i="153"/>
  <c r="K69" i="153"/>
  <c r="T68" i="153"/>
  <c r="U70" i="153"/>
  <c r="U68" i="153"/>
  <c r="O68" i="153"/>
  <c r="O70" i="153"/>
  <c r="V18" i="152"/>
  <c r="N18" i="152"/>
  <c r="K28" i="169"/>
  <c r="K29" i="169"/>
  <c r="K30" i="169"/>
  <c r="K31" i="169"/>
  <c r="T29" i="168"/>
  <c r="T30" i="168"/>
  <c r="T31" i="168"/>
  <c r="T32" i="168"/>
  <c r="M29" i="168"/>
  <c r="M30" i="168"/>
  <c r="M31" i="168"/>
  <c r="M32" i="168"/>
  <c r="AO31" i="167"/>
  <c r="U70" i="150"/>
  <c r="AN70" i="150"/>
  <c r="BR70" i="150"/>
  <c r="BS70" i="150"/>
  <c r="BT70" i="150"/>
  <c r="BX70" i="150"/>
  <c r="BY70" i="150"/>
  <c r="BF70" i="150"/>
  <c r="BG70" i="150"/>
  <c r="AZ70" i="150"/>
  <c r="BA70" i="150"/>
  <c r="BB70" i="150"/>
  <c r="AJ70" i="150"/>
  <c r="AO69" i="150"/>
  <c r="AH70" i="150"/>
  <c r="AI70" i="150"/>
  <c r="U68" i="150"/>
  <c r="U69" i="150"/>
  <c r="K31" i="165"/>
  <c r="L31" i="165" s="1"/>
  <c r="K32" i="165"/>
  <c r="L32" i="165" s="1"/>
  <c r="K27" i="165"/>
  <c r="L27" i="165" s="1"/>
  <c r="K28" i="165"/>
  <c r="L28" i="165" s="1"/>
  <c r="K29" i="165"/>
  <c r="L29" i="165" s="1"/>
  <c r="K30" i="165"/>
  <c r="L30" i="165" s="1"/>
  <c r="K26" i="165"/>
  <c r="T28" i="167"/>
  <c r="T30" i="167"/>
  <c r="U30" i="167" s="1"/>
  <c r="T31" i="167"/>
  <c r="U31" i="167" s="1"/>
  <c r="M28" i="167"/>
  <c r="M29" i="167"/>
  <c r="M30" i="167"/>
  <c r="M31" i="167"/>
  <c r="BX67" i="150"/>
  <c r="BY67" i="150"/>
  <c r="BX68" i="150"/>
  <c r="BY68" i="150"/>
  <c r="BX69" i="150"/>
  <c r="BY69" i="150"/>
  <c r="BR67" i="150"/>
  <c r="BS67" i="150"/>
  <c r="BT67" i="150"/>
  <c r="BR68" i="150"/>
  <c r="BS68" i="150"/>
  <c r="BT68" i="150"/>
  <c r="BR69" i="150"/>
  <c r="BS69" i="150"/>
  <c r="BT69" i="150"/>
  <c r="BF68" i="150"/>
  <c r="BG68" i="150"/>
  <c r="BF69" i="150"/>
  <c r="BG69" i="150"/>
  <c r="BF67" i="150"/>
  <c r="BG67" i="150"/>
  <c r="AZ67" i="150"/>
  <c r="BA67" i="150"/>
  <c r="BB67" i="150"/>
  <c r="AZ68" i="150"/>
  <c r="BA68" i="150"/>
  <c r="BB68" i="150"/>
  <c r="AZ69" i="150"/>
  <c r="BA69" i="150"/>
  <c r="BB69" i="150"/>
  <c r="AN67" i="150"/>
  <c r="AO67" i="150"/>
  <c r="AN68" i="150"/>
  <c r="AO68" i="150"/>
  <c r="AN69" i="150"/>
  <c r="AO70" i="150"/>
  <c r="AH67" i="150"/>
  <c r="AI67" i="150"/>
  <c r="AJ67" i="150"/>
  <c r="AH68" i="150"/>
  <c r="AI68" i="150"/>
  <c r="AJ68" i="150"/>
  <c r="AH69" i="150"/>
  <c r="AI69" i="150"/>
  <c r="AJ69" i="150"/>
  <c r="W68" i="150"/>
  <c r="W69" i="150"/>
  <c r="V68" i="150"/>
  <c r="V69" i="150"/>
  <c r="V67" i="150"/>
  <c r="W67" i="150"/>
  <c r="U67" i="150"/>
  <c r="N67" i="150"/>
  <c r="O67" i="150"/>
  <c r="N68" i="150"/>
  <c r="O68" i="150"/>
  <c r="N69" i="150"/>
  <c r="O69" i="150"/>
  <c r="M67" i="150"/>
  <c r="P67" i="150" s="1"/>
  <c r="M68" i="150"/>
  <c r="P68" i="150" s="1"/>
  <c r="M69" i="150"/>
  <c r="P69" i="150" s="1"/>
  <c r="L67" i="150"/>
  <c r="L68" i="150"/>
  <c r="L69" i="150"/>
  <c r="M27" i="165"/>
  <c r="M28" i="165"/>
  <c r="M29" i="165"/>
  <c r="M30" i="165"/>
  <c r="X66" i="153"/>
  <c r="W66" i="153"/>
  <c r="X72" i="153"/>
  <c r="X20" i="153" s="1"/>
  <c r="W72" i="153"/>
  <c r="W20" i="153" s="1"/>
  <c r="Y18" i="152" l="1"/>
  <c r="X18" i="152"/>
  <c r="K18" i="152"/>
  <c r="BU104" i="150"/>
  <c r="BQ104" i="150"/>
  <c r="BP104" i="150"/>
  <c r="BO104" i="150"/>
  <c r="BN104" i="150"/>
  <c r="BM104" i="150"/>
  <c r="BL104" i="150"/>
  <c r="BK104" i="150"/>
  <c r="BJ104" i="150"/>
  <c r="BC104" i="150"/>
  <c r="AY104" i="150"/>
  <c r="AX104" i="150"/>
  <c r="AW104" i="150"/>
  <c r="AV104" i="150"/>
  <c r="AU104" i="150"/>
  <c r="AT104" i="150"/>
  <c r="AS104" i="150"/>
  <c r="AR104" i="150"/>
  <c r="AK104" i="150"/>
  <c r="BU71" i="150"/>
  <c r="BQ71" i="150"/>
  <c r="BP71" i="150"/>
  <c r="BO71" i="150"/>
  <c r="BN71" i="150"/>
  <c r="BM71" i="150"/>
  <c r="BL71" i="150"/>
  <c r="BK71" i="150"/>
  <c r="BJ71" i="150"/>
  <c r="BC71" i="150"/>
  <c r="AY71" i="150"/>
  <c r="AX71" i="150"/>
  <c r="AW71" i="150"/>
  <c r="AV71" i="150"/>
  <c r="AU71" i="150"/>
  <c r="AT71" i="150"/>
  <c r="AS71" i="150"/>
  <c r="AR71" i="150"/>
  <c r="AK71" i="150"/>
  <c r="AG71" i="150"/>
  <c r="AF71" i="150"/>
  <c r="AC71" i="150"/>
  <c r="AD71" i="150"/>
  <c r="AE71" i="150"/>
  <c r="AB71" i="150"/>
  <c r="AA71" i="150"/>
  <c r="Z71" i="150"/>
  <c r="Y71" i="150"/>
  <c r="Y19" i="150" s="1"/>
  <c r="X71" i="150"/>
  <c r="X19" i="150" s="1"/>
  <c r="Q71" i="150"/>
  <c r="K19" i="150"/>
  <c r="J71" i="150"/>
  <c r="D71" i="150"/>
  <c r="E71" i="150"/>
  <c r="F71" i="150"/>
  <c r="G71" i="150"/>
  <c r="H71" i="150"/>
  <c r="I71" i="150"/>
  <c r="C71" i="150"/>
  <c r="BB104" i="150" l="1"/>
  <c r="AO72" i="150"/>
  <c r="BA104" i="150"/>
  <c r="BY104" i="150"/>
  <c r="BG71" i="150"/>
  <c r="BY71" i="150"/>
  <c r="BX104" i="150"/>
  <c r="BX71" i="150"/>
  <c r="BR104" i="150"/>
  <c r="BT104" i="150"/>
  <c r="BR71" i="150"/>
  <c r="BT71" i="150"/>
  <c r="BF71" i="150"/>
  <c r="BB71" i="150"/>
  <c r="BF104" i="150"/>
  <c r="BG104" i="150"/>
  <c r="AZ104" i="150"/>
  <c r="BS104" i="150"/>
  <c r="BS71" i="150"/>
  <c r="AZ71" i="150"/>
  <c r="BA71" i="150"/>
  <c r="BU64" i="155" l="1"/>
  <c r="BQ64" i="155"/>
  <c r="BP64" i="155"/>
  <c r="BO64" i="155"/>
  <c r="BN64" i="155"/>
  <c r="BM64" i="155"/>
  <c r="BL64" i="155"/>
  <c r="BK64" i="155"/>
  <c r="BJ64" i="155"/>
  <c r="BC64" i="155"/>
  <c r="AY64" i="155"/>
  <c r="AX64" i="155"/>
  <c r="AW64" i="155"/>
  <c r="AV64" i="155"/>
  <c r="AU64" i="155"/>
  <c r="AT64" i="155"/>
  <c r="AS64" i="155"/>
  <c r="AR64" i="155"/>
  <c r="AK64" i="155"/>
  <c r="AG64" i="155"/>
  <c r="AF64" i="155"/>
  <c r="AE64" i="155"/>
  <c r="AD64" i="155"/>
  <c r="AC64" i="155"/>
  <c r="AB64" i="155"/>
  <c r="AA64" i="155"/>
  <c r="Z64" i="155"/>
  <c r="Y64" i="155"/>
  <c r="X64" i="155"/>
  <c r="Q64" i="155"/>
  <c r="J64" i="155"/>
  <c r="I64" i="155"/>
  <c r="H64" i="155"/>
  <c r="G64" i="155"/>
  <c r="F64" i="155"/>
  <c r="E64" i="155"/>
  <c r="D64" i="155"/>
  <c r="C64" i="155"/>
  <c r="BY58" i="155"/>
  <c r="BX58" i="155"/>
  <c r="BY57" i="155"/>
  <c r="BX57" i="155"/>
  <c r="BT58" i="155"/>
  <c r="BS58" i="155"/>
  <c r="BR58" i="155"/>
  <c r="BT57" i="155"/>
  <c r="BS57" i="155"/>
  <c r="BR57" i="155"/>
  <c r="BG58" i="155"/>
  <c r="BF58" i="155"/>
  <c r="BG57" i="155"/>
  <c r="BF57" i="155"/>
  <c r="BB58" i="155"/>
  <c r="BA58" i="155"/>
  <c r="AZ58" i="155"/>
  <c r="BB57" i="155"/>
  <c r="BA57" i="155"/>
  <c r="AZ57" i="155"/>
  <c r="AO58" i="155"/>
  <c r="AN58" i="155"/>
  <c r="AO57" i="155"/>
  <c r="AN57" i="155"/>
  <c r="AJ58" i="155"/>
  <c r="AI58" i="155"/>
  <c r="AH58" i="155"/>
  <c r="AJ57" i="155"/>
  <c r="AI57" i="155"/>
  <c r="AH57" i="155"/>
  <c r="W58" i="155"/>
  <c r="V58" i="155"/>
  <c r="W57" i="155"/>
  <c r="V57" i="155"/>
  <c r="T58" i="155"/>
  <c r="U58" i="155" s="1"/>
  <c r="T57" i="155"/>
  <c r="L58" i="155"/>
  <c r="M58" i="155"/>
  <c r="P58" i="155" s="1"/>
  <c r="N58" i="155"/>
  <c r="O58" i="155"/>
  <c r="O57" i="155"/>
  <c r="N57" i="155"/>
  <c r="M57" i="155"/>
  <c r="P57" i="155" s="1"/>
  <c r="L57" i="155"/>
  <c r="T64" i="155" l="1"/>
  <c r="O64" i="155"/>
  <c r="BX64" i="155"/>
  <c r="M64" i="155"/>
  <c r="P64" i="155" s="1"/>
  <c r="U57" i="155"/>
  <c r="AZ64" i="155"/>
  <c r="AI64" i="155"/>
  <c r="N64" i="155"/>
  <c r="BA64" i="155"/>
  <c r="BB64" i="155"/>
  <c r="BF64" i="155"/>
  <c r="BS64" i="155"/>
  <c r="L64" i="155"/>
  <c r="W64" i="155"/>
  <c r="BT64" i="155"/>
  <c r="AO64" i="155"/>
  <c r="V64" i="155"/>
  <c r="U64" i="155"/>
  <c r="BG64" i="155"/>
  <c r="AJ64" i="155"/>
  <c r="AN64" i="155"/>
  <c r="BR64" i="155"/>
  <c r="AH64" i="155"/>
  <c r="BY64" i="155"/>
  <c r="BE68" i="168" l="1"/>
  <c r="BD68" i="168"/>
  <c r="Y68" i="168"/>
  <c r="Q24" i="1" s="1"/>
  <c r="X68" i="168"/>
  <c r="P70" i="169"/>
  <c r="Q23" i="1" s="1"/>
  <c r="Y67" i="167"/>
  <c r="Q22" i="1" s="1"/>
  <c r="X67" i="167"/>
  <c r="Q21" i="1"/>
  <c r="R111" i="153"/>
  <c r="Q111" i="153"/>
  <c r="Q66" i="153"/>
  <c r="Q13" i="1" l="1"/>
  <c r="Q25" i="1"/>
  <c r="X14" i="147"/>
  <c r="I25" i="1"/>
  <c r="J76" i="1"/>
  <c r="K95" i="1"/>
  <c r="M95" i="1"/>
  <c r="G95" i="1"/>
  <c r="I95" i="1"/>
  <c r="K94" i="1"/>
  <c r="G94" i="1"/>
  <c r="G93" i="1"/>
  <c r="G96" i="1" s="1"/>
  <c r="K27" i="169"/>
  <c r="K93" i="1"/>
  <c r="I93" i="1"/>
  <c r="Y105" i="150"/>
  <c r="X105" i="150"/>
  <c r="P63" i="165"/>
  <c r="Q19" i="1" s="1"/>
  <c r="O63" i="165"/>
  <c r="Y104" i="150"/>
  <c r="Q20" i="1" s="1"/>
  <c r="X104" i="150"/>
  <c r="Y65" i="150"/>
  <c r="Q10" i="1" s="1"/>
  <c r="X65" i="150"/>
  <c r="R65" i="150"/>
  <c r="S65" i="150"/>
  <c r="BW67" i="167"/>
  <c r="BV67" i="167"/>
  <c r="BE67" i="167"/>
  <c r="BD67" i="167"/>
  <c r="AL67" i="167"/>
  <c r="AM67" i="167"/>
  <c r="AP67" i="167"/>
  <c r="AQ67" i="167"/>
  <c r="K76" i="1"/>
  <c r="G75" i="1"/>
  <c r="J75" i="1"/>
  <c r="AG104" i="150"/>
  <c r="M74" i="1" s="1"/>
  <c r="AA104" i="150"/>
  <c r="AB104" i="150"/>
  <c r="G74" i="1" s="1"/>
  <c r="AC104" i="150"/>
  <c r="AD104" i="150"/>
  <c r="AE104" i="150"/>
  <c r="AF104" i="150"/>
  <c r="AE16" i="152"/>
  <c r="AG16" i="152" s="1"/>
  <c r="L21" i="1" s="1"/>
  <c r="AS63" i="165"/>
  <c r="AR63" i="165"/>
  <c r="AH63" i="165"/>
  <c r="AG63" i="165"/>
  <c r="Z104" i="150"/>
  <c r="Q104" i="150"/>
  <c r="K20" i="1" s="1"/>
  <c r="K14" i="165"/>
  <c r="M66" i="150"/>
  <c r="M104" i="150" s="1"/>
  <c r="J104" i="150"/>
  <c r="M20" i="1" s="1"/>
  <c r="C96" i="1"/>
  <c r="C81" i="1"/>
  <c r="M80" i="1"/>
  <c r="K80" i="1"/>
  <c r="J80" i="1"/>
  <c r="I80" i="1"/>
  <c r="C77" i="1"/>
  <c r="Q28" i="1" l="1"/>
  <c r="J95" i="1"/>
  <c r="J94" i="1"/>
  <c r="N25" i="1"/>
  <c r="N97" i="1" s="1"/>
  <c r="N125" i="1" s="1"/>
  <c r="M25" i="1"/>
  <c r="K96" i="1"/>
  <c r="AI104" i="150"/>
  <c r="AH104" i="150"/>
  <c r="AN104" i="150"/>
  <c r="I74" i="1"/>
  <c r="AO104" i="150"/>
  <c r="L93" i="1"/>
  <c r="L96" i="1" s="1"/>
  <c r="AJ104" i="150"/>
  <c r="J74" i="1" s="1"/>
  <c r="M75" i="1"/>
  <c r="M93" i="1"/>
  <c r="AE17" i="150"/>
  <c r="AG17" i="150" s="1"/>
  <c r="M76" i="1"/>
  <c r="O76" i="1" s="1"/>
  <c r="M94" i="1"/>
  <c r="O94" i="1" s="1"/>
  <c r="J93" i="1"/>
  <c r="K104" i="150"/>
  <c r="N20" i="1" s="1"/>
  <c r="N74" i="1" s="1"/>
  <c r="N77" i="1" s="1"/>
  <c r="G76" i="1"/>
  <c r="G77" i="1" s="1"/>
  <c r="I94" i="1"/>
  <c r="I96" i="1" s="1"/>
  <c r="K74" i="1"/>
  <c r="O74" i="1" s="1"/>
  <c r="I75" i="1"/>
  <c r="K75" i="1"/>
  <c r="K21" i="1"/>
  <c r="I76" i="1"/>
  <c r="O80" i="1"/>
  <c r="O95" i="1"/>
  <c r="M96" i="1" l="1"/>
  <c r="O96" i="1" s="1"/>
  <c r="O93" i="1"/>
  <c r="I77" i="1"/>
  <c r="O75" i="1"/>
  <c r="M77" i="1"/>
  <c r="K77" i="1"/>
  <c r="L74" i="1"/>
  <c r="L77" i="1" s="1"/>
  <c r="L20" i="1"/>
  <c r="O77" i="1" l="1"/>
  <c r="I20" i="1"/>
  <c r="E104" i="150"/>
  <c r="N104" i="150" s="1"/>
  <c r="F104" i="150"/>
  <c r="G104" i="150"/>
  <c r="H104" i="150"/>
  <c r="I104" i="150"/>
  <c r="L104" i="150" l="1"/>
  <c r="W104" i="150"/>
  <c r="G20" i="1"/>
  <c r="AE15" i="150"/>
  <c r="AG15" i="150" s="1"/>
  <c r="AE14" i="152"/>
  <c r="AG14" i="152" s="1"/>
  <c r="H21" i="1" s="1"/>
  <c r="G21" i="1"/>
  <c r="J77" i="1"/>
  <c r="J20" i="1"/>
  <c r="P104" i="150"/>
  <c r="O104" i="150"/>
  <c r="V104" i="150"/>
  <c r="O126" i="1"/>
  <c r="P20" i="1"/>
  <c r="R20" i="1"/>
  <c r="O20" i="1"/>
  <c r="P21" i="1"/>
  <c r="P65" i="153"/>
  <c r="K65" i="153"/>
  <c r="I65" i="153"/>
  <c r="H65" i="153"/>
  <c r="E65" i="153"/>
  <c r="D65" i="153"/>
  <c r="C65" i="153"/>
  <c r="P64" i="153"/>
  <c r="I64" i="153"/>
  <c r="H64" i="153"/>
  <c r="E64" i="153"/>
  <c r="D64" i="153"/>
  <c r="C64" i="153"/>
  <c r="G65" i="153"/>
  <c r="G64" i="153"/>
  <c r="G20" i="153" s="1"/>
  <c r="BY66" i="150"/>
  <c r="BX66" i="150"/>
  <c r="BY64" i="150"/>
  <c r="BX64" i="150"/>
  <c r="BY63" i="150"/>
  <c r="BX63" i="150"/>
  <c r="BT66" i="150"/>
  <c r="BS66" i="150"/>
  <c r="BR66" i="150"/>
  <c r="BT64" i="150"/>
  <c r="BS64" i="150"/>
  <c r="BR64" i="150"/>
  <c r="BT63" i="150"/>
  <c r="BS63" i="150"/>
  <c r="BR63" i="150"/>
  <c r="BG66" i="150"/>
  <c r="BF66" i="150"/>
  <c r="BG64" i="150"/>
  <c r="BF64" i="150"/>
  <c r="BG63" i="150"/>
  <c r="BF63" i="150"/>
  <c r="BB66" i="150"/>
  <c r="BA66" i="150"/>
  <c r="AZ66" i="150"/>
  <c r="BB64" i="150"/>
  <c r="BA64" i="150"/>
  <c r="AZ64" i="150"/>
  <c r="BB63" i="150"/>
  <c r="BA63" i="150"/>
  <c r="AZ63" i="150"/>
  <c r="AO66" i="150"/>
  <c r="AN66" i="150"/>
  <c r="AO64" i="150"/>
  <c r="AN64" i="150"/>
  <c r="AO63" i="150"/>
  <c r="AN63" i="150"/>
  <c r="AJ66" i="150"/>
  <c r="AI66" i="150"/>
  <c r="AH66" i="150"/>
  <c r="AJ64" i="150"/>
  <c r="AI64" i="150"/>
  <c r="AH64" i="150"/>
  <c r="AJ63" i="150"/>
  <c r="AI63" i="150"/>
  <c r="AH63" i="150"/>
  <c r="W66" i="150"/>
  <c r="V66" i="150"/>
  <c r="W64" i="150"/>
  <c r="V64" i="150"/>
  <c r="T64" i="150"/>
  <c r="U64" i="150" s="1"/>
  <c r="W63" i="150"/>
  <c r="V63" i="150"/>
  <c r="T63" i="150"/>
  <c r="L66" i="150"/>
  <c r="P66" i="150"/>
  <c r="N66" i="150"/>
  <c r="O66" i="150"/>
  <c r="O64" i="150"/>
  <c r="N64" i="150"/>
  <c r="M64" i="150"/>
  <c r="P64" i="150" s="1"/>
  <c r="L64" i="150"/>
  <c r="O63" i="150"/>
  <c r="N63" i="150"/>
  <c r="M63" i="150"/>
  <c r="L63" i="150"/>
  <c r="AL70" i="169"/>
  <c r="AK70" i="169"/>
  <c r="AH70" i="169"/>
  <c r="AG70" i="169"/>
  <c r="AA70" i="169"/>
  <c r="Z70" i="169"/>
  <c r="W70" i="169"/>
  <c r="V70" i="169"/>
  <c r="AQ58" i="169"/>
  <c r="AO58" i="169"/>
  <c r="AN58" i="169"/>
  <c r="AM58" i="169"/>
  <c r="AF58" i="169"/>
  <c r="AD58" i="169"/>
  <c r="AC58" i="169"/>
  <c r="AB58" i="169"/>
  <c r="U58" i="169"/>
  <c r="S58" i="169"/>
  <c r="R58" i="169"/>
  <c r="Q58" i="169"/>
  <c r="P58" i="169"/>
  <c r="O58" i="169"/>
  <c r="H58" i="169"/>
  <c r="E58" i="169"/>
  <c r="AJ51" i="169"/>
  <c r="AI51" i="169"/>
  <c r="AE51" i="169"/>
  <c r="Y51" i="169"/>
  <c r="X51" i="169"/>
  <c r="T51" i="169"/>
  <c r="N51" i="169"/>
  <c r="M51" i="169"/>
  <c r="G51" i="169"/>
  <c r="AQ50" i="169"/>
  <c r="AO50" i="169"/>
  <c r="AN50" i="169"/>
  <c r="AM50" i="169"/>
  <c r="AF50" i="169"/>
  <c r="AD50" i="169"/>
  <c r="AC50" i="169"/>
  <c r="AB50" i="169"/>
  <c r="U50" i="169"/>
  <c r="S50" i="169"/>
  <c r="R50" i="169"/>
  <c r="Q50" i="169"/>
  <c r="P50" i="169"/>
  <c r="O50" i="169"/>
  <c r="H50" i="169"/>
  <c r="E50" i="169"/>
  <c r="D50" i="169"/>
  <c r="C50" i="169"/>
  <c r="AU49" i="169"/>
  <c r="AT49" i="169"/>
  <c r="AP49" i="169"/>
  <c r="AJ49" i="169"/>
  <c r="AI49" i="169"/>
  <c r="AE49" i="169"/>
  <c r="Y49" i="169"/>
  <c r="X49" i="169"/>
  <c r="T49" i="169"/>
  <c r="N49" i="169"/>
  <c r="M49" i="169"/>
  <c r="L49" i="169"/>
  <c r="G49" i="169"/>
  <c r="AU48" i="169"/>
  <c r="AT48" i="169"/>
  <c r="AP48" i="169"/>
  <c r="AJ48" i="169"/>
  <c r="AI48" i="169"/>
  <c r="AE48" i="169"/>
  <c r="Y48" i="169"/>
  <c r="X48" i="169"/>
  <c r="T48" i="169"/>
  <c r="N48" i="169"/>
  <c r="M48" i="169"/>
  <c r="L48" i="169"/>
  <c r="G48" i="169"/>
  <c r="AU47" i="169"/>
  <c r="AT47" i="169"/>
  <c r="AP47" i="169"/>
  <c r="AJ47" i="169"/>
  <c r="AI47" i="169"/>
  <c r="AE47" i="169"/>
  <c r="Y47" i="169"/>
  <c r="X47" i="169"/>
  <c r="T47" i="169"/>
  <c r="N47" i="169"/>
  <c r="M47" i="169"/>
  <c r="L47" i="169"/>
  <c r="G47" i="169"/>
  <c r="AU46" i="169"/>
  <c r="AT46" i="169"/>
  <c r="AP46" i="169"/>
  <c r="AJ46" i="169"/>
  <c r="AI46" i="169"/>
  <c r="AE46" i="169"/>
  <c r="Y46" i="169"/>
  <c r="X46" i="169"/>
  <c r="T46" i="169"/>
  <c r="N46" i="169"/>
  <c r="M46" i="169"/>
  <c r="L46" i="169"/>
  <c r="G46" i="169"/>
  <c r="AU45" i="169"/>
  <c r="AT45" i="169"/>
  <c r="AP45" i="169"/>
  <c r="AJ45" i="169"/>
  <c r="AI45" i="169"/>
  <c r="AE45" i="169"/>
  <c r="Y45" i="169"/>
  <c r="X45" i="169"/>
  <c r="T45" i="169"/>
  <c r="N45" i="169"/>
  <c r="M45" i="169"/>
  <c r="L45" i="169"/>
  <c r="G45" i="169"/>
  <c r="AU44" i="169"/>
  <c r="AT44" i="169"/>
  <c r="AP44" i="169"/>
  <c r="AJ44" i="169"/>
  <c r="AI44" i="169"/>
  <c r="AE44" i="169"/>
  <c r="Y44" i="169"/>
  <c r="X44" i="169"/>
  <c r="T44" i="169"/>
  <c r="N44" i="169"/>
  <c r="M44" i="169"/>
  <c r="L44" i="169"/>
  <c r="G44" i="169"/>
  <c r="AU43" i="169"/>
  <c r="AT43" i="169"/>
  <c r="AP43" i="169"/>
  <c r="AJ43" i="169"/>
  <c r="AI43" i="169"/>
  <c r="AE43" i="169"/>
  <c r="Y43" i="169"/>
  <c r="X43" i="169"/>
  <c r="T43" i="169"/>
  <c r="N43" i="169"/>
  <c r="M43" i="169"/>
  <c r="L43" i="169"/>
  <c r="G43" i="169"/>
  <c r="AQ42" i="169"/>
  <c r="AO42" i="169"/>
  <c r="AN42" i="169"/>
  <c r="AM42" i="169"/>
  <c r="AF42" i="169"/>
  <c r="AD42" i="169"/>
  <c r="AC42" i="169"/>
  <c r="AB42" i="169"/>
  <c r="U42" i="169"/>
  <c r="S42" i="169"/>
  <c r="R42" i="169"/>
  <c r="Q42" i="169"/>
  <c r="P42" i="169"/>
  <c r="P13" i="169" s="1"/>
  <c r="O42" i="169"/>
  <c r="O13" i="169" s="1"/>
  <c r="H42" i="169"/>
  <c r="E42" i="169"/>
  <c r="D42" i="169"/>
  <c r="C42" i="169"/>
  <c r="AU41" i="169"/>
  <c r="AT41" i="169"/>
  <c r="AP41" i="169"/>
  <c r="AJ41" i="169"/>
  <c r="AI41" i="169"/>
  <c r="AE41" i="169"/>
  <c r="Y41" i="169"/>
  <c r="X41" i="169"/>
  <c r="T41" i="169"/>
  <c r="N41" i="169"/>
  <c r="M41" i="169"/>
  <c r="L41" i="169"/>
  <c r="AU40" i="169"/>
  <c r="AT40" i="169"/>
  <c r="AP40" i="169"/>
  <c r="AJ40" i="169"/>
  <c r="AI40" i="169"/>
  <c r="AE40" i="169"/>
  <c r="Y40" i="169"/>
  <c r="X40" i="169"/>
  <c r="T40" i="169"/>
  <c r="N40" i="169"/>
  <c r="M40" i="169"/>
  <c r="L40" i="169"/>
  <c r="AU39" i="169"/>
  <c r="AT39" i="169"/>
  <c r="AP39" i="169"/>
  <c r="AJ39" i="169"/>
  <c r="AI39" i="169"/>
  <c r="AE39" i="169"/>
  <c r="Y39" i="169"/>
  <c r="X39" i="169"/>
  <c r="T39" i="169"/>
  <c r="N39" i="169"/>
  <c r="M39" i="169"/>
  <c r="L39" i="169"/>
  <c r="G39" i="169"/>
  <c r="AU38" i="169"/>
  <c r="AT38" i="169"/>
  <c r="AP38" i="169"/>
  <c r="AJ38" i="169"/>
  <c r="AI38" i="169"/>
  <c r="AE38" i="169"/>
  <c r="Y38" i="169"/>
  <c r="X38" i="169"/>
  <c r="T38" i="169"/>
  <c r="N38" i="169"/>
  <c r="M38" i="169"/>
  <c r="L38" i="169"/>
  <c r="G38" i="169"/>
  <c r="AU37" i="169"/>
  <c r="AT37" i="169"/>
  <c r="AP37" i="169"/>
  <c r="AJ37" i="169"/>
  <c r="AI37" i="169"/>
  <c r="AE37" i="169"/>
  <c r="Y37" i="169"/>
  <c r="X37" i="169"/>
  <c r="T37" i="169"/>
  <c r="N37" i="169"/>
  <c r="M37" i="169"/>
  <c r="L37" i="169"/>
  <c r="G37" i="169"/>
  <c r="AU36" i="169"/>
  <c r="AT36" i="169"/>
  <c r="AP36" i="169"/>
  <c r="AJ36" i="169"/>
  <c r="AI36" i="169"/>
  <c r="AE36" i="169"/>
  <c r="Y36" i="169"/>
  <c r="X36" i="169"/>
  <c r="T36" i="169"/>
  <c r="N36" i="169"/>
  <c r="M36" i="169"/>
  <c r="L36" i="169"/>
  <c r="G36" i="169"/>
  <c r="AU35" i="169"/>
  <c r="AT35" i="169"/>
  <c r="AP35" i="169"/>
  <c r="AJ35" i="169"/>
  <c r="AI35" i="169"/>
  <c r="AE35" i="169"/>
  <c r="Y35" i="169"/>
  <c r="X35" i="169"/>
  <c r="T35" i="169"/>
  <c r="N35" i="169"/>
  <c r="M35" i="169"/>
  <c r="G35" i="169"/>
  <c r="AQ34" i="169"/>
  <c r="AQ70" i="169" s="1"/>
  <c r="AO34" i="169"/>
  <c r="AO70" i="169" s="1"/>
  <c r="AN34" i="169"/>
  <c r="AN70" i="169" s="1"/>
  <c r="AM34" i="169"/>
  <c r="AM70" i="169" s="1"/>
  <c r="AF34" i="169"/>
  <c r="AF70" i="169" s="1"/>
  <c r="AD34" i="169"/>
  <c r="AD70" i="169" s="1"/>
  <c r="AI70" i="169" s="1"/>
  <c r="AC34" i="169"/>
  <c r="AC70" i="169" s="1"/>
  <c r="AB34" i="169"/>
  <c r="AB70" i="169" s="1"/>
  <c r="U34" i="169"/>
  <c r="U70" i="169" s="1"/>
  <c r="S34" i="169"/>
  <c r="S70" i="169" s="1"/>
  <c r="R34" i="169"/>
  <c r="R70" i="169" s="1"/>
  <c r="Q34" i="169"/>
  <c r="Q70" i="169" s="1"/>
  <c r="P34" i="169"/>
  <c r="P12" i="169" s="1"/>
  <c r="O34" i="169"/>
  <c r="O12" i="169" s="1"/>
  <c r="H34" i="169"/>
  <c r="H70" i="169" s="1"/>
  <c r="E34" i="169"/>
  <c r="D34" i="169"/>
  <c r="D70" i="169" s="1"/>
  <c r="C34" i="169"/>
  <c r="C70" i="169" s="1"/>
  <c r="AU33" i="169"/>
  <c r="AT33" i="169"/>
  <c r="AP33" i="169"/>
  <c r="AJ33" i="169"/>
  <c r="AI33" i="169"/>
  <c r="AE33" i="169"/>
  <c r="Y33" i="169"/>
  <c r="X33" i="169"/>
  <c r="T33" i="169"/>
  <c r="N33" i="169"/>
  <c r="M33" i="169"/>
  <c r="L33" i="169"/>
  <c r="G33" i="169"/>
  <c r="F33" i="169"/>
  <c r="AU32" i="169"/>
  <c r="AT32" i="169"/>
  <c r="AP32" i="169"/>
  <c r="AJ32" i="169"/>
  <c r="AI32" i="169"/>
  <c r="AE32" i="169"/>
  <c r="Y32" i="169"/>
  <c r="X32" i="169"/>
  <c r="T32" i="169"/>
  <c r="N32" i="169"/>
  <c r="M32" i="169"/>
  <c r="L32" i="169"/>
  <c r="G32" i="169"/>
  <c r="F32" i="169"/>
  <c r="AU31" i="169"/>
  <c r="AT31" i="169"/>
  <c r="AP31" i="169"/>
  <c r="AJ31" i="169"/>
  <c r="AI31" i="169"/>
  <c r="AE31" i="169"/>
  <c r="Y31" i="169"/>
  <c r="X31" i="169"/>
  <c r="T31" i="169"/>
  <c r="N31" i="169"/>
  <c r="M31" i="169"/>
  <c r="L31" i="169"/>
  <c r="G31" i="169"/>
  <c r="F31" i="169"/>
  <c r="AU30" i="169"/>
  <c r="AT30" i="169"/>
  <c r="AP30" i="169"/>
  <c r="AJ30" i="169"/>
  <c r="AI30" i="169"/>
  <c r="AE30" i="169"/>
  <c r="Y30" i="169"/>
  <c r="X30" i="169"/>
  <c r="T30" i="169"/>
  <c r="N30" i="169"/>
  <c r="M30" i="169"/>
  <c r="L30" i="169"/>
  <c r="G30" i="169"/>
  <c r="F30" i="169"/>
  <c r="AU29" i="169"/>
  <c r="AT29" i="169"/>
  <c r="AP29" i="169"/>
  <c r="AJ29" i="169"/>
  <c r="AI29" i="169"/>
  <c r="AE29" i="169"/>
  <c r="Y29" i="169"/>
  <c r="X29" i="169"/>
  <c r="T29" i="169"/>
  <c r="N29" i="169"/>
  <c r="M29" i="169"/>
  <c r="L29" i="169"/>
  <c r="G29" i="169"/>
  <c r="F29" i="169"/>
  <c r="AU28" i="169"/>
  <c r="AT28" i="169"/>
  <c r="AP28" i="169"/>
  <c r="AJ28" i="169"/>
  <c r="AI28" i="169"/>
  <c r="AE28" i="169"/>
  <c r="Y28" i="169"/>
  <c r="X28" i="169"/>
  <c r="T28" i="169"/>
  <c r="N28" i="169"/>
  <c r="M28" i="169"/>
  <c r="L28" i="169"/>
  <c r="G28" i="169"/>
  <c r="F28" i="169"/>
  <c r="AU27" i="169"/>
  <c r="AT27" i="169"/>
  <c r="AP27" i="169"/>
  <c r="AJ27" i="169"/>
  <c r="AI27" i="169"/>
  <c r="AE27" i="169"/>
  <c r="Y27" i="169"/>
  <c r="X27" i="169"/>
  <c r="T27" i="169"/>
  <c r="N27" i="169"/>
  <c r="M27" i="169"/>
  <c r="L27" i="169"/>
  <c r="G27" i="169"/>
  <c r="F27" i="169"/>
  <c r="H15" i="169"/>
  <c r="E15" i="169"/>
  <c r="D15" i="169"/>
  <c r="C15" i="169"/>
  <c r="H14" i="169"/>
  <c r="E14" i="169"/>
  <c r="D14" i="169"/>
  <c r="C14" i="169"/>
  <c r="K20" i="169"/>
  <c r="H13" i="169"/>
  <c r="E13" i="169"/>
  <c r="D13" i="169"/>
  <c r="C13" i="169"/>
  <c r="H12" i="169"/>
  <c r="L12" i="169" s="1"/>
  <c r="E12" i="169"/>
  <c r="D12" i="169"/>
  <c r="C12" i="169"/>
  <c r="C20" i="169" s="1"/>
  <c r="BI68" i="168"/>
  <c r="BH68" i="168"/>
  <c r="AQ68" i="168"/>
  <c r="AP68" i="168"/>
  <c r="AM68" i="168"/>
  <c r="AL68" i="168"/>
  <c r="BU59" i="168"/>
  <c r="BQ59" i="168"/>
  <c r="BP59" i="168"/>
  <c r="BO59" i="168"/>
  <c r="BN59" i="168"/>
  <c r="BM59" i="168"/>
  <c r="BL59" i="168"/>
  <c r="BK59" i="168"/>
  <c r="BJ59" i="168"/>
  <c r="BC59" i="168"/>
  <c r="AY59" i="168"/>
  <c r="AX59" i="168"/>
  <c r="AW59" i="168"/>
  <c r="AV59" i="168"/>
  <c r="AU59" i="168"/>
  <c r="AT59" i="168"/>
  <c r="AS59" i="168"/>
  <c r="AR59" i="168"/>
  <c r="AK59" i="168"/>
  <c r="AG59" i="168"/>
  <c r="AF59" i="168"/>
  <c r="AE59" i="168"/>
  <c r="AD59" i="168"/>
  <c r="AC59" i="168"/>
  <c r="AB59" i="168"/>
  <c r="AA59" i="168"/>
  <c r="Z59" i="168"/>
  <c r="Y59" i="168"/>
  <c r="Y16" i="168" s="1"/>
  <c r="X59" i="168"/>
  <c r="X16" i="168" s="1"/>
  <c r="Q59" i="168"/>
  <c r="P99" i="153" s="1"/>
  <c r="BY52" i="168"/>
  <c r="BX52" i="168"/>
  <c r="BT52" i="168"/>
  <c r="BS52" i="168"/>
  <c r="BR52" i="168"/>
  <c r="BG52" i="168"/>
  <c r="BF52" i="168"/>
  <c r="BB52" i="168"/>
  <c r="BA52" i="168"/>
  <c r="AZ52" i="168"/>
  <c r="AO52" i="168"/>
  <c r="AN52" i="168"/>
  <c r="AJ52" i="168"/>
  <c r="AI52" i="168"/>
  <c r="AH52" i="168"/>
  <c r="W52" i="168"/>
  <c r="V52" i="168"/>
  <c r="O52" i="168"/>
  <c r="N52" i="168"/>
  <c r="L52" i="168"/>
  <c r="BU51" i="168"/>
  <c r="BQ51" i="168"/>
  <c r="BP51" i="168"/>
  <c r="BO51" i="168"/>
  <c r="BN51" i="168"/>
  <c r="BM51" i="168"/>
  <c r="BL51" i="168"/>
  <c r="BK51" i="168"/>
  <c r="BJ51" i="168"/>
  <c r="BC51" i="168"/>
  <c r="AY51" i="168"/>
  <c r="AX51" i="168"/>
  <c r="AW51" i="168"/>
  <c r="AV51" i="168"/>
  <c r="AU51" i="168"/>
  <c r="AT51" i="168"/>
  <c r="AS51" i="168"/>
  <c r="AR51" i="168"/>
  <c r="AK51" i="168"/>
  <c r="AG51" i="168"/>
  <c r="AF51" i="168"/>
  <c r="AE51" i="168"/>
  <c r="AD51" i="168"/>
  <c r="AC51" i="168"/>
  <c r="AB51" i="168"/>
  <c r="AA51" i="168"/>
  <c r="Z51" i="168"/>
  <c r="Y51" i="168"/>
  <c r="Y15" i="168" s="1"/>
  <c r="X51" i="168"/>
  <c r="X15" i="168" s="1"/>
  <c r="Q51" i="168"/>
  <c r="J51" i="168"/>
  <c r="I51" i="168"/>
  <c r="H51" i="168"/>
  <c r="G51" i="168"/>
  <c r="F51" i="168"/>
  <c r="E51" i="168"/>
  <c r="D51" i="168"/>
  <c r="C51" i="168"/>
  <c r="BY50" i="168"/>
  <c r="BX50" i="168"/>
  <c r="BT50" i="168"/>
  <c r="BS50" i="168"/>
  <c r="BR50" i="168"/>
  <c r="BG50" i="168"/>
  <c r="BF50" i="168"/>
  <c r="BB50" i="168"/>
  <c r="BA50" i="168"/>
  <c r="AZ50" i="168"/>
  <c r="AO50" i="168"/>
  <c r="AN50" i="168"/>
  <c r="AJ50" i="168"/>
  <c r="AI50" i="168"/>
  <c r="AH50" i="168"/>
  <c r="W50" i="168"/>
  <c r="V50" i="168"/>
  <c r="U50" i="168"/>
  <c r="O50" i="168"/>
  <c r="N50" i="168"/>
  <c r="P50" i="168"/>
  <c r="L50" i="168"/>
  <c r="BY49" i="168"/>
  <c r="BX49" i="168"/>
  <c r="BT49" i="168"/>
  <c r="BS49" i="168"/>
  <c r="BR49" i="168"/>
  <c r="BG49" i="168"/>
  <c r="BF49" i="168"/>
  <c r="BB49" i="168"/>
  <c r="BA49" i="168"/>
  <c r="AZ49" i="168"/>
  <c r="AO49" i="168"/>
  <c r="AN49" i="168"/>
  <c r="AJ49" i="168"/>
  <c r="AI49" i="168"/>
  <c r="AH49" i="168"/>
  <c r="W49" i="168"/>
  <c r="V49" i="168"/>
  <c r="U49" i="168"/>
  <c r="O49" i="168"/>
  <c r="N49" i="168"/>
  <c r="P49" i="168"/>
  <c r="L49" i="168"/>
  <c r="BY48" i="168"/>
  <c r="BX48" i="168"/>
  <c r="BT48" i="168"/>
  <c r="BS48" i="168"/>
  <c r="BR48" i="168"/>
  <c r="BG48" i="168"/>
  <c r="BF48" i="168"/>
  <c r="BB48" i="168"/>
  <c r="BA48" i="168"/>
  <c r="AZ48" i="168"/>
  <c r="AO48" i="168"/>
  <c r="AN48" i="168"/>
  <c r="AJ48" i="168"/>
  <c r="AI48" i="168"/>
  <c r="AH48" i="168"/>
  <c r="W48" i="168"/>
  <c r="V48" i="168"/>
  <c r="U48" i="168"/>
  <c r="O48" i="168"/>
  <c r="N48" i="168"/>
  <c r="P48" i="168"/>
  <c r="L48" i="168"/>
  <c r="BY47" i="168"/>
  <c r="BX47" i="168"/>
  <c r="BT47" i="168"/>
  <c r="BS47" i="168"/>
  <c r="BR47" i="168"/>
  <c r="BG47" i="168"/>
  <c r="BF47" i="168"/>
  <c r="BB47" i="168"/>
  <c r="BA47" i="168"/>
  <c r="AZ47" i="168"/>
  <c r="AO47" i="168"/>
  <c r="AN47" i="168"/>
  <c r="AJ47" i="168"/>
  <c r="AI47" i="168"/>
  <c r="AH47" i="168"/>
  <c r="W47" i="168"/>
  <c r="V47" i="168"/>
  <c r="U47" i="168"/>
  <c r="O47" i="168"/>
  <c r="N47" i="168"/>
  <c r="P47" i="168"/>
  <c r="L47" i="168"/>
  <c r="BY46" i="168"/>
  <c r="BX46" i="168"/>
  <c r="BT46" i="168"/>
  <c r="BS46" i="168"/>
  <c r="BR46" i="168"/>
  <c r="BG46" i="168"/>
  <c r="BF46" i="168"/>
  <c r="BB46" i="168"/>
  <c r="BA46" i="168"/>
  <c r="AZ46" i="168"/>
  <c r="AO46" i="168"/>
  <c r="AN46" i="168"/>
  <c r="AJ46" i="168"/>
  <c r="AI46" i="168"/>
  <c r="AH46" i="168"/>
  <c r="W46" i="168"/>
  <c r="V46" i="168"/>
  <c r="U46" i="168"/>
  <c r="O46" i="168"/>
  <c r="N46" i="168"/>
  <c r="P46" i="168"/>
  <c r="L46" i="168"/>
  <c r="BY45" i="168"/>
  <c r="BX45" i="168"/>
  <c r="BT45" i="168"/>
  <c r="BS45" i="168"/>
  <c r="BR45" i="168"/>
  <c r="BG45" i="168"/>
  <c r="BF45" i="168"/>
  <c r="BB45" i="168"/>
  <c r="BA45" i="168"/>
  <c r="AZ45" i="168"/>
  <c r="AO45" i="168"/>
  <c r="AN45" i="168"/>
  <c r="AJ45" i="168"/>
  <c r="AI45" i="168"/>
  <c r="AH45" i="168"/>
  <c r="W45" i="168"/>
  <c r="V45" i="168"/>
  <c r="U45" i="168"/>
  <c r="O45" i="168"/>
  <c r="N45" i="168"/>
  <c r="P45" i="168"/>
  <c r="L45" i="168"/>
  <c r="BY44" i="168"/>
  <c r="BX44" i="168"/>
  <c r="BT44" i="168"/>
  <c r="BS44" i="168"/>
  <c r="BR44" i="168"/>
  <c r="BG44" i="168"/>
  <c r="BF44" i="168"/>
  <c r="BB44" i="168"/>
  <c r="BA44" i="168"/>
  <c r="AZ44" i="168"/>
  <c r="AO44" i="168"/>
  <c r="AN44" i="168"/>
  <c r="AJ44" i="168"/>
  <c r="AI44" i="168"/>
  <c r="AH44" i="168"/>
  <c r="W44" i="168"/>
  <c r="V44" i="168"/>
  <c r="U44" i="168"/>
  <c r="O44" i="168"/>
  <c r="N44" i="168"/>
  <c r="P44" i="168"/>
  <c r="L44" i="168"/>
  <c r="BU43" i="168"/>
  <c r="BQ43" i="168"/>
  <c r="BP43" i="168"/>
  <c r="BO43" i="168"/>
  <c r="BN43" i="168"/>
  <c r="BM43" i="168"/>
  <c r="BL43" i="168"/>
  <c r="BK43" i="168"/>
  <c r="BJ43" i="168"/>
  <c r="BC43" i="168"/>
  <c r="AY43" i="168"/>
  <c r="AX43" i="168"/>
  <c r="AW43" i="168"/>
  <c r="AV43" i="168"/>
  <c r="AU43" i="168"/>
  <c r="AT43" i="168"/>
  <c r="AS43" i="168"/>
  <c r="AR43" i="168"/>
  <c r="AK43" i="168"/>
  <c r="AG43" i="168"/>
  <c r="AF43" i="168"/>
  <c r="AE43" i="168"/>
  <c r="AD43" i="168"/>
  <c r="AC43" i="168"/>
  <c r="AB43" i="168"/>
  <c r="AA43" i="168"/>
  <c r="Z43" i="168"/>
  <c r="Y43" i="168"/>
  <c r="Y14" i="168" s="1"/>
  <c r="X43" i="168"/>
  <c r="X14" i="168" s="1"/>
  <c r="Q43" i="168"/>
  <c r="J43" i="168"/>
  <c r="I43" i="168"/>
  <c r="H43" i="168"/>
  <c r="G43" i="168"/>
  <c r="F43" i="168"/>
  <c r="E43" i="168"/>
  <c r="D43" i="168"/>
  <c r="C43" i="168"/>
  <c r="BY42" i="168"/>
  <c r="BX42" i="168"/>
  <c r="BT42" i="168"/>
  <c r="BS42" i="168"/>
  <c r="BR42" i="168"/>
  <c r="BG42" i="168"/>
  <c r="BF42" i="168"/>
  <c r="BB42" i="168"/>
  <c r="BA42" i="168"/>
  <c r="AZ42" i="168"/>
  <c r="AO42" i="168"/>
  <c r="AN42" i="168"/>
  <c r="AJ42" i="168"/>
  <c r="AI42" i="168"/>
  <c r="AH42" i="168"/>
  <c r="W42" i="168"/>
  <c r="V42" i="168"/>
  <c r="U42" i="168"/>
  <c r="O42" i="168"/>
  <c r="N42" i="168"/>
  <c r="P42" i="168"/>
  <c r="L42" i="168"/>
  <c r="BY41" i="168"/>
  <c r="BX41" i="168"/>
  <c r="BT41" i="168"/>
  <c r="BS41" i="168"/>
  <c r="BR41" i="168"/>
  <c r="BG41" i="168"/>
  <c r="BF41" i="168"/>
  <c r="BB41" i="168"/>
  <c r="BA41" i="168"/>
  <c r="AZ41" i="168"/>
  <c r="AO41" i="168"/>
  <c r="AN41" i="168"/>
  <c r="AJ41" i="168"/>
  <c r="AI41" i="168"/>
  <c r="AH41" i="168"/>
  <c r="W41" i="168"/>
  <c r="V41" i="168"/>
  <c r="U41" i="168"/>
  <c r="O41" i="168"/>
  <c r="N41" i="168"/>
  <c r="P41" i="168"/>
  <c r="L41" i="168"/>
  <c r="BY40" i="168"/>
  <c r="BX40" i="168"/>
  <c r="BT40" i="168"/>
  <c r="BS40" i="168"/>
  <c r="BR40" i="168"/>
  <c r="BG40" i="168"/>
  <c r="BF40" i="168"/>
  <c r="BB40" i="168"/>
  <c r="BA40" i="168"/>
  <c r="AZ40" i="168"/>
  <c r="AO40" i="168"/>
  <c r="AN40" i="168"/>
  <c r="AJ40" i="168"/>
  <c r="AI40" i="168"/>
  <c r="AH40" i="168"/>
  <c r="W40" i="168"/>
  <c r="V40" i="168"/>
  <c r="U40" i="168"/>
  <c r="O40" i="168"/>
  <c r="N40" i="168"/>
  <c r="P40" i="168"/>
  <c r="L40" i="168"/>
  <c r="BY39" i="168"/>
  <c r="BX39" i="168"/>
  <c r="BT39" i="168"/>
  <c r="BS39" i="168"/>
  <c r="BR39" i="168"/>
  <c r="BG39" i="168"/>
  <c r="BF39" i="168"/>
  <c r="BB39" i="168"/>
  <c r="BA39" i="168"/>
  <c r="AZ39" i="168"/>
  <c r="AO39" i="168"/>
  <c r="AN39" i="168"/>
  <c r="AJ39" i="168"/>
  <c r="AI39" i="168"/>
  <c r="AH39" i="168"/>
  <c r="W39" i="168"/>
  <c r="V39" i="168"/>
  <c r="U39" i="168"/>
  <c r="O39" i="168"/>
  <c r="N39" i="168"/>
  <c r="P39" i="168"/>
  <c r="L39" i="168"/>
  <c r="BY38" i="168"/>
  <c r="BX38" i="168"/>
  <c r="BT38" i="168"/>
  <c r="BS38" i="168"/>
  <c r="BR38" i="168"/>
  <c r="BG38" i="168"/>
  <c r="BF38" i="168"/>
  <c r="BB38" i="168"/>
  <c r="BA38" i="168"/>
  <c r="AZ38" i="168"/>
  <c r="AO38" i="168"/>
  <c r="AN38" i="168"/>
  <c r="AJ38" i="168"/>
  <c r="AI38" i="168"/>
  <c r="AH38" i="168"/>
  <c r="W38" i="168"/>
  <c r="V38" i="168"/>
  <c r="U38" i="168"/>
  <c r="O38" i="168"/>
  <c r="N38" i="168"/>
  <c r="P38" i="168"/>
  <c r="L38" i="168"/>
  <c r="BY37" i="168"/>
  <c r="BX37" i="168"/>
  <c r="BT37" i="168"/>
  <c r="BS37" i="168"/>
  <c r="BR37" i="168"/>
  <c r="BG37" i="168"/>
  <c r="BF37" i="168"/>
  <c r="BB37" i="168"/>
  <c r="BA37" i="168"/>
  <c r="AZ37" i="168"/>
  <c r="AO37" i="168"/>
  <c r="AN37" i="168"/>
  <c r="AJ37" i="168"/>
  <c r="AI37" i="168"/>
  <c r="AH37" i="168"/>
  <c r="W37" i="168"/>
  <c r="V37" i="168"/>
  <c r="U37" i="168"/>
  <c r="O37" i="168"/>
  <c r="N37" i="168"/>
  <c r="P37" i="168"/>
  <c r="L37" i="168"/>
  <c r="BY36" i="168"/>
  <c r="BX36" i="168"/>
  <c r="BT36" i="168"/>
  <c r="BS36" i="168"/>
  <c r="BR36" i="168"/>
  <c r="BG36" i="168"/>
  <c r="BF36" i="168"/>
  <c r="BB36" i="168"/>
  <c r="BA36" i="168"/>
  <c r="AZ36" i="168"/>
  <c r="AO36" i="168"/>
  <c r="AN36" i="168"/>
  <c r="AJ36" i="168"/>
  <c r="AI36" i="168"/>
  <c r="AH36" i="168"/>
  <c r="W36" i="168"/>
  <c r="V36" i="168"/>
  <c r="O36" i="168"/>
  <c r="N36" i="168"/>
  <c r="P36" i="168"/>
  <c r="L36" i="168"/>
  <c r="BU35" i="168"/>
  <c r="BQ35" i="168"/>
  <c r="BP35" i="168"/>
  <c r="BP68" i="168" s="1"/>
  <c r="BO35" i="168"/>
  <c r="BO68" i="168" s="1"/>
  <c r="BN35" i="168"/>
  <c r="BN68" i="168" s="1"/>
  <c r="BM35" i="168"/>
  <c r="BL35" i="168"/>
  <c r="BK35" i="168"/>
  <c r="BJ35" i="168"/>
  <c r="BC35" i="168"/>
  <c r="AY35" i="168"/>
  <c r="AX35" i="168"/>
  <c r="AW35" i="168"/>
  <c r="AV35" i="168"/>
  <c r="AU35" i="168"/>
  <c r="AT35" i="168"/>
  <c r="AS35" i="168"/>
  <c r="AR35" i="168"/>
  <c r="AK35" i="168"/>
  <c r="AG35" i="168"/>
  <c r="AF35" i="168"/>
  <c r="AE35" i="168"/>
  <c r="AD35" i="168"/>
  <c r="AC35" i="168"/>
  <c r="AB35" i="168"/>
  <c r="AA35" i="168"/>
  <c r="Z35" i="168"/>
  <c r="Y35" i="168"/>
  <c r="Y13" i="168" s="1"/>
  <c r="X35" i="168"/>
  <c r="X13" i="168" s="1"/>
  <c r="Q35" i="168"/>
  <c r="J35" i="168"/>
  <c r="I35" i="168"/>
  <c r="H35" i="168"/>
  <c r="G35" i="168"/>
  <c r="F35" i="168"/>
  <c r="E35" i="168"/>
  <c r="D35" i="168"/>
  <c r="C35" i="168"/>
  <c r="BY34" i="168"/>
  <c r="BX34" i="168"/>
  <c r="BT34" i="168"/>
  <c r="BS34" i="168"/>
  <c r="BR34" i="168"/>
  <c r="BG34" i="168"/>
  <c r="BF34" i="168"/>
  <c r="BB34" i="168"/>
  <c r="BA34" i="168"/>
  <c r="AZ34" i="168"/>
  <c r="AO34" i="168"/>
  <c r="AN34" i="168"/>
  <c r="AJ34" i="168"/>
  <c r="AI34" i="168"/>
  <c r="AH34" i="168"/>
  <c r="W34" i="168"/>
  <c r="V34" i="168"/>
  <c r="U34" i="168"/>
  <c r="O34" i="168"/>
  <c r="N34" i="168"/>
  <c r="P34" i="168"/>
  <c r="L34" i="168"/>
  <c r="K34" i="168"/>
  <c r="BY33" i="168"/>
  <c r="BX33" i="168"/>
  <c r="BT33" i="168"/>
  <c r="BS33" i="168"/>
  <c r="BR33" i="168"/>
  <c r="BG33" i="168"/>
  <c r="BF33" i="168"/>
  <c r="BB33" i="168"/>
  <c r="BA33" i="168"/>
  <c r="AZ33" i="168"/>
  <c r="AO33" i="168"/>
  <c r="AN33" i="168"/>
  <c r="AJ33" i="168"/>
  <c r="AI33" i="168"/>
  <c r="AH33" i="168"/>
  <c r="W33" i="168"/>
  <c r="V33" i="168"/>
  <c r="U33" i="168"/>
  <c r="O33" i="168"/>
  <c r="N33" i="168"/>
  <c r="P33" i="168"/>
  <c r="L33" i="168"/>
  <c r="K33" i="168"/>
  <c r="BY32" i="168"/>
  <c r="BX32" i="168"/>
  <c r="BT32" i="168"/>
  <c r="BS32" i="168"/>
  <c r="BR32" i="168"/>
  <c r="BG32" i="168"/>
  <c r="BF32" i="168"/>
  <c r="BB32" i="168"/>
  <c r="BA32" i="168"/>
  <c r="AZ32" i="168"/>
  <c r="AO32" i="168"/>
  <c r="AN32" i="168"/>
  <c r="AJ32" i="168"/>
  <c r="AI32" i="168"/>
  <c r="AH32" i="168"/>
  <c r="W32" i="168"/>
  <c r="V32" i="168"/>
  <c r="U32" i="168"/>
  <c r="O32" i="168"/>
  <c r="N32" i="168"/>
  <c r="P32" i="168"/>
  <c r="L32" i="168"/>
  <c r="K32" i="168"/>
  <c r="BY31" i="168"/>
  <c r="BX31" i="168"/>
  <c r="BT31" i="168"/>
  <c r="BS31" i="168"/>
  <c r="BR31" i="168"/>
  <c r="BG31" i="168"/>
  <c r="BF31" i="168"/>
  <c r="BB31" i="168"/>
  <c r="BA31" i="168"/>
  <c r="AZ31" i="168"/>
  <c r="AO31" i="168"/>
  <c r="AN31" i="168"/>
  <c r="AJ31" i="168"/>
  <c r="AI31" i="168"/>
  <c r="AH31" i="168"/>
  <c r="W31" i="168"/>
  <c r="V31" i="168"/>
  <c r="U31" i="168"/>
  <c r="O31" i="168"/>
  <c r="N31" i="168"/>
  <c r="P31" i="168"/>
  <c r="L31" i="168"/>
  <c r="K31" i="168"/>
  <c r="BY30" i="168"/>
  <c r="BX30" i="168"/>
  <c r="BT30" i="168"/>
  <c r="BS30" i="168"/>
  <c r="BR30" i="168"/>
  <c r="BG30" i="168"/>
  <c r="BF30" i="168"/>
  <c r="BB30" i="168"/>
  <c r="BA30" i="168"/>
  <c r="AZ30" i="168"/>
  <c r="AO30" i="168"/>
  <c r="AN30" i="168"/>
  <c r="AJ30" i="168"/>
  <c r="AI30" i="168"/>
  <c r="AH30" i="168"/>
  <c r="W30" i="168"/>
  <c r="V30" i="168"/>
  <c r="U30" i="168"/>
  <c r="O30" i="168"/>
  <c r="N30" i="168"/>
  <c r="P30" i="168"/>
  <c r="L30" i="168"/>
  <c r="K30" i="168"/>
  <c r="BY29" i="168"/>
  <c r="BX29" i="168"/>
  <c r="BT29" i="168"/>
  <c r="BS29" i="168"/>
  <c r="BR29" i="168"/>
  <c r="BG29" i="168"/>
  <c r="BF29" i="168"/>
  <c r="BB29" i="168"/>
  <c r="BA29" i="168"/>
  <c r="AZ29" i="168"/>
  <c r="AO29" i="168"/>
  <c r="AN29" i="168"/>
  <c r="AJ29" i="168"/>
  <c r="AI29" i="168"/>
  <c r="AH29" i="168"/>
  <c r="W29" i="168"/>
  <c r="V29" i="168"/>
  <c r="U29" i="168"/>
  <c r="O29" i="168"/>
  <c r="N29" i="168"/>
  <c r="P29" i="168"/>
  <c r="L29" i="168"/>
  <c r="K29" i="168"/>
  <c r="BY28" i="168"/>
  <c r="BX28" i="168"/>
  <c r="BT28" i="168"/>
  <c r="BS28" i="168"/>
  <c r="BR28" i="168"/>
  <c r="BG28" i="168"/>
  <c r="BF28" i="168"/>
  <c r="BB28" i="168"/>
  <c r="BA28" i="168"/>
  <c r="AZ28" i="168"/>
  <c r="AO28" i="168"/>
  <c r="AN28" i="168"/>
  <c r="AJ28" i="168"/>
  <c r="AI28" i="168"/>
  <c r="AH28" i="168"/>
  <c r="W28" i="168"/>
  <c r="V28" i="168"/>
  <c r="T28" i="168"/>
  <c r="O28" i="168"/>
  <c r="N28" i="168"/>
  <c r="M28" i="168"/>
  <c r="L28" i="168"/>
  <c r="K28" i="168"/>
  <c r="Q16" i="168"/>
  <c r="J16" i="168"/>
  <c r="I16" i="168"/>
  <c r="H16" i="168"/>
  <c r="G16" i="168"/>
  <c r="F16" i="168"/>
  <c r="E16" i="168"/>
  <c r="D16" i="168"/>
  <c r="C16" i="168"/>
  <c r="Q15" i="168"/>
  <c r="J15" i="168"/>
  <c r="I15" i="168"/>
  <c r="H15" i="168"/>
  <c r="G15" i="168"/>
  <c r="F15" i="168"/>
  <c r="E15" i="168"/>
  <c r="D15" i="168"/>
  <c r="C15" i="168"/>
  <c r="T14" i="168"/>
  <c r="Q14" i="168"/>
  <c r="J14" i="168"/>
  <c r="I14" i="168"/>
  <c r="H14" i="168"/>
  <c r="G14" i="168"/>
  <c r="F14" i="168"/>
  <c r="E14" i="168"/>
  <c r="D14" i="168"/>
  <c r="C14" i="168"/>
  <c r="T13" i="168"/>
  <c r="Q13" i="168"/>
  <c r="M13" i="168"/>
  <c r="J13" i="168"/>
  <c r="I13" i="168"/>
  <c r="H13" i="168"/>
  <c r="G13" i="168"/>
  <c r="F13" i="168"/>
  <c r="E13" i="168"/>
  <c r="D13" i="168"/>
  <c r="C13" i="168"/>
  <c r="BI67" i="167"/>
  <c r="BH67" i="167"/>
  <c r="BU58" i="167"/>
  <c r="BQ58" i="167"/>
  <c r="BP58" i="167"/>
  <c r="BO58" i="167"/>
  <c r="BN58" i="167"/>
  <c r="BM58" i="167"/>
  <c r="BL58" i="167"/>
  <c r="BK58" i="167"/>
  <c r="BJ58" i="167"/>
  <c r="BC58" i="167"/>
  <c r="AY58" i="167"/>
  <c r="AX58" i="167"/>
  <c r="AW58" i="167"/>
  <c r="AV58" i="167"/>
  <c r="AU58" i="167"/>
  <c r="AT58" i="167"/>
  <c r="AS58" i="167"/>
  <c r="AR58" i="167"/>
  <c r="AK58" i="167"/>
  <c r="AG58" i="167"/>
  <c r="AF58" i="167"/>
  <c r="AE58" i="167"/>
  <c r="AD58" i="167"/>
  <c r="AC58" i="167"/>
  <c r="AB58" i="167"/>
  <c r="AA58" i="167"/>
  <c r="Z58" i="167"/>
  <c r="Y58" i="167"/>
  <c r="X58" i="167"/>
  <c r="Q58" i="167"/>
  <c r="J58" i="167"/>
  <c r="I58" i="167"/>
  <c r="H58" i="167"/>
  <c r="G58" i="167"/>
  <c r="F58" i="167"/>
  <c r="E58" i="167"/>
  <c r="D58" i="167"/>
  <c r="C58" i="167"/>
  <c r="BY51" i="167"/>
  <c r="BX51" i="167"/>
  <c r="BT51" i="167"/>
  <c r="BS51" i="167"/>
  <c r="BR51" i="167"/>
  <c r="BG51" i="167"/>
  <c r="BF51" i="167"/>
  <c r="BB51" i="167"/>
  <c r="BA51" i="167"/>
  <c r="AZ51" i="167"/>
  <c r="AO51" i="167"/>
  <c r="AN51" i="167"/>
  <c r="AJ51" i="167"/>
  <c r="AI51" i="167"/>
  <c r="AH51" i="167"/>
  <c r="W51" i="167"/>
  <c r="V51" i="167"/>
  <c r="O51" i="167"/>
  <c r="N51" i="167"/>
  <c r="L51" i="167"/>
  <c r="BU50" i="167"/>
  <c r="BQ50" i="167"/>
  <c r="BP50" i="167"/>
  <c r="BO50" i="167"/>
  <c r="BN50" i="167"/>
  <c r="BM50" i="167"/>
  <c r="BL50" i="167"/>
  <c r="BK50" i="167"/>
  <c r="BJ50" i="167"/>
  <c r="BC50" i="167"/>
  <c r="AY50" i="167"/>
  <c r="AX50" i="167"/>
  <c r="AW50" i="167"/>
  <c r="AV50" i="167"/>
  <c r="AU50" i="167"/>
  <c r="AT50" i="167"/>
  <c r="AS50" i="167"/>
  <c r="AR50" i="167"/>
  <c r="AK50" i="167"/>
  <c r="AG50" i="167"/>
  <c r="AF50" i="167"/>
  <c r="AE50" i="167"/>
  <c r="AD50" i="167"/>
  <c r="AC50" i="167"/>
  <c r="AB50" i="167"/>
  <c r="AA50" i="167"/>
  <c r="Z50" i="167"/>
  <c r="Y50" i="167"/>
  <c r="X50" i="167"/>
  <c r="Q50" i="167"/>
  <c r="J50" i="167"/>
  <c r="I50" i="167"/>
  <c r="H50" i="167"/>
  <c r="G50" i="167"/>
  <c r="F50" i="167"/>
  <c r="E50" i="167"/>
  <c r="D50" i="167"/>
  <c r="C50" i="167"/>
  <c r="BY49" i="167"/>
  <c r="BX49" i="167"/>
  <c r="BT49" i="167"/>
  <c r="BS49" i="167"/>
  <c r="BR49" i="167"/>
  <c r="BG49" i="167"/>
  <c r="BF49" i="167"/>
  <c r="BB49" i="167"/>
  <c r="BA49" i="167"/>
  <c r="AZ49" i="167"/>
  <c r="AO49" i="167"/>
  <c r="AN49" i="167"/>
  <c r="AJ49" i="167"/>
  <c r="AI49" i="167"/>
  <c r="AH49" i="167"/>
  <c r="W49" i="167"/>
  <c r="V49" i="167"/>
  <c r="U49" i="167"/>
  <c r="O49" i="167"/>
  <c r="N49" i="167"/>
  <c r="P49" i="167"/>
  <c r="L49" i="167"/>
  <c r="BY48" i="167"/>
  <c r="BX48" i="167"/>
  <c r="BT48" i="167"/>
  <c r="BS48" i="167"/>
  <c r="BR48" i="167"/>
  <c r="BG48" i="167"/>
  <c r="BF48" i="167"/>
  <c r="BB48" i="167"/>
  <c r="BA48" i="167"/>
  <c r="AZ48" i="167"/>
  <c r="AO48" i="167"/>
  <c r="AN48" i="167"/>
  <c r="AJ48" i="167"/>
  <c r="AI48" i="167"/>
  <c r="AH48" i="167"/>
  <c r="W48" i="167"/>
  <c r="V48" i="167"/>
  <c r="U48" i="167"/>
  <c r="O48" i="167"/>
  <c r="N48" i="167"/>
  <c r="P48" i="167"/>
  <c r="L48" i="167"/>
  <c r="BY47" i="167"/>
  <c r="BX47" i="167"/>
  <c r="BT47" i="167"/>
  <c r="BS47" i="167"/>
  <c r="BR47" i="167"/>
  <c r="BG47" i="167"/>
  <c r="BF47" i="167"/>
  <c r="BB47" i="167"/>
  <c r="BA47" i="167"/>
  <c r="AZ47" i="167"/>
  <c r="AO47" i="167"/>
  <c r="AN47" i="167"/>
  <c r="AJ47" i="167"/>
  <c r="AI47" i="167"/>
  <c r="AH47" i="167"/>
  <c r="W47" i="167"/>
  <c r="V47" i="167"/>
  <c r="U47" i="167"/>
  <c r="O47" i="167"/>
  <c r="N47" i="167"/>
  <c r="P47" i="167"/>
  <c r="L47" i="167"/>
  <c r="BY46" i="167"/>
  <c r="BX46" i="167"/>
  <c r="BT46" i="167"/>
  <c r="BS46" i="167"/>
  <c r="BR46" i="167"/>
  <c r="BG46" i="167"/>
  <c r="BF46" i="167"/>
  <c r="BB46" i="167"/>
  <c r="BA46" i="167"/>
  <c r="AZ46" i="167"/>
  <c r="AO46" i="167"/>
  <c r="AN46" i="167"/>
  <c r="AJ46" i="167"/>
  <c r="AI46" i="167"/>
  <c r="AH46" i="167"/>
  <c r="W46" i="167"/>
  <c r="V46" i="167"/>
  <c r="U46" i="167"/>
  <c r="O46" i="167"/>
  <c r="N46" i="167"/>
  <c r="P46" i="167"/>
  <c r="L46" i="167"/>
  <c r="BY45" i="167"/>
  <c r="BX45" i="167"/>
  <c r="BT45" i="167"/>
  <c r="BS45" i="167"/>
  <c r="BR45" i="167"/>
  <c r="BG45" i="167"/>
  <c r="BF45" i="167"/>
  <c r="BB45" i="167"/>
  <c r="BA45" i="167"/>
  <c r="AZ45" i="167"/>
  <c r="AO45" i="167"/>
  <c r="AN45" i="167"/>
  <c r="AJ45" i="167"/>
  <c r="AI45" i="167"/>
  <c r="AH45" i="167"/>
  <c r="W45" i="167"/>
  <c r="V45" i="167"/>
  <c r="U45" i="167"/>
  <c r="O45" i="167"/>
  <c r="N45" i="167"/>
  <c r="P45" i="167"/>
  <c r="L45" i="167"/>
  <c r="BY44" i="167"/>
  <c r="BX44" i="167"/>
  <c r="BT44" i="167"/>
  <c r="BS44" i="167"/>
  <c r="BR44" i="167"/>
  <c r="BG44" i="167"/>
  <c r="BF44" i="167"/>
  <c r="BB44" i="167"/>
  <c r="BA44" i="167"/>
  <c r="AZ44" i="167"/>
  <c r="AO44" i="167"/>
  <c r="AN44" i="167"/>
  <c r="AJ44" i="167"/>
  <c r="AI44" i="167"/>
  <c r="AH44" i="167"/>
  <c r="W44" i="167"/>
  <c r="V44" i="167"/>
  <c r="U44" i="167"/>
  <c r="O44" i="167"/>
  <c r="N44" i="167"/>
  <c r="P44" i="167"/>
  <c r="L44" i="167"/>
  <c r="BY43" i="167"/>
  <c r="BX43" i="167"/>
  <c r="BT43" i="167"/>
  <c r="BS43" i="167"/>
  <c r="BR43" i="167"/>
  <c r="BG43" i="167"/>
  <c r="BF43" i="167"/>
  <c r="BB43" i="167"/>
  <c r="BA43" i="167"/>
  <c r="AZ43" i="167"/>
  <c r="AO43" i="167"/>
  <c r="AN43" i="167"/>
  <c r="AJ43" i="167"/>
  <c r="AI43" i="167"/>
  <c r="AH43" i="167"/>
  <c r="W43" i="167"/>
  <c r="V43" i="167"/>
  <c r="U43" i="167"/>
  <c r="O43" i="167"/>
  <c r="N43" i="167"/>
  <c r="L43" i="167"/>
  <c r="BU42" i="167"/>
  <c r="BQ42" i="167"/>
  <c r="BP42" i="167"/>
  <c r="BO42" i="167"/>
  <c r="BN42" i="167"/>
  <c r="BM42" i="167"/>
  <c r="BL42" i="167"/>
  <c r="BK42" i="167"/>
  <c r="BJ42" i="167"/>
  <c r="BC42" i="167"/>
  <c r="AY42" i="167"/>
  <c r="AX42" i="167"/>
  <c r="AW42" i="167"/>
  <c r="AV42" i="167"/>
  <c r="AU42" i="167"/>
  <c r="AT42" i="167"/>
  <c r="AS42" i="167"/>
  <c r="AR42" i="167"/>
  <c r="AK42" i="167"/>
  <c r="AG42" i="167"/>
  <c r="AF42" i="167"/>
  <c r="AE42" i="167"/>
  <c r="AD42" i="167"/>
  <c r="AC42" i="167"/>
  <c r="AB42" i="167"/>
  <c r="AA42" i="167"/>
  <c r="Z42" i="167"/>
  <c r="Y42" i="167"/>
  <c r="Y13" i="167" s="1"/>
  <c r="X42" i="167"/>
  <c r="X13" i="167" s="1"/>
  <c r="Q42" i="167"/>
  <c r="J42" i="167"/>
  <c r="I42" i="167"/>
  <c r="H42" i="167"/>
  <c r="G42" i="167"/>
  <c r="F42" i="167"/>
  <c r="E42" i="167"/>
  <c r="D42" i="167"/>
  <c r="C42" i="167"/>
  <c r="BY41" i="167"/>
  <c r="BX41" i="167"/>
  <c r="BT41" i="167"/>
  <c r="BS41" i="167"/>
  <c r="BR41" i="167"/>
  <c r="BG41" i="167"/>
  <c r="BF41" i="167"/>
  <c r="BB41" i="167"/>
  <c r="BA41" i="167"/>
  <c r="AZ41" i="167"/>
  <c r="AO41" i="167"/>
  <c r="AN41" i="167"/>
  <c r="AJ41" i="167"/>
  <c r="AI41" i="167"/>
  <c r="AH41" i="167"/>
  <c r="W41" i="167"/>
  <c r="V41" i="167"/>
  <c r="U41" i="167"/>
  <c r="O41" i="167"/>
  <c r="N41" i="167"/>
  <c r="P41" i="167"/>
  <c r="L41" i="167"/>
  <c r="BY40" i="167"/>
  <c r="BX40" i="167"/>
  <c r="BT40" i="167"/>
  <c r="BS40" i="167"/>
  <c r="BR40" i="167"/>
  <c r="BG40" i="167"/>
  <c r="BF40" i="167"/>
  <c r="BB40" i="167"/>
  <c r="BA40" i="167"/>
  <c r="AZ40" i="167"/>
  <c r="AO40" i="167"/>
  <c r="AN40" i="167"/>
  <c r="AJ40" i="167"/>
  <c r="AI40" i="167"/>
  <c r="AH40" i="167"/>
  <c r="W40" i="167"/>
  <c r="V40" i="167"/>
  <c r="U40" i="167"/>
  <c r="O40" i="167"/>
  <c r="N40" i="167"/>
  <c r="P40" i="167"/>
  <c r="L40" i="167"/>
  <c r="BY39" i="167"/>
  <c r="BX39" i="167"/>
  <c r="BT39" i="167"/>
  <c r="BS39" i="167"/>
  <c r="BR39" i="167"/>
  <c r="BG39" i="167"/>
  <c r="BF39" i="167"/>
  <c r="BB39" i="167"/>
  <c r="BA39" i="167"/>
  <c r="AZ39" i="167"/>
  <c r="AO39" i="167"/>
  <c r="AN39" i="167"/>
  <c r="AJ39" i="167"/>
  <c r="AI39" i="167"/>
  <c r="AH39" i="167"/>
  <c r="W39" i="167"/>
  <c r="V39" i="167"/>
  <c r="U39" i="167"/>
  <c r="O39" i="167"/>
  <c r="N39" i="167"/>
  <c r="P39" i="167"/>
  <c r="L39" i="167"/>
  <c r="BY38" i="167"/>
  <c r="BX38" i="167"/>
  <c r="BT38" i="167"/>
  <c r="BS38" i="167"/>
  <c r="BR38" i="167"/>
  <c r="BG38" i="167"/>
  <c r="BF38" i="167"/>
  <c r="BB38" i="167"/>
  <c r="BA38" i="167"/>
  <c r="AZ38" i="167"/>
  <c r="AO38" i="167"/>
  <c r="AN38" i="167"/>
  <c r="AJ38" i="167"/>
  <c r="AI38" i="167"/>
  <c r="AH38" i="167"/>
  <c r="W38" i="167"/>
  <c r="V38" i="167"/>
  <c r="U38" i="167"/>
  <c r="O38" i="167"/>
  <c r="N38" i="167"/>
  <c r="P38" i="167"/>
  <c r="L38" i="167"/>
  <c r="BY37" i="167"/>
  <c r="BX37" i="167"/>
  <c r="BT37" i="167"/>
  <c r="BS37" i="167"/>
  <c r="BR37" i="167"/>
  <c r="BG37" i="167"/>
  <c r="BF37" i="167"/>
  <c r="BB37" i="167"/>
  <c r="BA37" i="167"/>
  <c r="AZ37" i="167"/>
  <c r="AO37" i="167"/>
  <c r="AN37" i="167"/>
  <c r="AJ37" i="167"/>
  <c r="AI37" i="167"/>
  <c r="AH37" i="167"/>
  <c r="W37" i="167"/>
  <c r="V37" i="167"/>
  <c r="U37" i="167"/>
  <c r="O37" i="167"/>
  <c r="N37" i="167"/>
  <c r="P37" i="167"/>
  <c r="L37" i="167"/>
  <c r="BY36" i="167"/>
  <c r="BX36" i="167"/>
  <c r="BT36" i="167"/>
  <c r="BS36" i="167"/>
  <c r="BR36" i="167"/>
  <c r="BG36" i="167"/>
  <c r="BF36" i="167"/>
  <c r="BB36" i="167"/>
  <c r="BA36" i="167"/>
  <c r="AZ36" i="167"/>
  <c r="AO36" i="167"/>
  <c r="AN36" i="167"/>
  <c r="AJ36" i="167"/>
  <c r="AI36" i="167"/>
  <c r="AH36" i="167"/>
  <c r="W36" i="167"/>
  <c r="V36" i="167"/>
  <c r="U36" i="167"/>
  <c r="O36" i="167"/>
  <c r="N36" i="167"/>
  <c r="P36" i="167"/>
  <c r="L36" i="167"/>
  <c r="BY35" i="167"/>
  <c r="BX35" i="167"/>
  <c r="BT35" i="167"/>
  <c r="BS35" i="167"/>
  <c r="BR35" i="167"/>
  <c r="BG35" i="167"/>
  <c r="BF35" i="167"/>
  <c r="BB35" i="167"/>
  <c r="BA35" i="167"/>
  <c r="AZ35" i="167"/>
  <c r="AO35" i="167"/>
  <c r="AN35" i="167"/>
  <c r="AJ35" i="167"/>
  <c r="AI35" i="167"/>
  <c r="AH35" i="167"/>
  <c r="W35" i="167"/>
  <c r="V35" i="167"/>
  <c r="O35" i="167"/>
  <c r="N35" i="167"/>
  <c r="P35" i="167"/>
  <c r="L35" i="167"/>
  <c r="BU34" i="167"/>
  <c r="BQ34" i="167"/>
  <c r="BP34" i="167"/>
  <c r="BO34" i="167"/>
  <c r="BN34" i="167"/>
  <c r="BM34" i="167"/>
  <c r="BL34" i="167"/>
  <c r="BK34" i="167"/>
  <c r="BJ34" i="167"/>
  <c r="BC34" i="167"/>
  <c r="AY34" i="167"/>
  <c r="AX34" i="167"/>
  <c r="AW34" i="167"/>
  <c r="AV34" i="167"/>
  <c r="AU34" i="167"/>
  <c r="AT34" i="167"/>
  <c r="AS34" i="167"/>
  <c r="AR34" i="167"/>
  <c r="AK34" i="167"/>
  <c r="AG34" i="167"/>
  <c r="AF34" i="167"/>
  <c r="AE34" i="167"/>
  <c r="AD34" i="167"/>
  <c r="AC34" i="167"/>
  <c r="AB34" i="167"/>
  <c r="AA34" i="167"/>
  <c r="Z34" i="167"/>
  <c r="Y12" i="167"/>
  <c r="X34" i="167"/>
  <c r="X12" i="167" s="1"/>
  <c r="Q34" i="167"/>
  <c r="J34" i="167"/>
  <c r="K60" i="167" s="1"/>
  <c r="I34" i="167"/>
  <c r="I75" i="153" s="1"/>
  <c r="H34" i="167"/>
  <c r="G34" i="167"/>
  <c r="F34" i="167"/>
  <c r="E34" i="167"/>
  <c r="E21" i="153" s="1"/>
  <c r="N21" i="153" s="1"/>
  <c r="D34" i="167"/>
  <c r="C34" i="167"/>
  <c r="BY33" i="167"/>
  <c r="BX33" i="167"/>
  <c r="BT33" i="167"/>
  <c r="BS33" i="167"/>
  <c r="BR33" i="167"/>
  <c r="BG33" i="167"/>
  <c r="BF33" i="167"/>
  <c r="BB33" i="167"/>
  <c r="BA33" i="167"/>
  <c r="AZ33" i="167"/>
  <c r="AO33" i="167"/>
  <c r="AN33" i="167"/>
  <c r="AJ33" i="167"/>
  <c r="AI33" i="167"/>
  <c r="AH33" i="167"/>
  <c r="W33" i="167"/>
  <c r="V33" i="167"/>
  <c r="U33" i="167"/>
  <c r="O33" i="167"/>
  <c r="N33" i="167"/>
  <c r="P33" i="167"/>
  <c r="L33" i="167"/>
  <c r="K33" i="167"/>
  <c r="BY32" i="167"/>
  <c r="BX32" i="167"/>
  <c r="BT32" i="167"/>
  <c r="BS32" i="167"/>
  <c r="BR32" i="167"/>
  <c r="BG32" i="167"/>
  <c r="BF32" i="167"/>
  <c r="BB32" i="167"/>
  <c r="BA32" i="167"/>
  <c r="AZ32" i="167"/>
  <c r="AO32" i="167"/>
  <c r="AN32" i="167"/>
  <c r="AJ32" i="167"/>
  <c r="AI32" i="167"/>
  <c r="AH32" i="167"/>
  <c r="W32" i="167"/>
  <c r="V32" i="167"/>
  <c r="U32" i="167"/>
  <c r="O32" i="167"/>
  <c r="N32" i="167"/>
  <c r="P32" i="167"/>
  <c r="L32" i="167"/>
  <c r="K32" i="167"/>
  <c r="BY31" i="167"/>
  <c r="BX31" i="167"/>
  <c r="BT31" i="167"/>
  <c r="BS31" i="167"/>
  <c r="BR31" i="167"/>
  <c r="BG31" i="167"/>
  <c r="BF31" i="167"/>
  <c r="BB31" i="167"/>
  <c r="BA31" i="167"/>
  <c r="AZ31" i="167"/>
  <c r="AN31" i="167"/>
  <c r="AJ31" i="167"/>
  <c r="AI31" i="167"/>
  <c r="AH31" i="167"/>
  <c r="W31" i="167"/>
  <c r="V31" i="167"/>
  <c r="O31" i="167"/>
  <c r="N31" i="167"/>
  <c r="P31" i="167"/>
  <c r="L31" i="167"/>
  <c r="K31" i="167"/>
  <c r="BY30" i="167"/>
  <c r="BX30" i="167"/>
  <c r="BT30" i="167"/>
  <c r="BS30" i="167"/>
  <c r="BR30" i="167"/>
  <c r="BG30" i="167"/>
  <c r="BF30" i="167"/>
  <c r="BB30" i="167"/>
  <c r="BA30" i="167"/>
  <c r="AZ30" i="167"/>
  <c r="AO30" i="167"/>
  <c r="AN30" i="167"/>
  <c r="AJ30" i="167"/>
  <c r="AI30" i="167"/>
  <c r="AH30" i="167"/>
  <c r="W30" i="167"/>
  <c r="V30" i="167"/>
  <c r="O30" i="167"/>
  <c r="N30" i="167"/>
  <c r="P30" i="167"/>
  <c r="L30" i="167"/>
  <c r="K30" i="167"/>
  <c r="BY29" i="167"/>
  <c r="BX29" i="167"/>
  <c r="BT29" i="167"/>
  <c r="BS29" i="167"/>
  <c r="BR29" i="167"/>
  <c r="BG29" i="167"/>
  <c r="BF29" i="167"/>
  <c r="BB29" i="167"/>
  <c r="BA29" i="167"/>
  <c r="AZ29" i="167"/>
  <c r="AO29" i="167"/>
  <c r="AN29" i="167"/>
  <c r="AJ29" i="167"/>
  <c r="AI29" i="167"/>
  <c r="AH29" i="167"/>
  <c r="W29" i="167"/>
  <c r="V29" i="167"/>
  <c r="U29" i="167"/>
  <c r="O29" i="167"/>
  <c r="N29" i="167"/>
  <c r="P29" i="167"/>
  <c r="L29" i="167"/>
  <c r="K29" i="167"/>
  <c r="BY28" i="167"/>
  <c r="BX28" i="167"/>
  <c r="BT28" i="167"/>
  <c r="BS28" i="167"/>
  <c r="BR28" i="167"/>
  <c r="BG28" i="167"/>
  <c r="BF28" i="167"/>
  <c r="BB28" i="167"/>
  <c r="BA28" i="167"/>
  <c r="AZ28" i="167"/>
  <c r="AO28" i="167"/>
  <c r="AN28" i="167"/>
  <c r="AJ28" i="167"/>
  <c r="AI28" i="167"/>
  <c r="AH28" i="167"/>
  <c r="W28" i="167"/>
  <c r="V28" i="167"/>
  <c r="U28" i="167"/>
  <c r="O28" i="167"/>
  <c r="N28" i="167"/>
  <c r="P28" i="167"/>
  <c r="L28" i="167"/>
  <c r="K28" i="167"/>
  <c r="BY27" i="167"/>
  <c r="BX27" i="167"/>
  <c r="BT27" i="167"/>
  <c r="BS27" i="167"/>
  <c r="BR27" i="167"/>
  <c r="BG27" i="167"/>
  <c r="BF27" i="167"/>
  <c r="BB27" i="167"/>
  <c r="BA27" i="167"/>
  <c r="AZ27" i="167"/>
  <c r="AO27" i="167"/>
  <c r="AN27" i="167"/>
  <c r="AJ27" i="167"/>
  <c r="AI27" i="167"/>
  <c r="AH27" i="167"/>
  <c r="W27" i="167"/>
  <c r="V27" i="167"/>
  <c r="T27" i="167"/>
  <c r="O27" i="167"/>
  <c r="N27" i="167"/>
  <c r="M27" i="167"/>
  <c r="L27" i="167"/>
  <c r="K27" i="167"/>
  <c r="Q15" i="167"/>
  <c r="J15" i="167"/>
  <c r="K15" i="167" s="1"/>
  <c r="I15" i="167"/>
  <c r="H15" i="167"/>
  <c r="G15" i="167"/>
  <c r="F15" i="167"/>
  <c r="E15" i="167"/>
  <c r="D15" i="167"/>
  <c r="C15" i="167"/>
  <c r="Q14" i="167"/>
  <c r="J14" i="167"/>
  <c r="I14" i="167"/>
  <c r="H14" i="167"/>
  <c r="G14" i="167"/>
  <c r="F14" i="167"/>
  <c r="E14" i="167"/>
  <c r="D14" i="167"/>
  <c r="C14" i="167"/>
  <c r="T13" i="167"/>
  <c r="Q13" i="167"/>
  <c r="M13" i="167"/>
  <c r="J13" i="167"/>
  <c r="I13" i="167"/>
  <c r="H13" i="167"/>
  <c r="G13" i="167"/>
  <c r="F13" i="167"/>
  <c r="E13" i="167"/>
  <c r="D13" i="167"/>
  <c r="C13" i="167"/>
  <c r="T12" i="167"/>
  <c r="Q12" i="167"/>
  <c r="M12" i="167"/>
  <c r="J12" i="167"/>
  <c r="I12" i="167"/>
  <c r="H12" i="167"/>
  <c r="G12" i="167"/>
  <c r="F12" i="167"/>
  <c r="E12" i="167"/>
  <c r="D12" i="167"/>
  <c r="C12" i="167"/>
  <c r="AL63" i="165"/>
  <c r="AK63" i="165"/>
  <c r="AA63" i="165"/>
  <c r="Z63" i="165"/>
  <c r="W63" i="165"/>
  <c r="V63" i="165"/>
  <c r="AQ57" i="165"/>
  <c r="AO57" i="165"/>
  <c r="AN57" i="165"/>
  <c r="AM57" i="165"/>
  <c r="AF57" i="165"/>
  <c r="AD57" i="165"/>
  <c r="AC57" i="165"/>
  <c r="AB57" i="165"/>
  <c r="U57" i="165"/>
  <c r="S57" i="165"/>
  <c r="R57" i="165"/>
  <c r="Q57" i="165"/>
  <c r="P57" i="165"/>
  <c r="O57" i="165"/>
  <c r="H57" i="165"/>
  <c r="E57" i="165"/>
  <c r="D57" i="165"/>
  <c r="C57" i="165"/>
  <c r="AU56" i="165"/>
  <c r="AT56" i="165"/>
  <c r="AP56" i="165"/>
  <c r="AJ56" i="165"/>
  <c r="AI56" i="165"/>
  <c r="AE56" i="165"/>
  <c r="Y56" i="165"/>
  <c r="X56" i="165"/>
  <c r="T56" i="165"/>
  <c r="N56" i="165"/>
  <c r="M56" i="165"/>
  <c r="L56" i="165"/>
  <c r="G56" i="165"/>
  <c r="AU55" i="165"/>
  <c r="AT55" i="165"/>
  <c r="AP55" i="165"/>
  <c r="AJ55" i="165"/>
  <c r="AI55" i="165"/>
  <c r="AE55" i="165"/>
  <c r="Y55" i="165"/>
  <c r="X55" i="165"/>
  <c r="T55" i="165"/>
  <c r="N55" i="165"/>
  <c r="M55" i="165"/>
  <c r="L55" i="165"/>
  <c r="G55" i="165"/>
  <c r="AU54" i="165"/>
  <c r="AT54" i="165"/>
  <c r="AP54" i="165"/>
  <c r="AJ54" i="165"/>
  <c r="AI54" i="165"/>
  <c r="AE54" i="165"/>
  <c r="Y54" i="165"/>
  <c r="X54" i="165"/>
  <c r="T54" i="165"/>
  <c r="N54" i="165"/>
  <c r="M54" i="165"/>
  <c r="L54" i="165"/>
  <c r="G54" i="165"/>
  <c r="AU53" i="165"/>
  <c r="AT53" i="165"/>
  <c r="AP53" i="165"/>
  <c r="AJ53" i="165"/>
  <c r="AI53" i="165"/>
  <c r="AE53" i="165"/>
  <c r="Y53" i="165"/>
  <c r="X53" i="165"/>
  <c r="T53" i="165"/>
  <c r="N53" i="165"/>
  <c r="M53" i="165"/>
  <c r="L53" i="165"/>
  <c r="G53" i="165"/>
  <c r="AU52" i="165"/>
  <c r="AT52" i="165"/>
  <c r="AP52" i="165"/>
  <c r="AJ52" i="165"/>
  <c r="AI52" i="165"/>
  <c r="AE52" i="165"/>
  <c r="Y52" i="165"/>
  <c r="X52" i="165"/>
  <c r="T52" i="165"/>
  <c r="N52" i="165"/>
  <c r="M52" i="165"/>
  <c r="L52" i="165"/>
  <c r="G52" i="165"/>
  <c r="AU51" i="165"/>
  <c r="AT51" i="165"/>
  <c r="AP51" i="165"/>
  <c r="AJ51" i="165"/>
  <c r="AI51" i="165"/>
  <c r="AE51" i="165"/>
  <c r="Y51" i="165"/>
  <c r="X51" i="165"/>
  <c r="T51" i="165"/>
  <c r="N51" i="165"/>
  <c r="M51" i="165"/>
  <c r="L51" i="165"/>
  <c r="G51" i="165"/>
  <c r="AU50" i="165"/>
  <c r="AT50" i="165"/>
  <c r="AP50" i="165"/>
  <c r="AJ50" i="165"/>
  <c r="AI50" i="165"/>
  <c r="AE50" i="165"/>
  <c r="Y50" i="165"/>
  <c r="X50" i="165"/>
  <c r="T50" i="165"/>
  <c r="N50" i="165"/>
  <c r="M50" i="165"/>
  <c r="G50" i="165"/>
  <c r="AQ49" i="165"/>
  <c r="AO49" i="165"/>
  <c r="AN49" i="165"/>
  <c r="AM49" i="165"/>
  <c r="AF49" i="165"/>
  <c r="AD49" i="165"/>
  <c r="AC49" i="165"/>
  <c r="AB49" i="165"/>
  <c r="U49" i="165"/>
  <c r="S49" i="165"/>
  <c r="R49" i="165"/>
  <c r="Q49" i="165"/>
  <c r="P49" i="165"/>
  <c r="P16" i="165" s="1"/>
  <c r="O49" i="165"/>
  <c r="O16" i="165" s="1"/>
  <c r="H49" i="165"/>
  <c r="E49" i="165"/>
  <c r="D49" i="165"/>
  <c r="C49" i="165"/>
  <c r="AU48" i="165"/>
  <c r="AT48" i="165"/>
  <c r="AP48" i="165"/>
  <c r="AJ48" i="165"/>
  <c r="AI48" i="165"/>
  <c r="AE48" i="165"/>
  <c r="Y48" i="165"/>
  <c r="X48" i="165"/>
  <c r="T48" i="165"/>
  <c r="N48" i="165"/>
  <c r="M48" i="165"/>
  <c r="L48" i="165"/>
  <c r="G48" i="165"/>
  <c r="AU47" i="165"/>
  <c r="AT47" i="165"/>
  <c r="AP47" i="165"/>
  <c r="AJ47" i="165"/>
  <c r="AI47" i="165"/>
  <c r="AE47" i="165"/>
  <c r="Y47" i="165"/>
  <c r="X47" i="165"/>
  <c r="T47" i="165"/>
  <c r="N47" i="165"/>
  <c r="M47" i="165"/>
  <c r="L47" i="165"/>
  <c r="G47" i="165"/>
  <c r="AU46" i="165"/>
  <c r="AT46" i="165"/>
  <c r="AP46" i="165"/>
  <c r="AJ46" i="165"/>
  <c r="AI46" i="165"/>
  <c r="AE46" i="165"/>
  <c r="Y46" i="165"/>
  <c r="X46" i="165"/>
  <c r="T46" i="165"/>
  <c r="N46" i="165"/>
  <c r="M46" i="165"/>
  <c r="L46" i="165"/>
  <c r="G46" i="165"/>
  <c r="AU45" i="165"/>
  <c r="AT45" i="165"/>
  <c r="AP45" i="165"/>
  <c r="AJ45" i="165"/>
  <c r="AI45" i="165"/>
  <c r="AE45" i="165"/>
  <c r="Y45" i="165"/>
  <c r="X45" i="165"/>
  <c r="T45" i="165"/>
  <c r="N45" i="165"/>
  <c r="M45" i="165"/>
  <c r="L45" i="165"/>
  <c r="G45" i="165"/>
  <c r="AU44" i="165"/>
  <c r="AT44" i="165"/>
  <c r="AP44" i="165"/>
  <c r="AJ44" i="165"/>
  <c r="AI44" i="165"/>
  <c r="AE44" i="165"/>
  <c r="Y44" i="165"/>
  <c r="X44" i="165"/>
  <c r="T44" i="165"/>
  <c r="N44" i="165"/>
  <c r="M44" i="165"/>
  <c r="L44" i="165"/>
  <c r="G44" i="165"/>
  <c r="AU43" i="165"/>
  <c r="AT43" i="165"/>
  <c r="AP43" i="165"/>
  <c r="AJ43" i="165"/>
  <c r="AI43" i="165"/>
  <c r="AE43" i="165"/>
  <c r="Y43" i="165"/>
  <c r="X43" i="165"/>
  <c r="T43" i="165"/>
  <c r="N43" i="165"/>
  <c r="M43" i="165"/>
  <c r="L43" i="165"/>
  <c r="G43" i="165"/>
  <c r="AU42" i="165"/>
  <c r="AT42" i="165"/>
  <c r="AP42" i="165"/>
  <c r="AJ42" i="165"/>
  <c r="AI42" i="165"/>
  <c r="AE42" i="165"/>
  <c r="Y42" i="165"/>
  <c r="X42" i="165"/>
  <c r="T42" i="165"/>
  <c r="N42" i="165"/>
  <c r="M42" i="165"/>
  <c r="L42" i="165"/>
  <c r="G42" i="165"/>
  <c r="AQ41" i="165"/>
  <c r="AO41" i="165"/>
  <c r="AN41" i="165"/>
  <c r="AM41" i="165"/>
  <c r="AF41" i="165"/>
  <c r="AD41" i="165"/>
  <c r="AC41" i="165"/>
  <c r="AB41" i="165"/>
  <c r="U41" i="165"/>
  <c r="S41" i="165"/>
  <c r="R41" i="165"/>
  <c r="Q41" i="165"/>
  <c r="P41" i="165"/>
  <c r="P15" i="165" s="1"/>
  <c r="O41" i="165"/>
  <c r="O15" i="165" s="1"/>
  <c r="H41" i="165"/>
  <c r="E41" i="165"/>
  <c r="D41" i="165"/>
  <c r="C41" i="165"/>
  <c r="AU40" i="165"/>
  <c r="AT40" i="165"/>
  <c r="AP40" i="165"/>
  <c r="AJ40" i="165"/>
  <c r="AI40" i="165"/>
  <c r="AE40" i="165"/>
  <c r="Y40" i="165"/>
  <c r="X40" i="165"/>
  <c r="T40" i="165"/>
  <c r="N40" i="165"/>
  <c r="M40" i="165"/>
  <c r="L40" i="165"/>
  <c r="G40" i="165"/>
  <c r="AU39" i="165"/>
  <c r="AT39" i="165"/>
  <c r="AP39" i="165"/>
  <c r="AJ39" i="165"/>
  <c r="AI39" i="165"/>
  <c r="AE39" i="165"/>
  <c r="Y39" i="165"/>
  <c r="X39" i="165"/>
  <c r="T39" i="165"/>
  <c r="N39" i="165"/>
  <c r="M39" i="165"/>
  <c r="L39" i="165"/>
  <c r="G39" i="165"/>
  <c r="AU38" i="165"/>
  <c r="AT38" i="165"/>
  <c r="AP38" i="165"/>
  <c r="AJ38" i="165"/>
  <c r="AI38" i="165"/>
  <c r="AE38" i="165"/>
  <c r="Y38" i="165"/>
  <c r="X38" i="165"/>
  <c r="N38" i="165"/>
  <c r="M38" i="165"/>
  <c r="L38" i="165"/>
  <c r="G38" i="165"/>
  <c r="AU37" i="165"/>
  <c r="AT37" i="165"/>
  <c r="AP37" i="165"/>
  <c r="AJ37" i="165"/>
  <c r="AI37" i="165"/>
  <c r="AE37" i="165"/>
  <c r="Y37" i="165"/>
  <c r="X37" i="165"/>
  <c r="T37" i="165"/>
  <c r="N37" i="165"/>
  <c r="M37" i="165"/>
  <c r="L37" i="165"/>
  <c r="G37" i="165"/>
  <c r="AU36" i="165"/>
  <c r="AT36" i="165"/>
  <c r="AP36" i="165"/>
  <c r="AJ36" i="165"/>
  <c r="AI36" i="165"/>
  <c r="AE36" i="165"/>
  <c r="Y36" i="165"/>
  <c r="X36" i="165"/>
  <c r="T36" i="165"/>
  <c r="N36" i="165"/>
  <c r="M36" i="165"/>
  <c r="L36" i="165"/>
  <c r="G36" i="165"/>
  <c r="AU35" i="165"/>
  <c r="AT35" i="165"/>
  <c r="AP35" i="165"/>
  <c r="AJ35" i="165"/>
  <c r="AI35" i="165"/>
  <c r="AE35" i="165"/>
  <c r="Y35" i="165"/>
  <c r="X35" i="165"/>
  <c r="T35" i="165"/>
  <c r="N35" i="165"/>
  <c r="M35" i="165"/>
  <c r="L35" i="165"/>
  <c r="G35" i="165"/>
  <c r="AU34" i="165"/>
  <c r="AT34" i="165"/>
  <c r="AP34" i="165"/>
  <c r="AJ34" i="165"/>
  <c r="AI34" i="165"/>
  <c r="AE34" i="165"/>
  <c r="Y34" i="165"/>
  <c r="X34" i="165"/>
  <c r="T34" i="165"/>
  <c r="N34" i="165"/>
  <c r="M34" i="165"/>
  <c r="G34" i="165"/>
  <c r="AQ33" i="165"/>
  <c r="AO33" i="165"/>
  <c r="AN33" i="165"/>
  <c r="AM33" i="165"/>
  <c r="AF33" i="165"/>
  <c r="AD33" i="165"/>
  <c r="AC33" i="165"/>
  <c r="AB33" i="165"/>
  <c r="U33" i="165"/>
  <c r="S33" i="165"/>
  <c r="R33" i="165"/>
  <c r="Q33" i="165"/>
  <c r="P33" i="165"/>
  <c r="P14" i="165" s="1"/>
  <c r="O33" i="165"/>
  <c r="O14" i="165" s="1"/>
  <c r="H33" i="165"/>
  <c r="E33" i="165"/>
  <c r="D33" i="165"/>
  <c r="C33" i="165"/>
  <c r="AU32" i="165"/>
  <c r="AT32" i="165"/>
  <c r="AP32" i="165"/>
  <c r="AJ32" i="165"/>
  <c r="AI32" i="165"/>
  <c r="AE32" i="165"/>
  <c r="Y32" i="165"/>
  <c r="X32" i="165"/>
  <c r="T32" i="165"/>
  <c r="N32" i="165"/>
  <c r="M32" i="165"/>
  <c r="G32" i="165"/>
  <c r="AU31" i="165"/>
  <c r="AT31" i="165"/>
  <c r="AP31" i="165"/>
  <c r="AJ31" i="165"/>
  <c r="AI31" i="165"/>
  <c r="AE31" i="165"/>
  <c r="Y31" i="165"/>
  <c r="X31" i="165"/>
  <c r="T31" i="165"/>
  <c r="N31" i="165"/>
  <c r="M31" i="165"/>
  <c r="G31" i="165"/>
  <c r="AU30" i="165"/>
  <c r="AT30" i="165"/>
  <c r="AP30" i="165"/>
  <c r="AJ30" i="165"/>
  <c r="AI30" i="165"/>
  <c r="AE30" i="165"/>
  <c r="Y30" i="165"/>
  <c r="X30" i="165"/>
  <c r="T30" i="165"/>
  <c r="N30" i="165"/>
  <c r="G30" i="165"/>
  <c r="AU29" i="165"/>
  <c r="AT29" i="165"/>
  <c r="AP29" i="165"/>
  <c r="AJ29" i="165"/>
  <c r="AI29" i="165"/>
  <c r="AE29" i="165"/>
  <c r="Y29" i="165"/>
  <c r="X29" i="165"/>
  <c r="T29" i="165"/>
  <c r="N29" i="165"/>
  <c r="G29" i="165"/>
  <c r="AU28" i="165"/>
  <c r="AT28" i="165"/>
  <c r="AP28" i="165"/>
  <c r="AJ28" i="165"/>
  <c r="AI28" i="165"/>
  <c r="AE28" i="165"/>
  <c r="Y28" i="165"/>
  <c r="X28" i="165"/>
  <c r="T28" i="165"/>
  <c r="N28" i="165"/>
  <c r="G28" i="165"/>
  <c r="AU27" i="165"/>
  <c r="AT27" i="165"/>
  <c r="AP27" i="165"/>
  <c r="AJ27" i="165"/>
  <c r="AI27" i="165"/>
  <c r="AE27" i="165"/>
  <c r="Y27" i="165"/>
  <c r="X27" i="165"/>
  <c r="T27" i="165"/>
  <c r="N27" i="165"/>
  <c r="G27" i="165"/>
  <c r="AU26" i="165"/>
  <c r="AT26" i="165"/>
  <c r="AP26" i="165"/>
  <c r="AJ26" i="165"/>
  <c r="AI26" i="165"/>
  <c r="AE26" i="165"/>
  <c r="Y26" i="165"/>
  <c r="X26" i="165"/>
  <c r="T26" i="165"/>
  <c r="N26" i="165"/>
  <c r="M26" i="165"/>
  <c r="G26" i="165"/>
  <c r="H17" i="165"/>
  <c r="E17" i="165"/>
  <c r="D17" i="165"/>
  <c r="C17" i="165"/>
  <c r="H16" i="165"/>
  <c r="L16" i="165" s="1"/>
  <c r="E16" i="165"/>
  <c r="D16" i="165"/>
  <c r="C16" i="165"/>
  <c r="H15" i="165"/>
  <c r="E15" i="165"/>
  <c r="D15" i="165"/>
  <c r="C15" i="165"/>
  <c r="H14" i="165"/>
  <c r="L14" i="165" s="1"/>
  <c r="E14" i="165"/>
  <c r="D14" i="165"/>
  <c r="C14" i="165"/>
  <c r="K11" i="160"/>
  <c r="K12" i="160"/>
  <c r="K13" i="160"/>
  <c r="K14" i="160"/>
  <c r="K15" i="160"/>
  <c r="K16" i="160"/>
  <c r="K17" i="160"/>
  <c r="K18" i="160"/>
  <c r="K19" i="160"/>
  <c r="K20" i="160"/>
  <c r="K21" i="160"/>
  <c r="K22" i="160"/>
  <c r="K23" i="160"/>
  <c r="K24" i="160"/>
  <c r="K25" i="160"/>
  <c r="K26" i="160"/>
  <c r="K27" i="160"/>
  <c r="K28" i="160"/>
  <c r="K29" i="160"/>
  <c r="K30" i="160"/>
  <c r="K31" i="160"/>
  <c r="K32" i="160"/>
  <c r="K33" i="160"/>
  <c r="K34" i="160"/>
  <c r="K35" i="160"/>
  <c r="K36" i="160"/>
  <c r="K37" i="160"/>
  <c r="K38" i="160"/>
  <c r="K39" i="160"/>
  <c r="K40" i="160"/>
  <c r="K41" i="160"/>
  <c r="I12" i="160"/>
  <c r="I13" i="160"/>
  <c r="I14" i="160"/>
  <c r="I15" i="160"/>
  <c r="I16" i="160"/>
  <c r="I17" i="160"/>
  <c r="I18" i="160"/>
  <c r="I19" i="160"/>
  <c r="I20" i="160"/>
  <c r="I21" i="160"/>
  <c r="I22" i="160"/>
  <c r="I23" i="160"/>
  <c r="I24" i="160"/>
  <c r="I25" i="160"/>
  <c r="I26" i="160"/>
  <c r="I27" i="160"/>
  <c r="I11" i="160"/>
  <c r="I63" i="160"/>
  <c r="I64" i="160"/>
  <c r="I65" i="160"/>
  <c r="K42" i="160"/>
  <c r="K43" i="160"/>
  <c r="K44" i="160"/>
  <c r="K45" i="160"/>
  <c r="N45" i="160"/>
  <c r="R45" i="160"/>
  <c r="V45" i="160"/>
  <c r="Z45" i="160"/>
  <c r="BX52" i="155"/>
  <c r="BY52" i="155"/>
  <c r="BX53" i="155"/>
  <c r="BY53" i="155"/>
  <c r="BX54" i="155"/>
  <c r="BY54" i="155"/>
  <c r="BX55" i="155"/>
  <c r="BY55" i="155"/>
  <c r="BR52" i="155"/>
  <c r="BS52" i="155"/>
  <c r="BT52" i="155"/>
  <c r="BR53" i="155"/>
  <c r="BS53" i="155"/>
  <c r="BT53" i="155"/>
  <c r="BR54" i="155"/>
  <c r="BS54" i="155"/>
  <c r="BT54" i="155"/>
  <c r="BR55" i="155"/>
  <c r="BS55" i="155"/>
  <c r="BT55" i="155"/>
  <c r="BF55" i="155"/>
  <c r="BG55" i="155"/>
  <c r="BF52" i="155"/>
  <c r="BG52" i="155"/>
  <c r="BF53" i="155"/>
  <c r="BG53" i="155"/>
  <c r="BF54" i="155"/>
  <c r="BG54" i="155"/>
  <c r="AZ52" i="155"/>
  <c r="BA52" i="155"/>
  <c r="BB52" i="155"/>
  <c r="AZ53" i="155"/>
  <c r="BA53" i="155"/>
  <c r="BB53" i="155"/>
  <c r="AZ54" i="155"/>
  <c r="BA54" i="155"/>
  <c r="BB54" i="155"/>
  <c r="AZ55" i="155"/>
  <c r="BA55" i="155"/>
  <c r="BB55" i="155"/>
  <c r="AH52" i="155"/>
  <c r="AH53" i="155"/>
  <c r="AH54" i="155"/>
  <c r="AH55" i="155"/>
  <c r="AN52" i="155"/>
  <c r="AO52" i="155"/>
  <c r="AN53" i="155"/>
  <c r="AO53" i="155"/>
  <c r="AN54" i="155"/>
  <c r="AO54" i="155"/>
  <c r="AN55" i="155"/>
  <c r="AO55" i="155"/>
  <c r="AI52" i="155"/>
  <c r="AJ52" i="155"/>
  <c r="AI53" i="155"/>
  <c r="AJ53" i="155"/>
  <c r="AI54" i="155"/>
  <c r="AJ54" i="155"/>
  <c r="AI55" i="155"/>
  <c r="AJ55" i="155"/>
  <c r="V52" i="155"/>
  <c r="W52" i="155"/>
  <c r="V53" i="155"/>
  <c r="W53" i="155"/>
  <c r="V54" i="155"/>
  <c r="W54" i="155"/>
  <c r="V55" i="155"/>
  <c r="W55" i="155"/>
  <c r="T52" i="155"/>
  <c r="U52" i="155" s="1"/>
  <c r="T53" i="155"/>
  <c r="U53" i="155" s="1"/>
  <c r="T54" i="155"/>
  <c r="U54" i="155" s="1"/>
  <c r="T55" i="155"/>
  <c r="U55" i="155" s="1"/>
  <c r="N52" i="155"/>
  <c r="O52" i="155"/>
  <c r="N53" i="155"/>
  <c r="O53" i="155"/>
  <c r="N54" i="155"/>
  <c r="O54" i="155"/>
  <c r="N55" i="155"/>
  <c r="O55" i="155"/>
  <c r="L52" i="155"/>
  <c r="M52" i="155"/>
  <c r="P52" i="155" s="1"/>
  <c r="L53" i="155"/>
  <c r="M53" i="155"/>
  <c r="P53" i="155" s="1"/>
  <c r="L54" i="155"/>
  <c r="M54" i="155"/>
  <c r="P54" i="155" s="1"/>
  <c r="L55" i="155"/>
  <c r="M55" i="155"/>
  <c r="P55" i="155" s="1"/>
  <c r="P59" i="153"/>
  <c r="P60" i="153"/>
  <c r="P61" i="153"/>
  <c r="P62" i="153"/>
  <c r="J59" i="153"/>
  <c r="K59" i="153" s="1"/>
  <c r="J60" i="153"/>
  <c r="K60" i="153" s="1"/>
  <c r="J61" i="153"/>
  <c r="K61" i="153" s="1"/>
  <c r="J62" i="153"/>
  <c r="K62" i="153" s="1"/>
  <c r="E59" i="153"/>
  <c r="H59" i="153"/>
  <c r="I59" i="153"/>
  <c r="E60" i="153"/>
  <c r="H60" i="153"/>
  <c r="I60" i="153"/>
  <c r="E61" i="153"/>
  <c r="H61" i="153"/>
  <c r="I61" i="153"/>
  <c r="E62" i="153"/>
  <c r="H62" i="153"/>
  <c r="I62" i="153"/>
  <c r="D59" i="153"/>
  <c r="D60" i="153"/>
  <c r="D61" i="153"/>
  <c r="D62" i="153"/>
  <c r="C59" i="153"/>
  <c r="C60" i="153"/>
  <c r="C61" i="153"/>
  <c r="C62" i="153"/>
  <c r="G59" i="153"/>
  <c r="G60" i="153"/>
  <c r="G61" i="153"/>
  <c r="G62" i="153"/>
  <c r="G70" i="169" l="1"/>
  <c r="F68" i="169"/>
  <c r="F69" i="169"/>
  <c r="F67" i="169"/>
  <c r="F66" i="169"/>
  <c r="F64" i="169"/>
  <c r="F65" i="169"/>
  <c r="E70" i="169"/>
  <c r="N70" i="169"/>
  <c r="Y70" i="169"/>
  <c r="AE70" i="169"/>
  <c r="AJ70" i="169"/>
  <c r="P24" i="153"/>
  <c r="V99" i="153"/>
  <c r="T99" i="153"/>
  <c r="U99" i="153"/>
  <c r="P104" i="153"/>
  <c r="F63" i="169"/>
  <c r="F62" i="169"/>
  <c r="F61" i="169"/>
  <c r="F60" i="169"/>
  <c r="F100" i="153" s="1"/>
  <c r="K59" i="167"/>
  <c r="K58" i="167"/>
  <c r="K56" i="167"/>
  <c r="K57" i="167"/>
  <c r="K66" i="167"/>
  <c r="K60" i="168"/>
  <c r="K59" i="168"/>
  <c r="K57" i="168"/>
  <c r="K58" i="168"/>
  <c r="K67" i="168"/>
  <c r="F59" i="169"/>
  <c r="F99" i="153" s="1"/>
  <c r="F58" i="169"/>
  <c r="F56" i="169"/>
  <c r="F57" i="169"/>
  <c r="K53" i="168"/>
  <c r="K54" i="168"/>
  <c r="K55" i="168"/>
  <c r="K56" i="168"/>
  <c r="F52" i="169"/>
  <c r="F53" i="169"/>
  <c r="F54" i="169"/>
  <c r="F55" i="169"/>
  <c r="M71" i="150"/>
  <c r="M19" i="150" s="1"/>
  <c r="AN58" i="167"/>
  <c r="BB50" i="167"/>
  <c r="F42" i="165"/>
  <c r="AI51" i="168"/>
  <c r="AJ59" i="168"/>
  <c r="BF59" i="168"/>
  <c r="AI58" i="169"/>
  <c r="E68" i="168"/>
  <c r="G24" i="1" s="1"/>
  <c r="F40" i="169"/>
  <c r="F41" i="169"/>
  <c r="E67" i="167"/>
  <c r="G22" i="1" s="1"/>
  <c r="H74" i="1"/>
  <c r="H77" i="1" s="1"/>
  <c r="H20" i="1"/>
  <c r="F41" i="165"/>
  <c r="D21" i="153"/>
  <c r="K72" i="153"/>
  <c r="F34" i="165"/>
  <c r="F38" i="165"/>
  <c r="F35" i="165"/>
  <c r="F37" i="165"/>
  <c r="F36" i="165"/>
  <c r="F33" i="165"/>
  <c r="F39" i="165"/>
  <c r="F40" i="165"/>
  <c r="G75" i="153"/>
  <c r="G80" i="153" s="1"/>
  <c r="G111" i="153" s="1"/>
  <c r="I80" i="153"/>
  <c r="I111" i="153" s="1"/>
  <c r="I21" i="153"/>
  <c r="BR51" i="168"/>
  <c r="C80" i="153"/>
  <c r="C111" i="153" s="1"/>
  <c r="C21" i="153"/>
  <c r="F75" i="153"/>
  <c r="AJ43" i="168"/>
  <c r="L75" i="153"/>
  <c r="D80" i="153"/>
  <c r="D111" i="153" s="1"/>
  <c r="N75" i="153"/>
  <c r="E80" i="153"/>
  <c r="E111" i="153" s="1"/>
  <c r="I68" i="168"/>
  <c r="H75" i="153"/>
  <c r="BK68" i="168"/>
  <c r="I88" i="1" s="1"/>
  <c r="AT68" i="168"/>
  <c r="G87" i="1" s="1"/>
  <c r="AC68" i="168"/>
  <c r="L34" i="167"/>
  <c r="T18" i="152"/>
  <c r="U18" i="152" s="1"/>
  <c r="M18" i="152"/>
  <c r="P18" i="152" s="1"/>
  <c r="P15" i="167"/>
  <c r="C20" i="167"/>
  <c r="M20" i="167"/>
  <c r="BN67" i="167"/>
  <c r="AX67" i="167"/>
  <c r="AF67" i="167"/>
  <c r="BO67" i="167"/>
  <c r="P13" i="167"/>
  <c r="K53" i="167"/>
  <c r="AD67" i="167"/>
  <c r="AU67" i="167"/>
  <c r="BL67" i="167"/>
  <c r="G84" i="1" s="1"/>
  <c r="D67" i="167"/>
  <c r="I22" i="1" s="1"/>
  <c r="AG67" i="167"/>
  <c r="M82" i="1" s="1"/>
  <c r="AW67" i="167"/>
  <c r="AT34" i="169"/>
  <c r="BS35" i="168"/>
  <c r="AU68" i="168"/>
  <c r="C68" i="168"/>
  <c r="BM68" i="168"/>
  <c r="AX68" i="168"/>
  <c r="AD68" i="168"/>
  <c r="AV68" i="168"/>
  <c r="AE68" i="168"/>
  <c r="G68" i="168"/>
  <c r="AR68" i="168"/>
  <c r="BR59" i="168"/>
  <c r="Q68" i="168"/>
  <c r="K24" i="1" s="1"/>
  <c r="J20" i="153"/>
  <c r="T71" i="150"/>
  <c r="T19" i="150" s="1"/>
  <c r="H72" i="153"/>
  <c r="H20" i="153"/>
  <c r="I72" i="153"/>
  <c r="I20" i="153"/>
  <c r="P72" i="153"/>
  <c r="P20" i="153"/>
  <c r="C20" i="153"/>
  <c r="D72" i="153"/>
  <c r="D20" i="153"/>
  <c r="E72" i="153"/>
  <c r="E20" i="153"/>
  <c r="N20" i="153" s="1"/>
  <c r="F67" i="167"/>
  <c r="Z67" i="167"/>
  <c r="AK67" i="167"/>
  <c r="K82" i="1" s="1"/>
  <c r="AY67" i="167"/>
  <c r="BP67" i="167"/>
  <c r="BX42" i="167"/>
  <c r="D68" i="168"/>
  <c r="AF68" i="168"/>
  <c r="AW68" i="168"/>
  <c r="BA43" i="168"/>
  <c r="G72" i="153"/>
  <c r="J72" i="153"/>
  <c r="BQ67" i="167"/>
  <c r="H67" i="167"/>
  <c r="AB67" i="167"/>
  <c r="G82" i="1" s="1"/>
  <c r="AS67" i="167"/>
  <c r="BJ67" i="167"/>
  <c r="BU67" i="167"/>
  <c r="K84" i="1" s="1"/>
  <c r="F68" i="168"/>
  <c r="AK68" i="168"/>
  <c r="K86" i="1" s="1"/>
  <c r="AZ59" i="168"/>
  <c r="AA67" i="167"/>
  <c r="P15" i="168"/>
  <c r="I67" i="167"/>
  <c r="AC67" i="167"/>
  <c r="AT67" i="167"/>
  <c r="G83" i="1" s="1"/>
  <c r="BK67" i="167"/>
  <c r="I84" i="1" s="1"/>
  <c r="P13" i="168"/>
  <c r="G67" i="167"/>
  <c r="AB63" i="165"/>
  <c r="F21" i="168"/>
  <c r="H68" i="168"/>
  <c r="AB68" i="168"/>
  <c r="G86" i="1" s="1"/>
  <c r="BJ68" i="168"/>
  <c r="BU68" i="168"/>
  <c r="K88" i="1" s="1"/>
  <c r="BC67" i="167"/>
  <c r="K83" i="1" s="1"/>
  <c r="AC63" i="165"/>
  <c r="I20" i="167"/>
  <c r="Q67" i="167"/>
  <c r="K22" i="1" s="1"/>
  <c r="AE67" i="167"/>
  <c r="AV67" i="167"/>
  <c r="BM67" i="167"/>
  <c r="G21" i="168"/>
  <c r="AR67" i="167"/>
  <c r="BA59" i="168"/>
  <c r="R12" i="169"/>
  <c r="T12" i="169" s="1"/>
  <c r="L23" i="1" s="1"/>
  <c r="I91" i="1"/>
  <c r="BC68" i="168"/>
  <c r="K87" i="1" s="1"/>
  <c r="AY68" i="168"/>
  <c r="M87" i="1" s="1"/>
  <c r="AS68" i="168"/>
  <c r="C72" i="153"/>
  <c r="K64" i="153"/>
  <c r="BT42" i="167"/>
  <c r="BG50" i="167"/>
  <c r="AZ35" i="168"/>
  <c r="H93" i="1"/>
  <c r="H96" i="1" s="1"/>
  <c r="J96" i="1"/>
  <c r="J21" i="1"/>
  <c r="BR35" i="168"/>
  <c r="BL68" i="168"/>
  <c r="G88" i="1" s="1"/>
  <c r="AM63" i="165"/>
  <c r="D20" i="167"/>
  <c r="R63" i="165"/>
  <c r="I78" i="1" s="1"/>
  <c r="AN63" i="165"/>
  <c r="AN35" i="168"/>
  <c r="AG68" i="168"/>
  <c r="U66" i="150"/>
  <c r="T104" i="150"/>
  <c r="U104" i="150" s="1"/>
  <c r="Q63" i="165"/>
  <c r="Q20" i="167"/>
  <c r="F20" i="167"/>
  <c r="T58" i="167"/>
  <c r="U58" i="167" s="1"/>
  <c r="AJ35" i="168"/>
  <c r="Z68" i="168"/>
  <c r="U63" i="165"/>
  <c r="K78" i="1" s="1"/>
  <c r="AQ63" i="165"/>
  <c r="AJ50" i="167"/>
  <c r="BF50" i="167"/>
  <c r="AJ58" i="167"/>
  <c r="T21" i="168"/>
  <c r="AO35" i="168"/>
  <c r="AA68" i="168"/>
  <c r="I86" i="1" s="1"/>
  <c r="BX35" i="168"/>
  <c r="BQ68" i="168"/>
  <c r="M88" i="1" s="1"/>
  <c r="BX51" i="168"/>
  <c r="AT42" i="169"/>
  <c r="D20" i="169"/>
  <c r="X34" i="169"/>
  <c r="AD63" i="165"/>
  <c r="M79" i="1" s="1"/>
  <c r="AF63" i="165"/>
  <c r="K79" i="1" s="1"/>
  <c r="S63" i="165"/>
  <c r="AT33" i="165"/>
  <c r="AO63" i="165"/>
  <c r="V64" i="153"/>
  <c r="V60" i="153"/>
  <c r="H21" i="168"/>
  <c r="P14" i="168"/>
  <c r="I21" i="168"/>
  <c r="P16" i="168"/>
  <c r="T35" i="168"/>
  <c r="T43" i="168"/>
  <c r="U43" i="168" s="1"/>
  <c r="AH43" i="168"/>
  <c r="BT59" i="168"/>
  <c r="C21" i="168"/>
  <c r="M21" i="168"/>
  <c r="M35" i="168"/>
  <c r="P35" i="168" s="1"/>
  <c r="D21" i="168"/>
  <c r="U13" i="168"/>
  <c r="M59" i="168"/>
  <c r="P59" i="168" s="1"/>
  <c r="P12" i="167"/>
  <c r="P14" i="167"/>
  <c r="G20" i="167"/>
  <c r="H20" i="167"/>
  <c r="T34" i="167"/>
  <c r="N49" i="165"/>
  <c r="O12" i="167"/>
  <c r="L13" i="167"/>
  <c r="V13" i="167"/>
  <c r="O13" i="167"/>
  <c r="N13" i="167"/>
  <c r="K13" i="167"/>
  <c r="W13" i="167"/>
  <c r="L14" i="167"/>
  <c r="O14" i="167"/>
  <c r="W14" i="167"/>
  <c r="L15" i="167"/>
  <c r="W15" i="167"/>
  <c r="U15" i="167"/>
  <c r="M34" i="167"/>
  <c r="P34" i="167" s="1"/>
  <c r="P27" i="167"/>
  <c r="X20" i="167"/>
  <c r="Y20" i="167"/>
  <c r="AI34" i="167"/>
  <c r="BA34" i="167"/>
  <c r="BT34" i="167"/>
  <c r="BX34" i="167"/>
  <c r="BR34" i="167"/>
  <c r="BY34" i="167"/>
  <c r="T42" i="167"/>
  <c r="U42" i="167" s="1"/>
  <c r="U35" i="167"/>
  <c r="L42" i="167"/>
  <c r="O42" i="167"/>
  <c r="V42" i="167"/>
  <c r="N42" i="167"/>
  <c r="W42" i="167"/>
  <c r="AJ42" i="167"/>
  <c r="AI42" i="167"/>
  <c r="AO42" i="167"/>
  <c r="BB42" i="167"/>
  <c r="BF42" i="167"/>
  <c r="AZ42" i="167"/>
  <c r="BG42" i="167"/>
  <c r="BY42" i="167"/>
  <c r="P43" i="167"/>
  <c r="M50" i="167"/>
  <c r="P50" i="167" s="1"/>
  <c r="L50" i="167"/>
  <c r="V50" i="167"/>
  <c r="O50" i="167"/>
  <c r="W50" i="167"/>
  <c r="AN50" i="167"/>
  <c r="AH50" i="167"/>
  <c r="AO50" i="167"/>
  <c r="BT50" i="167"/>
  <c r="BR50" i="167"/>
  <c r="BX50" i="167"/>
  <c r="BS50" i="167"/>
  <c r="BY50" i="167"/>
  <c r="M58" i="167"/>
  <c r="P58" i="167" s="1"/>
  <c r="P51" i="167"/>
  <c r="L58" i="167"/>
  <c r="N58" i="167"/>
  <c r="O58" i="167"/>
  <c r="W58" i="167"/>
  <c r="AO58" i="167"/>
  <c r="BB58" i="167"/>
  <c r="AZ58" i="167"/>
  <c r="BF58" i="167"/>
  <c r="BA58" i="167"/>
  <c r="BG58" i="167"/>
  <c r="BT58" i="167"/>
  <c r="BS58" i="167"/>
  <c r="BY58" i="167"/>
  <c r="L14" i="168"/>
  <c r="V14" i="168"/>
  <c r="O14" i="168"/>
  <c r="K14" i="168"/>
  <c r="W14" i="168"/>
  <c r="U14" i="168"/>
  <c r="L15" i="168"/>
  <c r="O15" i="168"/>
  <c r="W15" i="168"/>
  <c r="L16" i="168"/>
  <c r="N16" i="168"/>
  <c r="O16" i="168"/>
  <c r="K16" i="168"/>
  <c r="W16" i="168"/>
  <c r="U16" i="168"/>
  <c r="X21" i="168"/>
  <c r="Y21" i="168"/>
  <c r="BT35" i="168"/>
  <c r="BY35" i="168"/>
  <c r="L43" i="168"/>
  <c r="O43" i="168"/>
  <c r="V43" i="168"/>
  <c r="W43" i="168"/>
  <c r="AI43" i="168"/>
  <c r="AN43" i="168"/>
  <c r="AO43" i="168"/>
  <c r="BB43" i="168"/>
  <c r="AZ43" i="168"/>
  <c r="BF43" i="168"/>
  <c r="BG43" i="168"/>
  <c r="BT43" i="168"/>
  <c r="BS43" i="168"/>
  <c r="BX43" i="168"/>
  <c r="BR43" i="168"/>
  <c r="BY43" i="168"/>
  <c r="L51" i="168"/>
  <c r="V51" i="168"/>
  <c r="N51" i="168"/>
  <c r="AJ51" i="168"/>
  <c r="AH51" i="168"/>
  <c r="AN51" i="168"/>
  <c r="AO51" i="168"/>
  <c r="BB51" i="168"/>
  <c r="BA51" i="168"/>
  <c r="BF51" i="168"/>
  <c r="AZ51" i="168"/>
  <c r="BG51" i="168"/>
  <c r="BT51" i="168"/>
  <c r="BY51" i="168"/>
  <c r="T59" i="168"/>
  <c r="U59" i="168" s="1"/>
  <c r="U52" i="168"/>
  <c r="L59" i="168"/>
  <c r="O59" i="168"/>
  <c r="V59" i="168"/>
  <c r="N59" i="168"/>
  <c r="W59" i="168"/>
  <c r="AI59" i="168"/>
  <c r="AN59" i="168"/>
  <c r="AH59" i="168"/>
  <c r="AO59" i="168"/>
  <c r="BG59" i="168"/>
  <c r="BB59" i="168"/>
  <c r="BS59" i="168"/>
  <c r="BX59" i="168"/>
  <c r="BY59" i="168"/>
  <c r="AE34" i="169"/>
  <c r="AU58" i="169"/>
  <c r="AP70" i="169"/>
  <c r="P63" i="150"/>
  <c r="U63" i="150"/>
  <c r="V65" i="153"/>
  <c r="U64" i="153"/>
  <c r="U65" i="153"/>
  <c r="O64" i="153"/>
  <c r="L64" i="153"/>
  <c r="O65" i="153"/>
  <c r="L65" i="153"/>
  <c r="G57" i="165"/>
  <c r="C63" i="165"/>
  <c r="X41" i="165"/>
  <c r="T41" i="165"/>
  <c r="AE33" i="165"/>
  <c r="AP49" i="165"/>
  <c r="D63" i="165"/>
  <c r="I19" i="1" s="1"/>
  <c r="AJ41" i="165"/>
  <c r="K33" i="165"/>
  <c r="L33" i="165" s="1"/>
  <c r="AU41" i="165"/>
  <c r="T49" i="165"/>
  <c r="AJ42" i="169"/>
  <c r="T42" i="169"/>
  <c r="AE50" i="169"/>
  <c r="T58" i="169"/>
  <c r="AE42" i="169"/>
  <c r="AU34" i="169"/>
  <c r="T34" i="169"/>
  <c r="AE58" i="169"/>
  <c r="AP42" i="169"/>
  <c r="P20" i="169"/>
  <c r="AI42" i="169"/>
  <c r="G14" i="169"/>
  <c r="G15" i="169"/>
  <c r="N50" i="169"/>
  <c r="N58" i="169"/>
  <c r="AP58" i="169"/>
  <c r="K58" i="169"/>
  <c r="L58" i="169" s="1"/>
  <c r="N13" i="169"/>
  <c r="Y50" i="169"/>
  <c r="K42" i="169"/>
  <c r="L42" i="169" s="1"/>
  <c r="AU42" i="169"/>
  <c r="AJ58" i="169"/>
  <c r="G50" i="169"/>
  <c r="AI50" i="169"/>
  <c r="AP34" i="169"/>
  <c r="L35" i="169"/>
  <c r="M50" i="169"/>
  <c r="Y42" i="169"/>
  <c r="AJ50" i="169"/>
  <c r="G13" i="169"/>
  <c r="M14" i="169"/>
  <c r="O20" i="169"/>
  <c r="G42" i="169"/>
  <c r="X58" i="169"/>
  <c r="L15" i="169"/>
  <c r="AP50" i="169"/>
  <c r="AU50" i="169"/>
  <c r="M13" i="169"/>
  <c r="X50" i="169"/>
  <c r="AT50" i="169"/>
  <c r="Y58" i="169"/>
  <c r="N15" i="169"/>
  <c r="N42" i="169"/>
  <c r="T50" i="169"/>
  <c r="G58" i="169"/>
  <c r="AJ34" i="169"/>
  <c r="Y34" i="169"/>
  <c r="M12" i="169"/>
  <c r="N12" i="169"/>
  <c r="F37" i="169"/>
  <c r="F42" i="169"/>
  <c r="F47" i="169"/>
  <c r="F44" i="169"/>
  <c r="BA35" i="168"/>
  <c r="BB35" i="168"/>
  <c r="BG35" i="168"/>
  <c r="BF35" i="168"/>
  <c r="AH35" i="168"/>
  <c r="V13" i="168"/>
  <c r="N13" i="168"/>
  <c r="BF34" i="167"/>
  <c r="BB34" i="167"/>
  <c r="AH34" i="167"/>
  <c r="AJ34" i="167"/>
  <c r="AO34" i="167"/>
  <c r="AN34" i="167"/>
  <c r="U12" i="167"/>
  <c r="V12" i="167"/>
  <c r="C67" i="167"/>
  <c r="K42" i="167"/>
  <c r="K44" i="167"/>
  <c r="W12" i="167"/>
  <c r="K54" i="167"/>
  <c r="E63" i="165"/>
  <c r="M19" i="1" s="1"/>
  <c r="F15" i="169"/>
  <c r="K34" i="169"/>
  <c r="AI34" i="169"/>
  <c r="F35" i="169"/>
  <c r="M42" i="169"/>
  <c r="X42" i="169"/>
  <c r="F45" i="169"/>
  <c r="AT58" i="169"/>
  <c r="F14" i="169"/>
  <c r="L14" i="169"/>
  <c r="M15" i="169"/>
  <c r="F34" i="169"/>
  <c r="F36" i="169"/>
  <c r="F46" i="169"/>
  <c r="G34" i="169"/>
  <c r="N14" i="169"/>
  <c r="H20" i="169"/>
  <c r="N34" i="169"/>
  <c r="F38" i="169"/>
  <c r="F48" i="169"/>
  <c r="L51" i="169"/>
  <c r="M34" i="169"/>
  <c r="F13" i="169"/>
  <c r="L13" i="169"/>
  <c r="E20" i="169"/>
  <c r="F39" i="169"/>
  <c r="F49" i="169"/>
  <c r="K50" i="169"/>
  <c r="L50" i="169" s="1"/>
  <c r="F51" i="169"/>
  <c r="M58" i="169"/>
  <c r="F12" i="169"/>
  <c r="F50" i="169"/>
  <c r="G12" i="169"/>
  <c r="F43" i="169"/>
  <c r="W13" i="168"/>
  <c r="N14" i="168"/>
  <c r="E21" i="168"/>
  <c r="P28" i="168"/>
  <c r="AI35" i="168"/>
  <c r="U36" i="168"/>
  <c r="K43" i="168"/>
  <c r="K45" i="168"/>
  <c r="M51" i="168"/>
  <c r="P51" i="168" s="1"/>
  <c r="W51" i="168"/>
  <c r="BS51" i="168"/>
  <c r="O13" i="168"/>
  <c r="K15" i="168"/>
  <c r="U15" i="168"/>
  <c r="V16" i="168"/>
  <c r="U28" i="168"/>
  <c r="K35" i="168"/>
  <c r="K37" i="168"/>
  <c r="M43" i="168"/>
  <c r="P43" i="168" s="1"/>
  <c r="K47" i="168"/>
  <c r="O51" i="168"/>
  <c r="P52" i="168"/>
  <c r="J68" i="168"/>
  <c r="V15" i="168"/>
  <c r="L35" i="168"/>
  <c r="V35" i="168"/>
  <c r="K38" i="168"/>
  <c r="N43" i="168"/>
  <c r="K48" i="168"/>
  <c r="Q21" i="168"/>
  <c r="W35" i="168"/>
  <c r="K39" i="168"/>
  <c r="K49" i="168"/>
  <c r="N15" i="168"/>
  <c r="J21" i="168"/>
  <c r="N35" i="168"/>
  <c r="K40" i="168"/>
  <c r="K50" i="168"/>
  <c r="T51" i="168"/>
  <c r="U51" i="168" s="1"/>
  <c r="K52" i="168"/>
  <c r="K13" i="168"/>
  <c r="O35" i="168"/>
  <c r="K41" i="168"/>
  <c r="K51" i="168"/>
  <c r="K36" i="168"/>
  <c r="K46" i="168"/>
  <c r="L13" i="168"/>
  <c r="K42" i="168"/>
  <c r="K44" i="168"/>
  <c r="K35" i="167"/>
  <c r="AN42" i="167"/>
  <c r="BR42" i="167"/>
  <c r="K45" i="167"/>
  <c r="N50" i="167"/>
  <c r="AZ50" i="167"/>
  <c r="K55" i="167"/>
  <c r="AH58" i="167"/>
  <c r="BX58" i="167"/>
  <c r="K14" i="167"/>
  <c r="U14" i="167"/>
  <c r="V15" i="167"/>
  <c r="U27" i="167"/>
  <c r="K34" i="167"/>
  <c r="BG34" i="167"/>
  <c r="K36" i="167"/>
  <c r="M42" i="167"/>
  <c r="BS42" i="167"/>
  <c r="K46" i="167"/>
  <c r="BA50" i="167"/>
  <c r="AI58" i="167"/>
  <c r="J67" i="167"/>
  <c r="N15" i="167"/>
  <c r="W34" i="167"/>
  <c r="BS34" i="167"/>
  <c r="K38" i="167"/>
  <c r="BA42" i="167"/>
  <c r="K48" i="167"/>
  <c r="AI50" i="167"/>
  <c r="U51" i="167"/>
  <c r="V14" i="167"/>
  <c r="U13" i="167"/>
  <c r="N14" i="167"/>
  <c r="O15" i="167"/>
  <c r="J20" i="167"/>
  <c r="T20" i="167"/>
  <c r="N34" i="167"/>
  <c r="AZ34" i="167"/>
  <c r="K39" i="167"/>
  <c r="AH42" i="167"/>
  <c r="K49" i="167"/>
  <c r="T50" i="167"/>
  <c r="U50" i="167" s="1"/>
  <c r="K51" i="167"/>
  <c r="V58" i="167"/>
  <c r="BR58" i="167"/>
  <c r="E20" i="167"/>
  <c r="V34" i="167"/>
  <c r="K37" i="167"/>
  <c r="K47" i="167"/>
  <c r="K12" i="167"/>
  <c r="O34" i="167"/>
  <c r="K40" i="167"/>
  <c r="K50" i="167"/>
  <c r="K52" i="167"/>
  <c r="N12" i="167"/>
  <c r="L12" i="167"/>
  <c r="K41" i="167"/>
  <c r="K43" i="167"/>
  <c r="AT57" i="165"/>
  <c r="AT41" i="165"/>
  <c r="AE57" i="165"/>
  <c r="AJ49" i="165"/>
  <c r="AE49" i="165"/>
  <c r="AE41" i="165"/>
  <c r="AJ33" i="165"/>
  <c r="X57" i="165"/>
  <c r="T57" i="165"/>
  <c r="T33" i="165"/>
  <c r="H63" i="165"/>
  <c r="K19" i="1" s="1"/>
  <c r="H19" i="165"/>
  <c r="R14" i="165" s="1"/>
  <c r="T14" i="165" s="1"/>
  <c r="L19" i="1" s="1"/>
  <c r="L15" i="165"/>
  <c r="AI33" i="165"/>
  <c r="M49" i="165"/>
  <c r="AJ57" i="165"/>
  <c r="K19" i="165"/>
  <c r="F17" i="165"/>
  <c r="K41" i="165"/>
  <c r="L41" i="165" s="1"/>
  <c r="K57" i="165"/>
  <c r="L57" i="165" s="1"/>
  <c r="AP33" i="165"/>
  <c r="L34" i="165"/>
  <c r="AP41" i="165"/>
  <c r="L50" i="165"/>
  <c r="AP57" i="165"/>
  <c r="N17" i="165"/>
  <c r="P19" i="165"/>
  <c r="X49" i="165"/>
  <c r="AU49" i="165"/>
  <c r="G41" i="165"/>
  <c r="K49" i="165"/>
  <c r="L49" i="165" s="1"/>
  <c r="F15" i="165"/>
  <c r="G49" i="165"/>
  <c r="N15" i="165"/>
  <c r="Y33" i="165"/>
  <c r="Y49" i="165"/>
  <c r="AI49" i="165"/>
  <c r="Y57" i="165"/>
  <c r="M14" i="165"/>
  <c r="AI41" i="165"/>
  <c r="N57" i="165"/>
  <c r="G17" i="165"/>
  <c r="M57" i="165"/>
  <c r="N16" i="165"/>
  <c r="C19" i="165"/>
  <c r="D19" i="165"/>
  <c r="G16" i="165"/>
  <c r="M15" i="165"/>
  <c r="N41" i="165"/>
  <c r="M41" i="165"/>
  <c r="N14" i="165"/>
  <c r="F14" i="165"/>
  <c r="O19" i="165"/>
  <c r="G15" i="165"/>
  <c r="AU33" i="165"/>
  <c r="L26" i="165"/>
  <c r="Y41" i="165"/>
  <c r="M16" i="165"/>
  <c r="G33" i="165"/>
  <c r="M33" i="165"/>
  <c r="X33" i="165"/>
  <c r="AT49" i="165"/>
  <c r="AI57" i="165"/>
  <c r="N33" i="165"/>
  <c r="F57" i="165"/>
  <c r="F16" i="165"/>
  <c r="M17" i="165"/>
  <c r="AU57" i="165"/>
  <c r="E19" i="165"/>
  <c r="F49" i="165"/>
  <c r="G14" i="165"/>
  <c r="L61" i="153"/>
  <c r="O62" i="153"/>
  <c r="O61" i="153"/>
  <c r="O59" i="153"/>
  <c r="O60" i="153"/>
  <c r="L62" i="153"/>
  <c r="L59" i="153"/>
  <c r="U62" i="153"/>
  <c r="L60" i="153"/>
  <c r="U60" i="153"/>
  <c r="U59" i="153"/>
  <c r="V61" i="153"/>
  <c r="U61" i="153"/>
  <c r="V59" i="153"/>
  <c r="V62" i="153"/>
  <c r="BF58" i="150"/>
  <c r="BG58" i="150"/>
  <c r="BF59" i="150"/>
  <c r="BG59" i="150"/>
  <c r="BF60" i="150"/>
  <c r="BG60" i="150"/>
  <c r="BF61" i="150"/>
  <c r="BG61" i="150"/>
  <c r="BX58" i="150"/>
  <c r="BY58" i="150"/>
  <c r="BX59" i="150"/>
  <c r="BY59" i="150"/>
  <c r="BX60" i="150"/>
  <c r="BY60" i="150"/>
  <c r="BX61" i="150"/>
  <c r="BY61" i="150"/>
  <c r="BR58" i="150"/>
  <c r="BS58" i="150"/>
  <c r="BT58" i="150"/>
  <c r="BR59" i="150"/>
  <c r="BS59" i="150"/>
  <c r="BT59" i="150"/>
  <c r="BR60" i="150"/>
  <c r="BS60" i="150"/>
  <c r="BT60" i="150"/>
  <c r="BR61" i="150"/>
  <c r="BS61" i="150"/>
  <c r="BT61" i="150"/>
  <c r="G85" i="1" l="1"/>
  <c r="K70" i="169"/>
  <c r="L70" i="169" s="1"/>
  <c r="F70" i="169"/>
  <c r="M70" i="169"/>
  <c r="T104" i="153"/>
  <c r="V104" i="153"/>
  <c r="U104" i="153"/>
  <c r="V24" i="153"/>
  <c r="U24" i="153"/>
  <c r="T24" i="153"/>
  <c r="F24" i="153"/>
  <c r="F104" i="153"/>
  <c r="P19" i="150"/>
  <c r="U19" i="150"/>
  <c r="K20" i="153"/>
  <c r="M91" i="1"/>
  <c r="M90" i="1"/>
  <c r="K91" i="1"/>
  <c r="L21" i="153"/>
  <c r="J21" i="153"/>
  <c r="BT68" i="168"/>
  <c r="J88" i="1" s="1"/>
  <c r="AE63" i="165"/>
  <c r="J79" i="1" s="1"/>
  <c r="G21" i="153"/>
  <c r="K78" i="153"/>
  <c r="K79" i="153"/>
  <c r="K77" i="153"/>
  <c r="K76" i="153"/>
  <c r="W20" i="167"/>
  <c r="L80" i="153"/>
  <c r="P80" i="153"/>
  <c r="P111" i="153" s="1"/>
  <c r="P21" i="153"/>
  <c r="AD16" i="153"/>
  <c r="AF16" i="153" s="1"/>
  <c r="H128" i="1" s="1"/>
  <c r="N80" i="153"/>
  <c r="L67" i="167"/>
  <c r="J85" i="1" s="1"/>
  <c r="BR67" i="167"/>
  <c r="H80" i="153"/>
  <c r="H111" i="153" s="1"/>
  <c r="H21" i="153"/>
  <c r="F80" i="153"/>
  <c r="F21" i="153"/>
  <c r="K75" i="153"/>
  <c r="J80" i="153"/>
  <c r="O75" i="153"/>
  <c r="U75" i="153"/>
  <c r="AP63" i="165"/>
  <c r="V75" i="153"/>
  <c r="T75" i="153"/>
  <c r="K23" i="1"/>
  <c r="K28" i="1" s="1"/>
  <c r="L68" i="168"/>
  <c r="J89" i="1" s="1"/>
  <c r="L20" i="167"/>
  <c r="I79" i="1"/>
  <c r="I81" i="1" s="1"/>
  <c r="O72" i="153"/>
  <c r="AN67" i="167"/>
  <c r="AI67" i="167"/>
  <c r="AJ67" i="167"/>
  <c r="J82" i="1" s="1"/>
  <c r="I82" i="1"/>
  <c r="AO67" i="167"/>
  <c r="BY67" i="167"/>
  <c r="T67" i="167"/>
  <c r="U67" i="167" s="1"/>
  <c r="BS67" i="167"/>
  <c r="BG67" i="167"/>
  <c r="BF67" i="167"/>
  <c r="BX67" i="167"/>
  <c r="AH67" i="167"/>
  <c r="M84" i="1"/>
  <c r="O84" i="1" s="1"/>
  <c r="L72" i="153"/>
  <c r="V72" i="153"/>
  <c r="W68" i="168"/>
  <c r="I24" i="1"/>
  <c r="P24" i="1" s="1"/>
  <c r="L21" i="168"/>
  <c r="U20" i="153"/>
  <c r="O20" i="153"/>
  <c r="L20" i="153"/>
  <c r="V20" i="153"/>
  <c r="T20" i="153"/>
  <c r="U72" i="153"/>
  <c r="O88" i="1"/>
  <c r="K85" i="1"/>
  <c r="BT67" i="167"/>
  <c r="J84" i="1" s="1"/>
  <c r="BA67" i="167"/>
  <c r="AZ67" i="167"/>
  <c r="M83" i="1"/>
  <c r="K89" i="1"/>
  <c r="G89" i="1"/>
  <c r="U34" i="167"/>
  <c r="W67" i="167"/>
  <c r="P22" i="1"/>
  <c r="J91" i="1"/>
  <c r="I83" i="1"/>
  <c r="BB67" i="167"/>
  <c r="J83" i="1" s="1"/>
  <c r="AT63" i="165"/>
  <c r="L34" i="169"/>
  <c r="M23" i="1"/>
  <c r="I23" i="1"/>
  <c r="O87" i="1"/>
  <c r="BB68" i="168"/>
  <c r="J87" i="1" s="1"/>
  <c r="BG68" i="168"/>
  <c r="I87" i="1"/>
  <c r="I89" i="1" s="1"/>
  <c r="BF68" i="168"/>
  <c r="BA68" i="168"/>
  <c r="AZ68" i="168"/>
  <c r="M86" i="1"/>
  <c r="AH68" i="168"/>
  <c r="AI68" i="168"/>
  <c r="AN68" i="168"/>
  <c r="AJ68" i="168"/>
  <c r="J86" i="1" s="1"/>
  <c r="AO68" i="168"/>
  <c r="U35" i="168"/>
  <c r="T68" i="168"/>
  <c r="U68" i="168" s="1"/>
  <c r="V68" i="168"/>
  <c r="O68" i="168"/>
  <c r="N68" i="168"/>
  <c r="AA14" i="167"/>
  <c r="AC14" i="167" s="1"/>
  <c r="L22" i="1" s="1"/>
  <c r="N67" i="167"/>
  <c r="V67" i="167"/>
  <c r="O67" i="167"/>
  <c r="T63" i="165"/>
  <c r="J78" i="1" s="1"/>
  <c r="K68" i="168"/>
  <c r="N24" i="1" s="1"/>
  <c r="N86" i="1" s="1"/>
  <c r="N89" i="1" s="1"/>
  <c r="M24" i="1"/>
  <c r="K81" i="1"/>
  <c r="O79" i="1"/>
  <c r="L78" i="1"/>
  <c r="L81" i="1" s="1"/>
  <c r="G20" i="169"/>
  <c r="Y63" i="165"/>
  <c r="P19" i="1"/>
  <c r="R19" i="1"/>
  <c r="O19" i="1"/>
  <c r="U20" i="167"/>
  <c r="X63" i="165"/>
  <c r="M78" i="1"/>
  <c r="O82" i="1"/>
  <c r="K67" i="167"/>
  <c r="N22" i="1" s="1"/>
  <c r="N82" i="1" s="1"/>
  <c r="N85" i="1" s="1"/>
  <c r="M22" i="1"/>
  <c r="AU63" i="165"/>
  <c r="L90" i="1"/>
  <c r="L92" i="1" s="1"/>
  <c r="I90" i="1"/>
  <c r="I92" i="1" s="1"/>
  <c r="T70" i="169"/>
  <c r="J90" i="1" s="1"/>
  <c r="N63" i="165"/>
  <c r="F63" i="165"/>
  <c r="N19" i="1" s="1"/>
  <c r="N78" i="1" s="1"/>
  <c r="M63" i="165"/>
  <c r="AJ63" i="165"/>
  <c r="AI63" i="165"/>
  <c r="K63" i="165"/>
  <c r="L63" i="165" s="1"/>
  <c r="N23" i="1"/>
  <c r="N90" i="1" s="1"/>
  <c r="N92" i="1" s="1"/>
  <c r="G28" i="1"/>
  <c r="M67" i="167"/>
  <c r="P67" i="167" s="1"/>
  <c r="G63" i="165"/>
  <c r="J19" i="1" s="1"/>
  <c r="L19" i="165"/>
  <c r="J92" i="1"/>
  <c r="L20" i="169"/>
  <c r="N20" i="169"/>
  <c r="M20" i="169"/>
  <c r="F20" i="169"/>
  <c r="AA15" i="168"/>
  <c r="AC15" i="168" s="1"/>
  <c r="U21" i="168"/>
  <c r="W21" i="168"/>
  <c r="P21" i="168"/>
  <c r="AA13" i="168"/>
  <c r="AC13" i="168" s="1"/>
  <c r="H24" i="1" s="1"/>
  <c r="V21" i="168"/>
  <c r="K21" i="168"/>
  <c r="N21" i="168"/>
  <c r="O21" i="168"/>
  <c r="M68" i="168"/>
  <c r="P68" i="168" s="1"/>
  <c r="P42" i="167"/>
  <c r="V20" i="167"/>
  <c r="K20" i="167"/>
  <c r="N20" i="167"/>
  <c r="O20" i="167"/>
  <c r="AA12" i="167"/>
  <c r="AC12" i="167" s="1"/>
  <c r="H22" i="1" s="1"/>
  <c r="P20" i="167"/>
  <c r="N19" i="165"/>
  <c r="G19" i="165"/>
  <c r="M19" i="165"/>
  <c r="F19" i="165"/>
  <c r="AZ58" i="150"/>
  <c r="BA58" i="150"/>
  <c r="BB58" i="150"/>
  <c r="AZ59" i="150"/>
  <c r="BA59" i="150"/>
  <c r="BB59" i="150"/>
  <c r="AZ60" i="150"/>
  <c r="BA60" i="150"/>
  <c r="BB60" i="150"/>
  <c r="AZ61" i="150"/>
  <c r="BA61" i="150"/>
  <c r="BB61" i="150"/>
  <c r="AN58" i="150"/>
  <c r="AO58" i="150"/>
  <c r="AN59" i="150"/>
  <c r="AO59" i="150"/>
  <c r="AN60" i="150"/>
  <c r="AO60" i="150"/>
  <c r="AN61" i="150"/>
  <c r="AO61" i="150"/>
  <c r="AH58" i="150"/>
  <c r="AI58" i="150"/>
  <c r="AJ58" i="150"/>
  <c r="AH59" i="150"/>
  <c r="AI59" i="150"/>
  <c r="AJ59" i="150"/>
  <c r="AH60" i="150"/>
  <c r="AI60" i="150"/>
  <c r="AJ60" i="150"/>
  <c r="AH61" i="150"/>
  <c r="AI61" i="150"/>
  <c r="AJ61" i="150"/>
  <c r="T58" i="150"/>
  <c r="U58" i="150" s="1"/>
  <c r="V58" i="150"/>
  <c r="W58" i="150"/>
  <c r="T59" i="150"/>
  <c r="U59" i="150" s="1"/>
  <c r="V59" i="150"/>
  <c r="W59" i="150"/>
  <c r="T60" i="150"/>
  <c r="U60" i="150" s="1"/>
  <c r="V60" i="150"/>
  <c r="W60" i="150"/>
  <c r="T61" i="150"/>
  <c r="U61" i="150" s="1"/>
  <c r="V61" i="150"/>
  <c r="W61" i="150"/>
  <c r="L58" i="150"/>
  <c r="M58" i="150"/>
  <c r="P58" i="150" s="1"/>
  <c r="N58" i="150"/>
  <c r="O58" i="150"/>
  <c r="L59" i="150"/>
  <c r="M59" i="150"/>
  <c r="P59" i="150" s="1"/>
  <c r="N59" i="150"/>
  <c r="O59" i="150"/>
  <c r="L60" i="150"/>
  <c r="M60" i="150"/>
  <c r="P60" i="150" s="1"/>
  <c r="N60" i="150"/>
  <c r="O60" i="150"/>
  <c r="L61" i="150"/>
  <c r="M61" i="150"/>
  <c r="P61" i="150" s="1"/>
  <c r="N61" i="150"/>
  <c r="O61" i="150"/>
  <c r="K109" i="153" l="1"/>
  <c r="K108" i="153"/>
  <c r="K107" i="153"/>
  <c r="K105" i="153"/>
  <c r="K106" i="153"/>
  <c r="K110" i="153"/>
  <c r="O91" i="1"/>
  <c r="K104" i="153"/>
  <c r="J111" i="153"/>
  <c r="O111" i="153" s="1"/>
  <c r="F111" i="153"/>
  <c r="M92" i="1"/>
  <c r="K101" i="153"/>
  <c r="K102" i="153"/>
  <c r="K103" i="153"/>
  <c r="K100" i="153"/>
  <c r="I28" i="1"/>
  <c r="K21" i="153"/>
  <c r="K99" i="153"/>
  <c r="K98" i="153"/>
  <c r="K97" i="153"/>
  <c r="K92" i="153"/>
  <c r="K95" i="153"/>
  <c r="K94" i="153"/>
  <c r="K93" i="153"/>
  <c r="K88" i="153"/>
  <c r="K96" i="153"/>
  <c r="K89" i="153"/>
  <c r="K90" i="153"/>
  <c r="K91" i="153"/>
  <c r="K85" i="153"/>
  <c r="K83" i="153"/>
  <c r="K87" i="153"/>
  <c r="K84" i="153"/>
  <c r="K82" i="153"/>
  <c r="K86" i="153"/>
  <c r="K81" i="153"/>
  <c r="J24" i="1"/>
  <c r="O21" i="153"/>
  <c r="K80" i="153"/>
  <c r="J22" i="1"/>
  <c r="O23" i="1"/>
  <c r="L111" i="153"/>
  <c r="J128" i="1" s="1"/>
  <c r="T21" i="153"/>
  <c r="V21" i="153"/>
  <c r="O86" i="1"/>
  <c r="M89" i="1"/>
  <c r="T80" i="153"/>
  <c r="V80" i="153"/>
  <c r="V111" i="153"/>
  <c r="O80" i="153"/>
  <c r="U80" i="153"/>
  <c r="U21" i="153"/>
  <c r="I85" i="1"/>
  <c r="I128" i="1" s="1"/>
  <c r="M85" i="1"/>
  <c r="O85" i="1" s="1"/>
  <c r="L82" i="1"/>
  <c r="L85" i="1" s="1"/>
  <c r="G128" i="1"/>
  <c r="O83" i="1"/>
  <c r="R23" i="1"/>
  <c r="P23" i="1"/>
  <c r="O24" i="1"/>
  <c r="R24" i="1"/>
  <c r="O22" i="1"/>
  <c r="R22" i="1"/>
  <c r="H82" i="1"/>
  <c r="H85" i="1" s="1"/>
  <c r="H86" i="1"/>
  <c r="H89" i="1" s="1"/>
  <c r="J81" i="1"/>
  <c r="L24" i="1"/>
  <c r="L86" i="1"/>
  <c r="L89" i="1" s="1"/>
  <c r="O78" i="1"/>
  <c r="M81" i="1"/>
  <c r="M128" i="1" s="1"/>
  <c r="J23" i="1"/>
  <c r="AA16" i="153"/>
  <c r="M19" i="153" s="1"/>
  <c r="K111" i="153" l="1"/>
  <c r="J28" i="1"/>
  <c r="AD18" i="153"/>
  <c r="AF18" i="153" s="1"/>
  <c r="L28" i="1" s="1"/>
  <c r="U111" i="153"/>
  <c r="N111" i="153"/>
  <c r="O89" i="1"/>
  <c r="N128" i="1"/>
  <c r="N81" i="1"/>
  <c r="O81" i="1"/>
  <c r="M65" i="153"/>
  <c r="N65" i="153" s="1"/>
  <c r="M64" i="153"/>
  <c r="M61" i="153"/>
  <c r="N61" i="153" s="1"/>
  <c r="M62" i="153"/>
  <c r="N62" i="153" s="1"/>
  <c r="M59" i="153"/>
  <c r="N59" i="153" s="1"/>
  <c r="M60" i="153"/>
  <c r="N60" i="153" s="1"/>
  <c r="N64" i="153" l="1"/>
  <c r="M72" i="153"/>
  <c r="H17" i="147"/>
  <c r="Q17" i="152"/>
  <c r="Q18" i="150"/>
  <c r="C13" i="155"/>
  <c r="C17" i="147"/>
  <c r="C17" i="152"/>
  <c r="C18" i="150"/>
  <c r="X63" i="153"/>
  <c r="X19" i="153" s="1"/>
  <c r="W63" i="153"/>
  <c r="W19" i="153" s="1"/>
  <c r="C56" i="153"/>
  <c r="P58" i="153"/>
  <c r="M58" i="153"/>
  <c r="J58" i="153"/>
  <c r="K58" i="153" s="1"/>
  <c r="I58" i="153"/>
  <c r="H58" i="153"/>
  <c r="E58" i="153"/>
  <c r="D58" i="153"/>
  <c r="C58" i="153"/>
  <c r="P57" i="153"/>
  <c r="M57" i="153"/>
  <c r="J57" i="153"/>
  <c r="K57" i="153" s="1"/>
  <c r="I57" i="153"/>
  <c r="H57" i="153"/>
  <c r="E57" i="153"/>
  <c r="D57" i="153"/>
  <c r="C57" i="153"/>
  <c r="P56" i="153"/>
  <c r="M56" i="153"/>
  <c r="J56" i="153"/>
  <c r="K56" i="153" s="1"/>
  <c r="I56" i="153"/>
  <c r="I63" i="153" s="1"/>
  <c r="H56" i="153"/>
  <c r="E56" i="153"/>
  <c r="D56" i="153"/>
  <c r="T17" i="152"/>
  <c r="M17" i="152"/>
  <c r="J17" i="152"/>
  <c r="K17" i="152" s="1"/>
  <c r="D17" i="152"/>
  <c r="E17" i="152"/>
  <c r="F17" i="152"/>
  <c r="G17" i="152"/>
  <c r="H17" i="152"/>
  <c r="I17" i="152"/>
  <c r="Y17" i="152"/>
  <c r="X17" i="152"/>
  <c r="M51" i="155"/>
  <c r="M50" i="155"/>
  <c r="M49" i="155"/>
  <c r="M47" i="155"/>
  <c r="M46" i="155"/>
  <c r="M45" i="155"/>
  <c r="M44" i="155"/>
  <c r="M43" i="155"/>
  <c r="M42" i="155"/>
  <c r="M41" i="155"/>
  <c r="M34" i="155"/>
  <c r="M35" i="155"/>
  <c r="M36" i="155"/>
  <c r="M37" i="155"/>
  <c r="M38" i="155"/>
  <c r="M39" i="155"/>
  <c r="M33" i="155"/>
  <c r="M27" i="155"/>
  <c r="M28" i="155"/>
  <c r="M29" i="155"/>
  <c r="M30" i="155"/>
  <c r="M31" i="155"/>
  <c r="M26" i="155"/>
  <c r="M25" i="155"/>
  <c r="M15" i="150"/>
  <c r="N72" i="153" l="1"/>
  <c r="O57" i="153"/>
  <c r="N17" i="152"/>
  <c r="L56" i="153"/>
  <c r="O17" i="152"/>
  <c r="U56" i="153"/>
  <c r="O56" i="153"/>
  <c r="L17" i="152"/>
  <c r="E19" i="153"/>
  <c r="N19" i="153" s="1"/>
  <c r="U17" i="152"/>
  <c r="P17" i="152"/>
  <c r="O58" i="153"/>
  <c r="N56" i="153"/>
  <c r="E63" i="153"/>
  <c r="L57" i="153"/>
  <c r="V56" i="153"/>
  <c r="U57" i="153"/>
  <c r="C63" i="153"/>
  <c r="H19" i="153"/>
  <c r="L58" i="153"/>
  <c r="N58" i="153"/>
  <c r="V58" i="153"/>
  <c r="C19" i="153"/>
  <c r="D63" i="153"/>
  <c r="H63" i="153"/>
  <c r="I19" i="153"/>
  <c r="J19" i="153"/>
  <c r="K19" i="153" s="1"/>
  <c r="V57" i="153"/>
  <c r="U58" i="153"/>
  <c r="J63" i="153"/>
  <c r="K63" i="153" s="1"/>
  <c r="D19" i="153"/>
  <c r="P63" i="153"/>
  <c r="P19" i="153"/>
  <c r="N57" i="153"/>
  <c r="M63" i="153"/>
  <c r="W17" i="152"/>
  <c r="V17" i="152"/>
  <c r="V63" i="153" l="1"/>
  <c r="N63" i="153"/>
  <c r="O19" i="153"/>
  <c r="O63" i="153"/>
  <c r="U19" i="153"/>
  <c r="L63" i="153"/>
  <c r="L19" i="153"/>
  <c r="V19" i="153"/>
  <c r="U63" i="153"/>
  <c r="M13" i="155"/>
  <c r="I13" i="155"/>
  <c r="J13" i="155"/>
  <c r="H13" i="155"/>
  <c r="G13" i="155"/>
  <c r="F13" i="155"/>
  <c r="E13" i="155"/>
  <c r="D13" i="155"/>
  <c r="L13" i="155" s="1"/>
  <c r="BU56" i="155"/>
  <c r="BQ56" i="155"/>
  <c r="BP56" i="155"/>
  <c r="BO56" i="155"/>
  <c r="BN56" i="155"/>
  <c r="BM56" i="155"/>
  <c r="BL56" i="155"/>
  <c r="BK56" i="155"/>
  <c r="BJ56" i="155"/>
  <c r="BC56" i="155"/>
  <c r="AY56" i="155"/>
  <c r="AX56" i="155"/>
  <c r="AW56" i="155"/>
  <c r="AV56" i="155"/>
  <c r="AU56" i="155"/>
  <c r="AT56" i="155"/>
  <c r="AS56" i="155"/>
  <c r="AR56" i="155"/>
  <c r="AK56" i="155"/>
  <c r="AG56" i="155"/>
  <c r="AF56" i="155"/>
  <c r="AE56" i="155"/>
  <c r="AD56" i="155"/>
  <c r="AC56" i="155"/>
  <c r="AB56" i="155"/>
  <c r="AA56" i="155"/>
  <c r="Z56" i="155"/>
  <c r="Y56" i="155"/>
  <c r="Y13" i="155" s="1"/>
  <c r="X56" i="155"/>
  <c r="X13" i="155" s="1"/>
  <c r="Q56" i="155"/>
  <c r="M56" i="155"/>
  <c r="J56" i="155"/>
  <c r="I56" i="155"/>
  <c r="H56" i="155"/>
  <c r="G56" i="155"/>
  <c r="F56" i="155"/>
  <c r="E56" i="155"/>
  <c r="D56" i="155"/>
  <c r="C56" i="155"/>
  <c r="BY51" i="155"/>
  <c r="BY50" i="155"/>
  <c r="BY49" i="155"/>
  <c r="BX51" i="155"/>
  <c r="BX50" i="155"/>
  <c r="BX49" i="155"/>
  <c r="BG51" i="155"/>
  <c r="BG50" i="155"/>
  <c r="BG49" i="155"/>
  <c r="BF51" i="155"/>
  <c r="BF50" i="155"/>
  <c r="BF49" i="155"/>
  <c r="AO51" i="155"/>
  <c r="AO50" i="155"/>
  <c r="AO49" i="155"/>
  <c r="AN51" i="155"/>
  <c r="AN50" i="155"/>
  <c r="AN49" i="155"/>
  <c r="BT51" i="155"/>
  <c r="BT50" i="155"/>
  <c r="BT49" i="155"/>
  <c r="BS51" i="155"/>
  <c r="BS50" i="155"/>
  <c r="BS49" i="155"/>
  <c r="BR51" i="155"/>
  <c r="BR50" i="155"/>
  <c r="BR49" i="155"/>
  <c r="BB51" i="155"/>
  <c r="BB50" i="155"/>
  <c r="BB49" i="155"/>
  <c r="BA51" i="155"/>
  <c r="BA50" i="155"/>
  <c r="BA49" i="155"/>
  <c r="AZ51" i="155"/>
  <c r="AZ50" i="155"/>
  <c r="AZ49" i="155"/>
  <c r="AJ51" i="155"/>
  <c r="AJ50" i="155"/>
  <c r="AJ49" i="155"/>
  <c r="AI51" i="155"/>
  <c r="AI50" i="155"/>
  <c r="AI49" i="155"/>
  <c r="AH51" i="155"/>
  <c r="AH50" i="155"/>
  <c r="AH49" i="155"/>
  <c r="W51" i="155"/>
  <c r="W50" i="155"/>
  <c r="W49" i="155"/>
  <c r="V51" i="155"/>
  <c r="V50" i="155"/>
  <c r="V49" i="155"/>
  <c r="T51" i="155"/>
  <c r="U51" i="155" s="1"/>
  <c r="T50" i="155"/>
  <c r="U50" i="155" s="1"/>
  <c r="T49" i="155"/>
  <c r="U49" i="155" s="1"/>
  <c r="P51" i="155"/>
  <c r="P50" i="155"/>
  <c r="P49" i="155"/>
  <c r="O51" i="155"/>
  <c r="O50" i="155"/>
  <c r="O49" i="155"/>
  <c r="N51" i="155"/>
  <c r="N50" i="155"/>
  <c r="N49" i="155"/>
  <c r="L51" i="155"/>
  <c r="L50" i="155"/>
  <c r="L49" i="155"/>
  <c r="P17" i="147"/>
  <c r="O17" i="147"/>
  <c r="D17" i="147"/>
  <c r="N17" i="147" s="1"/>
  <c r="E17" i="147"/>
  <c r="F17" i="147" l="1"/>
  <c r="BG56" i="155"/>
  <c r="BS56" i="155"/>
  <c r="P13" i="155"/>
  <c r="BA56" i="155"/>
  <c r="O56" i="155"/>
  <c r="BB56" i="155"/>
  <c r="BX56" i="155"/>
  <c r="W13" i="155"/>
  <c r="W56" i="155"/>
  <c r="AI56" i="155"/>
  <c r="AO56" i="155"/>
  <c r="O13" i="155"/>
  <c r="P56" i="155"/>
  <c r="AH56" i="155"/>
  <c r="BY56" i="155"/>
  <c r="L56" i="155"/>
  <c r="AJ56" i="155"/>
  <c r="K13" i="155"/>
  <c r="U13" i="155"/>
  <c r="G17" i="147"/>
  <c r="V13" i="155"/>
  <c r="M17" i="147"/>
  <c r="T56" i="155"/>
  <c r="U56" i="155" s="1"/>
  <c r="N13" i="155"/>
  <c r="BT56" i="155"/>
  <c r="N56" i="155"/>
  <c r="BF56" i="155"/>
  <c r="V56" i="155"/>
  <c r="AN56" i="155"/>
  <c r="BR56" i="155"/>
  <c r="AZ56" i="155"/>
  <c r="BU62" i="150"/>
  <c r="BQ62" i="150"/>
  <c r="BP62" i="150"/>
  <c r="BO62" i="150"/>
  <c r="BN62" i="150"/>
  <c r="BM62" i="150"/>
  <c r="BL62" i="150"/>
  <c r="BK62" i="150"/>
  <c r="BJ62" i="150"/>
  <c r="BC62" i="150"/>
  <c r="AY62" i="150"/>
  <c r="AX62" i="150"/>
  <c r="AW62" i="150"/>
  <c r="AV62" i="150"/>
  <c r="AU62" i="150"/>
  <c r="AT62" i="150"/>
  <c r="AS62" i="150"/>
  <c r="AR62" i="150"/>
  <c r="AK62" i="150"/>
  <c r="AG62" i="150"/>
  <c r="AF62" i="150"/>
  <c r="AE62" i="150"/>
  <c r="AD62" i="150"/>
  <c r="AC62" i="150"/>
  <c r="AB62" i="150"/>
  <c r="AA62" i="150"/>
  <c r="Z62" i="150"/>
  <c r="Y62" i="150"/>
  <c r="Y18" i="150" s="1"/>
  <c r="X62" i="150"/>
  <c r="X18" i="150" s="1"/>
  <c r="Q62" i="150"/>
  <c r="J62" i="150"/>
  <c r="I62" i="150"/>
  <c r="H62" i="150"/>
  <c r="G62" i="150"/>
  <c r="F62" i="150"/>
  <c r="E62" i="150"/>
  <c r="D62" i="150"/>
  <c r="C62" i="150"/>
  <c r="T18" i="150"/>
  <c r="M18" i="150"/>
  <c r="D18" i="150"/>
  <c r="L18" i="150" s="1"/>
  <c r="E18" i="150"/>
  <c r="F18" i="150"/>
  <c r="G18" i="150"/>
  <c r="H18" i="150"/>
  <c r="I18" i="150"/>
  <c r="J18" i="150"/>
  <c r="W57" i="150"/>
  <c r="W56" i="150"/>
  <c r="W55" i="150"/>
  <c r="V57" i="150"/>
  <c r="V56" i="150"/>
  <c r="V55" i="150"/>
  <c r="T57" i="150"/>
  <c r="U57" i="150" s="1"/>
  <c r="T56" i="150"/>
  <c r="U56" i="150" s="1"/>
  <c r="T55" i="150"/>
  <c r="U55" i="150" s="1"/>
  <c r="G58" i="153"/>
  <c r="G57" i="153"/>
  <c r="G56" i="153"/>
  <c r="BY57" i="150"/>
  <c r="BY56" i="150"/>
  <c r="BY55" i="150"/>
  <c r="BX57" i="150"/>
  <c r="BX56" i="150"/>
  <c r="BX55" i="150"/>
  <c r="BG57" i="150"/>
  <c r="BG56" i="150"/>
  <c r="BG55" i="150"/>
  <c r="BF57" i="150"/>
  <c r="BF56" i="150"/>
  <c r="BF55" i="150"/>
  <c r="AO57" i="150"/>
  <c r="AO56" i="150"/>
  <c r="AO55" i="150"/>
  <c r="AN57" i="150"/>
  <c r="AN56" i="150"/>
  <c r="AN55" i="150"/>
  <c r="BT57" i="150"/>
  <c r="BT56" i="150"/>
  <c r="BT55" i="150"/>
  <c r="BS57" i="150"/>
  <c r="BS56" i="150"/>
  <c r="BS55" i="150"/>
  <c r="BR57" i="150"/>
  <c r="BR56" i="150"/>
  <c r="BR55" i="150"/>
  <c r="BB57" i="150"/>
  <c r="BB56" i="150"/>
  <c r="BB55" i="150"/>
  <c r="AZ57" i="150"/>
  <c r="AZ56" i="150"/>
  <c r="AZ55" i="150"/>
  <c r="BA57" i="150"/>
  <c r="BA56" i="150"/>
  <c r="BA55" i="150"/>
  <c r="AJ57" i="150"/>
  <c r="AJ56" i="150"/>
  <c r="AJ55" i="150"/>
  <c r="AI57" i="150"/>
  <c r="AI56" i="150"/>
  <c r="AI55" i="150"/>
  <c r="AH31" i="150"/>
  <c r="AH57" i="150"/>
  <c r="AH56" i="150"/>
  <c r="AH55" i="150"/>
  <c r="AH34" i="150"/>
  <c r="O57" i="150"/>
  <c r="N57" i="150"/>
  <c r="O56" i="150"/>
  <c r="N56" i="150"/>
  <c r="O55" i="150"/>
  <c r="N55" i="150"/>
  <c r="M57" i="150"/>
  <c r="P57" i="150" s="1"/>
  <c r="L57" i="150"/>
  <c r="M56" i="150"/>
  <c r="P56" i="150" s="1"/>
  <c r="L56" i="150"/>
  <c r="M55" i="150"/>
  <c r="L55" i="150"/>
  <c r="P18" i="150" l="1"/>
  <c r="O25" i="1"/>
  <c r="M62" i="150"/>
  <c r="P62" i="150" s="1"/>
  <c r="AJ62" i="150"/>
  <c r="BY62" i="150"/>
  <c r="BB62" i="150"/>
  <c r="O18" i="150"/>
  <c r="BX62" i="150"/>
  <c r="G19" i="153"/>
  <c r="G63" i="153"/>
  <c r="L62" i="150"/>
  <c r="P55" i="150"/>
  <c r="BG62" i="150"/>
  <c r="AI62" i="150"/>
  <c r="U18" i="150"/>
  <c r="W62" i="150"/>
  <c r="T62" i="150"/>
  <c r="U62" i="150" s="1"/>
  <c r="W18" i="150"/>
  <c r="BT62" i="150"/>
  <c r="V18" i="150"/>
  <c r="K18" i="150"/>
  <c r="N18" i="150"/>
  <c r="O62" i="150"/>
  <c r="AO62" i="150"/>
  <c r="BA62" i="150"/>
  <c r="AH62" i="150"/>
  <c r="BF62" i="150"/>
  <c r="V62" i="150"/>
  <c r="AN62" i="150"/>
  <c r="BR62" i="150"/>
  <c r="BS62" i="150"/>
  <c r="N62" i="150"/>
  <c r="AZ62" i="150"/>
  <c r="K63" i="160"/>
  <c r="K64" i="160"/>
  <c r="K65" i="160"/>
  <c r="K62" i="160"/>
  <c r="O48" i="1"/>
  <c r="P51" i="153" l="1"/>
  <c r="P52" i="153"/>
  <c r="P53" i="153"/>
  <c r="P54" i="153"/>
  <c r="M51" i="153"/>
  <c r="M52" i="153"/>
  <c r="M53" i="153"/>
  <c r="M54" i="153"/>
  <c r="C51" i="153"/>
  <c r="D51" i="153"/>
  <c r="E51" i="153"/>
  <c r="H51" i="153"/>
  <c r="I51" i="153"/>
  <c r="J51" i="153"/>
  <c r="K51" i="153" s="1"/>
  <c r="C52" i="153"/>
  <c r="D52" i="153"/>
  <c r="E52" i="153"/>
  <c r="H52" i="153"/>
  <c r="I52" i="153"/>
  <c r="J52" i="153"/>
  <c r="K52" i="153" s="1"/>
  <c r="C53" i="153"/>
  <c r="D53" i="153"/>
  <c r="E53" i="153"/>
  <c r="H53" i="153"/>
  <c r="I53" i="153"/>
  <c r="J53" i="153"/>
  <c r="K53" i="153" s="1"/>
  <c r="C54" i="153"/>
  <c r="D54" i="153"/>
  <c r="E54" i="153"/>
  <c r="H54" i="153"/>
  <c r="I54" i="153"/>
  <c r="J54" i="153"/>
  <c r="K54" i="153" s="1"/>
  <c r="O53" i="153" l="1"/>
  <c r="O54" i="153"/>
  <c r="O51" i="153"/>
  <c r="O52" i="153"/>
  <c r="U54" i="153"/>
  <c r="U53" i="153"/>
  <c r="U51" i="153"/>
  <c r="U52" i="153"/>
  <c r="T50" i="150"/>
  <c r="U50" i="150" s="1"/>
  <c r="T51" i="150"/>
  <c r="U51" i="150" s="1"/>
  <c r="T52" i="150"/>
  <c r="U52" i="150" s="1"/>
  <c r="T53" i="150"/>
  <c r="U53" i="150" s="1"/>
  <c r="BX44" i="155"/>
  <c r="BY44" i="155"/>
  <c r="BX45" i="155"/>
  <c r="BY45" i="155"/>
  <c r="BX46" i="155"/>
  <c r="BY46" i="155"/>
  <c r="BX47" i="155"/>
  <c r="BY47" i="155"/>
  <c r="BR44" i="155"/>
  <c r="BS44" i="155"/>
  <c r="BT44" i="155"/>
  <c r="BR45" i="155"/>
  <c r="BS45" i="155"/>
  <c r="BT45" i="155"/>
  <c r="BR46" i="155"/>
  <c r="BS46" i="155"/>
  <c r="BT46" i="155"/>
  <c r="BR47" i="155"/>
  <c r="BS47" i="155"/>
  <c r="BT47" i="155"/>
  <c r="BF44" i="155"/>
  <c r="BG44" i="155"/>
  <c r="BF45" i="155"/>
  <c r="BG45" i="155"/>
  <c r="BF46" i="155"/>
  <c r="BG46" i="155"/>
  <c r="BF47" i="155"/>
  <c r="BG47" i="155"/>
  <c r="AZ44" i="155"/>
  <c r="BA44" i="155"/>
  <c r="BB44" i="155"/>
  <c r="AZ45" i="155"/>
  <c r="BA45" i="155"/>
  <c r="BB45" i="155"/>
  <c r="AZ46" i="155"/>
  <c r="BA46" i="155"/>
  <c r="BB46" i="155"/>
  <c r="AZ47" i="155"/>
  <c r="BA47" i="155"/>
  <c r="BB47" i="155"/>
  <c r="AN44" i="155"/>
  <c r="AO44" i="155"/>
  <c r="AN45" i="155"/>
  <c r="AO45" i="155"/>
  <c r="AN46" i="155"/>
  <c r="AO46" i="155"/>
  <c r="AN47" i="155"/>
  <c r="AO47" i="155"/>
  <c r="AH44" i="155"/>
  <c r="AI44" i="155"/>
  <c r="AJ44" i="155"/>
  <c r="AH45" i="155"/>
  <c r="AI45" i="155"/>
  <c r="AJ45" i="155"/>
  <c r="AH46" i="155"/>
  <c r="AI46" i="155"/>
  <c r="AJ46" i="155"/>
  <c r="AH47" i="155"/>
  <c r="AI47" i="155"/>
  <c r="AJ47" i="155"/>
  <c r="V44" i="155"/>
  <c r="W44" i="155"/>
  <c r="V45" i="155"/>
  <c r="W45" i="155"/>
  <c r="V46" i="155"/>
  <c r="W46" i="155"/>
  <c r="V47" i="155"/>
  <c r="W47" i="155"/>
  <c r="T44" i="155"/>
  <c r="U44" i="155" s="1"/>
  <c r="T45" i="155"/>
  <c r="U45" i="155" s="1"/>
  <c r="T46" i="155"/>
  <c r="U46" i="155" s="1"/>
  <c r="T47" i="155"/>
  <c r="U47" i="155" s="1"/>
  <c r="L44" i="155"/>
  <c r="N44" i="155"/>
  <c r="O44" i="155"/>
  <c r="L45" i="155"/>
  <c r="N45" i="155"/>
  <c r="O45" i="155"/>
  <c r="L46" i="155"/>
  <c r="N46" i="155"/>
  <c r="O46" i="155"/>
  <c r="L47" i="155"/>
  <c r="N47" i="155"/>
  <c r="O47" i="155"/>
  <c r="I62" i="160"/>
  <c r="G51" i="153"/>
  <c r="G52" i="153"/>
  <c r="G53" i="153"/>
  <c r="G54" i="153"/>
  <c r="BX50" i="150"/>
  <c r="BY50" i="150"/>
  <c r="BX51" i="150"/>
  <c r="BY51" i="150"/>
  <c r="BX52" i="150"/>
  <c r="BY52" i="150"/>
  <c r="BX53" i="150"/>
  <c r="BY53" i="150"/>
  <c r="BR50" i="150"/>
  <c r="BS50" i="150"/>
  <c r="BT50" i="150"/>
  <c r="BR51" i="150"/>
  <c r="BS51" i="150"/>
  <c r="BT51" i="150"/>
  <c r="BR52" i="150"/>
  <c r="BS52" i="150"/>
  <c r="BT52" i="150"/>
  <c r="BR53" i="150"/>
  <c r="BS53" i="150"/>
  <c r="BT53" i="150"/>
  <c r="BF50" i="150"/>
  <c r="BG50" i="150"/>
  <c r="BF51" i="150"/>
  <c r="BG51" i="150"/>
  <c r="BF52" i="150"/>
  <c r="BG52" i="150"/>
  <c r="BF53" i="150"/>
  <c r="BG53" i="150"/>
  <c r="AZ50" i="150"/>
  <c r="BA50" i="150"/>
  <c r="BB50" i="150"/>
  <c r="AZ51" i="150"/>
  <c r="BA51" i="150"/>
  <c r="BB51" i="150"/>
  <c r="AZ52" i="150"/>
  <c r="BA52" i="150"/>
  <c r="BB52" i="150"/>
  <c r="AZ53" i="150"/>
  <c r="BA53" i="150"/>
  <c r="BB53" i="150"/>
  <c r="AN50" i="150"/>
  <c r="AO50" i="150"/>
  <c r="AN51" i="150"/>
  <c r="AO51" i="150"/>
  <c r="AN52" i="150"/>
  <c r="AO52" i="150"/>
  <c r="AN53" i="150"/>
  <c r="AO53" i="150"/>
  <c r="O63" i="1"/>
  <c r="O60" i="1"/>
  <c r="O57" i="1"/>
  <c r="O54" i="1"/>
  <c r="O51" i="1"/>
  <c r="Q17" i="150"/>
  <c r="P50" i="153"/>
  <c r="P49" i="153"/>
  <c r="P48" i="153"/>
  <c r="C50" i="153"/>
  <c r="D50" i="153"/>
  <c r="E50" i="153"/>
  <c r="H50" i="153"/>
  <c r="I50" i="153"/>
  <c r="J50" i="153"/>
  <c r="K50" i="153" s="1"/>
  <c r="J49" i="153"/>
  <c r="K49" i="153" s="1"/>
  <c r="I49" i="153"/>
  <c r="H49" i="153"/>
  <c r="E49" i="153"/>
  <c r="D49" i="153"/>
  <c r="C49" i="153"/>
  <c r="J48" i="153"/>
  <c r="K48" i="153" s="1"/>
  <c r="I48" i="153"/>
  <c r="H48" i="153"/>
  <c r="E48" i="153"/>
  <c r="D48" i="153"/>
  <c r="C48" i="153"/>
  <c r="X16" i="152"/>
  <c r="Y16" i="152"/>
  <c r="BX41" i="155"/>
  <c r="BY41" i="155"/>
  <c r="BX42" i="155"/>
  <c r="BY42" i="155"/>
  <c r="BX43" i="155"/>
  <c r="BY43" i="155"/>
  <c r="BR41" i="155"/>
  <c r="BS41" i="155"/>
  <c r="BT41" i="155"/>
  <c r="BR42" i="155"/>
  <c r="BS42" i="155"/>
  <c r="BT42" i="155"/>
  <c r="BR43" i="155"/>
  <c r="BS43" i="155"/>
  <c r="BT43" i="155"/>
  <c r="BF41" i="155"/>
  <c r="BG41" i="155"/>
  <c r="BF42" i="155"/>
  <c r="BG42" i="155"/>
  <c r="BF43" i="155"/>
  <c r="BG43" i="155"/>
  <c r="AZ41" i="155"/>
  <c r="BA41" i="155"/>
  <c r="BB41" i="155"/>
  <c r="AZ42" i="155"/>
  <c r="BA42" i="155"/>
  <c r="BB42" i="155"/>
  <c r="AZ43" i="155"/>
  <c r="BA43" i="155"/>
  <c r="BB43" i="155"/>
  <c r="AN41" i="155"/>
  <c r="AO41" i="155"/>
  <c r="AN42" i="155"/>
  <c r="AO42" i="155"/>
  <c r="AN43" i="155"/>
  <c r="AO43" i="155"/>
  <c r="AH41" i="155"/>
  <c r="AI41" i="155"/>
  <c r="AJ41" i="155"/>
  <c r="AH42" i="155"/>
  <c r="AI42" i="155"/>
  <c r="AJ42" i="155"/>
  <c r="AH43" i="155"/>
  <c r="AI43" i="155"/>
  <c r="AJ43" i="155"/>
  <c r="V41" i="155"/>
  <c r="W41" i="155"/>
  <c r="V42" i="155"/>
  <c r="W42" i="155"/>
  <c r="V43" i="155"/>
  <c r="W43" i="155"/>
  <c r="T41" i="155"/>
  <c r="U41" i="155" s="1"/>
  <c r="T42" i="155"/>
  <c r="U42" i="155" s="1"/>
  <c r="T43" i="155"/>
  <c r="U43" i="155" s="1"/>
  <c r="L41" i="155"/>
  <c r="N41" i="155"/>
  <c r="O41" i="155"/>
  <c r="P41" i="155"/>
  <c r="L42" i="155"/>
  <c r="P42" i="155"/>
  <c r="N42" i="155"/>
  <c r="O42" i="155"/>
  <c r="L43" i="155"/>
  <c r="N43" i="155"/>
  <c r="O43" i="155"/>
  <c r="P43" i="155"/>
  <c r="I60" i="160"/>
  <c r="I61" i="160"/>
  <c r="I59" i="160"/>
  <c r="G48" i="153"/>
  <c r="G49" i="153"/>
  <c r="G50" i="153"/>
  <c r="BY49" i="150"/>
  <c r="BX49" i="150"/>
  <c r="BY48" i="150"/>
  <c r="BX48" i="150"/>
  <c r="BY47" i="150"/>
  <c r="BX47" i="150"/>
  <c r="BT49" i="150"/>
  <c r="BS49" i="150"/>
  <c r="BR49" i="150"/>
  <c r="BT48" i="150"/>
  <c r="BS48" i="150"/>
  <c r="BR48" i="150"/>
  <c r="BT47" i="150"/>
  <c r="BS47" i="150"/>
  <c r="BR47" i="150"/>
  <c r="BG49" i="150"/>
  <c r="BF49" i="150"/>
  <c r="BG48" i="150"/>
  <c r="BF48" i="150"/>
  <c r="BG47" i="150"/>
  <c r="BF47" i="150"/>
  <c r="AZ49" i="150"/>
  <c r="AZ48" i="150"/>
  <c r="AZ47" i="150"/>
  <c r="BB49" i="150"/>
  <c r="BA49" i="150"/>
  <c r="BB48" i="150"/>
  <c r="BA48" i="150"/>
  <c r="BB47" i="150"/>
  <c r="BA47" i="150"/>
  <c r="AO49" i="150"/>
  <c r="AN49" i="150"/>
  <c r="AO48" i="150"/>
  <c r="AN48" i="150"/>
  <c r="AO47" i="150"/>
  <c r="AN47" i="150"/>
  <c r="H16" i="147"/>
  <c r="D16" i="147"/>
  <c r="E16" i="147"/>
  <c r="C16" i="147"/>
  <c r="P16" i="147"/>
  <c r="O16" i="147"/>
  <c r="T16" i="152"/>
  <c r="Q16" i="152"/>
  <c r="M16" i="152"/>
  <c r="J16" i="152"/>
  <c r="K16" i="152" s="1"/>
  <c r="I16" i="152"/>
  <c r="H16" i="152"/>
  <c r="G16" i="152"/>
  <c r="F16" i="152"/>
  <c r="E16" i="152"/>
  <c r="D16" i="152"/>
  <c r="C16" i="152"/>
  <c r="P44" i="155"/>
  <c r="P45" i="155"/>
  <c r="P47" i="155"/>
  <c r="T12" i="155"/>
  <c r="Q12" i="155"/>
  <c r="J12" i="155"/>
  <c r="D12" i="155"/>
  <c r="E12" i="155"/>
  <c r="F12" i="155"/>
  <c r="G12" i="155"/>
  <c r="H12" i="155"/>
  <c r="I12" i="155"/>
  <c r="C12" i="155"/>
  <c r="M12" i="155"/>
  <c r="BU48" i="155"/>
  <c r="BQ48" i="155"/>
  <c r="BP48" i="155"/>
  <c r="BO48" i="155"/>
  <c r="BN48" i="155"/>
  <c r="BM48" i="155"/>
  <c r="BL48" i="155"/>
  <c r="BK48" i="155"/>
  <c r="BJ48" i="155"/>
  <c r="BC48" i="155"/>
  <c r="AY48" i="155"/>
  <c r="AX48" i="155"/>
  <c r="AW48" i="155"/>
  <c r="AV48" i="155"/>
  <c r="AU48" i="155"/>
  <c r="AT48" i="155"/>
  <c r="AS48" i="155"/>
  <c r="AR48" i="155"/>
  <c r="AK48" i="155"/>
  <c r="AG48" i="155"/>
  <c r="AF48" i="155"/>
  <c r="AE48" i="155"/>
  <c r="AD48" i="155"/>
  <c r="AC48" i="155"/>
  <c r="AB48" i="155"/>
  <c r="AA48" i="155"/>
  <c r="Z48" i="155"/>
  <c r="Y48" i="155"/>
  <c r="Y12" i="155" s="1"/>
  <c r="X48" i="155"/>
  <c r="X12" i="155" s="1"/>
  <c r="Q48" i="155"/>
  <c r="J48" i="155"/>
  <c r="I48" i="155"/>
  <c r="H48" i="155"/>
  <c r="G48" i="155"/>
  <c r="F48" i="155"/>
  <c r="E48" i="155"/>
  <c r="D48" i="155"/>
  <c r="C48" i="155"/>
  <c r="T17" i="150"/>
  <c r="M17" i="150"/>
  <c r="J17" i="150"/>
  <c r="D17" i="150"/>
  <c r="E17" i="150"/>
  <c r="F17" i="150"/>
  <c r="G17" i="150"/>
  <c r="H17" i="150"/>
  <c r="I17" i="150"/>
  <c r="C17" i="150"/>
  <c r="AH48" i="150"/>
  <c r="AI48" i="150"/>
  <c r="AJ48" i="150"/>
  <c r="AH49" i="150"/>
  <c r="AI49" i="150"/>
  <c r="AJ49" i="150"/>
  <c r="AH50" i="150"/>
  <c r="AI50" i="150"/>
  <c r="AJ50" i="150"/>
  <c r="AH51" i="150"/>
  <c r="AI51" i="150"/>
  <c r="AJ51" i="150"/>
  <c r="AH52" i="150"/>
  <c r="AI52" i="150"/>
  <c r="AJ52" i="150"/>
  <c r="AH53" i="150"/>
  <c r="AI53" i="150"/>
  <c r="AJ53" i="150"/>
  <c r="AJ47" i="150"/>
  <c r="AI47" i="150"/>
  <c r="AH47" i="150"/>
  <c r="T48" i="150"/>
  <c r="U48" i="150" s="1"/>
  <c r="V48" i="150"/>
  <c r="W48" i="150"/>
  <c r="T49" i="150"/>
  <c r="U49" i="150" s="1"/>
  <c r="V49" i="150"/>
  <c r="W49" i="150"/>
  <c r="V50" i="150"/>
  <c r="W50" i="150"/>
  <c r="V51" i="150"/>
  <c r="W51" i="150"/>
  <c r="V52" i="150"/>
  <c r="W52" i="150"/>
  <c r="V53" i="150"/>
  <c r="W53" i="150"/>
  <c r="W47" i="150"/>
  <c r="V47" i="150"/>
  <c r="T47" i="150"/>
  <c r="U47" i="150" s="1"/>
  <c r="L48" i="150"/>
  <c r="M48" i="150"/>
  <c r="P48" i="150" s="1"/>
  <c r="N48" i="150"/>
  <c r="O48" i="150"/>
  <c r="L49" i="150"/>
  <c r="M49" i="150"/>
  <c r="P49" i="150" s="1"/>
  <c r="N49" i="150"/>
  <c r="O49" i="150"/>
  <c r="L50" i="150"/>
  <c r="M50" i="150"/>
  <c r="P50" i="150" s="1"/>
  <c r="N50" i="150"/>
  <c r="O50" i="150"/>
  <c r="L51" i="150"/>
  <c r="M51" i="150"/>
  <c r="P51" i="150" s="1"/>
  <c r="N51" i="150"/>
  <c r="O51" i="150"/>
  <c r="L52" i="150"/>
  <c r="M52" i="150"/>
  <c r="P52" i="150" s="1"/>
  <c r="N52" i="150"/>
  <c r="O52" i="150"/>
  <c r="L53" i="150"/>
  <c r="M53" i="150"/>
  <c r="P53" i="150" s="1"/>
  <c r="N53" i="150"/>
  <c r="O53" i="150"/>
  <c r="O47" i="150"/>
  <c r="N47" i="150"/>
  <c r="M47" i="150"/>
  <c r="P47" i="150" s="1"/>
  <c r="L47" i="150"/>
  <c r="V51" i="153"/>
  <c r="V52" i="153"/>
  <c r="V53" i="153"/>
  <c r="V54" i="153"/>
  <c r="M49" i="153"/>
  <c r="M50" i="153"/>
  <c r="L51" i="153"/>
  <c r="N51" i="153"/>
  <c r="L52" i="153"/>
  <c r="N52" i="153"/>
  <c r="L53" i="153"/>
  <c r="N53" i="153"/>
  <c r="L54" i="153"/>
  <c r="N54" i="153"/>
  <c r="M48" i="153"/>
  <c r="BU54" i="150"/>
  <c r="BQ54" i="150"/>
  <c r="BP54" i="150"/>
  <c r="BO54" i="150"/>
  <c r="BN54" i="150"/>
  <c r="BM54" i="150"/>
  <c r="BL54" i="150"/>
  <c r="BK54" i="150"/>
  <c r="BJ54" i="150"/>
  <c r="BC54" i="150"/>
  <c r="AY54" i="150"/>
  <c r="AX54" i="150"/>
  <c r="AW54" i="150"/>
  <c r="AV54" i="150"/>
  <c r="AU54" i="150"/>
  <c r="AT54" i="150"/>
  <c r="AS54" i="150"/>
  <c r="AR54" i="150"/>
  <c r="AK54" i="150"/>
  <c r="AG54" i="150"/>
  <c r="AF54" i="150"/>
  <c r="AE54" i="150"/>
  <c r="AD54" i="150"/>
  <c r="AC54" i="150"/>
  <c r="AB54" i="150"/>
  <c r="AA54" i="150"/>
  <c r="Z54" i="150"/>
  <c r="Y54" i="150"/>
  <c r="Y17" i="150" s="1"/>
  <c r="X54" i="150"/>
  <c r="X17" i="150" s="1"/>
  <c r="Q54" i="150"/>
  <c r="J54" i="150"/>
  <c r="I54" i="150"/>
  <c r="H54" i="150"/>
  <c r="G54" i="150"/>
  <c r="F54" i="150"/>
  <c r="E54" i="150"/>
  <c r="D54" i="150"/>
  <c r="C54" i="150"/>
  <c r="M18" i="153"/>
  <c r="X55" i="153"/>
  <c r="X18" i="153" s="1"/>
  <c r="W55" i="153"/>
  <c r="W18" i="153" s="1"/>
  <c r="N49" i="153" l="1"/>
  <c r="O50" i="153"/>
  <c r="O48" i="153"/>
  <c r="L12" i="155"/>
  <c r="W17" i="150"/>
  <c r="O49" i="153"/>
  <c r="L48" i="153"/>
  <c r="V48" i="153"/>
  <c r="I55" i="153"/>
  <c r="C55" i="153"/>
  <c r="BY54" i="150"/>
  <c r="H55" i="153"/>
  <c r="U50" i="153"/>
  <c r="G55" i="153"/>
  <c r="M48" i="155"/>
  <c r="P48" i="155" s="1"/>
  <c r="C18" i="153"/>
  <c r="P16" i="152"/>
  <c r="P46" i="155"/>
  <c r="V50" i="153"/>
  <c r="E55" i="153"/>
  <c r="H18" i="153"/>
  <c r="I18" i="153"/>
  <c r="L50" i="153"/>
  <c r="P18" i="153"/>
  <c r="U48" i="153"/>
  <c r="U49" i="153"/>
  <c r="G18" i="153"/>
  <c r="D18" i="153"/>
  <c r="P55" i="153"/>
  <c r="D55" i="153"/>
  <c r="E18" i="153"/>
  <c r="N18" i="153" s="1"/>
  <c r="N50" i="153"/>
  <c r="M16" i="147"/>
  <c r="BX48" i="155"/>
  <c r="V12" i="155"/>
  <c r="BX54" i="150"/>
  <c r="P12" i="155"/>
  <c r="AJ54" i="150"/>
  <c r="AI54" i="150"/>
  <c r="BB54" i="150"/>
  <c r="BA54" i="150"/>
  <c r="BT54" i="150"/>
  <c r="L17" i="150"/>
  <c r="O17" i="150"/>
  <c r="T48" i="155"/>
  <c r="U48" i="155" s="1"/>
  <c r="U17" i="150"/>
  <c r="J55" i="153"/>
  <c r="K55" i="153" s="1"/>
  <c r="J18" i="153"/>
  <c r="K18" i="153" s="1"/>
  <c r="L49" i="153"/>
  <c r="N48" i="153"/>
  <c r="V49" i="153"/>
  <c r="U12" i="155"/>
  <c r="L16" i="152"/>
  <c r="V16" i="152"/>
  <c r="N16" i="152"/>
  <c r="W16" i="152"/>
  <c r="L48" i="155"/>
  <c r="O48" i="155"/>
  <c r="AJ48" i="155"/>
  <c r="AI48" i="155"/>
  <c r="BA48" i="155"/>
  <c r="BG48" i="155"/>
  <c r="BY48" i="155"/>
  <c r="W12" i="155"/>
  <c r="F16" i="147"/>
  <c r="G16" i="147"/>
  <c r="N16" i="147"/>
  <c r="BF54" i="150"/>
  <c r="BG54" i="150"/>
  <c r="AO54" i="150"/>
  <c r="K17" i="150"/>
  <c r="V17" i="150"/>
  <c r="O54" i="150"/>
  <c r="W54" i="150"/>
  <c r="P17" i="150"/>
  <c r="L54" i="150"/>
  <c r="N17" i="150"/>
  <c r="T54" i="150"/>
  <c r="U54" i="150" s="1"/>
  <c r="O16" i="152"/>
  <c r="U16" i="152"/>
  <c r="BB48" i="155"/>
  <c r="BF48" i="155"/>
  <c r="W48" i="155"/>
  <c r="BT48" i="155"/>
  <c r="AO48" i="155"/>
  <c r="O12" i="155"/>
  <c r="K12" i="155"/>
  <c r="N12" i="155"/>
  <c r="V48" i="155"/>
  <c r="AN48" i="155"/>
  <c r="BR48" i="155"/>
  <c r="BS48" i="155"/>
  <c r="N48" i="155"/>
  <c r="AZ48" i="155"/>
  <c r="AH48" i="155"/>
  <c r="M54" i="150"/>
  <c r="P54" i="150" s="1"/>
  <c r="M55" i="153"/>
  <c r="V54" i="150"/>
  <c r="AN54" i="150"/>
  <c r="BR54" i="150"/>
  <c r="BS54" i="150"/>
  <c r="AZ54" i="150"/>
  <c r="N54" i="150"/>
  <c r="AH54" i="150"/>
  <c r="V18" i="153" l="1"/>
  <c r="O55" i="153"/>
  <c r="O18" i="153"/>
  <c r="L55" i="153"/>
  <c r="N55" i="153"/>
  <c r="L18" i="153"/>
  <c r="U55" i="153"/>
  <c r="U18" i="153"/>
  <c r="V55" i="153"/>
  <c r="J41" i="153"/>
  <c r="K41" i="153" s="1"/>
  <c r="J42" i="153"/>
  <c r="K42" i="153" s="1"/>
  <c r="J43" i="153"/>
  <c r="K43" i="153" s="1"/>
  <c r="J44" i="153"/>
  <c r="K44" i="153" s="1"/>
  <c r="J45" i="153"/>
  <c r="K45" i="153" s="1"/>
  <c r="J46" i="153"/>
  <c r="K46" i="153" s="1"/>
  <c r="J40" i="153"/>
  <c r="K40" i="153" s="1"/>
  <c r="E41" i="153"/>
  <c r="E42" i="153"/>
  <c r="E43" i="153"/>
  <c r="E44" i="153"/>
  <c r="E45" i="153"/>
  <c r="E46" i="153"/>
  <c r="E40" i="153"/>
  <c r="P43" i="153"/>
  <c r="P44" i="153"/>
  <c r="P45" i="153"/>
  <c r="P46" i="153"/>
  <c r="M43" i="153"/>
  <c r="M44" i="153"/>
  <c r="M45" i="153"/>
  <c r="M46" i="153"/>
  <c r="C43" i="153"/>
  <c r="D43" i="153"/>
  <c r="H43" i="153"/>
  <c r="I43" i="153"/>
  <c r="C44" i="153"/>
  <c r="D44" i="153"/>
  <c r="H44" i="153"/>
  <c r="I44" i="153"/>
  <c r="C45" i="153"/>
  <c r="D45" i="153"/>
  <c r="H45" i="153"/>
  <c r="I45" i="153"/>
  <c r="C46" i="153"/>
  <c r="D46" i="153"/>
  <c r="H46" i="153"/>
  <c r="I46" i="153"/>
  <c r="BX36" i="155"/>
  <c r="BY36" i="155"/>
  <c r="BX37" i="155"/>
  <c r="BY37" i="155"/>
  <c r="BX38" i="155"/>
  <c r="BY38" i="155"/>
  <c r="BX39" i="155"/>
  <c r="BY39" i="155"/>
  <c r="BR36" i="155"/>
  <c r="BS36" i="155"/>
  <c r="BT36" i="155"/>
  <c r="BR37" i="155"/>
  <c r="BS37" i="155"/>
  <c r="BT37" i="155"/>
  <c r="BR38" i="155"/>
  <c r="BS38" i="155"/>
  <c r="BT38" i="155"/>
  <c r="BR39" i="155"/>
  <c r="BS39" i="155"/>
  <c r="BT39" i="155"/>
  <c r="BF36" i="155"/>
  <c r="BG36" i="155"/>
  <c r="BF37" i="155"/>
  <c r="BG37" i="155"/>
  <c r="BF38" i="155"/>
  <c r="BG38" i="155"/>
  <c r="BF39" i="155"/>
  <c r="BG39" i="155"/>
  <c r="AZ36" i="155"/>
  <c r="BA36" i="155"/>
  <c r="BB36" i="155"/>
  <c r="AZ37" i="155"/>
  <c r="BA37" i="155"/>
  <c r="BB37" i="155"/>
  <c r="AZ38" i="155"/>
  <c r="BA38" i="155"/>
  <c r="BB38" i="155"/>
  <c r="AZ39" i="155"/>
  <c r="BA39" i="155"/>
  <c r="BB39" i="155"/>
  <c r="AN36" i="155"/>
  <c r="AO36" i="155"/>
  <c r="AN37" i="155"/>
  <c r="AO37" i="155"/>
  <c r="AN38" i="155"/>
  <c r="AO38" i="155"/>
  <c r="AN39" i="155"/>
  <c r="AO39" i="155"/>
  <c r="AH36" i="155"/>
  <c r="AI36" i="155"/>
  <c r="AJ36" i="155"/>
  <c r="AH37" i="155"/>
  <c r="AI37" i="155"/>
  <c r="AJ37" i="155"/>
  <c r="AH38" i="155"/>
  <c r="AI38" i="155"/>
  <c r="AJ38" i="155"/>
  <c r="AH39" i="155"/>
  <c r="AI39" i="155"/>
  <c r="AJ39" i="155"/>
  <c r="V36" i="155"/>
  <c r="W36" i="155"/>
  <c r="V37" i="155"/>
  <c r="W37" i="155"/>
  <c r="V38" i="155"/>
  <c r="W38" i="155"/>
  <c r="V39" i="155"/>
  <c r="W39" i="155"/>
  <c r="T36" i="155"/>
  <c r="U36" i="155" s="1"/>
  <c r="T37" i="155"/>
  <c r="U37" i="155" s="1"/>
  <c r="T38" i="155"/>
  <c r="U38" i="155" s="1"/>
  <c r="T39" i="155"/>
  <c r="U39" i="155" s="1"/>
  <c r="L36" i="155"/>
  <c r="P36" i="155"/>
  <c r="N36" i="155"/>
  <c r="O36" i="155"/>
  <c r="L37" i="155"/>
  <c r="P37" i="155"/>
  <c r="N37" i="155"/>
  <c r="O37" i="155"/>
  <c r="L38" i="155"/>
  <c r="P38" i="155"/>
  <c r="N38" i="155"/>
  <c r="O38" i="155"/>
  <c r="L39" i="155"/>
  <c r="P39" i="155"/>
  <c r="N39" i="155"/>
  <c r="O39" i="155"/>
  <c r="H55" i="160"/>
  <c r="H56" i="160"/>
  <c r="H57" i="160"/>
  <c r="K59" i="160"/>
  <c r="K60" i="160"/>
  <c r="BX42" i="150"/>
  <c r="BY42" i="150"/>
  <c r="BX43" i="150"/>
  <c r="BY43" i="150"/>
  <c r="BX44" i="150"/>
  <c r="BY44" i="150"/>
  <c r="BX45" i="150"/>
  <c r="BY45" i="150"/>
  <c r="BR42" i="150"/>
  <c r="BS42" i="150"/>
  <c r="BT42" i="150"/>
  <c r="BR43" i="150"/>
  <c r="BS43" i="150"/>
  <c r="BT43" i="150"/>
  <c r="BR44" i="150"/>
  <c r="BS44" i="150"/>
  <c r="BT44" i="150"/>
  <c r="BR45" i="150"/>
  <c r="BS45" i="150"/>
  <c r="BT45" i="150"/>
  <c r="BF42" i="150"/>
  <c r="BG42" i="150"/>
  <c r="BF43" i="150"/>
  <c r="BG43" i="150"/>
  <c r="BF44" i="150"/>
  <c r="BG44" i="150"/>
  <c r="BF45" i="150"/>
  <c r="BG45" i="150"/>
  <c r="AZ42" i="150"/>
  <c r="BA42" i="150"/>
  <c r="BB42" i="150"/>
  <c r="AZ43" i="150"/>
  <c r="BA43" i="150"/>
  <c r="BB43" i="150"/>
  <c r="AZ44" i="150"/>
  <c r="BA44" i="150"/>
  <c r="BB44" i="150"/>
  <c r="AZ45" i="150"/>
  <c r="BA45" i="150"/>
  <c r="BB45" i="150"/>
  <c r="AN42" i="150"/>
  <c r="AO42" i="150"/>
  <c r="AN43" i="150"/>
  <c r="AO43" i="150"/>
  <c r="AN44" i="150"/>
  <c r="AO44" i="150"/>
  <c r="AN45" i="150"/>
  <c r="AO45" i="150"/>
  <c r="AH42" i="150"/>
  <c r="AI42" i="150"/>
  <c r="AJ42" i="150"/>
  <c r="AH43" i="150"/>
  <c r="AI43" i="150"/>
  <c r="AJ43" i="150"/>
  <c r="AH44" i="150"/>
  <c r="AI44" i="150"/>
  <c r="AJ44" i="150"/>
  <c r="AH45" i="150"/>
  <c r="AI45" i="150"/>
  <c r="AJ45" i="150"/>
  <c r="T42" i="150"/>
  <c r="U42" i="150" s="1"/>
  <c r="V42" i="150"/>
  <c r="W42" i="150"/>
  <c r="T43" i="150"/>
  <c r="U43" i="150" s="1"/>
  <c r="V43" i="150"/>
  <c r="W43" i="150"/>
  <c r="T44" i="150"/>
  <c r="U44" i="150" s="1"/>
  <c r="V44" i="150"/>
  <c r="W44" i="150"/>
  <c r="T45" i="150"/>
  <c r="U45" i="150" s="1"/>
  <c r="V45" i="150"/>
  <c r="W45" i="150"/>
  <c r="M42" i="150"/>
  <c r="P42" i="150" s="1"/>
  <c r="N42" i="150"/>
  <c r="O42" i="150"/>
  <c r="M43" i="150"/>
  <c r="P43" i="150" s="1"/>
  <c r="N43" i="150"/>
  <c r="O43" i="150"/>
  <c r="M44" i="150"/>
  <c r="P44" i="150" s="1"/>
  <c r="N44" i="150"/>
  <c r="O44" i="150"/>
  <c r="M45" i="150"/>
  <c r="P45" i="150" s="1"/>
  <c r="N45" i="150"/>
  <c r="O45" i="150"/>
  <c r="L42" i="150"/>
  <c r="L43" i="150"/>
  <c r="L44" i="150"/>
  <c r="L45" i="150"/>
  <c r="O44" i="153" l="1"/>
  <c r="O45" i="153"/>
  <c r="O43" i="153"/>
  <c r="O46" i="153"/>
  <c r="U43" i="153"/>
  <c r="U46" i="153"/>
  <c r="U44" i="153"/>
  <c r="U45" i="153"/>
  <c r="N46" i="153"/>
  <c r="L45" i="153"/>
  <c r="L43" i="153"/>
  <c r="N45" i="153"/>
  <c r="L46" i="153"/>
  <c r="L44" i="153"/>
  <c r="V43" i="153"/>
  <c r="V44" i="153"/>
  <c r="N43" i="153"/>
  <c r="N44" i="153"/>
  <c r="V45" i="153"/>
  <c r="V46" i="153"/>
  <c r="G43" i="153"/>
  <c r="G44" i="153"/>
  <c r="G45" i="153"/>
  <c r="G46" i="153"/>
  <c r="N52" i="160" l="1"/>
  <c r="N53" i="160"/>
  <c r="N54" i="160"/>
  <c r="M17" i="153" l="1"/>
  <c r="X47" i="153"/>
  <c r="X17" i="153" s="1"/>
  <c r="W47" i="153"/>
  <c r="W17" i="153" s="1"/>
  <c r="P41" i="153"/>
  <c r="U41" i="153" s="1"/>
  <c r="P42" i="153"/>
  <c r="U42" i="153" s="1"/>
  <c r="C42" i="153"/>
  <c r="D42" i="153"/>
  <c r="O42" i="153" s="1"/>
  <c r="H42" i="153"/>
  <c r="I42" i="153"/>
  <c r="M42" i="153"/>
  <c r="M41" i="153"/>
  <c r="C41" i="153"/>
  <c r="D41" i="153"/>
  <c r="O41" i="153" s="1"/>
  <c r="H41" i="153"/>
  <c r="I41" i="153"/>
  <c r="D40" i="153"/>
  <c r="O40" i="153" s="1"/>
  <c r="E17" i="153"/>
  <c r="H40" i="153"/>
  <c r="I40" i="153"/>
  <c r="M40" i="153"/>
  <c r="P40" i="153"/>
  <c r="U40" i="153" s="1"/>
  <c r="C40" i="153"/>
  <c r="P17" i="153" l="1"/>
  <c r="L41" i="153"/>
  <c r="L42" i="153"/>
  <c r="I47" i="153"/>
  <c r="N40" i="153"/>
  <c r="C47" i="153"/>
  <c r="C17" i="153"/>
  <c r="J47" i="153"/>
  <c r="K47" i="153" s="1"/>
  <c r="I17" i="153"/>
  <c r="H17" i="153"/>
  <c r="L40" i="153"/>
  <c r="N42" i="153"/>
  <c r="D47" i="153"/>
  <c r="E47" i="153"/>
  <c r="P47" i="153"/>
  <c r="M47" i="153"/>
  <c r="D17" i="153"/>
  <c r="V40" i="153"/>
  <c r="H47" i="153"/>
  <c r="J17" i="153"/>
  <c r="K17" i="153" s="1"/>
  <c r="N41" i="153"/>
  <c r="N17" i="153"/>
  <c r="V41" i="153"/>
  <c r="V42" i="153"/>
  <c r="Q15" i="152"/>
  <c r="H15" i="147"/>
  <c r="D15" i="147"/>
  <c r="E15" i="147"/>
  <c r="F15" i="147" s="1"/>
  <c r="C15" i="147"/>
  <c r="BP32" i="155"/>
  <c r="BO32" i="155"/>
  <c r="BN32" i="155"/>
  <c r="BM32" i="155"/>
  <c r="W41" i="150"/>
  <c r="V41" i="150"/>
  <c r="W40" i="150"/>
  <c r="V40" i="150"/>
  <c r="W39" i="150"/>
  <c r="V39" i="150"/>
  <c r="T41" i="150"/>
  <c r="U41" i="150" s="1"/>
  <c r="T40" i="150"/>
  <c r="U40" i="150" s="1"/>
  <c r="T39" i="150"/>
  <c r="U39" i="150" s="1"/>
  <c r="BY35" i="155"/>
  <c r="BX35" i="155"/>
  <c r="BY34" i="155"/>
  <c r="BX34" i="155"/>
  <c r="BY33" i="155"/>
  <c r="BX33" i="155"/>
  <c r="BY41" i="150"/>
  <c r="BX41" i="150"/>
  <c r="BY40" i="150"/>
  <c r="BX40" i="150"/>
  <c r="BY39" i="150"/>
  <c r="BX39" i="150"/>
  <c r="BG41" i="150"/>
  <c r="BF41" i="150"/>
  <c r="BG40" i="150"/>
  <c r="BF40" i="150"/>
  <c r="BG39" i="150"/>
  <c r="BF39" i="150"/>
  <c r="AO41" i="150"/>
  <c r="AN41" i="150"/>
  <c r="AO40" i="150"/>
  <c r="AN40" i="150"/>
  <c r="AO39" i="150"/>
  <c r="AN39" i="150"/>
  <c r="T15" i="152"/>
  <c r="M15" i="152"/>
  <c r="J15" i="152"/>
  <c r="D15" i="152"/>
  <c r="E15" i="152"/>
  <c r="F15" i="152"/>
  <c r="G15" i="152"/>
  <c r="H15" i="152"/>
  <c r="I15" i="152"/>
  <c r="C15" i="152"/>
  <c r="U15" i="152" l="1"/>
  <c r="O17" i="153"/>
  <c r="O47" i="153"/>
  <c r="U17" i="153"/>
  <c r="U47" i="153"/>
  <c r="W15" i="152"/>
  <c r="V17" i="153"/>
  <c r="V15" i="152"/>
  <c r="L47" i="153"/>
  <c r="L15" i="152"/>
  <c r="P15" i="152"/>
  <c r="G15" i="147"/>
  <c r="N15" i="147"/>
  <c r="O15" i="152"/>
  <c r="L17" i="153"/>
  <c r="V47" i="153"/>
  <c r="K15" i="152"/>
  <c r="N15" i="152"/>
  <c r="N47" i="153"/>
  <c r="BT35" i="155"/>
  <c r="BS35" i="155"/>
  <c r="BR35" i="155"/>
  <c r="BT34" i="155"/>
  <c r="BS34" i="155"/>
  <c r="BR34" i="155"/>
  <c r="BT33" i="155"/>
  <c r="BS33" i="155"/>
  <c r="BR33" i="155"/>
  <c r="BG35" i="155"/>
  <c r="BF35" i="155"/>
  <c r="BG34" i="155"/>
  <c r="BF34" i="155"/>
  <c r="BG33" i="155"/>
  <c r="BF33" i="155"/>
  <c r="BB35" i="155"/>
  <c r="BA35" i="155"/>
  <c r="AZ35" i="155"/>
  <c r="BB34" i="155"/>
  <c r="BA34" i="155"/>
  <c r="AZ34" i="155"/>
  <c r="BB33" i="155"/>
  <c r="BA33" i="155"/>
  <c r="AZ33" i="155"/>
  <c r="AO35" i="155"/>
  <c r="AN35" i="155"/>
  <c r="AO34" i="155"/>
  <c r="AN34" i="155"/>
  <c r="AO33" i="155"/>
  <c r="AN33" i="155"/>
  <c r="AJ35" i="155"/>
  <c r="AI35" i="155"/>
  <c r="AH35" i="155"/>
  <c r="AJ34" i="155"/>
  <c r="AI34" i="155"/>
  <c r="AH34" i="155"/>
  <c r="AJ33" i="155"/>
  <c r="AI33" i="155"/>
  <c r="AH33" i="155"/>
  <c r="V35" i="155"/>
  <c r="V34" i="155"/>
  <c r="V33" i="155"/>
  <c r="W35" i="155"/>
  <c r="W34" i="155"/>
  <c r="W33" i="155"/>
  <c r="T35" i="155"/>
  <c r="U35" i="155" s="1"/>
  <c r="T34" i="155"/>
  <c r="U34" i="155" s="1"/>
  <c r="T33" i="155"/>
  <c r="U33" i="155" s="1"/>
  <c r="O35" i="155"/>
  <c r="N35" i="155"/>
  <c r="O34" i="155"/>
  <c r="N34" i="155"/>
  <c r="O33" i="155"/>
  <c r="N33" i="155"/>
  <c r="P35" i="155"/>
  <c r="P34" i="155"/>
  <c r="P33" i="155"/>
  <c r="L35" i="155"/>
  <c r="L34" i="155"/>
  <c r="L33" i="155"/>
  <c r="G42" i="153" l="1"/>
  <c r="G41" i="153"/>
  <c r="G40" i="153"/>
  <c r="G47" i="153" l="1"/>
  <c r="G17" i="153"/>
  <c r="L41" i="150"/>
  <c r="L40" i="150"/>
  <c r="L39" i="150"/>
  <c r="O41" i="150"/>
  <c r="N41" i="150"/>
  <c r="O40" i="150"/>
  <c r="N40" i="150"/>
  <c r="O39" i="150"/>
  <c r="N39" i="150"/>
  <c r="BT41" i="150"/>
  <c r="BS41" i="150"/>
  <c r="BR41" i="150"/>
  <c r="BT40" i="150"/>
  <c r="BS40" i="150"/>
  <c r="BR40" i="150"/>
  <c r="BT39" i="150"/>
  <c r="BS39" i="150"/>
  <c r="BR39" i="150"/>
  <c r="BB41" i="150"/>
  <c r="BA41" i="150"/>
  <c r="AZ41" i="150"/>
  <c r="BB40" i="150"/>
  <c r="BA40" i="150"/>
  <c r="AZ40" i="150"/>
  <c r="BB39" i="150"/>
  <c r="BA39" i="150"/>
  <c r="AZ39" i="150"/>
  <c r="AJ41" i="150"/>
  <c r="AI41" i="150"/>
  <c r="AH41" i="150"/>
  <c r="AJ40" i="150"/>
  <c r="AI40" i="150"/>
  <c r="AH40" i="150"/>
  <c r="AJ39" i="150"/>
  <c r="AI39" i="150"/>
  <c r="AH39" i="150"/>
  <c r="P15" i="147" l="1"/>
  <c r="O15" i="147"/>
  <c r="P14" i="147"/>
  <c r="P24" i="147" s="1"/>
  <c r="O14" i="147"/>
  <c r="O24" i="147" s="1"/>
  <c r="M11" i="155"/>
  <c r="M10" i="155"/>
  <c r="T11" i="155"/>
  <c r="Q11" i="155"/>
  <c r="J11" i="155"/>
  <c r="K11" i="155" s="1"/>
  <c r="I11" i="155"/>
  <c r="H11" i="155"/>
  <c r="G11" i="155"/>
  <c r="F11" i="155"/>
  <c r="E11" i="155"/>
  <c r="D11" i="155"/>
  <c r="C11" i="155"/>
  <c r="Y15" i="152"/>
  <c r="X15" i="152"/>
  <c r="BU40" i="155"/>
  <c r="BQ40" i="155"/>
  <c r="BP40" i="155"/>
  <c r="BO40" i="155"/>
  <c r="BN40" i="155"/>
  <c r="BM40" i="155"/>
  <c r="BL40" i="155"/>
  <c r="BK40" i="155"/>
  <c r="BJ40" i="155"/>
  <c r="BC40" i="155"/>
  <c r="AY40" i="155"/>
  <c r="AX40" i="155"/>
  <c r="AW40" i="155"/>
  <c r="AV40" i="155"/>
  <c r="AU40" i="155"/>
  <c r="AT40" i="155"/>
  <c r="AS40" i="155"/>
  <c r="AR40" i="155"/>
  <c r="AK40" i="155"/>
  <c r="AG40" i="155"/>
  <c r="AF40" i="155"/>
  <c r="AE40" i="155"/>
  <c r="AD40" i="155"/>
  <c r="AC40" i="155"/>
  <c r="AB40" i="155"/>
  <c r="AA40" i="155"/>
  <c r="Z40" i="155"/>
  <c r="Y40" i="155"/>
  <c r="Y11" i="155" s="1"/>
  <c r="X40" i="155"/>
  <c r="X11" i="155" s="1"/>
  <c r="T40" i="155"/>
  <c r="Q40" i="155"/>
  <c r="M40" i="155"/>
  <c r="J40" i="155"/>
  <c r="I40" i="155"/>
  <c r="H40" i="155"/>
  <c r="G40" i="155"/>
  <c r="F40" i="155"/>
  <c r="E40" i="155"/>
  <c r="D40" i="155"/>
  <c r="C40" i="155"/>
  <c r="Q16" i="150"/>
  <c r="J16" i="150"/>
  <c r="K16" i="150" s="1"/>
  <c r="E16" i="150"/>
  <c r="F16" i="150"/>
  <c r="G16" i="150"/>
  <c r="H16" i="150"/>
  <c r="I16" i="150"/>
  <c r="D16" i="150"/>
  <c r="C16" i="150"/>
  <c r="T16" i="150"/>
  <c r="M16" i="150"/>
  <c r="M24" i="150" s="1"/>
  <c r="T15" i="150"/>
  <c r="T24" i="150" s="1"/>
  <c r="M41" i="150"/>
  <c r="P41" i="150" s="1"/>
  <c r="M40" i="150"/>
  <c r="P40" i="150" s="1"/>
  <c r="M39" i="150"/>
  <c r="BU46" i="150"/>
  <c r="BQ46" i="150"/>
  <c r="BP46" i="150"/>
  <c r="BO46" i="150"/>
  <c r="BN46" i="150"/>
  <c r="BM46" i="150"/>
  <c r="BL46" i="150"/>
  <c r="BK46" i="150"/>
  <c r="BJ46" i="150"/>
  <c r="BC46" i="150"/>
  <c r="AY46" i="150"/>
  <c r="AX46" i="150"/>
  <c r="AW46" i="150"/>
  <c r="AV46" i="150"/>
  <c r="AU46" i="150"/>
  <c r="AT46" i="150"/>
  <c r="AS46" i="150"/>
  <c r="AR46" i="150"/>
  <c r="AK46" i="150"/>
  <c r="AG46" i="150"/>
  <c r="AF46" i="150"/>
  <c r="AE46" i="150"/>
  <c r="AD46" i="150"/>
  <c r="AC46" i="150"/>
  <c r="AB46" i="150"/>
  <c r="AA46" i="150"/>
  <c r="Z46" i="150"/>
  <c r="Y46" i="150"/>
  <c r="Y16" i="150" s="1"/>
  <c r="X46" i="150"/>
  <c r="X16" i="150" s="1"/>
  <c r="T46" i="150"/>
  <c r="Q46" i="150"/>
  <c r="J46" i="150"/>
  <c r="I46" i="150"/>
  <c r="H46" i="150"/>
  <c r="G46" i="150"/>
  <c r="F46" i="150"/>
  <c r="E46" i="150"/>
  <c r="D46" i="150"/>
  <c r="C46" i="150"/>
  <c r="W16" i="150" l="1"/>
  <c r="M18" i="155"/>
  <c r="AI40" i="155"/>
  <c r="AJ46" i="150"/>
  <c r="BT46" i="150"/>
  <c r="BR46" i="150"/>
  <c r="O16" i="150"/>
  <c r="W11" i="155"/>
  <c r="AJ40" i="155"/>
  <c r="BF40" i="155"/>
  <c r="P16" i="150"/>
  <c r="BA46" i="150"/>
  <c r="U16" i="150"/>
  <c r="L16" i="150"/>
  <c r="BB46" i="150"/>
  <c r="BS46" i="150"/>
  <c r="M46" i="150"/>
  <c r="P46" i="150" s="1"/>
  <c r="P39" i="150"/>
  <c r="P11" i="155"/>
  <c r="U40" i="155"/>
  <c r="U46" i="150"/>
  <c r="W46" i="150"/>
  <c r="BX40" i="155"/>
  <c r="BG40" i="155"/>
  <c r="BY40" i="155"/>
  <c r="BT40" i="155"/>
  <c r="BA40" i="155"/>
  <c r="BB40" i="155"/>
  <c r="AO40" i="155"/>
  <c r="P40" i="155"/>
  <c r="O11" i="155"/>
  <c r="L40" i="155"/>
  <c r="L11" i="155"/>
  <c r="O46" i="150"/>
  <c r="BY46" i="150"/>
  <c r="AI46" i="150"/>
  <c r="AO46" i="150"/>
  <c r="M15" i="147"/>
  <c r="U11" i="155"/>
  <c r="V11" i="155"/>
  <c r="N11" i="155"/>
  <c r="V40" i="155"/>
  <c r="BR40" i="155"/>
  <c r="AN40" i="155"/>
  <c r="W40" i="155"/>
  <c r="BS40" i="155"/>
  <c r="N40" i="155"/>
  <c r="AZ40" i="155"/>
  <c r="O40" i="155"/>
  <c r="AH40" i="155"/>
  <c r="V16" i="150"/>
  <c r="N16" i="150"/>
  <c r="AN46" i="150"/>
  <c r="BX46" i="150"/>
  <c r="BF46" i="150"/>
  <c r="BG46" i="150"/>
  <c r="AZ46" i="150"/>
  <c r="L46" i="150"/>
  <c r="V46" i="150"/>
  <c r="AH46" i="150"/>
  <c r="N46" i="150"/>
  <c r="M14" i="152" l="1"/>
  <c r="M24" i="152" s="1"/>
  <c r="K106" i="160"/>
  <c r="K105" i="160"/>
  <c r="R102" i="160"/>
  <c r="R101" i="160"/>
  <c r="R100" i="160"/>
  <c r="K100" i="160"/>
  <c r="R99" i="160"/>
  <c r="K99" i="160"/>
  <c r="R98" i="160"/>
  <c r="K98" i="160"/>
  <c r="R97" i="160"/>
  <c r="K97" i="160"/>
  <c r="R96" i="160"/>
  <c r="R95" i="160"/>
  <c r="R94" i="160"/>
  <c r="R89" i="160"/>
  <c r="K89" i="160"/>
  <c r="R88" i="160"/>
  <c r="K88" i="160"/>
  <c r="R87" i="160"/>
  <c r="R86" i="160"/>
  <c r="R85" i="160"/>
  <c r="R84" i="160"/>
  <c r="R83" i="160"/>
  <c r="V82" i="160"/>
  <c r="R82" i="160"/>
  <c r="V81" i="160"/>
  <c r="R81" i="160"/>
  <c r="V80" i="160"/>
  <c r="R80" i="160"/>
  <c r="V79" i="160"/>
  <c r="R79" i="160"/>
  <c r="K79" i="160"/>
  <c r="V78" i="160"/>
  <c r="R78" i="160"/>
  <c r="K78" i="160"/>
  <c r="V77" i="160"/>
  <c r="R77" i="160"/>
  <c r="K77" i="160"/>
  <c r="V76" i="160"/>
  <c r="R76" i="160"/>
  <c r="K76" i="160"/>
  <c r="K61" i="160"/>
  <c r="Z54" i="160"/>
  <c r="V54" i="160"/>
  <c r="R54" i="160"/>
  <c r="Z53" i="160"/>
  <c r="V53" i="160"/>
  <c r="R53" i="160"/>
  <c r="Z52" i="160"/>
  <c r="V52" i="160"/>
  <c r="R52" i="160"/>
  <c r="Z51" i="160"/>
  <c r="V51" i="160"/>
  <c r="R51" i="160"/>
  <c r="N51" i="160"/>
  <c r="K51" i="160"/>
  <c r="Z50" i="160"/>
  <c r="V50" i="160"/>
  <c r="R50" i="160"/>
  <c r="N50" i="160"/>
  <c r="K50" i="160"/>
  <c r="Z49" i="160"/>
  <c r="V49" i="160"/>
  <c r="R49" i="160"/>
  <c r="N49" i="160"/>
  <c r="K49" i="160"/>
  <c r="Z48" i="160"/>
  <c r="V48" i="160"/>
  <c r="R48" i="160"/>
  <c r="N48" i="160"/>
  <c r="K48" i="160"/>
  <c r="Z47" i="160"/>
  <c r="V47" i="160"/>
  <c r="R47" i="160"/>
  <c r="N47" i="160"/>
  <c r="K47" i="160"/>
  <c r="Z46" i="160"/>
  <c r="V46" i="160"/>
  <c r="R46" i="160"/>
  <c r="N46" i="160"/>
  <c r="K46" i="160"/>
  <c r="X39" i="153" l="1"/>
  <c r="W39" i="153"/>
  <c r="W16" i="153" s="1"/>
  <c r="W26" i="153" s="1"/>
  <c r="X16" i="153" l="1"/>
  <c r="X26" i="153" s="1"/>
  <c r="T10" i="155"/>
  <c r="T18" i="155" s="1"/>
  <c r="T27" i="155"/>
  <c r="T28" i="155"/>
  <c r="T29" i="155"/>
  <c r="T30" i="155"/>
  <c r="T31" i="155"/>
  <c r="T26" i="155"/>
  <c r="M16" i="153"/>
  <c r="M26" i="153" s="1"/>
  <c r="T14" i="152"/>
  <c r="T24" i="152" s="1"/>
  <c r="T32" i="155" l="1"/>
  <c r="T97" i="155" s="1"/>
  <c r="X14" i="152"/>
  <c r="X24" i="152" s="1"/>
  <c r="X32" i="155"/>
  <c r="X10" i="155" s="1"/>
  <c r="X18" i="155" s="1"/>
  <c r="Y32" i="155"/>
  <c r="Y10" i="155" s="1"/>
  <c r="Y18" i="155" s="1"/>
  <c r="Q11" i="1" s="1"/>
  <c r="W27" i="155"/>
  <c r="W28" i="155"/>
  <c r="W29" i="155"/>
  <c r="W30" i="155"/>
  <c r="W31" i="155"/>
  <c r="W26" i="155"/>
  <c r="BY31" i="155"/>
  <c r="BY30" i="155"/>
  <c r="BY29" i="155"/>
  <c r="BY28" i="155"/>
  <c r="BY27" i="155"/>
  <c r="BY26" i="155"/>
  <c r="BY25" i="155"/>
  <c r="BG31" i="155"/>
  <c r="BG30" i="155"/>
  <c r="BG29" i="155"/>
  <c r="BG28" i="155"/>
  <c r="BG27" i="155"/>
  <c r="BG26" i="155"/>
  <c r="BG25" i="155"/>
  <c r="BA27" i="155"/>
  <c r="BA28" i="155"/>
  <c r="BA29" i="155"/>
  <c r="BA30" i="155"/>
  <c r="BA31" i="155"/>
  <c r="BA26" i="155"/>
  <c r="BA25" i="155"/>
  <c r="AO26" i="155"/>
  <c r="AO27" i="155"/>
  <c r="AO28" i="155"/>
  <c r="AO29" i="155"/>
  <c r="AO30" i="155"/>
  <c r="AO31" i="155"/>
  <c r="AO25" i="155"/>
  <c r="BY37" i="150"/>
  <c r="BY36" i="150"/>
  <c r="BY35" i="150"/>
  <c r="BY34" i="150"/>
  <c r="BY33" i="150"/>
  <c r="BY32" i="150"/>
  <c r="BY31" i="150"/>
  <c r="BG37" i="150"/>
  <c r="BG36" i="150"/>
  <c r="BG35" i="150"/>
  <c r="BG34" i="150"/>
  <c r="BG33" i="150"/>
  <c r="BG32" i="150"/>
  <c r="BG31" i="150"/>
  <c r="AO32" i="150"/>
  <c r="AO33" i="150"/>
  <c r="AO34" i="150"/>
  <c r="AO35" i="150"/>
  <c r="AO36" i="150"/>
  <c r="AO37" i="150"/>
  <c r="AO31" i="150"/>
  <c r="Y38" i="150"/>
  <c r="Y15" i="150" s="1"/>
  <c r="Y24" i="150" s="1"/>
  <c r="X38" i="150"/>
  <c r="X15" i="150" s="1"/>
  <c r="X24" i="150" s="1"/>
  <c r="W32" i="150"/>
  <c r="W33" i="150"/>
  <c r="W34" i="150"/>
  <c r="W35" i="150"/>
  <c r="W36" i="150"/>
  <c r="W37" i="150"/>
  <c r="W31" i="150"/>
  <c r="Y14" i="152" l="1"/>
  <c r="Y24" i="152" s="1"/>
  <c r="Q12" i="1"/>
  <c r="Q14" i="1" s="1"/>
  <c r="P35" i="153"/>
  <c r="P36" i="153"/>
  <c r="P37" i="153"/>
  <c r="P38" i="153"/>
  <c r="BK32" i="155"/>
  <c r="BL32" i="155"/>
  <c r="AK32" i="155"/>
  <c r="R14" i="147" l="1"/>
  <c r="K31" i="155"/>
  <c r="K30" i="155"/>
  <c r="K29" i="155"/>
  <c r="K28" i="155"/>
  <c r="K27" i="155"/>
  <c r="K26" i="155"/>
  <c r="K33" i="150"/>
  <c r="K34" i="150"/>
  <c r="K35" i="150"/>
  <c r="K36" i="150"/>
  <c r="K37" i="150"/>
  <c r="K32" i="150"/>
  <c r="K31" i="150"/>
  <c r="K13" i="1" l="1"/>
  <c r="U28" i="155"/>
  <c r="V28" i="155"/>
  <c r="U29" i="155"/>
  <c r="V29" i="155"/>
  <c r="U30" i="155"/>
  <c r="V30" i="155"/>
  <c r="U31" i="155"/>
  <c r="V31" i="155"/>
  <c r="L28" i="155"/>
  <c r="P28" i="155"/>
  <c r="N28" i="155"/>
  <c r="O28" i="155"/>
  <c r="L29" i="155"/>
  <c r="P29" i="155"/>
  <c r="N29" i="155"/>
  <c r="O29" i="155"/>
  <c r="L30" i="155"/>
  <c r="P30" i="155"/>
  <c r="N30" i="155"/>
  <c r="O30" i="155"/>
  <c r="L31" i="155"/>
  <c r="P31" i="155"/>
  <c r="N31" i="155"/>
  <c r="O31" i="155"/>
  <c r="BX28" i="155"/>
  <c r="BX29" i="155"/>
  <c r="BX30" i="155"/>
  <c r="BX31" i="155"/>
  <c r="BR28" i="155"/>
  <c r="BS28" i="155"/>
  <c r="BT28" i="155"/>
  <c r="BR29" i="155"/>
  <c r="BS29" i="155"/>
  <c r="BT29" i="155"/>
  <c r="BR30" i="155"/>
  <c r="BS30" i="155"/>
  <c r="BT30" i="155"/>
  <c r="BR31" i="155"/>
  <c r="BS31" i="155"/>
  <c r="BT31" i="155"/>
  <c r="BF31" i="155"/>
  <c r="BF30" i="155"/>
  <c r="BF29" i="155"/>
  <c r="BF28" i="155"/>
  <c r="BF27" i="155"/>
  <c r="BF26" i="155"/>
  <c r="AN27" i="155"/>
  <c r="AN28" i="155"/>
  <c r="AN29" i="155"/>
  <c r="AN30" i="155"/>
  <c r="AN31" i="155"/>
  <c r="AN26" i="155"/>
  <c r="AZ28" i="155"/>
  <c r="BB28" i="155"/>
  <c r="AZ29" i="155"/>
  <c r="BB29" i="155"/>
  <c r="AZ30" i="155"/>
  <c r="BB30" i="155"/>
  <c r="AZ31" i="155"/>
  <c r="BB31" i="155"/>
  <c r="AH28" i="155"/>
  <c r="AI28" i="155"/>
  <c r="AJ28" i="155"/>
  <c r="AH29" i="155"/>
  <c r="AI29" i="155"/>
  <c r="AJ29" i="155"/>
  <c r="AH30" i="155"/>
  <c r="AI30" i="155"/>
  <c r="AJ30" i="155"/>
  <c r="AH31" i="155"/>
  <c r="AI31" i="155"/>
  <c r="AJ31" i="155"/>
  <c r="Z32" i="155"/>
  <c r="AA32" i="155"/>
  <c r="AO32" i="155" s="1"/>
  <c r="AB32" i="155"/>
  <c r="AC32" i="155"/>
  <c r="AD32" i="155"/>
  <c r="AE32" i="155"/>
  <c r="AF32" i="155"/>
  <c r="E33" i="153" l="1"/>
  <c r="E34" i="153"/>
  <c r="E35" i="153"/>
  <c r="E36" i="153"/>
  <c r="E37" i="153"/>
  <c r="E38" i="153"/>
  <c r="E32" i="153"/>
  <c r="J33" i="153"/>
  <c r="K33" i="153" s="1"/>
  <c r="J34" i="153"/>
  <c r="K34" i="153" s="1"/>
  <c r="J35" i="153"/>
  <c r="K35" i="153" s="1"/>
  <c r="J36" i="153"/>
  <c r="K36" i="153" s="1"/>
  <c r="J37" i="153"/>
  <c r="K37" i="153" s="1"/>
  <c r="J38" i="153"/>
  <c r="K38" i="153" s="1"/>
  <c r="J32" i="153"/>
  <c r="K32" i="153" s="1"/>
  <c r="I32" i="153"/>
  <c r="I33" i="153"/>
  <c r="I34" i="153"/>
  <c r="I35" i="153"/>
  <c r="I36" i="153"/>
  <c r="I37" i="153"/>
  <c r="I38" i="153"/>
  <c r="G32" i="153"/>
  <c r="H32" i="153"/>
  <c r="G33" i="153"/>
  <c r="H33" i="153"/>
  <c r="G34" i="153"/>
  <c r="H34" i="153"/>
  <c r="G35" i="153"/>
  <c r="H35" i="153"/>
  <c r="G36" i="153"/>
  <c r="H36" i="153"/>
  <c r="G37" i="153"/>
  <c r="H37" i="153"/>
  <c r="G38" i="153"/>
  <c r="H38" i="153"/>
  <c r="F33" i="153"/>
  <c r="F34" i="153"/>
  <c r="F35" i="153"/>
  <c r="F36" i="153"/>
  <c r="F37" i="153"/>
  <c r="F38" i="153"/>
  <c r="F32" i="153"/>
  <c r="U37" i="153" l="1"/>
  <c r="U36" i="153"/>
  <c r="U35" i="153"/>
  <c r="U38" i="153"/>
  <c r="M35" i="153"/>
  <c r="N35" i="153" s="1"/>
  <c r="M36" i="153"/>
  <c r="N36" i="153" s="1"/>
  <c r="M37" i="153"/>
  <c r="N37" i="153" s="1"/>
  <c r="M38" i="153"/>
  <c r="N38" i="153" s="1"/>
  <c r="C35" i="153"/>
  <c r="D35" i="153"/>
  <c r="C36" i="153"/>
  <c r="D36" i="153"/>
  <c r="O36" i="153" s="1"/>
  <c r="C37" i="153"/>
  <c r="D37" i="153"/>
  <c r="O37" i="153" s="1"/>
  <c r="C38" i="153"/>
  <c r="D38" i="153"/>
  <c r="V38" i="153" s="1"/>
  <c r="BX34" i="150"/>
  <c r="BX35" i="150"/>
  <c r="BX36" i="150"/>
  <c r="BX37" i="150"/>
  <c r="BR34" i="150"/>
  <c r="BS34" i="150"/>
  <c r="BT34" i="150"/>
  <c r="BR35" i="150"/>
  <c r="BS35" i="150"/>
  <c r="BT35" i="150"/>
  <c r="BR36" i="150"/>
  <c r="BS36" i="150"/>
  <c r="BT36" i="150"/>
  <c r="BR37" i="150"/>
  <c r="BS37" i="150"/>
  <c r="BT37" i="150"/>
  <c r="BF34" i="150"/>
  <c r="BF35" i="150"/>
  <c r="BF36" i="150"/>
  <c r="BF37" i="150"/>
  <c r="AZ34" i="150"/>
  <c r="BA34" i="150"/>
  <c r="BB34" i="150"/>
  <c r="AZ35" i="150"/>
  <c r="BA35" i="150"/>
  <c r="BB35" i="150"/>
  <c r="AZ36" i="150"/>
  <c r="BA36" i="150"/>
  <c r="BB36" i="150"/>
  <c r="AZ37" i="150"/>
  <c r="BA37" i="150"/>
  <c r="BB37" i="150"/>
  <c r="AN34" i="150"/>
  <c r="AN35" i="150"/>
  <c r="AN36" i="150"/>
  <c r="AN37" i="150"/>
  <c r="AI34" i="150"/>
  <c r="AJ34" i="150"/>
  <c r="AH35" i="150"/>
  <c r="AI35" i="150"/>
  <c r="AJ35" i="150"/>
  <c r="AH36" i="150"/>
  <c r="AI36" i="150"/>
  <c r="AJ36" i="150"/>
  <c r="AH37" i="150"/>
  <c r="AI37" i="150"/>
  <c r="AJ37" i="150"/>
  <c r="V34" i="150"/>
  <c r="V35" i="150"/>
  <c r="V36" i="150"/>
  <c r="V37" i="150"/>
  <c r="T34" i="150"/>
  <c r="U34" i="150" s="1"/>
  <c r="T35" i="150"/>
  <c r="U35" i="150" s="1"/>
  <c r="T36" i="150"/>
  <c r="U36" i="150" s="1"/>
  <c r="T37" i="150"/>
  <c r="U37" i="150" s="1"/>
  <c r="L34" i="150"/>
  <c r="M34" i="150"/>
  <c r="P34" i="150" s="1"/>
  <c r="N34" i="150"/>
  <c r="O34" i="150"/>
  <c r="L35" i="150"/>
  <c r="M35" i="150"/>
  <c r="P35" i="150" s="1"/>
  <c r="N35" i="150"/>
  <c r="O35" i="150"/>
  <c r="L36" i="150"/>
  <c r="M36" i="150"/>
  <c r="P36" i="150" s="1"/>
  <c r="N36" i="150"/>
  <c r="O36" i="150"/>
  <c r="L37" i="150"/>
  <c r="M37" i="150"/>
  <c r="P37" i="150" s="1"/>
  <c r="N37" i="150"/>
  <c r="O37" i="150"/>
  <c r="V35" i="153" l="1"/>
  <c r="O35" i="153"/>
  <c r="O38" i="153"/>
  <c r="L37" i="153"/>
  <c r="V37" i="153"/>
  <c r="L36" i="153"/>
  <c r="V36" i="153"/>
  <c r="L38" i="153"/>
  <c r="L35" i="153"/>
  <c r="BJ32" i="155"/>
  <c r="BI32" i="155"/>
  <c r="BH32" i="155"/>
  <c r="BH97" i="155" s="1"/>
  <c r="BF32" i="155"/>
  <c r="BE32" i="155"/>
  <c r="BE97" i="155" s="1"/>
  <c r="BD32" i="155"/>
  <c r="BD97" i="155" s="1"/>
  <c r="BC32" i="155"/>
  <c r="BC97" i="155" s="1"/>
  <c r="AY32" i="155"/>
  <c r="AX32" i="155"/>
  <c r="AW32" i="155"/>
  <c r="AV32" i="155"/>
  <c r="AU32" i="155"/>
  <c r="AT32" i="155"/>
  <c r="AS32" i="155"/>
  <c r="AR32" i="155"/>
  <c r="AG32" i="155"/>
  <c r="J32" i="155"/>
  <c r="J97" i="155" s="1"/>
  <c r="F32" i="155"/>
  <c r="E32" i="155"/>
  <c r="E97" i="155" s="1"/>
  <c r="D32" i="155"/>
  <c r="C32" i="155"/>
  <c r="T32" i="150"/>
  <c r="U32" i="150" s="1"/>
  <c r="T33" i="150"/>
  <c r="U33" i="150" s="1"/>
  <c r="T31" i="150"/>
  <c r="M32" i="150"/>
  <c r="M33" i="150"/>
  <c r="M31" i="150"/>
  <c r="D32" i="153"/>
  <c r="O32" i="153" s="1"/>
  <c r="D33" i="153"/>
  <c r="O33" i="153" s="1"/>
  <c r="D34" i="153"/>
  <c r="O34" i="153" s="1"/>
  <c r="C33" i="153"/>
  <c r="C34" i="153"/>
  <c r="C32" i="153"/>
  <c r="K64" i="155" l="1"/>
  <c r="K57" i="155"/>
  <c r="K58" i="155"/>
  <c r="U31" i="150"/>
  <c r="P31" i="150"/>
  <c r="K52" i="155"/>
  <c r="K53" i="155"/>
  <c r="K54" i="155"/>
  <c r="K55" i="155"/>
  <c r="K56" i="155"/>
  <c r="K51" i="155"/>
  <c r="K50" i="155"/>
  <c r="K49" i="155"/>
  <c r="K47" i="155"/>
  <c r="K44" i="155"/>
  <c r="K45" i="155"/>
  <c r="K46" i="155"/>
  <c r="K41" i="155"/>
  <c r="K48" i="155"/>
  <c r="K42" i="155"/>
  <c r="K43" i="155"/>
  <c r="K34" i="155"/>
  <c r="K33" i="155"/>
  <c r="K38" i="155"/>
  <c r="K36" i="155"/>
  <c r="K37" i="155"/>
  <c r="K39" i="155"/>
  <c r="K35" i="155"/>
  <c r="AN32" i="155"/>
  <c r="AI32" i="155"/>
  <c r="AZ32" i="155"/>
  <c r="BA32" i="155"/>
  <c r="BG32" i="155"/>
  <c r="BG97" i="155" s="1"/>
  <c r="BB32" i="155"/>
  <c r="K32" i="155"/>
  <c r="K40" i="155"/>
  <c r="M38" i="150"/>
  <c r="M65" i="150" s="1"/>
  <c r="M105" i="150" s="1"/>
  <c r="BM97" i="155"/>
  <c r="F97" i="155"/>
  <c r="D97" i="155"/>
  <c r="I11" i="1" s="1"/>
  <c r="C97" i="155"/>
  <c r="M66" i="1" l="1"/>
  <c r="K66" i="1"/>
  <c r="N97" i="155"/>
  <c r="G11" i="1"/>
  <c r="K97" i="155"/>
  <c r="M11" i="1"/>
  <c r="L97" i="155"/>
  <c r="J11" i="1" s="1"/>
  <c r="I66" i="1"/>
  <c r="N11" i="1" l="1"/>
  <c r="N38" i="1" s="1"/>
  <c r="M65" i="1"/>
  <c r="K64" i="1" l="1"/>
  <c r="K65" i="1"/>
  <c r="K55" i="1"/>
  <c r="K61" i="1"/>
  <c r="K58" i="1"/>
  <c r="K52" i="1"/>
  <c r="M61" i="1"/>
  <c r="M64" i="1"/>
  <c r="K46" i="1"/>
  <c r="K49" i="1"/>
  <c r="O66" i="1"/>
  <c r="AZ27" i="155"/>
  <c r="AZ26" i="155"/>
  <c r="BX27" i="155"/>
  <c r="BX26" i="155"/>
  <c r="K67" i="1" l="1"/>
  <c r="O64" i="1"/>
  <c r="O61" i="1"/>
  <c r="K50" i="1"/>
  <c r="K53" i="1"/>
  <c r="K59" i="1"/>
  <c r="K56" i="1"/>
  <c r="K47" i="1"/>
  <c r="I64" i="1"/>
  <c r="I65" i="1"/>
  <c r="O65" i="1"/>
  <c r="M62" i="1"/>
  <c r="I61" i="1"/>
  <c r="I62" i="1" s="1"/>
  <c r="K62" i="1"/>
  <c r="BS27" i="155"/>
  <c r="BS26" i="155"/>
  <c r="BR27" i="155"/>
  <c r="BR26" i="155"/>
  <c r="BB27" i="155"/>
  <c r="BB26" i="155"/>
  <c r="O62" i="1" l="1"/>
  <c r="P32" i="153"/>
  <c r="AH27" i="155"/>
  <c r="AH26" i="155"/>
  <c r="AI27" i="155"/>
  <c r="AI26" i="155"/>
  <c r="V27" i="155"/>
  <c r="V26" i="155"/>
  <c r="O27" i="155"/>
  <c r="N27" i="155"/>
  <c r="O26" i="155"/>
  <c r="N26" i="155"/>
  <c r="BX33" i="150"/>
  <c r="BX32" i="150"/>
  <c r="BX31" i="150"/>
  <c r="BS33" i="150"/>
  <c r="BR33" i="150"/>
  <c r="BS32" i="150"/>
  <c r="BR32" i="150"/>
  <c r="BS31" i="150"/>
  <c r="BR31" i="150"/>
  <c r="BF33" i="150"/>
  <c r="BF32" i="150"/>
  <c r="BF31" i="150"/>
  <c r="BA33" i="150"/>
  <c r="AZ33" i="150"/>
  <c r="BA32" i="150"/>
  <c r="AZ32" i="150"/>
  <c r="BA31" i="150"/>
  <c r="AZ31" i="150"/>
  <c r="AN32" i="150"/>
  <c r="AN33" i="150"/>
  <c r="AN31" i="150"/>
  <c r="AI32" i="150"/>
  <c r="AI33" i="150"/>
  <c r="AI31" i="150"/>
  <c r="AH32" i="150"/>
  <c r="AH33" i="150"/>
  <c r="V32" i="150"/>
  <c r="V33" i="150"/>
  <c r="V31" i="150"/>
  <c r="O32" i="150"/>
  <c r="O33" i="150"/>
  <c r="O31" i="150"/>
  <c r="N33" i="150"/>
  <c r="N32" i="150"/>
  <c r="N31" i="150"/>
  <c r="BU32" i="155"/>
  <c r="BY32" i="155" s="1"/>
  <c r="BY97" i="155" s="1"/>
  <c r="BT27" i="155"/>
  <c r="BT26" i="155"/>
  <c r="BQ32" i="155"/>
  <c r="BN97" i="155"/>
  <c r="BJ97" i="155"/>
  <c r="AX97" i="155"/>
  <c r="AV97" i="155"/>
  <c r="AU97" i="155"/>
  <c r="AR97" i="155"/>
  <c r="AG97" i="155"/>
  <c r="AF97" i="155"/>
  <c r="AD97" i="155"/>
  <c r="AC97" i="155"/>
  <c r="Z97" i="155"/>
  <c r="BP97" i="155"/>
  <c r="BI97" i="155"/>
  <c r="AQ97" i="155"/>
  <c r="AP97" i="155"/>
  <c r="AM97" i="155"/>
  <c r="AL97" i="155"/>
  <c r="AK97" i="155"/>
  <c r="AY97" i="155"/>
  <c r="AW97" i="155"/>
  <c r="AE97" i="155"/>
  <c r="AJ27" i="155"/>
  <c r="AJ26" i="155"/>
  <c r="S32" i="155"/>
  <c r="S97" i="155" s="1"/>
  <c r="R32" i="155"/>
  <c r="R97" i="155" s="1"/>
  <c r="Q32" i="155"/>
  <c r="Q97" i="155" s="1"/>
  <c r="U97" i="155" s="1"/>
  <c r="I32" i="155"/>
  <c r="I97" i="155" s="1"/>
  <c r="O97" i="155" s="1"/>
  <c r="H32" i="155"/>
  <c r="H97" i="155" s="1"/>
  <c r="G32" i="155"/>
  <c r="G97" i="155" s="1"/>
  <c r="U27" i="155"/>
  <c r="P27" i="155"/>
  <c r="L27" i="155"/>
  <c r="L26" i="155"/>
  <c r="J10" i="155"/>
  <c r="I10" i="155"/>
  <c r="I18" i="155" s="1"/>
  <c r="H10" i="155"/>
  <c r="H18" i="155" s="1"/>
  <c r="G10" i="155"/>
  <c r="G18" i="155" s="1"/>
  <c r="F10" i="155"/>
  <c r="F18" i="155" s="1"/>
  <c r="E10" i="155"/>
  <c r="E18" i="155" s="1"/>
  <c r="P18" i="155" s="1"/>
  <c r="D10" i="155"/>
  <c r="D18" i="155" s="1"/>
  <c r="C10" i="155"/>
  <c r="C18" i="155" s="1"/>
  <c r="M39" i="1" l="1"/>
  <c r="BA97" i="155"/>
  <c r="BF97" i="155"/>
  <c r="M38" i="1"/>
  <c r="AI97" i="155"/>
  <c r="AN97" i="155"/>
  <c r="K38" i="1"/>
  <c r="K11" i="1"/>
  <c r="O11" i="1" s="1"/>
  <c r="W97" i="155"/>
  <c r="V97" i="155"/>
  <c r="V32" i="153"/>
  <c r="U32" i="153"/>
  <c r="K10" i="155"/>
  <c r="K18" i="155" s="1"/>
  <c r="J18" i="155"/>
  <c r="BS32" i="155"/>
  <c r="BR32" i="155"/>
  <c r="Q10" i="155"/>
  <c r="Q18" i="155" s="1"/>
  <c r="AA12" i="155" s="1"/>
  <c r="W32" i="155"/>
  <c r="M32" i="155"/>
  <c r="BU97" i="155"/>
  <c r="K40" i="1" s="1"/>
  <c r="BT32" i="155"/>
  <c r="U32" i="155"/>
  <c r="U26" i="155"/>
  <c r="AB97" i="155"/>
  <c r="G38" i="1" s="1"/>
  <c r="AT97" i="155"/>
  <c r="G39" i="1" s="1"/>
  <c r="AA97" i="155"/>
  <c r="I38" i="1" s="1"/>
  <c r="AS97" i="155"/>
  <c r="BB97" i="155" s="1"/>
  <c r="N10" i="155"/>
  <c r="N32" i="155"/>
  <c r="V32" i="155"/>
  <c r="K39" i="1"/>
  <c r="BL97" i="155"/>
  <c r="G40" i="1" s="1"/>
  <c r="O10" i="155"/>
  <c r="O32" i="155"/>
  <c r="AH32" i="155"/>
  <c r="BQ97" i="155"/>
  <c r="BX32" i="155"/>
  <c r="P26" i="155"/>
  <c r="AJ32" i="155"/>
  <c r="BK97" i="155"/>
  <c r="BT97" i="155" s="1"/>
  <c r="L10" i="155"/>
  <c r="L32" i="155"/>
  <c r="O39" i="1" l="1"/>
  <c r="U18" i="155"/>
  <c r="M40" i="1"/>
  <c r="M41" i="1" s="1"/>
  <c r="BR97" i="155"/>
  <c r="BS97" i="155"/>
  <c r="BX97" i="155"/>
  <c r="AZ97" i="155"/>
  <c r="O38" i="1"/>
  <c r="AO97" i="155"/>
  <c r="AH97" i="155"/>
  <c r="V10" i="155"/>
  <c r="W18" i="155"/>
  <c r="O18" i="155"/>
  <c r="V18" i="155"/>
  <c r="K41" i="1"/>
  <c r="J39" i="1"/>
  <c r="I39" i="1"/>
  <c r="G41" i="1"/>
  <c r="M97" i="155"/>
  <c r="P97" i="155" s="1"/>
  <c r="P32" i="155"/>
  <c r="J40" i="1"/>
  <c r="I40" i="1"/>
  <c r="W10" i="155"/>
  <c r="U10" i="155"/>
  <c r="AJ97" i="155"/>
  <c r="J38" i="1" s="1"/>
  <c r="P10" i="155"/>
  <c r="AA10" i="155"/>
  <c r="AC10" i="155" s="1"/>
  <c r="R11" i="1"/>
  <c r="N18" i="155"/>
  <c r="L18" i="155"/>
  <c r="J41" i="1" s="1"/>
  <c r="O40" i="1" l="1"/>
  <c r="I41" i="1"/>
  <c r="P11" i="1"/>
  <c r="N41" i="1"/>
  <c r="O41" i="1"/>
  <c r="H11" i="1"/>
  <c r="H38" i="1"/>
  <c r="H41" i="1" s="1"/>
  <c r="AC12" i="155" l="1"/>
  <c r="L11" i="1" s="1"/>
  <c r="L38" i="1" l="1"/>
  <c r="L41" i="1" s="1"/>
  <c r="M34" i="153"/>
  <c r="M33" i="153"/>
  <c r="M32" i="153"/>
  <c r="K44" i="1"/>
  <c r="K43" i="1"/>
  <c r="I43" i="1"/>
  <c r="K42" i="1"/>
  <c r="AA14" i="152"/>
  <c r="Q14" i="152"/>
  <c r="Q24" i="152" s="1"/>
  <c r="J14" i="152"/>
  <c r="J24" i="152" s="1"/>
  <c r="I14" i="152"/>
  <c r="I24" i="152" s="1"/>
  <c r="H14" i="152"/>
  <c r="H24" i="152" s="1"/>
  <c r="G14" i="152"/>
  <c r="G24" i="152" s="1"/>
  <c r="F14" i="152"/>
  <c r="F24" i="152" s="1"/>
  <c r="E14" i="152"/>
  <c r="E24" i="152" s="1"/>
  <c r="D14" i="152"/>
  <c r="D24" i="152" s="1"/>
  <c r="C14" i="152"/>
  <c r="C24" i="152" s="1"/>
  <c r="BI105" i="150"/>
  <c r="BH105" i="150"/>
  <c r="BE105" i="150"/>
  <c r="BD105" i="150"/>
  <c r="AQ105" i="150"/>
  <c r="AP105" i="150"/>
  <c r="AM105" i="150"/>
  <c r="AL105" i="150"/>
  <c r="BU38" i="150"/>
  <c r="BU65" i="150" s="1"/>
  <c r="K36" i="1" s="1"/>
  <c r="BQ38" i="150"/>
  <c r="BQ65" i="150" s="1"/>
  <c r="M36" i="1" s="1"/>
  <c r="BP38" i="150"/>
  <c r="BO38" i="150"/>
  <c r="BN38" i="150"/>
  <c r="BM38" i="150"/>
  <c r="BL38" i="150"/>
  <c r="BK38" i="150"/>
  <c r="BK65" i="150" s="1"/>
  <c r="I36" i="1" s="1"/>
  <c r="BJ38" i="150"/>
  <c r="BT33" i="150"/>
  <c r="BT32" i="150"/>
  <c r="BT31" i="150"/>
  <c r="BC38" i="150"/>
  <c r="BC65" i="150" s="1"/>
  <c r="K35" i="1" s="1"/>
  <c r="AY38" i="150"/>
  <c r="AY65" i="150" s="1"/>
  <c r="M35" i="1" s="1"/>
  <c r="AX38" i="150"/>
  <c r="AX65" i="150" s="1"/>
  <c r="AW38" i="150"/>
  <c r="AW65" i="150" s="1"/>
  <c r="AV38" i="150"/>
  <c r="AV65" i="150" s="1"/>
  <c r="AU38" i="150"/>
  <c r="AU65" i="150" s="1"/>
  <c r="AT38" i="150"/>
  <c r="AT65" i="150" s="1"/>
  <c r="G35" i="1" s="1"/>
  <c r="AS38" i="150"/>
  <c r="AS65" i="150" s="1"/>
  <c r="I35" i="1" s="1"/>
  <c r="AR38" i="150"/>
  <c r="AR65" i="150" s="1"/>
  <c r="BB33" i="150"/>
  <c r="BB32" i="150"/>
  <c r="BB31" i="150"/>
  <c r="AK38" i="150"/>
  <c r="AK65" i="150" s="1"/>
  <c r="K34" i="1" s="1"/>
  <c r="AG38" i="150"/>
  <c r="AG65" i="150" s="1"/>
  <c r="M34" i="1" s="1"/>
  <c r="AF38" i="150"/>
  <c r="AE38" i="150"/>
  <c r="AD38" i="150"/>
  <c r="AC38" i="150"/>
  <c r="AB38" i="150"/>
  <c r="AB65" i="150" s="1"/>
  <c r="G34" i="1" s="1"/>
  <c r="AA38" i="150"/>
  <c r="AA65" i="150" s="1"/>
  <c r="I34" i="1" s="1"/>
  <c r="Z38" i="150"/>
  <c r="AJ33" i="150"/>
  <c r="AJ32" i="150"/>
  <c r="AJ31" i="150"/>
  <c r="Q38" i="150"/>
  <c r="Q65" i="150" s="1"/>
  <c r="J38" i="150"/>
  <c r="I38" i="150"/>
  <c r="I65" i="150" s="1"/>
  <c r="H38" i="150"/>
  <c r="H65" i="150" s="1"/>
  <c r="G38" i="150"/>
  <c r="G65" i="150" s="1"/>
  <c r="F38" i="150"/>
  <c r="F65" i="150" s="1"/>
  <c r="E38" i="150"/>
  <c r="E65" i="150" s="1"/>
  <c r="G10" i="1" s="1"/>
  <c r="D38" i="150"/>
  <c r="D65" i="150" s="1"/>
  <c r="C38" i="150"/>
  <c r="C65" i="150" s="1"/>
  <c r="P33" i="150"/>
  <c r="L33" i="150"/>
  <c r="P32" i="150"/>
  <c r="L32" i="150"/>
  <c r="L31" i="150"/>
  <c r="Q15" i="150"/>
  <c r="Q24" i="150" s="1"/>
  <c r="J15" i="150"/>
  <c r="I15" i="150"/>
  <c r="I24" i="150" s="1"/>
  <c r="H15" i="150"/>
  <c r="H24" i="150" s="1"/>
  <c r="G15" i="150"/>
  <c r="G24" i="150" s="1"/>
  <c r="F15" i="150"/>
  <c r="F24" i="150" s="1"/>
  <c r="E15" i="150"/>
  <c r="E24" i="150" s="1"/>
  <c r="D15" i="150"/>
  <c r="D24" i="150" s="1"/>
  <c r="C15" i="150"/>
  <c r="C24" i="150" s="1"/>
  <c r="W24" i="152" l="1"/>
  <c r="K15" i="150"/>
  <c r="J24" i="150"/>
  <c r="K14" i="152"/>
  <c r="K24" i="152"/>
  <c r="M42" i="1"/>
  <c r="M43" i="1"/>
  <c r="M44" i="1"/>
  <c r="J65" i="150"/>
  <c r="O65" i="150" s="1"/>
  <c r="G105" i="150"/>
  <c r="BJ65" i="150"/>
  <c r="BJ105" i="150" s="1"/>
  <c r="AW105" i="150"/>
  <c r="G12" i="1"/>
  <c r="I105" i="150"/>
  <c r="AX105" i="150"/>
  <c r="BL65" i="150"/>
  <c r="M12" i="1"/>
  <c r="N12" i="1" s="1"/>
  <c r="N42" i="1" s="1"/>
  <c r="G42" i="1"/>
  <c r="BY65" i="150"/>
  <c r="AC65" i="150"/>
  <c r="AC105" i="150" s="1"/>
  <c r="BF65" i="150"/>
  <c r="BA65" i="150"/>
  <c r="AZ65" i="150"/>
  <c r="AY105" i="150"/>
  <c r="BM65" i="150"/>
  <c r="BM105" i="150" s="1"/>
  <c r="AA16" i="152"/>
  <c r="G43" i="1"/>
  <c r="AO65" i="150"/>
  <c r="AO71" i="150"/>
  <c r="H105" i="150"/>
  <c r="AR105" i="150"/>
  <c r="BG65" i="150"/>
  <c r="BN105" i="150"/>
  <c r="BN65" i="150"/>
  <c r="G44" i="1"/>
  <c r="AA17" i="150"/>
  <c r="K10" i="1"/>
  <c r="W65" i="150"/>
  <c r="AD105" i="150"/>
  <c r="AD65" i="150"/>
  <c r="I10" i="1"/>
  <c r="D105" i="150"/>
  <c r="L65" i="150"/>
  <c r="AE105" i="150"/>
  <c r="AE65" i="150"/>
  <c r="BB65" i="150"/>
  <c r="J35" i="1" s="1"/>
  <c r="AS105" i="150"/>
  <c r="BB105" i="150" s="1"/>
  <c r="BO65" i="150"/>
  <c r="BO105" i="150" s="1"/>
  <c r="J43" i="1"/>
  <c r="AV105" i="150"/>
  <c r="E105" i="150"/>
  <c r="P105" i="150" s="1"/>
  <c r="AA15" i="150"/>
  <c r="P71" i="150"/>
  <c r="P65" i="150"/>
  <c r="AF105" i="150"/>
  <c r="AF65" i="150"/>
  <c r="AI65" i="150" s="1"/>
  <c r="AT105" i="150"/>
  <c r="BP105" i="150"/>
  <c r="BP65" i="150"/>
  <c r="BS65" i="150" s="1"/>
  <c r="Z65" i="150"/>
  <c r="Z105" i="150" s="1"/>
  <c r="C105" i="150"/>
  <c r="F105" i="150"/>
  <c r="AN65" i="150"/>
  <c r="AH65" i="150"/>
  <c r="AU105" i="150"/>
  <c r="BX65" i="150"/>
  <c r="I44" i="1"/>
  <c r="K64" i="150"/>
  <c r="K65" i="150" s="1"/>
  <c r="N10" i="1" s="1"/>
  <c r="K63" i="150"/>
  <c r="W15" i="150"/>
  <c r="K58" i="150"/>
  <c r="K59" i="150"/>
  <c r="K61" i="150"/>
  <c r="K60" i="150"/>
  <c r="K55" i="150"/>
  <c r="K62" i="150"/>
  <c r="K56" i="150"/>
  <c r="K57" i="150"/>
  <c r="K47" i="150"/>
  <c r="K39" i="150"/>
  <c r="K38" i="150"/>
  <c r="K51" i="150"/>
  <c r="K54" i="150"/>
  <c r="K52" i="150"/>
  <c r="K48" i="150"/>
  <c r="K49" i="150"/>
  <c r="K53" i="150"/>
  <c r="K50" i="150"/>
  <c r="W14" i="152"/>
  <c r="K45" i="150"/>
  <c r="K46" i="150"/>
  <c r="K42" i="150"/>
  <c r="K43" i="150"/>
  <c r="K44" i="150"/>
  <c r="BU105" i="150"/>
  <c r="BY38" i="150"/>
  <c r="AO38" i="150"/>
  <c r="K41" i="150"/>
  <c r="K40" i="150"/>
  <c r="Q105" i="150"/>
  <c r="W38" i="150"/>
  <c r="BG38" i="150"/>
  <c r="N32" i="153"/>
  <c r="M39" i="153"/>
  <c r="M112" i="153" s="1"/>
  <c r="P14" i="152"/>
  <c r="V14" i="152"/>
  <c r="O14" i="152"/>
  <c r="N14" i="152"/>
  <c r="BQ105" i="150"/>
  <c r="BX38" i="150"/>
  <c r="BS38" i="150"/>
  <c r="BR38" i="150"/>
  <c r="BA38" i="150"/>
  <c r="AZ38" i="150"/>
  <c r="BF38" i="150"/>
  <c r="AG105" i="150"/>
  <c r="AN38" i="150"/>
  <c r="AI38" i="150"/>
  <c r="AH38" i="150"/>
  <c r="V15" i="150"/>
  <c r="O15" i="150"/>
  <c r="N15" i="150"/>
  <c r="V38" i="150"/>
  <c r="O38" i="150"/>
  <c r="N38" i="150"/>
  <c r="AA105" i="150"/>
  <c r="AJ38" i="150"/>
  <c r="AB105" i="150"/>
  <c r="G39" i="153"/>
  <c r="G112" i="153" s="1"/>
  <c r="C16" i="153"/>
  <c r="C26" i="153" s="1"/>
  <c r="J16" i="153"/>
  <c r="F16" i="153"/>
  <c r="J39" i="153"/>
  <c r="I39" i="153"/>
  <c r="I112" i="153" s="1"/>
  <c r="D39" i="153"/>
  <c r="D112" i="153" s="1"/>
  <c r="F39" i="153"/>
  <c r="D16" i="153"/>
  <c r="D26" i="153" s="1"/>
  <c r="H16" i="153"/>
  <c r="H26" i="153" s="1"/>
  <c r="G16" i="153"/>
  <c r="G26" i="153" s="1"/>
  <c r="E39" i="153"/>
  <c r="N34" i="153"/>
  <c r="H39" i="153"/>
  <c r="H112" i="153" s="1"/>
  <c r="I16" i="153"/>
  <c r="I26" i="153" s="1"/>
  <c r="E16" i="153"/>
  <c r="L32" i="153"/>
  <c r="L34" i="153"/>
  <c r="L33" i="153"/>
  <c r="C39" i="153"/>
  <c r="C112" i="153" s="1"/>
  <c r="N33" i="153"/>
  <c r="L14" i="152"/>
  <c r="BT38" i="150"/>
  <c r="BB38" i="150"/>
  <c r="BK105" i="150"/>
  <c r="L15" i="150"/>
  <c r="L38" i="150"/>
  <c r="T38" i="150"/>
  <c r="J112" i="153" l="1"/>
  <c r="K112" i="153" s="1"/>
  <c r="J66" i="153"/>
  <c r="L112" i="153"/>
  <c r="E66" i="153"/>
  <c r="Z16" i="153" s="1"/>
  <c r="H6" i="1" s="1"/>
  <c r="E112" i="153"/>
  <c r="H28" i="1"/>
  <c r="E26" i="153"/>
  <c r="N26" i="153" s="1"/>
  <c r="K16" i="153"/>
  <c r="J26" i="153"/>
  <c r="K26" i="153" s="1"/>
  <c r="BT65" i="150"/>
  <c r="J36" i="1" s="1"/>
  <c r="J105" i="150"/>
  <c r="N105" i="150" s="1"/>
  <c r="N65" i="150"/>
  <c r="V65" i="150"/>
  <c r="C66" i="153"/>
  <c r="M10" i="1"/>
  <c r="G45" i="1"/>
  <c r="L105" i="150"/>
  <c r="J10" i="1"/>
  <c r="J37" i="1"/>
  <c r="O10" i="1"/>
  <c r="J42" i="1"/>
  <c r="I42" i="1"/>
  <c r="I45" i="1" s="1"/>
  <c r="BL105" i="150"/>
  <c r="G36" i="1"/>
  <c r="G37" i="1" s="1"/>
  <c r="I66" i="153"/>
  <c r="K39" i="153"/>
  <c r="G66" i="153"/>
  <c r="D66" i="153"/>
  <c r="H66" i="153"/>
  <c r="M66" i="153"/>
  <c r="BC105" i="150"/>
  <c r="BG105" i="150" s="1"/>
  <c r="AN71" i="150"/>
  <c r="AH71" i="150"/>
  <c r="AI71" i="150"/>
  <c r="AJ71" i="150"/>
  <c r="K105" i="150"/>
  <c r="O105" i="150"/>
  <c r="AO105" i="150"/>
  <c r="AJ65" i="150"/>
  <c r="J34" i="1" s="1"/>
  <c r="V71" i="150"/>
  <c r="O71" i="150"/>
  <c r="N71" i="150"/>
  <c r="AK105" i="150"/>
  <c r="O34" i="1" s="1"/>
  <c r="J44" i="1"/>
  <c r="L71" i="150"/>
  <c r="K12" i="1"/>
  <c r="K14" i="1" s="1"/>
  <c r="T65" i="150"/>
  <c r="BR65" i="150"/>
  <c r="W71" i="150"/>
  <c r="I12" i="1"/>
  <c r="AZ105" i="150"/>
  <c r="BA105" i="150"/>
  <c r="W105" i="150"/>
  <c r="AA18" i="153"/>
  <c r="O16" i="153"/>
  <c r="O39" i="153"/>
  <c r="W24" i="150"/>
  <c r="K17" i="147"/>
  <c r="L17" i="147" s="1"/>
  <c r="V24" i="152"/>
  <c r="K16" i="147"/>
  <c r="L16" i="147" s="1"/>
  <c r="AC14" i="152"/>
  <c r="O36" i="1"/>
  <c r="O35" i="1"/>
  <c r="O43" i="1"/>
  <c r="K45" i="1"/>
  <c r="K15" i="147"/>
  <c r="L15" i="147" s="1"/>
  <c r="K14" i="147"/>
  <c r="M45" i="1"/>
  <c r="O42" i="1"/>
  <c r="AC16" i="152"/>
  <c r="N24" i="152"/>
  <c r="O24" i="152"/>
  <c r="N39" i="153"/>
  <c r="AJ105" i="150"/>
  <c r="O44" i="1"/>
  <c r="N24" i="150"/>
  <c r="V24" i="150"/>
  <c r="O24" i="150"/>
  <c r="BT105" i="150"/>
  <c r="AC17" i="150"/>
  <c r="AC15" i="150"/>
  <c r="L24" i="152"/>
  <c r="L39" i="153"/>
  <c r="N16" i="153"/>
  <c r="L26" i="153"/>
  <c r="P24" i="152"/>
  <c r="U15" i="150"/>
  <c r="L24" i="150"/>
  <c r="U24" i="150"/>
  <c r="P38" i="150"/>
  <c r="P24" i="150"/>
  <c r="P15" i="150"/>
  <c r="U38" i="150"/>
  <c r="O26" i="153" l="1"/>
  <c r="V105" i="150"/>
  <c r="G68" i="1"/>
  <c r="H68" i="1" s="1"/>
  <c r="N66" i="153"/>
  <c r="J12" i="1"/>
  <c r="J45" i="1"/>
  <c r="K18" i="147"/>
  <c r="BF105" i="150"/>
  <c r="O66" i="153"/>
  <c r="K66" i="153"/>
  <c r="L66" i="153"/>
  <c r="J14" i="1" s="1"/>
  <c r="S57" i="153"/>
  <c r="T57" i="153" s="1"/>
  <c r="U65" i="150"/>
  <c r="S41" i="153"/>
  <c r="T41" i="153" s="1"/>
  <c r="S17" i="153"/>
  <c r="T17" i="153" s="1"/>
  <c r="S46" i="153"/>
  <c r="T46" i="153" s="1"/>
  <c r="S45" i="153"/>
  <c r="T45" i="153" s="1"/>
  <c r="S34" i="153"/>
  <c r="S18" i="153"/>
  <c r="T18" i="153" s="1"/>
  <c r="S38" i="153"/>
  <c r="T38" i="153" s="1"/>
  <c r="S48" i="153"/>
  <c r="T48" i="153" s="1"/>
  <c r="S36" i="153"/>
  <c r="T36" i="153" s="1"/>
  <c r="S52" i="153"/>
  <c r="T52" i="153" s="1"/>
  <c r="S35" i="153"/>
  <c r="T35" i="153" s="1"/>
  <c r="S51" i="153"/>
  <c r="T51" i="153" s="1"/>
  <c r="S37" i="153"/>
  <c r="T37" i="153" s="1"/>
  <c r="S44" i="153"/>
  <c r="T44" i="153" s="1"/>
  <c r="S54" i="153"/>
  <c r="T54" i="153" s="1"/>
  <c r="S16" i="153"/>
  <c r="S43" i="153"/>
  <c r="T43" i="153" s="1"/>
  <c r="S56" i="153"/>
  <c r="T56" i="153" s="1"/>
  <c r="S32" i="153"/>
  <c r="T32" i="153" s="1"/>
  <c r="S42" i="153"/>
  <c r="T42" i="153" s="1"/>
  <c r="S49" i="153"/>
  <c r="T49" i="153" s="1"/>
  <c r="S58" i="153"/>
  <c r="T58" i="153" s="1"/>
  <c r="S33" i="153"/>
  <c r="S40" i="153"/>
  <c r="T40" i="153" s="1"/>
  <c r="S50" i="153"/>
  <c r="T50" i="153" s="1"/>
  <c r="S53" i="153"/>
  <c r="T53" i="153" s="1"/>
  <c r="S65" i="153"/>
  <c r="T65" i="153" s="1"/>
  <c r="S64" i="153"/>
  <c r="S19" i="153"/>
  <c r="T19" i="153" s="1"/>
  <c r="S62" i="153"/>
  <c r="T62" i="153" s="1"/>
  <c r="S59" i="153"/>
  <c r="T59" i="153" s="1"/>
  <c r="S61" i="153"/>
  <c r="T61" i="153" s="1"/>
  <c r="S60" i="153"/>
  <c r="T60" i="153" s="1"/>
  <c r="R12" i="1"/>
  <c r="R10" i="1"/>
  <c r="L10" i="1"/>
  <c r="H10" i="1"/>
  <c r="AB16" i="153"/>
  <c r="H14" i="1" s="1"/>
  <c r="O45" i="1"/>
  <c r="P12" i="1"/>
  <c r="P10" i="1"/>
  <c r="O12" i="1"/>
  <c r="N45" i="1"/>
  <c r="J68" i="1"/>
  <c r="H12" i="1"/>
  <c r="H42" i="1"/>
  <c r="H45" i="1" s="1"/>
  <c r="L16" i="153"/>
  <c r="S26" i="153" l="1"/>
  <c r="L18" i="147"/>
  <c r="K24" i="147"/>
  <c r="T64" i="153"/>
  <c r="S72" i="153"/>
  <c r="T72" i="153" s="1"/>
  <c r="T111" i="153"/>
  <c r="U71" i="150"/>
  <c r="U105" i="150" s="1"/>
  <c r="T105" i="150"/>
  <c r="S39" i="153"/>
  <c r="S55" i="153"/>
  <c r="T55" i="153" s="1"/>
  <c r="S63" i="153"/>
  <c r="T63" i="153" s="1"/>
  <c r="S47" i="153"/>
  <c r="T47" i="153" s="1"/>
  <c r="L128" i="1" l="1"/>
  <c r="S66" i="153"/>
  <c r="S112" i="153"/>
  <c r="K37" i="1"/>
  <c r="K68" i="1" s="1"/>
  <c r="L68" i="1" s="1"/>
  <c r="M37" i="1" l="1"/>
  <c r="I37" i="1"/>
  <c r="O37" i="1" l="1"/>
  <c r="N34" i="1"/>
  <c r="G14" i="1"/>
  <c r="H34" i="1"/>
  <c r="H37" i="1" s="1"/>
  <c r="L34" i="1"/>
  <c r="L37" i="1" s="1"/>
  <c r="M58" i="1"/>
  <c r="M55" i="1"/>
  <c r="M52" i="1"/>
  <c r="M49" i="1"/>
  <c r="M46" i="1"/>
  <c r="D14" i="147"/>
  <c r="D24" i="147" s="1"/>
  <c r="E14" i="147"/>
  <c r="E24" i="147" s="1"/>
  <c r="C14" i="147"/>
  <c r="C24" i="147" s="1"/>
  <c r="J58" i="1" l="1"/>
  <c r="I58" i="1"/>
  <c r="J61" i="1"/>
  <c r="J52" i="1"/>
  <c r="I52" i="1"/>
  <c r="M18" i="147"/>
  <c r="I46" i="1"/>
  <c r="I47" i="1" s="1"/>
  <c r="J46" i="1"/>
  <c r="J49" i="1"/>
  <c r="I49" i="1"/>
  <c r="I13" i="1"/>
  <c r="J55" i="1"/>
  <c r="I55" i="1"/>
  <c r="J13" i="1"/>
  <c r="F64" i="153"/>
  <c r="F60" i="153"/>
  <c r="F59" i="153"/>
  <c r="F61" i="153"/>
  <c r="F62" i="153"/>
  <c r="M14" i="147"/>
  <c r="F58" i="153"/>
  <c r="F57" i="153"/>
  <c r="F56" i="153"/>
  <c r="F54" i="153"/>
  <c r="F51" i="153"/>
  <c r="F52" i="153"/>
  <c r="F53" i="153"/>
  <c r="G24" i="147"/>
  <c r="J67" i="1" s="1"/>
  <c r="F14" i="147"/>
  <c r="F24" i="147"/>
  <c r="F49" i="153"/>
  <c r="F50" i="153"/>
  <c r="F48" i="153"/>
  <c r="F46" i="153"/>
  <c r="F43" i="153"/>
  <c r="F44" i="153"/>
  <c r="F45" i="153"/>
  <c r="F40" i="153"/>
  <c r="F42" i="153"/>
  <c r="F41" i="153"/>
  <c r="N37" i="1"/>
  <c r="G14" i="147"/>
  <c r="M13" i="1" l="1"/>
  <c r="F65" i="153"/>
  <c r="F72" i="153" s="1"/>
  <c r="J125" i="1"/>
  <c r="F19" i="153"/>
  <c r="F63" i="153"/>
  <c r="F55" i="153"/>
  <c r="F18" i="153"/>
  <c r="I53" i="1"/>
  <c r="I59" i="1"/>
  <c r="O58" i="1"/>
  <c r="M59" i="1"/>
  <c r="O59" i="1" s="1"/>
  <c r="O52" i="1"/>
  <c r="M53" i="1"/>
  <c r="O53" i="1" s="1"/>
  <c r="M47" i="1"/>
  <c r="O47" i="1" s="1"/>
  <c r="F47" i="153"/>
  <c r="F17" i="153"/>
  <c r="O46" i="1"/>
  <c r="F112" i="153" l="1"/>
  <c r="N13" i="1"/>
  <c r="N46" i="1" s="1"/>
  <c r="N67" i="1" s="1"/>
  <c r="M14" i="1"/>
  <c r="J25" i="1"/>
  <c r="F20" i="153"/>
  <c r="F26" i="153" s="1"/>
  <c r="F66" i="153"/>
  <c r="P25" i="1"/>
  <c r="R25" i="1"/>
  <c r="I67" i="1"/>
  <c r="I68" i="1" s="1"/>
  <c r="M67" i="1"/>
  <c r="O67" i="1" s="1"/>
  <c r="I56" i="1"/>
  <c r="N14" i="1"/>
  <c r="R13" i="1"/>
  <c r="M56" i="1"/>
  <c r="O56" i="1" s="1"/>
  <c r="O55" i="1"/>
  <c r="I50" i="1"/>
  <c r="M50" i="1"/>
  <c r="O50" i="1" s="1"/>
  <c r="O49" i="1"/>
  <c r="I14" i="1"/>
  <c r="C45" i="1"/>
  <c r="C41" i="1"/>
  <c r="C37" i="1"/>
  <c r="R14" i="1" l="1"/>
  <c r="M68" i="1"/>
  <c r="N68" i="1" s="1"/>
  <c r="O68" i="1" l="1"/>
  <c r="L12" i="1" l="1"/>
  <c r="L42" i="1"/>
  <c r="L45" i="1" s="1"/>
  <c r="U24" i="152"/>
  <c r="U14" i="152"/>
  <c r="P33" i="153"/>
  <c r="U33" i="153" s="1"/>
  <c r="P34" i="153"/>
  <c r="U34" i="153" s="1"/>
  <c r="H14" i="147"/>
  <c r="H24" i="147" s="1"/>
  <c r="L24" i="147" l="1"/>
  <c r="L14" i="147"/>
  <c r="N14" i="147"/>
  <c r="T34" i="153"/>
  <c r="V34" i="153"/>
  <c r="T33" i="153"/>
  <c r="V33" i="153"/>
  <c r="P16" i="153"/>
  <c r="P26" i="153" s="1"/>
  <c r="P39" i="153"/>
  <c r="P66" i="153" s="1"/>
  <c r="V26" i="153" l="1"/>
  <c r="T26" i="153"/>
  <c r="U26" i="153"/>
  <c r="Z18" i="153"/>
  <c r="L6" i="1" s="1"/>
  <c r="V66" i="153"/>
  <c r="U66" i="153"/>
  <c r="T66" i="153"/>
  <c r="V39" i="153"/>
  <c r="U39" i="153"/>
  <c r="V16" i="153"/>
  <c r="U16" i="153"/>
  <c r="N24" i="147"/>
  <c r="Z14" i="147" s="1"/>
  <c r="L97" i="1" s="1"/>
  <c r="L125" i="1" s="1"/>
  <c r="M24" i="147"/>
  <c r="T16" i="153"/>
  <c r="T14" i="147"/>
  <c r="L46" i="1" s="1"/>
  <c r="L67" i="1" s="1"/>
  <c r="P112" i="153"/>
  <c r="T39" i="153"/>
  <c r="L25" i="1" l="1"/>
  <c r="O13" i="1"/>
  <c r="P13" i="1"/>
  <c r="L13" i="1"/>
  <c r="AB18" i="153" l="1"/>
  <c r="L14" i="1" s="1"/>
  <c r="O14" i="1"/>
  <c r="P14" i="1"/>
  <c r="P28" i="1" l="1"/>
  <c r="K90" i="1"/>
  <c r="K92" i="1" s="1"/>
  <c r="X70" i="169"/>
  <c r="O90" i="1" l="1"/>
  <c r="K128" i="1"/>
  <c r="O128" i="1" s="1"/>
  <c r="O92" i="1"/>
  <c r="M21" i="1"/>
  <c r="O21" i="1" s="1"/>
  <c r="N21" i="1"/>
  <c r="N93" i="1" s="1"/>
  <c r="N96" i="1" s="1"/>
  <c r="M28" i="1" l="1"/>
  <c r="N28" i="1" s="1"/>
  <c r="R21" i="1"/>
  <c r="O28" i="1" l="1"/>
  <c r="R28" i="1"/>
</calcChain>
</file>

<file path=xl/sharedStrings.xml><?xml version="1.0" encoding="utf-8"?>
<sst xmlns="http://schemas.openxmlformats.org/spreadsheetml/2006/main" count="2842" uniqueCount="372">
  <si>
    <t>Campaign Information</t>
    <phoneticPr fontId="6" type="noConversion"/>
  </si>
  <si>
    <t>1. Campaign</t>
  </si>
  <si>
    <t>ThinQ Campaign_2nd Phase</t>
  </si>
  <si>
    <t>2. Period</t>
  </si>
  <si>
    <t>2022-10-18~2022-11-24</t>
  </si>
  <si>
    <t>3. Budget</t>
  </si>
  <si>
    <t>Total View KPI
 Achievement</t>
  </si>
  <si>
    <t>Total Visit KPI
 Achievement</t>
  </si>
  <si>
    <t>Gen Z 
0.57%</t>
  </si>
  <si>
    <t>Target 
$0.7</t>
  </si>
  <si>
    <t>Gen Z 
CVR 28%</t>
  </si>
  <si>
    <t>Gen Z 
BR 55%</t>
  </si>
  <si>
    <t>Gen Z 
CPC 0.42</t>
  </si>
  <si>
    <t>Phase 1 Campaign Summary (Sep 18th ~ Oct 17th)</t>
  </si>
  <si>
    <t>Media</t>
  </si>
  <si>
    <t>Period</t>
    <phoneticPr fontId="6" type="noConversion"/>
  </si>
  <si>
    <t>View Data</t>
  </si>
  <si>
    <t>Click Data</t>
    <phoneticPr fontId="6" type="noConversion"/>
  </si>
  <si>
    <t>LG.COM ThinQ Visit</t>
  </si>
  <si>
    <t>Budget</t>
  </si>
  <si>
    <t>Budget 
Spent</t>
  </si>
  <si>
    <t>CPT</t>
  </si>
  <si>
    <r>
      <t xml:space="preserve">CVR
</t>
    </r>
    <r>
      <rPr>
        <sz val="8"/>
        <rFont val="맑은 고딕"/>
        <charset val="129"/>
      </rPr>
      <t>(Media Click to LG.COM Visit)</t>
    </r>
  </si>
  <si>
    <t>Bounce rate</t>
  </si>
  <si>
    <t>CPC</t>
  </si>
  <si>
    <t>View
(FB: 3'/ TW: 2'/ YT:100%)</t>
  </si>
  <si>
    <t>Monthly KPI 
Achievement</t>
  </si>
  <si>
    <t>Click</t>
    <phoneticPr fontId="6" type="noConversion"/>
  </si>
  <si>
    <t>CTR</t>
    <phoneticPr fontId="6" type="noConversion"/>
  </si>
  <si>
    <t>Visit</t>
  </si>
  <si>
    <t>Phase 1</t>
  </si>
  <si>
    <t>Facebook Vid</t>
  </si>
  <si>
    <t>9/18~10/17</t>
  </si>
  <si>
    <t>Twitter</t>
  </si>
  <si>
    <t>Youtube</t>
  </si>
  <si>
    <t>GDN</t>
  </si>
  <si>
    <t>Total</t>
    <phoneticPr fontId="6" type="noConversion"/>
  </si>
  <si>
    <t>Phase 2 Campaign Summary (Oct 18th ~ Nov 28th)</t>
  </si>
  <si>
    <t>Media</t>
    <phoneticPr fontId="0" type="noConversion"/>
  </si>
  <si>
    <t>Period</t>
    <phoneticPr fontId="0" type="noConversion"/>
  </si>
  <si>
    <t>Click Data</t>
    <phoneticPr fontId="0" type="noConversion"/>
  </si>
  <si>
    <t>CPT/
CPA</t>
  </si>
  <si>
    <r>
      <t xml:space="preserve">CVR
</t>
    </r>
    <r>
      <rPr>
        <b/>
        <sz val="8"/>
        <rFont val="맑은 고딕"/>
        <charset val="129"/>
      </rPr>
      <t>(Media Click to LG.COM Visit)</t>
    </r>
  </si>
  <si>
    <t>View
(FB/IG: 3'/ YT:100%)</t>
  </si>
  <si>
    <t>Click</t>
    <phoneticPr fontId="0" type="noConversion"/>
  </si>
  <si>
    <t>CTR</t>
    <phoneticPr fontId="0" type="noConversion"/>
  </si>
  <si>
    <t>Visit/
download</t>
  </si>
  <si>
    <t>Phase2</t>
  </si>
  <si>
    <t>Facebook Carousel</t>
  </si>
  <si>
    <t>10/18~11/02</t>
  </si>
  <si>
    <t>10/18~11/16</t>
  </si>
  <si>
    <t>10/18~11/24</t>
  </si>
  <si>
    <t>Instagram Vid</t>
  </si>
  <si>
    <t>Snapchat Image</t>
  </si>
  <si>
    <t>Snapchat Vid</t>
  </si>
  <si>
    <t>10/18~11/14</t>
  </si>
  <si>
    <t>10/18~11/19</t>
  </si>
  <si>
    <t>UAC</t>
  </si>
  <si>
    <t>10/21~11/24</t>
  </si>
  <si>
    <t>FB BoostUp</t>
  </si>
  <si>
    <t>11/18~11/24</t>
  </si>
  <si>
    <t>N/A</t>
  </si>
  <si>
    <t>Total</t>
    <phoneticPr fontId="0" type="noConversion"/>
  </si>
  <si>
    <t>Media Summary (Sep 18th ~ Oct 17th)</t>
  </si>
  <si>
    <t>Media</t>
    <phoneticPr fontId="6" type="noConversion"/>
  </si>
  <si>
    <t>Assset</t>
  </si>
  <si>
    <t>Asset</t>
  </si>
  <si>
    <t>Size</t>
    <phoneticPr fontId="6" type="noConversion"/>
  </si>
  <si>
    <t>Format</t>
  </si>
  <si>
    <t>Facebook</t>
  </si>
  <si>
    <t>Local Birthday</t>
  </si>
  <si>
    <t>Video</t>
  </si>
  <si>
    <t>Local Men's weekend</t>
  </si>
  <si>
    <t>HQ Safari</t>
  </si>
  <si>
    <t>YT</t>
  </si>
  <si>
    <t>320x50</t>
  </si>
  <si>
    <t>Image</t>
  </si>
  <si>
    <t>- Birthday</t>
  </si>
  <si>
    <t>- Men's weekend</t>
  </si>
  <si>
    <t>10/1~10/17</t>
  </si>
  <si>
    <t>336x280</t>
  </si>
  <si>
    <t>300x250</t>
  </si>
  <si>
    <t>300x600</t>
  </si>
  <si>
    <t>728x90</t>
  </si>
  <si>
    <t>468x60</t>
  </si>
  <si>
    <t>160x600</t>
  </si>
  <si>
    <t>970x250</t>
  </si>
  <si>
    <t>300x300</t>
  </si>
  <si>
    <t>GDN Total</t>
  </si>
  <si>
    <t>Grand Total</t>
    <phoneticPr fontId="6" type="noConversion"/>
  </si>
  <si>
    <t>Phase 2 Media Summary (Oct 18th ~ Nov 28th)</t>
  </si>
  <si>
    <t>Facebook
 Video</t>
  </si>
  <si>
    <t>HQ USP</t>
  </si>
  <si>
    <t>Local Men's weekend ver.2</t>
  </si>
  <si>
    <t>TBD</t>
  </si>
  <si>
    <t>IG Video</t>
  </si>
  <si>
    <t>HQUSP</t>
  </si>
  <si>
    <t>IG Video Total</t>
  </si>
  <si>
    <t>SC Video</t>
  </si>
  <si>
    <t>SC Video Total</t>
  </si>
  <si>
    <t>SC Image</t>
  </si>
  <si>
    <t>SC Image Total</t>
  </si>
  <si>
    <t>- Product</t>
  </si>
  <si>
    <t>10/18~11/17</t>
  </si>
  <si>
    <t>Discovery</t>
  </si>
  <si>
    <t>11/6~11/24</t>
  </si>
  <si>
    <t xml:space="preserve">              N/A</t>
  </si>
  <si>
    <t>UAC Total</t>
  </si>
  <si>
    <t>OLED TV Giveaway</t>
  </si>
  <si>
    <t xml:space="preserve">           N/A</t>
  </si>
  <si>
    <t>Asset Summary</t>
  </si>
  <si>
    <t>Daily Total</t>
  </si>
  <si>
    <t>Phase</t>
  </si>
  <si>
    <t>Total Budget</t>
  </si>
  <si>
    <t>Facebook Video</t>
  </si>
  <si>
    <t xml:space="preserve"> Weekly</t>
  </si>
  <si>
    <t>LG.COM</t>
  </si>
  <si>
    <t>Phase1 KPI Summary</t>
  </si>
  <si>
    <t>Phase2 KPI Summary</t>
  </si>
  <si>
    <t>Day</t>
    <phoneticPr fontId="6" type="noConversion"/>
  </si>
  <si>
    <t>Imps</t>
    <phoneticPr fontId="6" type="noConversion"/>
  </si>
  <si>
    <t>Click</t>
  </si>
  <si>
    <t>Views
(FB: 3'/ TW: 2'/ YT:100%)</t>
  </si>
  <si>
    <t>Video watches at 25%</t>
  </si>
  <si>
    <t>Video watches at 50%</t>
  </si>
  <si>
    <t>Video watches at 75%</t>
  </si>
  <si>
    <t>View(100%)</t>
  </si>
  <si>
    <t>Spending</t>
  </si>
  <si>
    <t>Budget Spent</t>
  </si>
  <si>
    <t>CTR</t>
  </si>
  <si>
    <t>Weekly View KPI</t>
  </si>
  <si>
    <t>Weekly View KPI Achievement</t>
  </si>
  <si>
    <t>Visits</t>
  </si>
  <si>
    <t>App download
Clicks</t>
  </si>
  <si>
    <t>Video Play
Clicks</t>
  </si>
  <si>
    <t>Weekly Visit
KPI</t>
  </si>
  <si>
    <t>Weekly Visit KPI 
Achievement</t>
  </si>
  <si>
    <t>CVR</t>
  </si>
  <si>
    <t>Avg. Duration</t>
  </si>
  <si>
    <t>Views</t>
  </si>
  <si>
    <t>Monthly View KPI</t>
  </si>
  <si>
    <t>KPI
Achievement</t>
  </si>
  <si>
    <t>1W
(Sep 18th ~ 24th)</t>
  </si>
  <si>
    <t>2W
(Sep 25th ~ Oct 1st)</t>
  </si>
  <si>
    <t>Monthly Visit KPI</t>
  </si>
  <si>
    <t>3W
(Oct 2nd ~ Oct 8th)</t>
  </si>
  <si>
    <t>4W
(Oct 9th ~ Oct 15th)</t>
  </si>
  <si>
    <t xml:space="preserve">5W
(Oct 16th ~ Oct 22th) </t>
  </si>
  <si>
    <t>6W
(Oct 23rd ~ Oct 29th)</t>
  </si>
  <si>
    <t>7W
(Oct 30th ~ Nov 5th)</t>
  </si>
  <si>
    <t>8W
(Nov 6th ~ Nov 12th)</t>
  </si>
  <si>
    <t>9W
(Nov 13th ~ Nov 19th)</t>
  </si>
  <si>
    <t>10W
(Nov 20th ~ Nov 24th)</t>
  </si>
  <si>
    <t>Total</t>
  </si>
  <si>
    <t>TOTAL</t>
    <phoneticPr fontId="6" type="noConversion"/>
  </si>
  <si>
    <t>Daily View 
KPI</t>
  </si>
  <si>
    <t>Daily KPI Achievement</t>
  </si>
  <si>
    <t xml:space="preserve">Daily Visit
KPI </t>
  </si>
  <si>
    <t>Daily KPI 
Achievement</t>
  </si>
  <si>
    <t>Avg. Duration (Sec)</t>
  </si>
  <si>
    <t>Weekly Total</t>
  </si>
  <si>
    <t>Phase 2</t>
  </si>
  <si>
    <t>Facebook Boost Up</t>
  </si>
  <si>
    <t>boost up</t>
  </si>
  <si>
    <t>Phase2 KPI</t>
  </si>
  <si>
    <t>Weekly KPI 
Achievement</t>
  </si>
  <si>
    <t>KPI</t>
  </si>
  <si>
    <t>1W
(Nov 18th ~ 24th)</t>
  </si>
  <si>
    <t>3W
(Nov 1st ~Nov 7th)</t>
  </si>
  <si>
    <t>4W
(Nov 8th ~ Nov 14th)</t>
  </si>
  <si>
    <t>5W
(Nov 15th ~ Nov 18th)</t>
  </si>
  <si>
    <t>View</t>
  </si>
  <si>
    <t>Surplus</t>
    <phoneticPr fontId="6" type="noConversion"/>
  </si>
  <si>
    <t>Avg. Duration
(sec)</t>
  </si>
  <si>
    <t>1W
(Oct 18th ~ 24th)</t>
  </si>
  <si>
    <t>2W
(Oct 25th ~ Oct 31st)</t>
  </si>
  <si>
    <t>-</t>
  </si>
  <si>
    <t>3's Views</t>
  </si>
  <si>
    <t>CPV
(3's)</t>
  </si>
  <si>
    <t>CPV
(Complete)</t>
  </si>
  <si>
    <t>Weekly KPI Achievement</t>
  </si>
  <si>
    <t>5W
(Oct 16th ~ Oct 22th)</t>
  </si>
  <si>
    <t>HQ Safari / HQ USP</t>
  </si>
  <si>
    <t>Youtube Trueview</t>
  </si>
  <si>
    <t>W1 KPI Summary</t>
  </si>
  <si>
    <t>W2 KPI Summary</t>
  </si>
  <si>
    <t>Trueview</t>
  </si>
  <si>
    <t>CPV
(Tureview)</t>
  </si>
  <si>
    <t>1W
(Sep 18th ~ 24th))</t>
  </si>
  <si>
    <t>Imps</t>
  </si>
  <si>
    <t>CPV
(Trueview)</t>
  </si>
  <si>
    <t>Avg. Duration
(Sec)</t>
  </si>
  <si>
    <t>Trueview View</t>
  </si>
  <si>
    <t>Total Budget 
(Including Agency fee)</t>
  </si>
  <si>
    <t>5W
(Nov 15th ~ Nov 21st)</t>
  </si>
  <si>
    <t>6W</t>
  </si>
  <si>
    <t>7W</t>
  </si>
  <si>
    <t>8W</t>
  </si>
  <si>
    <t>HQ Safari/HQ USP</t>
  </si>
  <si>
    <t>Snapchat Video</t>
  </si>
  <si>
    <t>2's Views</t>
  </si>
  <si>
    <t>Weekly View
 KPI</t>
  </si>
  <si>
    <t>CPV
(2's)</t>
  </si>
  <si>
    <t>5W</t>
  </si>
  <si>
    <t>`</t>
  </si>
  <si>
    <t>6W
(Nov 22nd ~ Nov 24th)</t>
  </si>
  <si>
    <t>Clicks</t>
  </si>
  <si>
    <t>KPI Visits</t>
  </si>
  <si>
    <t>Achievement</t>
  </si>
  <si>
    <t>9W
(Nov 13th ~ Nov 21th)</t>
  </si>
  <si>
    <t>10W</t>
  </si>
  <si>
    <t>Download</t>
  </si>
  <si>
    <t>Monthly 
Download KPI</t>
  </si>
  <si>
    <t>Weekly Download
KPI</t>
  </si>
  <si>
    <t>CPA</t>
  </si>
  <si>
    <t>5W
(Nov 15th ~ Nov 21th)</t>
  </si>
  <si>
    <t xml:space="preserve">Daily Download
KPI </t>
  </si>
  <si>
    <t>Influencer Content KPI Data</t>
  </si>
  <si>
    <r>
      <t>**</t>
    </r>
    <r>
      <rPr>
        <b/>
        <sz val="10"/>
        <color rgb="FF00B050"/>
        <rFont val="Arial Narrow"/>
        <family val="2"/>
      </rPr>
      <t xml:space="preserve">KPI: 10% </t>
    </r>
    <r>
      <rPr>
        <b/>
        <sz val="10"/>
        <color rgb="FF00B050"/>
        <rFont val="Arial"/>
        <family val="2"/>
      </rPr>
      <t>↑</t>
    </r>
    <r>
      <rPr>
        <b/>
        <sz val="10"/>
        <color rgb="FF00B050"/>
        <rFont val="Arial Narrow"/>
        <family val="2"/>
      </rPr>
      <t xml:space="preserve"> than Influencer Average Commercial Posting Result</t>
    </r>
  </si>
  <si>
    <t>Instagram:</t>
  </si>
  <si>
    <t>https://www.instagram.com/reel/CixRwhPj9ev</t>
  </si>
  <si>
    <t>YouTube:</t>
  </si>
  <si>
    <t>https://youtu.be/7fjKvuVNBuM</t>
  </si>
  <si>
    <t>Social
Network</t>
  </si>
  <si>
    <t>Country</t>
  </si>
  <si>
    <t>Influencer</t>
  </si>
  <si>
    <t>Posting
Date</t>
  </si>
  <si>
    <t>Followers</t>
  </si>
  <si>
    <t>Cost</t>
  </si>
  <si>
    <t>View Result
YT more than 30-sec / IG 3-sec</t>
  </si>
  <si>
    <t>Engage Result: Likes</t>
  </si>
  <si>
    <t>Engage Result: Comments</t>
  </si>
  <si>
    <r>
      <t>Engage Rate</t>
    </r>
    <r>
      <rPr>
        <sz val="10"/>
        <color rgb="FF000000"/>
        <rFont val="Arial Narrow"/>
        <family val="2"/>
      </rPr>
      <t xml:space="preserve">
(Likes+Comments)/Followers</t>
    </r>
  </si>
  <si>
    <r>
      <t>Engage Cost</t>
    </r>
    <r>
      <rPr>
        <sz val="10"/>
        <color rgb="FF000000"/>
        <rFont val="Arial Narrow"/>
        <family val="2"/>
      </rPr>
      <t xml:space="preserve">
Cost / (Likes+Comments)</t>
    </r>
  </si>
  <si>
    <r>
      <t>LG.com Visit</t>
    </r>
    <r>
      <rPr>
        <sz val="10"/>
        <color rgb="FF000000"/>
        <rFont val="Arial Narrow"/>
        <family val="2"/>
      </rPr>
      <t xml:space="preserve">
Reference 21 GenZ Camapign: $7.20</t>
    </r>
  </si>
  <si>
    <t>Link</t>
  </si>
  <si>
    <t>Actual</t>
  </si>
  <si>
    <t>Achieve%</t>
  </si>
  <si>
    <t>Likes</t>
  </si>
  <si>
    <t>Comment</t>
  </si>
  <si>
    <t>Social Network</t>
  </si>
  <si>
    <t>LG.com Visit</t>
  </si>
  <si>
    <t>Tech -Falsaif</t>
  </si>
  <si>
    <t>https://youtu.be/EPFqMk-zRIk</t>
  </si>
  <si>
    <t>YouTube</t>
  </si>
  <si>
    <t>KSA</t>
  </si>
  <si>
    <t>https://youtu.be/JYki8OTuous</t>
  </si>
  <si>
    <t>Life -Fahad</t>
  </si>
  <si>
    <t>https://youtu.be/N2bfSXtb_Ic</t>
  </si>
  <si>
    <t>Life -R&amp;B</t>
  </si>
  <si>
    <t>https://youtu.be/DFGoLwh7A3k</t>
  </si>
  <si>
    <t>Egypt</t>
  </si>
  <si>
    <t>https://youtube.com/shorts/fS1VlEOqLJI</t>
  </si>
  <si>
    <t>Tech –Yehia</t>
  </si>
  <si>
    <t>https://youtu.be/HrQEqxvYEfw</t>
  </si>
  <si>
    <t>https://www.youtube.com/shorts/WvgWJ7OVWvg</t>
  </si>
  <si>
    <t>Life –Lowi</t>
  </si>
  <si>
    <t>https://youtu.be/LDknkEAaPjE</t>
  </si>
  <si>
    <t>Iraq</t>
  </si>
  <si>
    <t>https://www.youtube.com/shorts/m9P2zlYp5xs</t>
  </si>
  <si>
    <t>Tech -Imad</t>
  </si>
  <si>
    <t>https://youtu.be/m8bnAYltuzM</t>
  </si>
  <si>
    <t>https://youtu.be/5TJegvyDzUs</t>
  </si>
  <si>
    <t>Grand Total</t>
  </si>
  <si>
    <t>https://www.instagram.com/reel/Cix6F0NAVmI</t>
  </si>
  <si>
    <t>https://www.instagram.com/reel/Ckp0TKAI4yq</t>
  </si>
  <si>
    <t>https://www.instagram.com/reel/Cj-Y1asDPRG</t>
  </si>
  <si>
    <t>https://www.instagram.com/reel/Cix578uDONO</t>
  </si>
  <si>
    <t>Instagram</t>
  </si>
  <si>
    <t>https://www.instagram.com/reel/CktOE17DKRG</t>
  </si>
  <si>
    <t>https://www.instagram.com/reel/Ci2XoDqARX-</t>
  </si>
  <si>
    <t>https://www.instagram.com/reel/Ck_hpiZgjo7</t>
  </si>
  <si>
    <t>https://www.instagram.com/reel/Cixm8-8BVKA</t>
  </si>
  <si>
    <t>Fahad 2nd Instagram</t>
  </si>
  <si>
    <t>https://www.instagram.com/reel/Ci20HIyqo0D</t>
  </si>
  <si>
    <t>https://www.instagram.com/reel/Ci20HIyqo0D'</t>
  </si>
  <si>
    <t>https://www.instagram.com/p/CkjEFQUA1Xc/</t>
  </si>
  <si>
    <t>FOC</t>
  </si>
  <si>
    <t>https://www.facebook.com/watch/?v=631117431910723</t>
  </si>
  <si>
    <t>Telegram</t>
  </si>
  <si>
    <t>https://t.me/s/Techpills/1665</t>
  </si>
  <si>
    <t>Tweet</t>
  </si>
  <si>
    <t>https://twitter.com/falsaif/status/1572557340100132866</t>
  </si>
  <si>
    <t>https://www.instagram.com/reel/Ci9zGgYIC8t/</t>
  </si>
  <si>
    <t>Free of Charge</t>
  </si>
  <si>
    <t>https://www.instagram.com/reel/Ck_BUbZIPAP/</t>
  </si>
  <si>
    <t>https://www.instagram.com/reel/ClEWgDqAbIx</t>
  </si>
  <si>
    <t>Giveaway</t>
  </si>
  <si>
    <t>Influencer Posting Calender</t>
  </si>
  <si>
    <t>Fahad 2nd YouTube</t>
  </si>
  <si>
    <t>Date</t>
  </si>
  <si>
    <t>Falsaif</t>
  </si>
  <si>
    <t>Fahad</t>
  </si>
  <si>
    <t>R&amp;B</t>
  </si>
  <si>
    <t>Yehia</t>
  </si>
  <si>
    <t>Lowi</t>
  </si>
  <si>
    <t>Imad</t>
  </si>
  <si>
    <t>YT&amp;IG&amp;FC&amp;TW</t>
  </si>
  <si>
    <t>IG</t>
  </si>
  <si>
    <t>IG FOC</t>
  </si>
  <si>
    <t>Giveaway R&amp;S</t>
  </si>
  <si>
    <t>Giveaway R</t>
  </si>
  <si>
    <t>Giveaway S</t>
  </si>
  <si>
    <t>Instagram Sum</t>
  </si>
  <si>
    <t>YouTube Sum</t>
  </si>
  <si>
    <t>2nd Instagram</t>
  </si>
  <si>
    <t>2nd YouTube</t>
  </si>
  <si>
    <t>Influencer Posting</t>
  </si>
  <si>
    <t>Falsaif 2nd YouTube</t>
  </si>
  <si>
    <t>Falsaif 2nd Instagram</t>
  </si>
  <si>
    <t>Falsaif 3rd Instagram</t>
  </si>
  <si>
    <t xml:space="preserve"> </t>
  </si>
  <si>
    <t>ThinQ Paid Landing Page</t>
  </si>
  <si>
    <t>Traffic</t>
  </si>
  <si>
    <t>Overall | Organic | Paid Media</t>
  </si>
  <si>
    <t>캠페인 기간 전체 진척율</t>
  </si>
  <si>
    <t>ThinQ Page</t>
  </si>
  <si>
    <t>ThinQ page</t>
  </si>
  <si>
    <t>Activity</t>
  </si>
  <si>
    <t>Total Traffic</t>
  </si>
  <si>
    <t xml:space="preserve"> Organic Traffic </t>
  </si>
  <si>
    <t>Bounce Rate</t>
  </si>
  <si>
    <t>Total ThinQ 
Page Visits</t>
  </si>
  <si>
    <t>Total ThinQ 
Page Bounces</t>
  </si>
  <si>
    <t>ThinQ 
Organic Visits</t>
  </si>
  <si>
    <t>ThinQ 
Paid Media Visits</t>
  </si>
  <si>
    <t>Avg. Visit 
Length (sec)</t>
  </si>
  <si>
    <t>Facebook Visits</t>
  </si>
  <si>
    <t>Bounces</t>
  </si>
  <si>
    <t>Twitter Visits</t>
  </si>
  <si>
    <t>YouTube Visits</t>
  </si>
  <si>
    <t>GDN Visits</t>
  </si>
  <si>
    <t>PDP</t>
  </si>
  <si>
    <t>Where to buy</t>
  </si>
  <si>
    <t>Add to cart</t>
  </si>
  <si>
    <t>Purchase</t>
  </si>
  <si>
    <t>TVC / Digital ad Live
PR Press release</t>
  </si>
  <si>
    <t>Influencer (IG)</t>
  </si>
  <si>
    <t>Influencer (YT)</t>
  </si>
  <si>
    <t>ThinQ page Banner Update</t>
  </si>
  <si>
    <t>Influencer Contents Upload on ThinQ Page</t>
  </si>
  <si>
    <t>Twitter 
Budget reallocation</t>
  </si>
  <si>
    <t xml:space="preserve">2nd GDN Asset is set-up </t>
  </si>
  <si>
    <t>Phase 1 budget is alllocated to phase 2 (FB $1,000 &amp; YT $1,000)</t>
  </si>
  <si>
    <t>ThinQ page Banner Replacement</t>
  </si>
  <si>
    <t xml:space="preserve"> - </t>
  </si>
  <si>
    <t xml:space="preserve">Phase 2 </t>
  </si>
  <si>
    <t>Tech influencer TV Interview</t>
  </si>
  <si>
    <t>UAC, 
2nd Influencer post upload</t>
  </si>
  <si>
    <t>FB Carousel Pasued / Discovey On</t>
  </si>
  <si>
    <t>Influencer Post YT</t>
  </si>
  <si>
    <t>Influener Post IG</t>
  </si>
  <si>
    <t>SN Video pasued</t>
  </si>
  <si>
    <t>FB/IG Video paused</t>
  </si>
  <si>
    <t>FB BoostUP Live</t>
  </si>
  <si>
    <t>Owned Media</t>
  </si>
  <si>
    <t>Owned Media Details</t>
  </si>
  <si>
    <t>Thumbnail</t>
  </si>
  <si>
    <t>Period</t>
  </si>
  <si>
    <t>Url</t>
  </si>
  <si>
    <t>Like</t>
  </si>
  <si>
    <t>Share</t>
  </si>
  <si>
    <t>18th Oct</t>
  </si>
  <si>
    <t>https://www.facebook.com/watch/?v=804320224010187</t>
  </si>
  <si>
    <t>https://www.facebook.com/LGSaudi/videos/احصل-على-المزيد-من-الروعةتطبيق-واحد-للتحكم-بهم-جميعاً-قم-بتنزيل-تطبيق-lg-thinq-ل/1353247168813251/</t>
  </si>
  <si>
    <t>https://www.facebook.com/LGSaudi/videos/احصل-على-المزيد-من-الروعةتطبيق-واحد-للتحكم-بهم-جميعاً-قم-بتنزيل-تطبيق-lg-thinq-ل/645439633690236/</t>
  </si>
  <si>
    <t>https://www.instagram.com/p/Cj24j4VNfbG/</t>
  </si>
  <si>
    <t>https://www.instagram.com/p/Cj242RVtOfx/</t>
  </si>
  <si>
    <t>https://www.instagram.com/p/Cj25o-vsaX4/</t>
  </si>
  <si>
    <t>https://www.youtube.com/watch?v=_r85aE2LFJ8</t>
  </si>
  <si>
    <t>https://www.youtube.com/watch?v=OxymlmiGwjg</t>
  </si>
  <si>
    <t>https://www.youtube.com/watch?v=VU_TXZjyyuI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</si>
</sst>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₩&quot;* #,##0_-;\-&quot;₩&quot;* #,##0_-;_-&quot;₩&quot;* &quot;-&quot;_-;_-@_-"/>
    <numFmt numFmtId="168" formatCode="#,##0_ "/>
    <numFmt numFmtId="169" formatCode="d&quot;-&quot;mmm"/>
    <numFmt numFmtId="170" formatCode="0_ "/>
    <numFmt numFmtId="171" formatCode="_ * #,##0_ ;_ * \-#,##0_ ;_ * &quot;-&quot;_ ;_ @_ "/>
    <numFmt numFmtId="172" formatCode="_ * #,##0.00_ ;_ * \-#,##0.00_ ;_ * &quot;-&quot;??_ ;_ @_ "/>
    <numFmt numFmtId="173" formatCode="m&quot;/&quot;d;@"/>
    <numFmt numFmtId="174" formatCode="_-[$$-409]* #,##0.00_ ;_-[$$-409]* \-#,##0.00\ ;_-[$$-409]* &quot;-&quot;??_ ;_-@_ "/>
    <numFmt numFmtId="175" formatCode="0.0%"/>
    <numFmt numFmtId="176" formatCode="_-[$$-2C09]* #,##0.0_-;\-[$$-2C09]* #,##0.0_-;_-[$$-2C09]* &quot;-&quot;_-;_-@_-"/>
    <numFmt numFmtId="177" formatCode="_-* #,##0_-;\-* #,##0_-;_-* &quot;-&quot;??_-;_-@_-"/>
    <numFmt numFmtId="178" formatCode="0.0"/>
    <numFmt numFmtId="179" formatCode="_-[$$-409]* #,##0_ ;_-[$$-409]* \-#,##0\ ;_-[$$-409]* &quot;-&quot;_ ;_-@_ "/>
    <numFmt numFmtId="180" formatCode="_-[$$-409]* #,##0_ ;_-[$$-409]* \-#,##0\ ;_-[$$-409]* &quot;-&quot;??_ ;_-@_ "/>
    <numFmt numFmtId="181" formatCode="_-[$$-1409]* #,##0.00_-;\-[$$-1409]* #,##0.00_-;_-[$$-1409]* &quot;-&quot;??_-;_-@_-"/>
    <numFmt numFmtId="182" formatCode="_-[$$-45C]* #,##0.00_-;\-[$$-45C]* #,##0.00_-;_-[$$-45C]* &quot;-&quot;??_-;_-@_-"/>
    <numFmt numFmtId="183" formatCode="_-[$$-2C09]* #,##0.00_-;\-[$$-2C09]* #,##0.00_-;_-[$$-2C09]* &quot;-&quot;_-;_-@_-"/>
    <numFmt numFmtId="184" formatCode="_-[$$-409]* #,##0.00_ ;_-[$$-409]* \-#,##0.00\ ;_-[$$-409]* &quot;-&quot;_ ;_-@_ "/>
    <numFmt numFmtId="185" formatCode="_-[$$-409]* #,##0.000_ ;_-[$$-409]* \-#,##0.000\ ;_-[$$-409]* &quot;-&quot;??_ ;_-@_ "/>
    <numFmt numFmtId="186" formatCode="_-[$$-2C09]* #,##0.000_-;\-[$$-2C09]* #,##0.000_-;_-[$$-2C09]* &quot;-&quot;_-;_-@_-"/>
    <numFmt numFmtId="187" formatCode="_-[$$-4809]* #,##0.00_-;\-[$$-4809]* #,##0.00_-;_-[$$-4809]* &quot;-&quot;??_-;_-@_-"/>
    <numFmt numFmtId="188" formatCode="_-[$$-C09]* #,##0.00_-;\-[$$-C09]* #,##0.00_-;_-[$$-C09]* &quot;-&quot;??_-;_-@_-"/>
    <numFmt numFmtId="189" formatCode="_-* #,##0_-;\-* #,##0_-;_-* &quot;-&quot;_-;_-@"/>
    <numFmt numFmtId="190" formatCode="_([$$-409]* #,##0_);_([$$-409]* \(#,##0\);_([$$-409]* &quot;-&quot;??_);_(@_)"/>
    <numFmt numFmtId="191" formatCode="_([$$-409]* #,##0.00_);_([$$-409]* \(#,##0.00\);_([$$-409]* &quot;-&quot;??_);_(@_)"/>
    <numFmt numFmtId="192" formatCode="_-* #,##0.0_-;\-* #,##0.0_-;_-* &quot;-&quot;_-;_-@_-"/>
    <numFmt numFmtId="193" formatCode="_-[$$-4809]* #,##0.000_-;\-[$$-4809]* #,##0.000_-;_-[$$-4809]* &quot;-&quot;??_-;_-@_-"/>
    <numFmt numFmtId="194" formatCode="_-[$$-2C09]* #,##0_-;\-[$$-2C09]* #,##0_-;_-[$$-2C09]* &quot;-&quot;_-;_-@_-"/>
    <numFmt numFmtId="195" formatCode="_-[$$-2009]* #,##0.00_-;\-[$$-2009]* #,##0.00_-;_-[$$-2009]* &quot;-&quot;??_-;_-@_-"/>
    <numFmt numFmtId="196" formatCode="_(&quot;$&quot;* #,##0_);_(&quot;$&quot;* \(#,##0\);_(&quot;$&quot;* &quot;-&quot;??_);_(@_)"/>
  </numFmts>
  <fonts count="111">
    <font>
      <sz val="11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Helv"/>
      <family val="2"/>
    </font>
    <font>
      <u/>
      <sz val="9"/>
      <color indexed="36"/>
      <name val="굴림체"/>
      <family val="3"/>
      <charset val="129"/>
    </font>
    <font>
      <sz val="12"/>
      <name val="돋움체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9"/>
      <name val="맑은 고딕"/>
      <family val="3"/>
      <charset val="129"/>
    </font>
    <font>
      <b/>
      <sz val="10"/>
      <color indexed="53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0"/>
      <color indexed="50"/>
      <name val="맑은 고딕"/>
      <family val="3"/>
      <charset val="129"/>
    </font>
    <font>
      <sz val="10"/>
      <color indexed="12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52"/>
      <name val="맑은 고딕"/>
      <family val="3"/>
      <charset val="129"/>
    </font>
    <font>
      <sz val="10"/>
      <color indexed="5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체"/>
      <family val="3"/>
      <charset val="129"/>
    </font>
    <font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Tahoma"/>
      <family val="2"/>
    </font>
    <font>
      <b/>
      <sz val="36"/>
      <name val="맑은 고딕"/>
      <charset val="1"/>
    </font>
    <font>
      <b/>
      <sz val="10"/>
      <name val="맑은 고딕"/>
      <charset val="1"/>
    </font>
    <font>
      <b/>
      <sz val="10"/>
      <color theme="0"/>
      <name val="맑은 고딕"/>
      <charset val="1"/>
    </font>
    <font>
      <b/>
      <sz val="8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charset val="1"/>
    </font>
    <font>
      <b/>
      <sz val="9"/>
      <color theme="0"/>
      <name val="맑은 고딕"/>
      <charset val="1"/>
    </font>
    <font>
      <sz val="10"/>
      <color indexed="63"/>
      <name val="맑은 고딕"/>
      <charset val="1"/>
    </font>
    <font>
      <b/>
      <sz val="9"/>
      <name val="맑은 고딕"/>
      <charset val="1"/>
    </font>
    <font>
      <sz val="8"/>
      <name val="맑은 고딕"/>
      <family val="3"/>
      <charset val="129"/>
    </font>
    <font>
      <b/>
      <sz val="10"/>
      <color indexed="50"/>
      <name val="맑은 고딕"/>
      <charset val="1"/>
    </font>
    <font>
      <b/>
      <sz val="8"/>
      <name val="맑은 고딕"/>
      <charset val="129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Malgun Gothic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돋움"/>
      <family val="3"/>
      <charset val="129"/>
    </font>
    <font>
      <sz val="12"/>
      <name val="Calibri"/>
      <family val="1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Malgun Gothic"/>
      <family val="2"/>
    </font>
    <font>
      <b/>
      <sz val="10"/>
      <color theme="1"/>
      <name val="Malgun Gothic"/>
      <family val="2"/>
    </font>
    <font>
      <sz val="11"/>
      <name val="Dotum"/>
      <family val="2"/>
    </font>
    <font>
      <sz val="10"/>
      <color theme="1"/>
      <name val="Malgun Gothic"/>
      <family val="2"/>
    </font>
    <font>
      <u/>
      <sz val="11"/>
      <color rgb="FF0000FF"/>
      <name val="Dotum"/>
      <family val="2"/>
    </font>
    <font>
      <sz val="10"/>
      <name val="맑은 고딕"/>
    </font>
    <font>
      <b/>
      <sz val="10"/>
      <color indexed="9"/>
      <name val="맑은 고딕"/>
    </font>
    <font>
      <sz val="10"/>
      <color indexed="8"/>
      <name val="맑은 고딕"/>
    </font>
    <font>
      <sz val="10"/>
      <color theme="1" tint="0.499984740745262"/>
      <name val="맑은 고딕"/>
      <family val="3"/>
      <charset val="129"/>
    </font>
    <font>
      <b/>
      <sz val="9"/>
      <color theme="1" tint="0.499984740745262"/>
      <name val="맑은 고딕"/>
      <charset val="1"/>
    </font>
    <font>
      <u/>
      <sz val="11"/>
      <color theme="10"/>
      <name val="돋움"/>
      <family val="3"/>
      <charset val="129"/>
    </font>
    <font>
      <b/>
      <sz val="10"/>
      <name val="맑은 고딕"/>
    </font>
    <font>
      <b/>
      <sz val="9"/>
      <name val="맑은 고딕"/>
    </font>
    <font>
      <sz val="9"/>
      <name val="맑은 고딕"/>
      <family val="3"/>
      <charset val="129"/>
    </font>
    <font>
      <sz val="10"/>
      <color indexed="9"/>
      <name val="맑은 고딕"/>
      <family val="3"/>
      <charset val="129"/>
    </font>
    <font>
      <sz val="11"/>
      <color rgb="FFD0CECE"/>
      <name val="Calibri"/>
      <family val="2"/>
      <scheme val="minor"/>
    </font>
    <font>
      <sz val="10"/>
      <color rgb="FFD0CECE"/>
      <name val="맑은 고딕"/>
      <family val="3"/>
      <charset val="129"/>
    </font>
    <font>
      <sz val="10"/>
      <color theme="0" tint="-0.499984740745262"/>
      <name val="맑은 고딕"/>
      <family val="3"/>
      <charset val="129"/>
    </font>
    <font>
      <sz val="9"/>
      <color theme="0" tint="-0.499984740745262"/>
      <name val="맑은 고딕"/>
    </font>
    <font>
      <sz val="10"/>
      <color theme="0" tint="-0.499984740745262"/>
      <name val="맑은 고딕"/>
    </font>
    <font>
      <b/>
      <sz val="10"/>
      <color theme="0"/>
      <name val="맑은 고딕"/>
      <family val="3"/>
      <charset val="129"/>
    </font>
    <font>
      <sz val="8"/>
      <name val="맑은 고딕"/>
      <charset val="129"/>
    </font>
    <font>
      <sz val="10"/>
      <name val="Malgun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u/>
      <sz val="16"/>
      <name val="Arial Narrow"/>
      <family val="2"/>
    </font>
    <font>
      <sz val="11"/>
      <name val="Malgun Gothic"/>
      <family val="2"/>
    </font>
    <font>
      <b/>
      <u/>
      <sz val="14"/>
      <name val="Arial Narrow"/>
      <family val="2"/>
    </font>
    <font>
      <sz val="11"/>
      <name val="Arial Narrow"/>
      <family val="2"/>
    </font>
    <font>
      <b/>
      <sz val="10"/>
      <color rgb="FF00B050"/>
      <name val="Arial Narrow"/>
      <family val="2"/>
    </font>
    <font>
      <b/>
      <sz val="10"/>
      <color rgb="FF00B050"/>
      <name val="Arial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8"/>
      <name val="Arial Narrow"/>
      <family val="2"/>
    </font>
    <font>
      <u/>
      <sz val="11"/>
      <color rgb="FF0563C1"/>
      <name val="Arial Narrow"/>
      <family val="2"/>
    </font>
    <font>
      <b/>
      <sz val="16"/>
      <name val="Arial Narrow"/>
      <family val="2"/>
    </font>
    <font>
      <b/>
      <u/>
      <sz val="16"/>
      <name val="Arial Narrow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gray125">
        <fgColor indexed="50"/>
        <bgColor indexed="9"/>
      </patternFill>
    </fill>
    <fill>
      <patternFill patternType="solid">
        <fgColor indexed="9"/>
        <bgColor indexed="8"/>
      </patternFill>
    </fill>
    <fill>
      <patternFill patternType="solid">
        <fgColor theme="0" tint="-0.14999847407452621"/>
        <bgColor indexed="64"/>
      </patternFill>
    </fill>
    <fill>
      <patternFill patternType="mediumGray">
        <bgColor indexed="9"/>
      </patternFill>
    </fill>
    <fill>
      <patternFill patternType="mediumGray"/>
    </fill>
    <fill>
      <patternFill patternType="solid">
        <fgColor indexed="6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EE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EDEDED"/>
        <bgColor indexed="64"/>
      </patternFill>
    </fill>
    <fill>
      <patternFill patternType="solid">
        <fgColor theme="9" tint="0.79995117038483843"/>
        <bgColor indexed="5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9"/>
      </patternFill>
    </fill>
    <fill>
      <patternFill patternType="gray125">
        <fgColor indexed="50"/>
        <bgColor theme="1" tint="0.499984740745262"/>
      </patternFill>
    </fill>
    <fill>
      <patternFill patternType="solid">
        <fgColor rgb="FFF2F2F2"/>
        <bgColor indexed="64"/>
      </patternFill>
    </fill>
  </fills>
  <borders count="5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medium">
        <color indexed="55"/>
      </top>
      <bottom/>
      <diagonal/>
    </border>
    <border>
      <left/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 style="thin">
        <color theme="0" tint="-0.14996795556505021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14996795556505021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14996795556505021"/>
      </bottom>
      <diagonal/>
    </border>
    <border>
      <left style="thin">
        <color indexed="55"/>
      </left>
      <right/>
      <top/>
      <bottom style="thin">
        <color theme="0" tint="-0.14996795556505021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55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55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55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55"/>
      </left>
      <right/>
      <top style="thin">
        <color theme="0" tint="-0.249977111117893"/>
      </top>
      <bottom style="medium">
        <color indexed="55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/>
      <diagonal/>
    </border>
    <border>
      <left style="thin">
        <color indexed="55"/>
      </left>
      <right style="medium">
        <color indexed="55"/>
      </right>
      <top/>
      <bottom/>
      <diagonal/>
    </border>
    <border>
      <left style="thin">
        <color indexed="55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/>
      <bottom style="thin">
        <color theme="0" tint="-0.14996795556505021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theme="0" tint="-0.14996795556505021"/>
      </top>
      <bottom style="thin">
        <color indexed="22"/>
      </bottom>
      <diagonal/>
    </border>
    <border>
      <left/>
      <right style="thin">
        <color indexed="55"/>
      </right>
      <top style="thin">
        <color indexed="22"/>
      </top>
      <bottom style="thin">
        <color theme="0" tint="-0.14996795556505021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/>
      <bottom style="thin">
        <color indexed="64"/>
      </bottom>
      <diagonal/>
    </border>
    <border>
      <left style="medium">
        <color theme="1" tint="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/>
      <diagonal/>
    </border>
    <border>
      <left style="thin">
        <color indexed="55"/>
      </left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 tint="0.499984740745262"/>
      </right>
      <top/>
      <bottom style="thin">
        <color theme="0" tint="-0.14996795556505021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/>
      <right style="medium">
        <color theme="1" tint="0.499984740745262"/>
      </right>
      <top style="thin">
        <color theme="0" tint="-0.14996795556505021"/>
      </top>
      <bottom/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/>
      <right style="medium">
        <color theme="1" tint="0.499984740745262"/>
      </right>
      <top/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theme="1" tint="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medium">
        <color theme="1" tint="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theme="1" tint="0.499984740745262"/>
      </bottom>
      <diagonal/>
    </border>
    <border>
      <left/>
      <right/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 style="thin">
        <color indexed="55"/>
      </bottom>
      <diagonal/>
    </border>
    <border>
      <left style="medium">
        <color theme="1" tint="0.499984740745262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55"/>
      </left>
      <right/>
      <top/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 style="medium">
        <color theme="1" tint="0.499984740745262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indexed="64"/>
      </top>
      <bottom style="medium">
        <color theme="1" tint="0.499984740745262"/>
      </bottom>
      <diagonal/>
    </border>
    <border>
      <left/>
      <right/>
      <top style="medium">
        <color indexed="64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indexed="64"/>
      </top>
      <bottom style="medium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theme="1" tint="0.499984740745262"/>
      </right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64"/>
      </top>
      <bottom style="thin">
        <color indexed="55"/>
      </bottom>
      <diagonal/>
    </border>
    <border>
      <left style="medium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0" tint="-0.499984740745262"/>
      </left>
      <right style="thin">
        <color indexed="22"/>
      </right>
      <top style="thin">
        <color indexed="22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22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499984740745262"/>
      </left>
      <right style="thin">
        <color indexed="22"/>
      </right>
      <top style="thin">
        <color theme="0" tint="-0.14996795556505021"/>
      </top>
      <bottom style="thin">
        <color indexed="55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/>
      <diagonal/>
    </border>
    <border>
      <left/>
      <right style="medium">
        <color theme="1" tint="0.499984740745262"/>
      </right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 style="medium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55"/>
      </bottom>
      <diagonal/>
    </border>
    <border>
      <left/>
      <right/>
      <top style="medium">
        <color indexed="64"/>
      </top>
      <bottom style="medium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55"/>
      </top>
      <bottom/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medium">
        <color indexed="64"/>
      </left>
      <right style="thin">
        <color indexed="55"/>
      </right>
      <top/>
      <bottom style="medium">
        <color indexed="55"/>
      </bottom>
      <diagonal/>
    </border>
    <border>
      <left style="medium">
        <color indexed="64"/>
      </left>
      <right style="medium">
        <color indexed="55"/>
      </right>
      <top style="medium">
        <color indexed="55"/>
      </top>
      <bottom/>
      <diagonal/>
    </border>
    <border>
      <left style="medium">
        <color indexed="64"/>
      </left>
      <right style="medium">
        <color indexed="55"/>
      </right>
      <top/>
      <bottom/>
      <diagonal/>
    </border>
    <border>
      <left style="medium">
        <color indexed="64"/>
      </left>
      <right style="medium">
        <color indexed="55"/>
      </right>
      <top/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medium">
        <color indexed="64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/>
      <diagonal/>
    </border>
    <border>
      <left style="medium">
        <color indexed="55"/>
      </left>
      <right/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14996795556505021"/>
      </top>
      <bottom style="thin">
        <color indexed="2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55"/>
      </top>
      <bottom/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0.49998474074526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indexed="22"/>
      </bottom>
      <diagonal/>
    </border>
    <border>
      <left/>
      <right/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499984740745262"/>
      </bottom>
      <diagonal/>
    </border>
    <border>
      <left/>
      <right/>
      <top style="thin">
        <color indexed="55"/>
      </top>
      <bottom style="thin">
        <color theme="0" tint="-0.499984740745262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theme="0" tint="-0.34998626667073579"/>
      </right>
      <top style="thin">
        <color indexed="5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indexed="55"/>
      </top>
      <bottom/>
      <diagonal/>
    </border>
    <border>
      <left style="thin">
        <color theme="0" tint="-0.499984740745262"/>
      </left>
      <right style="medium">
        <color theme="0" tint="-0.34998626667073579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theme="0" tint="-0.499984740745262"/>
      </top>
      <bottom style="thin">
        <color indexed="55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medium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55"/>
      </top>
      <bottom/>
      <diagonal/>
    </border>
    <border>
      <left style="thin">
        <color indexed="55"/>
      </left>
      <right/>
      <top style="thin">
        <color theme="0" tint="-0.34998626667073579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 style="thin">
        <color indexed="55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double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indexed="55"/>
      </left>
      <right style="medium">
        <color theme="0" tint="-0.249977111117893"/>
      </right>
      <top/>
      <bottom style="thin">
        <color theme="0" tint="-0.14996795556505021"/>
      </bottom>
      <diagonal/>
    </border>
    <border>
      <left style="thin">
        <color indexed="55"/>
      </left>
      <right style="medium">
        <color theme="0" tint="-0.249977111117893"/>
      </right>
      <top style="thin">
        <color theme="0" tint="-0.14996795556505021"/>
      </top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indexed="55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22"/>
      </right>
      <top/>
      <bottom/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22"/>
      </right>
      <top/>
      <bottom style="thin">
        <color theme="0" tint="-0.34998626667073579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thin">
        <color indexed="55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indexed="64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55"/>
      </top>
      <bottom style="thin">
        <color indexed="55"/>
      </bottom>
      <diagonal/>
    </border>
    <border>
      <left style="thin">
        <color theme="0" tint="-0.34998626667073579"/>
      </left>
      <right/>
      <top style="thin">
        <color indexed="55"/>
      </top>
      <bottom style="thin">
        <color theme="0" tint="-0.34998626667073579"/>
      </bottom>
      <diagonal/>
    </border>
    <border>
      <left/>
      <right/>
      <top style="medium">
        <color rgb="FF000000"/>
      </top>
      <bottom/>
      <diagonal/>
    </border>
    <border>
      <left style="medium">
        <color theme="1" tint="0.499984740745262"/>
      </left>
      <right style="thin">
        <color indexed="22"/>
      </right>
      <top/>
      <bottom style="thin">
        <color indexed="22"/>
      </bottom>
      <diagonal/>
    </border>
    <border>
      <left style="medium">
        <color theme="1" tint="0.499984740745262"/>
      </left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indexed="55"/>
      </left>
      <right/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thin">
        <color indexed="55"/>
      </right>
      <top/>
      <bottom style="medium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/>
      <diagonal/>
    </border>
    <border>
      <left style="thin">
        <color indexed="55"/>
      </left>
      <right/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/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/>
      <top/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499984740745262"/>
      </right>
      <top style="thin">
        <color theme="0" tint="-0.249977111117893"/>
      </top>
      <bottom style="medium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indexed="55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55"/>
      </bottom>
      <diagonal/>
    </border>
    <border>
      <left style="thin">
        <color indexed="55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indexed="22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theme="0" tint="-0.34998626667073579"/>
      </top>
      <bottom/>
      <diagonal/>
    </border>
    <border>
      <left style="thin">
        <color indexed="55"/>
      </left>
      <right style="thin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55"/>
      </left>
      <right style="medium">
        <color indexed="55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64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theme="0" tint="-0.499984740745262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/>
      <bottom style="thin">
        <color indexed="2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indexed="55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indexed="55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medium">
        <color indexed="64"/>
      </left>
      <right style="medium">
        <color theme="0" tint="-0.34998626667073579"/>
      </right>
      <top style="medium">
        <color indexed="55"/>
      </top>
      <bottom/>
      <diagonal/>
    </border>
    <border>
      <left style="medium">
        <color indexed="64"/>
      </left>
      <right style="medium">
        <color theme="0" tint="-0.34998626667073579"/>
      </right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indexed="55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indexed="55"/>
      </left>
      <right style="thin">
        <color theme="0" tint="-0.499984740745262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indexed="55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55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indexed="22"/>
      </top>
      <bottom style="thin">
        <color indexed="55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499984740745262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499984740745262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0" tint="-0.34998626667073579"/>
      </right>
      <top style="medium">
        <color indexed="55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indexed="55"/>
      </bottom>
      <diagonal/>
    </border>
    <border>
      <left/>
      <right/>
      <top style="medium">
        <color indexed="55"/>
      </top>
      <bottom style="thin">
        <color theme="0" tint="-0.249977111117893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499984740745262"/>
      </bottom>
      <diagonal/>
    </border>
    <border>
      <left style="medium">
        <color indexed="55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499984740745262"/>
      </right>
      <top style="medium">
        <color theme="0" tint="-0.34998626667073579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55"/>
      </right>
      <top style="medium">
        <color theme="0" tint="-0.34998626667073579"/>
      </top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/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/>
      <right style="thin">
        <color indexed="55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/>
      <diagonal/>
    </border>
    <border>
      <left style="thin">
        <color theme="0" tint="-0.499984740745262"/>
      </left>
      <right style="thin">
        <color indexed="55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indexed="55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indexed="55"/>
      </left>
      <right style="thin">
        <color theme="0" tint="-0.34998626667073579"/>
      </right>
      <top/>
      <bottom style="medium">
        <color indexed="55"/>
      </bottom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55"/>
      </left>
      <right style="thin">
        <color theme="0" tint="-0.499984740745262"/>
      </right>
      <top style="thin">
        <color indexed="55"/>
      </top>
      <bottom style="medium">
        <color theme="0" tint="-0.34998626667073579"/>
      </bottom>
      <diagonal/>
    </border>
    <border>
      <left style="thin">
        <color indexed="55"/>
      </left>
      <right/>
      <top style="thin">
        <color theme="0" tint="-0.249977111117893"/>
      </top>
      <bottom/>
      <diagonal/>
    </border>
    <border>
      <left style="thin">
        <color theme="0" tint="-0.499984740745262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indexed="64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indexed="55"/>
      </right>
      <top/>
      <bottom style="medium">
        <color theme="1" tint="0.499984740745262"/>
      </bottom>
      <diagonal/>
    </border>
    <border>
      <left style="thin">
        <color indexed="55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indexed="55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theme="0" tint="-0.34998626667073579"/>
      </bottom>
      <diagonal/>
    </border>
    <border>
      <left/>
      <right style="medium">
        <color theme="1" tint="0.499984740745262"/>
      </right>
      <top style="thin">
        <color indexed="55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499984740745262"/>
      </top>
      <bottom/>
      <diagonal/>
    </border>
    <border>
      <left style="medium">
        <color indexed="55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55"/>
      </left>
      <right style="thin">
        <color theme="0" tint="-0.499984740745262"/>
      </right>
      <top style="thin">
        <color theme="0" tint="-0.499984740745262"/>
      </top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theme="1" tint="0.499984740745262"/>
      </bottom>
      <diagonal/>
    </border>
    <border>
      <left style="thin">
        <color indexed="55"/>
      </left>
      <right style="medium">
        <color indexed="55"/>
      </right>
      <top/>
      <bottom style="medium">
        <color theme="1" tint="0.499984740745262"/>
      </bottom>
      <diagonal/>
    </border>
    <border>
      <left/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1" tint="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/>
      <top style="medium">
        <color theme="0" tint="-0.34998626667073579"/>
      </top>
      <bottom style="medium">
        <color theme="1" tint="0.499984740745262"/>
      </bottom>
      <diagonal/>
    </border>
    <border>
      <left/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34998626667073579"/>
      </top>
      <bottom/>
      <diagonal/>
    </border>
    <border>
      <left style="thin">
        <color theme="1" tint="0.499984740745262"/>
      </left>
      <right style="thin">
        <color indexed="55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/>
      <right style="thin">
        <color theme="1" tint="0.499984740745262"/>
      </right>
      <top style="thin">
        <color theme="0" tint="-0.34998626667073579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theme="0" tint="-0.34998626667073579"/>
      </top>
      <bottom style="medium">
        <color indexed="55"/>
      </bottom>
      <diagonal/>
    </border>
    <border>
      <left style="medium">
        <color indexed="64"/>
      </left>
      <right/>
      <top style="medium">
        <color indexed="55"/>
      </top>
      <bottom style="medium">
        <color indexed="64"/>
      </bottom>
      <diagonal/>
    </border>
    <border>
      <left/>
      <right/>
      <top style="medium">
        <color indexed="55"/>
      </top>
      <bottom style="medium">
        <color indexed="64"/>
      </bottom>
      <diagonal/>
    </border>
    <border>
      <left/>
      <right style="thin">
        <color indexed="55"/>
      </right>
      <top style="medium">
        <color indexed="55"/>
      </top>
      <bottom style="medium">
        <color indexed="64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53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7" fontId="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4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/>
    <xf numFmtId="0" fontId="5" fillId="0" borderId="0"/>
    <xf numFmtId="0" fontId="5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1" fillId="0" borderId="0"/>
    <xf numFmtId="0" fontId="35" fillId="2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38" fontId="12" fillId="24" borderId="0" applyNumberFormat="0" applyBorder="0" applyAlignment="0" applyProtection="0"/>
    <xf numFmtId="0" fontId="13" fillId="0" borderId="0">
      <alignment horizontal="left"/>
    </xf>
    <xf numFmtId="0" fontId="14" fillId="0" borderId="10" applyNumberFormat="0" applyAlignment="0" applyProtection="0">
      <alignment horizontal="left" vertical="center"/>
    </xf>
    <xf numFmtId="0" fontId="14" fillId="0" borderId="11">
      <alignment horizontal="left"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7" borderId="1" applyNumberFormat="0" applyAlignment="0" applyProtection="0">
      <alignment vertical="center"/>
    </xf>
    <xf numFmtId="10" fontId="12" fillId="24" borderId="12" applyNumberFormat="0" applyBorder="0" applyAlignment="0" applyProtection="0"/>
    <xf numFmtId="0" fontId="36" fillId="0" borderId="4" applyNumberFormat="0" applyFill="0" applyAlignment="0" applyProtection="0">
      <alignment vertical="center"/>
    </xf>
    <xf numFmtId="0" fontId="15" fillId="0" borderId="13"/>
    <xf numFmtId="0" fontId="33" fillId="22" borderId="0" applyNumberFormat="0" applyBorder="0" applyAlignment="0" applyProtection="0">
      <alignment vertical="center"/>
    </xf>
    <xf numFmtId="0" fontId="16" fillId="0" borderId="0"/>
    <xf numFmtId="0" fontId="5" fillId="21" borderId="2" applyNumberFormat="0" applyFont="0" applyAlignment="0" applyProtection="0">
      <alignment vertical="center"/>
    </xf>
    <xf numFmtId="0" fontId="44" fillId="20" borderId="9" applyNumberFormat="0" applyAlignment="0" applyProtection="0">
      <alignment vertical="center"/>
    </xf>
    <xf numFmtId="10" fontId="7" fillId="0" borderId="0" applyFont="0" applyFill="0" applyBorder="0" applyAlignment="0" applyProtection="0"/>
    <xf numFmtId="0" fontId="15" fillId="0" borderId="0"/>
    <xf numFmtId="0" fontId="3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5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5" fillId="21" borderId="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3" borderId="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7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41" fontId="4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 applyFill="0" applyBorder="0" applyAlignment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1" fillId="0" borderId="0"/>
    <xf numFmtId="0" fontId="64" fillId="0" borderId="0" applyNumberForma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79" fillId="0" borderId="0" applyNumberFormat="0" applyFill="0" applyBorder="0" applyAlignment="0" applyProtection="0"/>
    <xf numFmtId="166" fontId="5" fillId="0" borderId="0" applyFont="0" applyFill="0" applyBorder="0" applyAlignment="0" applyProtection="0"/>
  </cellStyleXfs>
  <cellXfs count="2121"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7" fillId="24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 shrinkToFit="1"/>
    </xf>
    <xf numFmtId="41" fontId="17" fillId="24" borderId="0" xfId="1236" applyFont="1" applyFill="1" applyAlignment="1">
      <alignment horizontal="center" vertical="center"/>
    </xf>
    <xf numFmtId="41" fontId="17" fillId="24" borderId="0" xfId="0" applyNumberFormat="1" applyFont="1" applyFill="1" applyAlignment="1">
      <alignment horizontal="center" vertical="center"/>
    </xf>
    <xf numFmtId="0" fontId="21" fillId="24" borderId="0" xfId="0" applyFont="1" applyFill="1" applyAlignment="1">
      <alignment vertical="center"/>
    </xf>
    <xf numFmtId="168" fontId="19" fillId="24" borderId="0" xfId="0" applyNumberFormat="1" applyFont="1" applyFill="1" applyAlignment="1">
      <alignment horizontal="left" vertical="center" shrinkToFit="1"/>
    </xf>
    <xf numFmtId="168" fontId="19" fillId="24" borderId="0" xfId="0" applyNumberFormat="1" applyFont="1" applyFill="1" applyAlignment="1">
      <alignment horizontal="left" vertical="center"/>
    </xf>
    <xf numFmtId="41" fontId="19" fillId="24" borderId="0" xfId="1236" applyFont="1" applyFill="1" applyBorder="1" applyAlignment="1">
      <alignment horizontal="left" vertical="center"/>
    </xf>
    <xf numFmtId="41" fontId="17" fillId="24" borderId="0" xfId="1236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168" fontId="20" fillId="0" borderId="0" xfId="0" applyNumberFormat="1" applyFont="1" applyAlignment="1">
      <alignment vertical="center"/>
    </xf>
    <xf numFmtId="41" fontId="17" fillId="24" borderId="20" xfId="1253" applyNumberFormat="1" applyFont="1" applyFill="1" applyBorder="1" applyAlignment="1">
      <alignment horizontal="center" vertical="center"/>
    </xf>
    <xf numFmtId="10" fontId="17" fillId="24" borderId="22" xfId="1253" applyNumberFormat="1" applyFont="1" applyFill="1" applyBorder="1" applyAlignment="1">
      <alignment horizontal="center" vertical="center"/>
    </xf>
    <xf numFmtId="0" fontId="17" fillId="24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2" fillId="24" borderId="0" xfId="0" applyFont="1" applyFill="1" applyAlignment="1">
      <alignment horizontal="right" vertical="center" wrapText="1"/>
    </xf>
    <xf numFmtId="0" fontId="26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center"/>
    </xf>
    <xf numFmtId="10" fontId="24" fillId="24" borderId="22" xfId="1253" applyNumberFormat="1" applyFont="1" applyFill="1" applyBorder="1" applyAlignment="1">
      <alignment horizontal="center" vertical="center"/>
    </xf>
    <xf numFmtId="0" fontId="24" fillId="24" borderId="0" xfId="0" applyFont="1" applyFill="1" applyAlignment="1">
      <alignment vertical="center"/>
    </xf>
    <xf numFmtId="10" fontId="25" fillId="24" borderId="22" xfId="1253" applyNumberFormat="1" applyFont="1" applyFill="1" applyBorder="1" applyAlignment="1">
      <alignment horizontal="center" vertical="center"/>
    </xf>
    <xf numFmtId="0" fontId="25" fillId="24" borderId="0" xfId="0" applyFont="1" applyFill="1" applyAlignment="1">
      <alignment vertical="center"/>
    </xf>
    <xf numFmtId="41" fontId="17" fillId="25" borderId="20" xfId="1253" applyNumberFormat="1" applyFont="1" applyFill="1" applyBorder="1" applyAlignment="1">
      <alignment horizontal="center" vertical="center"/>
    </xf>
    <xf numFmtId="10" fontId="17" fillId="25" borderId="22" xfId="1253" applyNumberFormat="1" applyFont="1" applyFill="1" applyBorder="1" applyAlignment="1">
      <alignment horizontal="center" vertical="center"/>
    </xf>
    <xf numFmtId="41" fontId="17" fillId="0" borderId="24" xfId="1236" applyFont="1" applyFill="1" applyBorder="1" applyAlignment="1">
      <alignment horizontal="center" vertical="center" shrinkToFit="1"/>
    </xf>
    <xf numFmtId="38" fontId="17" fillId="0" borderId="0" xfId="0" applyNumberFormat="1" applyFont="1" applyAlignment="1">
      <alignment horizontal="right" vertical="center"/>
    </xf>
    <xf numFmtId="0" fontId="17" fillId="26" borderId="35" xfId="1255" applyFont="1" applyFill="1" applyBorder="1" applyAlignment="1">
      <alignment horizontal="center" vertical="center" wrapText="1"/>
    </xf>
    <xf numFmtId="38" fontId="17" fillId="0" borderId="0" xfId="0" applyNumberFormat="1" applyFont="1" applyAlignment="1">
      <alignment horizontal="center" vertical="distributed" shrinkToFit="1"/>
    </xf>
    <xf numFmtId="9" fontId="17" fillId="0" borderId="0" xfId="0" applyNumberFormat="1" applyFont="1" applyAlignment="1">
      <alignment horizontal="center" vertical="distributed" shrinkToFit="1"/>
    </xf>
    <xf numFmtId="41" fontId="17" fillId="0" borderId="0" xfId="1253" applyNumberFormat="1" applyFont="1" applyAlignment="1">
      <alignment horizontal="center" vertical="center"/>
    </xf>
    <xf numFmtId="41" fontId="17" fillId="24" borderId="15" xfId="1253" applyNumberFormat="1" applyFont="1" applyFill="1" applyBorder="1" applyAlignment="1">
      <alignment horizontal="center" vertical="center"/>
    </xf>
    <xf numFmtId="0" fontId="17" fillId="0" borderId="35" xfId="1255" applyFont="1" applyBorder="1" applyAlignment="1">
      <alignment horizontal="center" vertical="center" wrapText="1"/>
    </xf>
    <xf numFmtId="0" fontId="17" fillId="26" borderId="39" xfId="1255" applyFont="1" applyFill="1" applyBorder="1" applyAlignment="1">
      <alignment horizontal="center" vertical="center" wrapText="1"/>
    </xf>
    <xf numFmtId="41" fontId="17" fillId="0" borderId="15" xfId="1236" applyFont="1" applyFill="1" applyBorder="1" applyAlignment="1">
      <alignment horizontal="center" vertical="center" shrinkToFit="1"/>
    </xf>
    <xf numFmtId="0" fontId="23" fillId="24" borderId="0" xfId="0" applyFont="1" applyFill="1" applyAlignment="1">
      <alignment horizontal="center" vertical="center"/>
    </xf>
    <xf numFmtId="0" fontId="50" fillId="24" borderId="0" xfId="0" applyFont="1" applyFill="1" applyAlignment="1">
      <alignment horizontal="center" vertical="center"/>
    </xf>
    <xf numFmtId="41" fontId="19" fillId="24" borderId="20" xfId="1253" applyNumberFormat="1" applyFont="1" applyFill="1" applyBorder="1" applyAlignment="1">
      <alignment horizontal="center" vertical="center" wrapText="1"/>
    </xf>
    <xf numFmtId="10" fontId="19" fillId="24" borderId="22" xfId="1253" applyNumberFormat="1" applyFont="1" applyFill="1" applyBorder="1" applyAlignment="1">
      <alignment horizontal="center" vertical="center" wrapText="1"/>
    </xf>
    <xf numFmtId="38" fontId="18" fillId="33" borderId="21" xfId="0" applyNumberFormat="1" applyFont="1" applyFill="1" applyBorder="1" applyAlignment="1">
      <alignment horizontal="center" vertical="center"/>
    </xf>
    <xf numFmtId="38" fontId="18" fillId="33" borderId="14" xfId="0" applyNumberFormat="1" applyFont="1" applyFill="1" applyBorder="1" applyAlignment="1">
      <alignment horizontal="center" vertical="center"/>
    </xf>
    <xf numFmtId="38" fontId="19" fillId="0" borderId="17" xfId="0" applyNumberFormat="1" applyFont="1" applyBorder="1" applyAlignment="1">
      <alignment horizontal="center" vertical="center"/>
    </xf>
    <xf numFmtId="41" fontId="17" fillId="0" borderId="40" xfId="1253" applyNumberFormat="1" applyFont="1" applyBorder="1" applyAlignment="1">
      <alignment horizontal="center" vertical="center"/>
    </xf>
    <xf numFmtId="41" fontId="17" fillId="0" borderId="42" xfId="1253" applyNumberFormat="1" applyFont="1" applyBorder="1" applyAlignment="1">
      <alignment horizontal="center" vertical="center"/>
    </xf>
    <xf numFmtId="41" fontId="17" fillId="0" borderId="48" xfId="1253" applyNumberFormat="1" applyFont="1" applyBorder="1" applyAlignment="1">
      <alignment horizontal="center" vertical="center"/>
    </xf>
    <xf numFmtId="38" fontId="17" fillId="0" borderId="47" xfId="1253" applyNumberFormat="1" applyFont="1" applyBorder="1" applyAlignment="1">
      <alignment vertical="center"/>
    </xf>
    <xf numFmtId="38" fontId="17" fillId="0" borderId="50" xfId="1253" applyNumberFormat="1" applyFont="1" applyBorder="1" applyAlignment="1">
      <alignment vertical="center"/>
    </xf>
    <xf numFmtId="38" fontId="17" fillId="0" borderId="51" xfId="1253" applyNumberFormat="1" applyFont="1" applyBorder="1" applyAlignment="1">
      <alignment vertical="center"/>
    </xf>
    <xf numFmtId="41" fontId="17" fillId="24" borderId="29" xfId="1253" applyNumberFormat="1" applyFont="1" applyFill="1" applyBorder="1" applyAlignment="1">
      <alignment horizontal="center" vertical="center"/>
    </xf>
    <xf numFmtId="41" fontId="17" fillId="0" borderId="49" xfId="1253" applyNumberFormat="1" applyFont="1" applyBorder="1" applyAlignment="1">
      <alignment horizontal="center" vertical="center"/>
    </xf>
    <xf numFmtId="41" fontId="17" fillId="0" borderId="41" xfId="1253" applyNumberFormat="1" applyFont="1" applyBorder="1" applyAlignment="1">
      <alignment horizontal="center" vertical="center"/>
    </xf>
    <xf numFmtId="41" fontId="17" fillId="0" borderId="43" xfId="1253" applyNumberFormat="1" applyFont="1" applyBorder="1" applyAlignment="1">
      <alignment horizontal="center" vertical="center"/>
    </xf>
    <xf numFmtId="41" fontId="17" fillId="25" borderId="29" xfId="1253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9" fillId="24" borderId="15" xfId="0" applyFont="1" applyFill="1" applyBorder="1" applyAlignment="1">
      <alignment horizontal="center" vertical="center" shrinkToFit="1"/>
    </xf>
    <xf numFmtId="0" fontId="19" fillId="24" borderId="15" xfId="0" applyFont="1" applyFill="1" applyBorder="1" applyAlignment="1">
      <alignment horizontal="center" vertical="center"/>
    </xf>
    <xf numFmtId="41" fontId="19" fillId="24" borderId="15" xfId="1236" applyFont="1" applyFill="1" applyBorder="1" applyAlignment="1">
      <alignment horizontal="center" vertical="center"/>
    </xf>
    <xf numFmtId="10" fontId="19" fillId="24" borderId="15" xfId="0" applyNumberFormat="1" applyFont="1" applyFill="1" applyBorder="1" applyAlignment="1">
      <alignment horizontal="center" vertical="center"/>
    </xf>
    <xf numFmtId="0" fontId="49" fillId="24" borderId="0" xfId="0" applyFont="1" applyFill="1" applyAlignment="1">
      <alignment vertical="center"/>
    </xf>
    <xf numFmtId="13" fontId="18" fillId="32" borderId="18" xfId="0" applyNumberFormat="1" applyFont="1" applyFill="1" applyBorder="1" applyAlignment="1">
      <alignment horizontal="center" vertical="center" shrinkToFit="1"/>
    </xf>
    <xf numFmtId="41" fontId="18" fillId="32" borderId="18" xfId="1236" applyFont="1" applyFill="1" applyBorder="1" applyAlignment="1">
      <alignment horizontal="right" vertical="center" shrinkToFit="1"/>
    </xf>
    <xf numFmtId="9" fontId="18" fillId="32" borderId="18" xfId="0" applyNumberFormat="1" applyFont="1" applyFill="1" applyBorder="1" applyAlignment="1">
      <alignment horizontal="center" vertical="center" wrapText="1"/>
    </xf>
    <xf numFmtId="41" fontId="18" fillId="32" borderId="18" xfId="1236" applyFont="1" applyFill="1" applyBorder="1" applyAlignment="1">
      <alignment vertical="center" shrinkToFit="1"/>
    </xf>
    <xf numFmtId="41" fontId="17" fillId="0" borderId="60" xfId="1236" applyFont="1" applyFill="1" applyBorder="1" applyAlignment="1">
      <alignment horizontal="right" vertical="center" wrapText="1" indent="1"/>
    </xf>
    <xf numFmtId="41" fontId="17" fillId="0" borderId="61" xfId="1236" applyFont="1" applyFill="1" applyBorder="1" applyAlignment="1">
      <alignment horizontal="right" vertical="center" wrapText="1" indent="1"/>
    </xf>
    <xf numFmtId="41" fontId="17" fillId="0" borderId="62" xfId="1236" applyFont="1" applyFill="1" applyBorder="1" applyAlignment="1">
      <alignment horizontal="right" vertical="center" wrapText="1" indent="1"/>
    </xf>
    <xf numFmtId="174" fontId="17" fillId="0" borderId="50" xfId="1253" applyNumberFormat="1" applyFont="1" applyBorder="1" applyAlignment="1">
      <alignment vertical="center"/>
    </xf>
    <xf numFmtId="174" fontId="17" fillId="0" borderId="47" xfId="1253" applyNumberFormat="1" applyFont="1" applyBorder="1" applyAlignment="1">
      <alignment vertical="center"/>
    </xf>
    <xf numFmtId="174" fontId="17" fillId="24" borderId="20" xfId="1253" applyNumberFormat="1" applyFont="1" applyFill="1" applyBorder="1" applyAlignment="1">
      <alignment horizontal="center" vertical="center"/>
    </xf>
    <xf numFmtId="9" fontId="17" fillId="24" borderId="29" xfId="3526" applyFont="1" applyFill="1" applyBorder="1" applyAlignment="1">
      <alignment horizontal="right" vertical="center"/>
    </xf>
    <xf numFmtId="174" fontId="17" fillId="25" borderId="20" xfId="1253" applyNumberFormat="1" applyFont="1" applyFill="1" applyBorder="1" applyAlignment="1">
      <alignment horizontal="center" vertical="center"/>
    </xf>
    <xf numFmtId="9" fontId="17" fillId="25" borderId="29" xfId="3526" applyFont="1" applyFill="1" applyBorder="1" applyAlignment="1">
      <alignment horizontal="right" vertical="center"/>
    </xf>
    <xf numFmtId="38" fontId="19" fillId="0" borderId="0" xfId="0" applyNumberFormat="1" applyFont="1" applyAlignment="1">
      <alignment horizontal="center" vertical="center"/>
    </xf>
    <xf numFmtId="174" fontId="17" fillId="24" borderId="29" xfId="1253" applyNumberFormat="1" applyFont="1" applyFill="1" applyBorder="1" applyAlignment="1">
      <alignment horizontal="center" vertical="center"/>
    </xf>
    <xf numFmtId="10" fontId="17" fillId="0" borderId="49" xfId="3526" applyNumberFormat="1" applyFont="1" applyFill="1" applyBorder="1" applyAlignment="1">
      <alignment horizontal="right" vertical="center"/>
    </xf>
    <xf numFmtId="10" fontId="17" fillId="24" borderId="29" xfId="3526" applyNumberFormat="1" applyFont="1" applyFill="1" applyBorder="1" applyAlignment="1">
      <alignment horizontal="right" vertical="center"/>
    </xf>
    <xf numFmtId="170" fontId="54" fillId="24" borderId="4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170" fontId="18" fillId="0" borderId="0" xfId="1254" applyNumberFormat="1" applyFont="1" applyAlignment="1">
      <alignment horizontal="center" vertical="center"/>
    </xf>
    <xf numFmtId="41" fontId="18" fillId="0" borderId="0" xfId="1236" applyFont="1" applyFill="1" applyBorder="1" applyAlignment="1">
      <alignment horizontal="center" vertical="center" shrinkToFit="1"/>
    </xf>
    <xf numFmtId="9" fontId="18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/>
    </xf>
    <xf numFmtId="41" fontId="18" fillId="0" borderId="0" xfId="0" applyNumberFormat="1" applyFont="1" applyAlignment="1">
      <alignment horizontal="center" vertical="center"/>
    </xf>
    <xf numFmtId="41" fontId="17" fillId="36" borderId="29" xfId="1253" applyNumberFormat="1" applyFont="1" applyFill="1" applyBorder="1" applyAlignment="1">
      <alignment horizontal="center" vertical="center"/>
    </xf>
    <xf numFmtId="41" fontId="17" fillId="36" borderId="20" xfId="1253" applyNumberFormat="1" applyFont="1" applyFill="1" applyBorder="1" applyAlignment="1">
      <alignment horizontal="center" vertical="center"/>
    </xf>
    <xf numFmtId="41" fontId="17" fillId="0" borderId="24" xfId="0" applyNumberFormat="1" applyFont="1" applyBorder="1" applyAlignment="1">
      <alignment horizontal="center" vertical="center"/>
    </xf>
    <xf numFmtId="0" fontId="17" fillId="24" borderId="65" xfId="1254" applyFont="1" applyFill="1" applyBorder="1" applyAlignment="1">
      <alignment vertical="center" wrapText="1"/>
    </xf>
    <xf numFmtId="0" fontId="17" fillId="24" borderId="68" xfId="1254" applyFont="1" applyFill="1" applyBorder="1" applyAlignment="1">
      <alignment vertical="center" wrapText="1"/>
    </xf>
    <xf numFmtId="0" fontId="17" fillId="27" borderId="66" xfId="1254" applyFont="1" applyFill="1" applyBorder="1" applyAlignment="1">
      <alignment vertical="center" wrapText="1"/>
    </xf>
    <xf numFmtId="0" fontId="17" fillId="27" borderId="67" xfId="1254" applyFont="1" applyFill="1" applyBorder="1" applyAlignment="1">
      <alignment vertical="center" wrapText="1"/>
    </xf>
    <xf numFmtId="0" fontId="17" fillId="27" borderId="69" xfId="1254" applyFont="1" applyFill="1" applyBorder="1" applyAlignment="1">
      <alignment vertical="center" wrapText="1"/>
    </xf>
    <xf numFmtId="9" fontId="52" fillId="36" borderId="15" xfId="0" applyNumberFormat="1" applyFont="1" applyFill="1" applyBorder="1" applyAlignment="1">
      <alignment horizontal="center" vertical="center" wrapText="1"/>
    </xf>
    <xf numFmtId="3" fontId="17" fillId="24" borderId="12" xfId="0" applyNumberFormat="1" applyFont="1" applyFill="1" applyBorder="1" applyAlignment="1">
      <alignment vertical="center"/>
    </xf>
    <xf numFmtId="41" fontId="17" fillId="24" borderId="12" xfId="0" applyNumberFormat="1" applyFont="1" applyFill="1" applyBorder="1" applyAlignment="1">
      <alignment vertical="center"/>
    </xf>
    <xf numFmtId="9" fontId="17" fillId="24" borderId="12" xfId="3526" applyFont="1" applyFill="1" applyBorder="1" applyAlignment="1">
      <alignment vertical="center"/>
    </xf>
    <xf numFmtId="0" fontId="51" fillId="37" borderId="0" xfId="0" applyFont="1" applyFill="1" applyAlignment="1">
      <alignment horizontal="center" vertical="center"/>
    </xf>
    <xf numFmtId="0" fontId="17" fillId="37" borderId="0" xfId="0" applyFont="1" applyFill="1" applyAlignment="1">
      <alignment vertical="center"/>
    </xf>
    <xf numFmtId="0" fontId="17" fillId="37" borderId="0" xfId="0" applyFont="1" applyFill="1" applyAlignment="1">
      <alignment horizontal="center" vertical="center"/>
    </xf>
    <xf numFmtId="41" fontId="17" fillId="24" borderId="24" xfId="1253" applyNumberFormat="1" applyFont="1" applyFill="1" applyBorder="1" applyAlignment="1">
      <alignment horizontal="center" vertical="center"/>
    </xf>
    <xf numFmtId="169" fontId="17" fillId="24" borderId="79" xfId="1253" applyNumberFormat="1" applyFont="1" applyFill="1" applyBorder="1" applyAlignment="1">
      <alignment horizontal="center" vertical="center" wrapText="1"/>
    </xf>
    <xf numFmtId="41" fontId="17" fillId="24" borderId="78" xfId="1253" applyNumberFormat="1" applyFont="1" applyFill="1" applyBorder="1" applyAlignment="1">
      <alignment horizontal="center" vertical="center"/>
    </xf>
    <xf numFmtId="169" fontId="17" fillId="24" borderId="80" xfId="1253" applyNumberFormat="1" applyFont="1" applyFill="1" applyBorder="1" applyAlignment="1">
      <alignment horizontal="center" vertical="center" wrapText="1"/>
    </xf>
    <xf numFmtId="169" fontId="17" fillId="24" borderId="81" xfId="1253" applyNumberFormat="1" applyFont="1" applyFill="1" applyBorder="1" applyAlignment="1">
      <alignment horizontal="center" vertical="center" wrapText="1"/>
    </xf>
    <xf numFmtId="0" fontId="18" fillId="31" borderId="82" xfId="1253" applyFont="1" applyFill="1" applyBorder="1" applyAlignment="1">
      <alignment horizontal="center" vertical="center"/>
    </xf>
    <xf numFmtId="41" fontId="18" fillId="31" borderId="83" xfId="1253" applyNumberFormat="1" applyFont="1" applyFill="1" applyBorder="1" applyAlignment="1">
      <alignment horizontal="right" vertical="center"/>
    </xf>
    <xf numFmtId="174" fontId="18" fillId="31" borderId="83" xfId="1253" applyNumberFormat="1" applyFont="1" applyFill="1" applyBorder="1" applyAlignment="1">
      <alignment horizontal="right" vertical="center"/>
    </xf>
    <xf numFmtId="10" fontId="18" fillId="31" borderId="84" xfId="3526" applyNumberFormat="1" applyFont="1" applyFill="1" applyBorder="1" applyAlignment="1">
      <alignment horizontal="right" vertical="center"/>
    </xf>
    <xf numFmtId="9" fontId="18" fillId="31" borderId="84" xfId="3526" applyFont="1" applyFill="1" applyBorder="1" applyAlignment="1">
      <alignment horizontal="right" vertical="center"/>
    </xf>
    <xf numFmtId="41" fontId="18" fillId="31" borderId="84" xfId="1253" applyNumberFormat="1" applyFont="1" applyFill="1" applyBorder="1" applyAlignment="1">
      <alignment horizontal="right" vertical="center"/>
    </xf>
    <xf numFmtId="41" fontId="19" fillId="24" borderId="36" xfId="1253" applyNumberFormat="1" applyFont="1" applyFill="1" applyBorder="1" applyAlignment="1">
      <alignment horizontal="center" vertical="center" wrapText="1"/>
    </xf>
    <xf numFmtId="41" fontId="19" fillId="24" borderId="86" xfId="1253" applyNumberFormat="1" applyFont="1" applyFill="1" applyBorder="1" applyAlignment="1">
      <alignment horizontal="center" vertical="center" wrapText="1"/>
    </xf>
    <xf numFmtId="0" fontId="19" fillId="24" borderId="77" xfId="1253" applyFont="1" applyFill="1" applyBorder="1" applyAlignment="1">
      <alignment horizontal="center" vertical="center" wrapText="1"/>
    </xf>
    <xf numFmtId="0" fontId="18" fillId="35" borderId="87" xfId="1253" applyFont="1" applyFill="1" applyBorder="1" applyAlignment="1">
      <alignment horizontal="center" vertical="center" wrapText="1"/>
    </xf>
    <xf numFmtId="10" fontId="17" fillId="24" borderId="88" xfId="1253" applyNumberFormat="1" applyFont="1" applyFill="1" applyBorder="1" applyAlignment="1">
      <alignment horizontal="center" vertical="center"/>
    </xf>
    <xf numFmtId="10" fontId="24" fillId="24" borderId="88" xfId="1253" applyNumberFormat="1" applyFont="1" applyFill="1" applyBorder="1" applyAlignment="1">
      <alignment horizontal="center" vertical="center"/>
    </xf>
    <xf numFmtId="10" fontId="25" fillId="24" borderId="88" xfId="1253" applyNumberFormat="1" applyFont="1" applyFill="1" applyBorder="1" applyAlignment="1">
      <alignment horizontal="center" vertical="center"/>
    </xf>
    <xf numFmtId="10" fontId="17" fillId="25" borderId="88" xfId="1253" applyNumberFormat="1" applyFont="1" applyFill="1" applyBorder="1" applyAlignment="1">
      <alignment horizontal="center" vertical="center"/>
    </xf>
    <xf numFmtId="41" fontId="17" fillId="25" borderId="39" xfId="1253" applyNumberFormat="1" applyFont="1" applyFill="1" applyBorder="1" applyAlignment="1">
      <alignment horizontal="center" vertical="center"/>
    </xf>
    <xf numFmtId="10" fontId="17" fillId="24" borderId="92" xfId="1253" applyNumberFormat="1" applyFont="1" applyFill="1" applyBorder="1" applyAlignment="1">
      <alignment horizontal="center" vertical="center"/>
    </xf>
    <xf numFmtId="10" fontId="24" fillId="24" borderId="93" xfId="1253" applyNumberFormat="1" applyFont="1" applyFill="1" applyBorder="1" applyAlignment="1">
      <alignment horizontal="center" vertical="center"/>
    </xf>
    <xf numFmtId="10" fontId="25" fillId="24" borderId="93" xfId="1253" applyNumberFormat="1" applyFont="1" applyFill="1" applyBorder="1" applyAlignment="1">
      <alignment horizontal="center" vertical="center"/>
    </xf>
    <xf numFmtId="10" fontId="17" fillId="24" borderId="93" xfId="1253" applyNumberFormat="1" applyFont="1" applyFill="1" applyBorder="1" applyAlignment="1">
      <alignment horizontal="center" vertical="center"/>
    </xf>
    <xf numFmtId="10" fontId="17" fillId="25" borderId="93" xfId="1253" applyNumberFormat="1" applyFont="1" applyFill="1" applyBorder="1" applyAlignment="1">
      <alignment horizontal="center" vertical="center"/>
    </xf>
    <xf numFmtId="41" fontId="17" fillId="0" borderId="90" xfId="1253" applyNumberFormat="1" applyFont="1" applyBorder="1" applyAlignment="1">
      <alignment horizontal="center" vertical="center"/>
    </xf>
    <xf numFmtId="41" fontId="17" fillId="0" borderId="91" xfId="1253" applyNumberFormat="1" applyFont="1" applyBorder="1" applyAlignment="1">
      <alignment horizontal="center" vertical="center"/>
    </xf>
    <xf numFmtId="41" fontId="17" fillId="0" borderId="94" xfId="1253" applyNumberFormat="1" applyFont="1" applyBorder="1" applyAlignment="1">
      <alignment horizontal="center" vertical="center"/>
    </xf>
    <xf numFmtId="176" fontId="17" fillId="25" borderId="93" xfId="1253" applyNumberFormat="1" applyFont="1" applyFill="1" applyBorder="1" applyAlignment="1">
      <alignment horizontal="center" vertical="center"/>
    </xf>
    <xf numFmtId="41" fontId="17" fillId="24" borderId="86" xfId="1253" applyNumberFormat="1" applyFont="1" applyFill="1" applyBorder="1" applyAlignment="1">
      <alignment horizontal="center" vertical="center"/>
    </xf>
    <xf numFmtId="41" fontId="17" fillId="36" borderId="86" xfId="1253" applyNumberFormat="1" applyFont="1" applyFill="1" applyBorder="1" applyAlignment="1">
      <alignment horizontal="center" vertical="center"/>
    </xf>
    <xf numFmtId="10" fontId="19" fillId="24" borderId="96" xfId="1253" applyNumberFormat="1" applyFont="1" applyFill="1" applyBorder="1" applyAlignment="1">
      <alignment horizontal="center" vertical="center" wrapText="1"/>
    </xf>
    <xf numFmtId="10" fontId="53" fillId="24" borderId="96" xfId="1253" applyNumberFormat="1" applyFont="1" applyFill="1" applyBorder="1" applyAlignment="1">
      <alignment horizontal="center" vertical="center" wrapText="1"/>
    </xf>
    <xf numFmtId="38" fontId="17" fillId="0" borderId="98" xfId="1253" applyNumberFormat="1" applyFont="1" applyBorder="1" applyAlignment="1">
      <alignment vertical="center"/>
    </xf>
    <xf numFmtId="38" fontId="17" fillId="0" borderId="99" xfId="1253" applyNumberFormat="1" applyFont="1" applyBorder="1" applyAlignment="1">
      <alignment vertical="center"/>
    </xf>
    <xf numFmtId="10" fontId="53" fillId="36" borderId="96" xfId="1253" applyNumberFormat="1" applyFont="1" applyFill="1" applyBorder="1" applyAlignment="1">
      <alignment horizontal="center" vertical="center" wrapText="1"/>
    </xf>
    <xf numFmtId="9" fontId="18" fillId="31" borderId="83" xfId="3526" applyFont="1" applyFill="1" applyBorder="1" applyAlignment="1">
      <alignment horizontal="right" vertical="center"/>
    </xf>
    <xf numFmtId="9" fontId="17" fillId="24" borderId="86" xfId="3526" applyFont="1" applyFill="1" applyBorder="1" applyAlignment="1">
      <alignment horizontal="right" vertical="center"/>
    </xf>
    <xf numFmtId="9" fontId="17" fillId="25" borderId="24" xfId="3526" applyFont="1" applyFill="1" applyBorder="1" applyAlignment="1">
      <alignment horizontal="right" vertical="center"/>
    </xf>
    <xf numFmtId="41" fontId="53" fillId="36" borderId="86" xfId="1253" applyNumberFormat="1" applyFont="1" applyFill="1" applyBorder="1" applyAlignment="1">
      <alignment horizontal="center" vertical="center" wrapText="1"/>
    </xf>
    <xf numFmtId="10" fontId="19" fillId="24" borderId="100" xfId="1253" applyNumberFormat="1" applyFont="1" applyFill="1" applyBorder="1" applyAlignment="1">
      <alignment horizontal="center" vertical="center" wrapText="1"/>
    </xf>
    <xf numFmtId="41" fontId="17" fillId="24" borderId="45" xfId="1253" applyNumberFormat="1" applyFont="1" applyFill="1" applyBorder="1" applyAlignment="1">
      <alignment horizontal="center" vertical="center"/>
    </xf>
    <xf numFmtId="41" fontId="17" fillId="25" borderId="45" xfId="1253" applyNumberFormat="1" applyFont="1" applyFill="1" applyBorder="1" applyAlignment="1">
      <alignment horizontal="center" vertical="center"/>
    </xf>
    <xf numFmtId="41" fontId="19" fillId="24" borderId="101" xfId="1253" applyNumberFormat="1" applyFont="1" applyFill="1" applyBorder="1" applyAlignment="1">
      <alignment horizontal="center" vertical="center" wrapText="1"/>
    </xf>
    <xf numFmtId="10" fontId="17" fillId="0" borderId="102" xfId="3526" applyNumberFormat="1" applyFont="1" applyFill="1" applyBorder="1" applyAlignment="1">
      <alignment horizontal="right" vertical="center"/>
    </xf>
    <xf numFmtId="10" fontId="17" fillId="25" borderId="103" xfId="3526" applyNumberFormat="1" applyFont="1" applyFill="1" applyBorder="1" applyAlignment="1">
      <alignment horizontal="right" vertical="center"/>
    </xf>
    <xf numFmtId="41" fontId="17" fillId="24" borderId="103" xfId="1253" applyNumberFormat="1" applyFont="1" applyFill="1" applyBorder="1" applyAlignment="1">
      <alignment horizontal="center" vertical="center"/>
    </xf>
    <xf numFmtId="41" fontId="17" fillId="25" borderId="103" xfId="1253" applyNumberFormat="1" applyFont="1" applyFill="1" applyBorder="1" applyAlignment="1">
      <alignment horizontal="center" vertical="center"/>
    </xf>
    <xf numFmtId="41" fontId="17" fillId="24" borderId="59" xfId="1253" applyNumberFormat="1" applyFont="1" applyFill="1" applyBorder="1" applyAlignment="1">
      <alignment horizontal="center" vertical="center"/>
    </xf>
    <xf numFmtId="41" fontId="17" fillId="0" borderId="75" xfId="1253" applyNumberFormat="1" applyFont="1" applyBorder="1" applyAlignment="1">
      <alignment horizontal="center" vertical="center"/>
    </xf>
    <xf numFmtId="41" fontId="17" fillId="0" borderId="76" xfId="1253" applyNumberFormat="1" applyFont="1" applyBorder="1" applyAlignment="1">
      <alignment horizontal="center" vertical="center"/>
    </xf>
    <xf numFmtId="41" fontId="17" fillId="0" borderId="104" xfId="1253" applyNumberFormat="1" applyFont="1" applyBorder="1" applyAlignment="1">
      <alignment horizontal="center" vertical="center"/>
    </xf>
    <xf numFmtId="9" fontId="17" fillId="25" borderId="103" xfId="3526" applyFont="1" applyFill="1" applyBorder="1" applyAlignment="1">
      <alignment horizontal="right" vertical="center"/>
    </xf>
    <xf numFmtId="41" fontId="19" fillId="24" borderId="111" xfId="1253" applyNumberFormat="1" applyFont="1" applyFill="1" applyBorder="1" applyAlignment="1">
      <alignment horizontal="center" vertical="center" wrapText="1"/>
    </xf>
    <xf numFmtId="10" fontId="53" fillId="24" borderId="112" xfId="1253" applyNumberFormat="1" applyFont="1" applyFill="1" applyBorder="1" applyAlignment="1">
      <alignment horizontal="center" vertical="center" wrapText="1"/>
    </xf>
    <xf numFmtId="38" fontId="17" fillId="0" borderId="113" xfId="1253" applyNumberFormat="1" applyFont="1" applyBorder="1" applyAlignment="1">
      <alignment vertical="center"/>
    </xf>
    <xf numFmtId="41" fontId="17" fillId="36" borderId="114" xfId="1253" applyNumberFormat="1" applyFont="1" applyFill="1" applyBorder="1" applyAlignment="1">
      <alignment horizontal="center" vertical="center"/>
    </xf>
    <xf numFmtId="38" fontId="17" fillId="0" borderId="115" xfId="1253" applyNumberFormat="1" applyFont="1" applyBorder="1" applyAlignment="1">
      <alignment vertical="center"/>
    </xf>
    <xf numFmtId="10" fontId="17" fillId="0" borderId="116" xfId="1253" applyNumberFormat="1" applyFont="1" applyBorder="1" applyAlignment="1">
      <alignment horizontal="center" vertical="center"/>
    </xf>
    <xf numFmtId="10" fontId="17" fillId="0" borderId="117" xfId="1253" applyNumberFormat="1" applyFont="1" applyBorder="1" applyAlignment="1">
      <alignment horizontal="center" vertical="center"/>
    </xf>
    <xf numFmtId="38" fontId="17" fillId="0" borderId="118" xfId="1253" applyNumberFormat="1" applyFont="1" applyBorder="1" applyAlignment="1">
      <alignment vertical="center"/>
    </xf>
    <xf numFmtId="10" fontId="17" fillId="0" borderId="119" xfId="1253" applyNumberFormat="1" applyFont="1" applyBorder="1" applyAlignment="1">
      <alignment horizontal="center" vertical="center"/>
    </xf>
    <xf numFmtId="41" fontId="17" fillId="25" borderId="120" xfId="1253" applyNumberFormat="1" applyFont="1" applyFill="1" applyBorder="1" applyAlignment="1">
      <alignment horizontal="center" vertical="center"/>
    </xf>
    <xf numFmtId="10" fontId="17" fillId="25" borderId="121" xfId="1253" applyNumberFormat="1" applyFont="1" applyFill="1" applyBorder="1" applyAlignment="1">
      <alignment horizontal="right" vertical="center"/>
    </xf>
    <xf numFmtId="41" fontId="17" fillId="24" borderId="120" xfId="1253" applyNumberFormat="1" applyFont="1" applyFill="1" applyBorder="1" applyAlignment="1">
      <alignment horizontal="center" vertical="center"/>
    </xf>
    <xf numFmtId="10" fontId="17" fillId="24" borderId="122" xfId="1253" applyNumberFormat="1" applyFont="1" applyFill="1" applyBorder="1" applyAlignment="1">
      <alignment horizontal="center" vertical="center"/>
    </xf>
    <xf numFmtId="10" fontId="24" fillId="24" borderId="121" xfId="1253" applyNumberFormat="1" applyFont="1" applyFill="1" applyBorder="1" applyAlignment="1">
      <alignment horizontal="center" vertical="center"/>
    </xf>
    <xf numFmtId="10" fontId="25" fillId="24" borderId="121" xfId="1253" applyNumberFormat="1" applyFont="1" applyFill="1" applyBorder="1" applyAlignment="1">
      <alignment horizontal="center" vertical="center"/>
    </xf>
    <xf numFmtId="10" fontId="17" fillId="24" borderId="121" xfId="1253" applyNumberFormat="1" applyFont="1" applyFill="1" applyBorder="1" applyAlignment="1">
      <alignment horizontal="center" vertical="center"/>
    </xf>
    <xf numFmtId="10" fontId="17" fillId="25" borderId="121" xfId="1253" applyNumberFormat="1" applyFont="1" applyFill="1" applyBorder="1" applyAlignment="1">
      <alignment horizontal="center" vertical="center"/>
    </xf>
    <xf numFmtId="41" fontId="18" fillId="31" borderId="123" xfId="1253" applyNumberFormat="1" applyFont="1" applyFill="1" applyBorder="1" applyAlignment="1">
      <alignment horizontal="right" vertical="center"/>
    </xf>
    <xf numFmtId="41" fontId="18" fillId="31" borderId="124" xfId="1253" applyNumberFormat="1" applyFont="1" applyFill="1" applyBorder="1" applyAlignment="1">
      <alignment horizontal="right" vertical="center"/>
    </xf>
    <xf numFmtId="174" fontId="18" fillId="31" borderId="124" xfId="1253" applyNumberFormat="1" applyFont="1" applyFill="1" applyBorder="1" applyAlignment="1">
      <alignment horizontal="right" vertical="center"/>
    </xf>
    <xf numFmtId="10" fontId="18" fillId="31" borderId="124" xfId="3526" applyNumberFormat="1" applyFont="1" applyFill="1" applyBorder="1" applyAlignment="1">
      <alignment horizontal="right" vertical="center"/>
    </xf>
    <xf numFmtId="41" fontId="18" fillId="31" borderId="126" xfId="1253" applyNumberFormat="1" applyFont="1" applyFill="1" applyBorder="1" applyAlignment="1">
      <alignment horizontal="right" vertical="center"/>
    </xf>
    <xf numFmtId="41" fontId="18" fillId="31" borderId="127" xfId="1253" applyNumberFormat="1" applyFont="1" applyFill="1" applyBorder="1" applyAlignment="1">
      <alignment horizontal="right" vertical="center"/>
    </xf>
    <xf numFmtId="10" fontId="53" fillId="24" borderId="133" xfId="1253" applyNumberFormat="1" applyFont="1" applyFill="1" applyBorder="1" applyAlignment="1">
      <alignment horizontal="center" vertical="center" wrapText="1"/>
    </xf>
    <xf numFmtId="41" fontId="17" fillId="36" borderId="134" xfId="1253" applyNumberFormat="1" applyFont="1" applyFill="1" applyBorder="1" applyAlignment="1">
      <alignment horizontal="center" vertical="center"/>
    </xf>
    <xf numFmtId="10" fontId="18" fillId="31" borderId="125" xfId="3526" applyNumberFormat="1" applyFont="1" applyFill="1" applyBorder="1" applyAlignment="1">
      <alignment horizontal="right" vertical="center"/>
    </xf>
    <xf numFmtId="41" fontId="18" fillId="31" borderId="135" xfId="1253" applyNumberFormat="1" applyFont="1" applyFill="1" applyBorder="1" applyAlignment="1">
      <alignment horizontal="right" vertical="center"/>
    </xf>
    <xf numFmtId="10" fontId="18" fillId="31" borderId="136" xfId="1253" applyNumberFormat="1" applyFont="1" applyFill="1" applyBorder="1" applyAlignment="1">
      <alignment vertical="center"/>
    </xf>
    <xf numFmtId="10" fontId="18" fillId="31" borderId="137" xfId="1253" applyNumberFormat="1" applyFont="1" applyFill="1" applyBorder="1" applyAlignment="1">
      <alignment vertical="center"/>
    </xf>
    <xf numFmtId="10" fontId="18" fillId="31" borderId="138" xfId="1253" applyNumberFormat="1" applyFont="1" applyFill="1" applyBorder="1" applyAlignment="1">
      <alignment vertical="center"/>
    </xf>
    <xf numFmtId="0" fontId="18" fillId="35" borderId="142" xfId="1253" applyFont="1" applyFill="1" applyBorder="1" applyAlignment="1">
      <alignment horizontal="center" vertical="center" wrapText="1"/>
    </xf>
    <xf numFmtId="0" fontId="19" fillId="24" borderId="120" xfId="1253" applyFont="1" applyFill="1" applyBorder="1" applyAlignment="1">
      <alignment horizontal="center" vertical="center" wrapText="1"/>
    </xf>
    <xf numFmtId="173" fontId="17" fillId="24" borderId="120" xfId="1253" applyNumberFormat="1" applyFont="1" applyFill="1" applyBorder="1" applyAlignment="1">
      <alignment horizontal="center" vertical="center" wrapText="1"/>
    </xf>
    <xf numFmtId="173" fontId="17" fillId="24" borderId="143" xfId="1253" applyNumberFormat="1" applyFont="1" applyFill="1" applyBorder="1" applyAlignment="1">
      <alignment horizontal="center" vertical="center" wrapText="1"/>
    </xf>
    <xf numFmtId="173" fontId="47" fillId="24" borderId="120" xfId="1253" applyNumberFormat="1" applyFont="1" applyFill="1" applyBorder="1" applyAlignment="1">
      <alignment horizontal="center" vertical="center" wrapText="1"/>
    </xf>
    <xf numFmtId="169" fontId="17" fillId="25" borderId="120" xfId="1253" applyNumberFormat="1" applyFont="1" applyFill="1" applyBorder="1" applyAlignment="1">
      <alignment horizontal="center" vertical="center" wrapText="1"/>
    </xf>
    <xf numFmtId="0" fontId="18" fillId="31" borderId="123" xfId="1253" applyFont="1" applyFill="1" applyBorder="1" applyAlignment="1">
      <alignment horizontal="center" vertical="center"/>
    </xf>
    <xf numFmtId="10" fontId="18" fillId="31" borderId="144" xfId="1253" applyNumberFormat="1" applyFont="1" applyFill="1" applyBorder="1" applyAlignment="1">
      <alignment vertical="center"/>
    </xf>
    <xf numFmtId="0" fontId="51" fillId="32" borderId="105" xfId="0" applyFont="1" applyFill="1" applyBorder="1" applyAlignment="1">
      <alignment horizontal="center" vertical="center"/>
    </xf>
    <xf numFmtId="41" fontId="17" fillId="28" borderId="20" xfId="1253" applyNumberFormat="1" applyFont="1" applyFill="1" applyBorder="1" applyAlignment="1">
      <alignment horizontal="center" vertical="center"/>
    </xf>
    <xf numFmtId="38" fontId="17" fillId="29" borderId="50" xfId="1253" applyNumberFormat="1" applyFont="1" applyFill="1" applyBorder="1" applyAlignment="1">
      <alignment vertical="center"/>
    </xf>
    <xf numFmtId="38" fontId="17" fillId="29" borderId="47" xfId="1253" applyNumberFormat="1" applyFont="1" applyFill="1" applyBorder="1" applyAlignment="1">
      <alignment vertical="center"/>
    </xf>
    <xf numFmtId="178" fontId="23" fillId="24" borderId="0" xfId="0" applyNumberFormat="1" applyFont="1" applyFill="1" applyAlignment="1">
      <alignment vertical="center"/>
    </xf>
    <xf numFmtId="0" fontId="55" fillId="32" borderId="105" xfId="0" applyFont="1" applyFill="1" applyBorder="1" applyAlignment="1">
      <alignment horizontal="center" vertical="center" wrapText="1"/>
    </xf>
    <xf numFmtId="41" fontId="51" fillId="32" borderId="12" xfId="0" applyNumberFormat="1" applyFont="1" applyFill="1" applyBorder="1" applyAlignment="1">
      <alignment horizontal="center" vertical="center"/>
    </xf>
    <xf numFmtId="177" fontId="17" fillId="24" borderId="0" xfId="3527" applyNumberFormat="1" applyFont="1" applyFill="1" applyAlignment="1">
      <alignment vertical="center"/>
    </xf>
    <xf numFmtId="43" fontId="17" fillId="24" borderId="86" xfId="1253" applyNumberFormat="1" applyFont="1" applyFill="1" applyBorder="1" applyAlignment="1">
      <alignment horizontal="center" vertical="center"/>
    </xf>
    <xf numFmtId="177" fontId="17" fillId="24" borderId="29" xfId="1253" applyNumberFormat="1" applyFont="1" applyFill="1" applyBorder="1" applyAlignment="1">
      <alignment horizontal="center" vertical="center"/>
    </xf>
    <xf numFmtId="179" fontId="17" fillId="24" borderId="20" xfId="1253" applyNumberFormat="1" applyFont="1" applyFill="1" applyBorder="1" applyAlignment="1">
      <alignment horizontal="center" vertical="center"/>
    </xf>
    <xf numFmtId="177" fontId="17" fillId="24" borderId="12" xfId="0" applyNumberFormat="1" applyFont="1" applyFill="1" applyBorder="1" applyAlignment="1">
      <alignment vertical="center"/>
    </xf>
    <xf numFmtId="180" fontId="19" fillId="0" borderId="23" xfId="0" applyNumberFormat="1" applyFont="1" applyBorder="1" applyAlignment="1">
      <alignment horizontal="center" vertical="center"/>
    </xf>
    <xf numFmtId="41" fontId="18" fillId="32" borderId="18" xfId="0" applyNumberFormat="1" applyFont="1" applyFill="1" applyBorder="1" applyAlignment="1">
      <alignment horizontal="center" vertical="center"/>
    </xf>
    <xf numFmtId="41" fontId="17" fillId="28" borderId="29" xfId="1253" applyNumberFormat="1" applyFont="1" applyFill="1" applyBorder="1" applyAlignment="1">
      <alignment horizontal="center" vertical="center"/>
    </xf>
    <xf numFmtId="174" fontId="17" fillId="28" borderId="29" xfId="1253" applyNumberFormat="1" applyFont="1" applyFill="1" applyBorder="1" applyAlignment="1">
      <alignment horizontal="center" vertical="center"/>
    </xf>
    <xf numFmtId="10" fontId="17" fillId="29" borderId="49" xfId="3526" applyNumberFormat="1" applyFont="1" applyFill="1" applyBorder="1" applyAlignment="1">
      <alignment horizontal="right" vertical="center"/>
    </xf>
    <xf numFmtId="41" fontId="17" fillId="29" borderId="49" xfId="1253" applyNumberFormat="1" applyFont="1" applyFill="1" applyBorder="1" applyAlignment="1">
      <alignment horizontal="center" vertical="center"/>
    </xf>
    <xf numFmtId="10" fontId="17" fillId="25" borderId="29" xfId="3526" applyNumberFormat="1" applyFont="1" applyFill="1" applyBorder="1" applyAlignment="1">
      <alignment horizontal="right" vertical="center"/>
    </xf>
    <xf numFmtId="10" fontId="17" fillId="24" borderId="12" xfId="3526" applyNumberFormat="1" applyFont="1" applyFill="1" applyBorder="1" applyAlignment="1">
      <alignment vertical="center" wrapText="1"/>
    </xf>
    <xf numFmtId="3" fontId="18" fillId="32" borderId="18" xfId="1236" applyNumberFormat="1" applyFont="1" applyFill="1" applyBorder="1" applyAlignment="1">
      <alignment horizontal="right" vertical="center" shrinkToFit="1"/>
    </xf>
    <xf numFmtId="0" fontId="58" fillId="24" borderId="0" xfId="0" applyFont="1" applyFill="1" applyAlignment="1">
      <alignment horizontal="center" vertical="center"/>
    </xf>
    <xf numFmtId="10" fontId="18" fillId="31" borderId="147" xfId="1253" applyNumberFormat="1" applyFont="1" applyFill="1" applyBorder="1" applyAlignment="1">
      <alignment vertical="center"/>
    </xf>
    <xf numFmtId="174" fontId="18" fillId="31" borderId="135" xfId="1253" applyNumberFormat="1" applyFont="1" applyFill="1" applyBorder="1" applyAlignment="1">
      <alignment horizontal="right" vertical="center"/>
    </xf>
    <xf numFmtId="41" fontId="18" fillId="31" borderId="136" xfId="1253" applyNumberFormat="1" applyFont="1" applyFill="1" applyBorder="1" applyAlignment="1">
      <alignment horizontal="right" vertical="center"/>
    </xf>
    <xf numFmtId="10" fontId="24" fillId="24" borderId="45" xfId="1253" applyNumberFormat="1" applyFont="1" applyFill="1" applyBorder="1" applyAlignment="1">
      <alignment horizontal="center" vertical="center"/>
    </xf>
    <xf numFmtId="10" fontId="25" fillId="24" borderId="45" xfId="1253" applyNumberFormat="1" applyFont="1" applyFill="1" applyBorder="1" applyAlignment="1">
      <alignment horizontal="center" vertical="center"/>
    </xf>
    <xf numFmtId="10" fontId="17" fillId="24" borderId="45" xfId="1253" applyNumberFormat="1" applyFont="1" applyFill="1" applyBorder="1" applyAlignment="1">
      <alignment horizontal="center" vertical="center"/>
    </xf>
    <xf numFmtId="10" fontId="17" fillId="25" borderId="45" xfId="1253" applyNumberFormat="1" applyFont="1" applyFill="1" applyBorder="1" applyAlignment="1">
      <alignment horizontal="center" vertical="center"/>
    </xf>
    <xf numFmtId="0" fontId="18" fillId="0" borderId="0" xfId="1253" applyFont="1" applyAlignment="1">
      <alignment vertical="center" wrapText="1"/>
    </xf>
    <xf numFmtId="0" fontId="59" fillId="24" borderId="0" xfId="0" applyFont="1" applyFill="1" applyAlignment="1">
      <alignment vertical="center"/>
    </xf>
    <xf numFmtId="182" fontId="17" fillId="24" borderId="86" xfId="3526" applyNumberFormat="1" applyFont="1" applyFill="1" applyBorder="1" applyAlignment="1">
      <alignment horizontal="center" vertical="center"/>
    </xf>
    <xf numFmtId="174" fontId="17" fillId="24" borderId="86" xfId="3526" applyNumberFormat="1" applyFont="1" applyFill="1" applyBorder="1" applyAlignment="1">
      <alignment horizontal="right" vertical="center"/>
    </xf>
    <xf numFmtId="183" fontId="17" fillId="25" borderId="29" xfId="1253" applyNumberFormat="1" applyFont="1" applyFill="1" applyBorder="1" applyAlignment="1">
      <alignment horizontal="center" vertical="center"/>
    </xf>
    <xf numFmtId="174" fontId="17" fillId="25" borderId="29" xfId="1253" applyNumberFormat="1" applyFont="1" applyFill="1" applyBorder="1" applyAlignment="1">
      <alignment horizontal="center" vertical="center"/>
    </xf>
    <xf numFmtId="184" fontId="17" fillId="0" borderId="86" xfId="1253" applyNumberFormat="1" applyFont="1" applyBorder="1" applyAlignment="1">
      <alignment horizontal="center" vertical="center"/>
    </xf>
    <xf numFmtId="174" fontId="18" fillId="31" borderId="84" xfId="1253" applyNumberFormat="1" applyFont="1" applyFill="1" applyBorder="1" applyAlignment="1">
      <alignment horizontal="right" vertical="center"/>
    </xf>
    <xf numFmtId="174" fontId="17" fillId="0" borderId="49" xfId="1253" applyNumberFormat="1" applyFont="1" applyBorder="1" applyAlignment="1">
      <alignment horizontal="center" vertical="center"/>
    </xf>
    <xf numFmtId="185" fontId="17" fillId="25" borderId="29" xfId="1253" applyNumberFormat="1" applyFont="1" applyFill="1" applyBorder="1" applyAlignment="1">
      <alignment horizontal="center" vertical="center"/>
    </xf>
    <xf numFmtId="185" fontId="18" fillId="31" borderId="84" xfId="1253" applyNumberFormat="1" applyFont="1" applyFill="1" applyBorder="1" applyAlignment="1">
      <alignment horizontal="right" vertical="center"/>
    </xf>
    <xf numFmtId="185" fontId="17" fillId="24" borderId="29" xfId="1253" applyNumberFormat="1" applyFont="1" applyFill="1" applyBorder="1" applyAlignment="1">
      <alignment horizontal="center" vertical="center"/>
    </xf>
    <xf numFmtId="10" fontId="17" fillId="30" borderId="52" xfId="1253" applyNumberFormat="1" applyFont="1" applyFill="1" applyBorder="1" applyAlignment="1">
      <alignment horizontal="right" vertical="center"/>
    </xf>
    <xf numFmtId="9" fontId="17" fillId="25" borderId="20" xfId="3526" applyFont="1" applyFill="1" applyBorder="1" applyAlignment="1">
      <alignment horizontal="right" vertical="center"/>
    </xf>
    <xf numFmtId="187" fontId="17" fillId="25" borderId="29" xfId="1253" applyNumberFormat="1" applyFont="1" applyFill="1" applyBorder="1" applyAlignment="1">
      <alignment horizontal="center" vertical="center"/>
    </xf>
    <xf numFmtId="174" fontId="17" fillId="25" borderId="89" xfId="1253" applyNumberFormat="1" applyFont="1" applyFill="1" applyBorder="1" applyAlignment="1">
      <alignment horizontal="center" vertical="center"/>
    </xf>
    <xf numFmtId="175" fontId="17" fillId="24" borderId="12" xfId="3526" applyNumberFormat="1" applyFont="1" applyFill="1" applyBorder="1" applyAlignment="1">
      <alignment vertical="center"/>
    </xf>
    <xf numFmtId="175" fontId="17" fillId="24" borderId="29" xfId="3526" applyNumberFormat="1" applyFont="1" applyFill="1" applyBorder="1" applyAlignment="1">
      <alignment horizontal="right" vertical="center"/>
    </xf>
    <xf numFmtId="10" fontId="17" fillId="0" borderId="24" xfId="0" applyNumberFormat="1" applyFont="1" applyBorder="1" applyAlignment="1">
      <alignment horizontal="right" vertical="center"/>
    </xf>
    <xf numFmtId="10" fontId="17" fillId="0" borderId="24" xfId="3526" applyNumberFormat="1" applyFont="1" applyFill="1" applyBorder="1" applyAlignment="1">
      <alignment horizontal="right" vertical="center"/>
    </xf>
    <xf numFmtId="10" fontId="18" fillId="32" borderId="18" xfId="0" applyNumberFormat="1" applyFont="1" applyFill="1" applyBorder="1" applyAlignment="1">
      <alignment horizontal="right" vertical="center"/>
    </xf>
    <xf numFmtId="0" fontId="17" fillId="28" borderId="149" xfId="0" applyFont="1" applyFill="1" applyBorder="1" applyAlignment="1">
      <alignment vertical="center"/>
    </xf>
    <xf numFmtId="10" fontId="17" fillId="0" borderId="150" xfId="3526" applyNumberFormat="1" applyFont="1" applyFill="1" applyBorder="1" applyAlignment="1">
      <alignment horizontal="right" vertical="center"/>
    </xf>
    <xf numFmtId="0" fontId="18" fillId="35" borderId="77" xfId="1253" applyFont="1" applyFill="1" applyBorder="1" applyAlignment="1">
      <alignment horizontal="center" vertical="center" wrapText="1"/>
    </xf>
    <xf numFmtId="0" fontId="19" fillId="24" borderId="79" xfId="1253" applyFont="1" applyFill="1" applyBorder="1" applyAlignment="1">
      <alignment horizontal="center" vertical="center" wrapText="1"/>
    </xf>
    <xf numFmtId="10" fontId="53" fillId="24" borderId="160" xfId="1253" applyNumberFormat="1" applyFont="1" applyFill="1" applyBorder="1" applyAlignment="1">
      <alignment horizontal="center" vertical="center" wrapText="1"/>
    </xf>
    <xf numFmtId="173" fontId="17" fillId="24" borderId="79" xfId="1253" applyNumberFormat="1" applyFont="1" applyFill="1" applyBorder="1" applyAlignment="1">
      <alignment horizontal="center" vertical="center" wrapText="1"/>
    </xf>
    <xf numFmtId="0" fontId="17" fillId="28" borderId="0" xfId="0" applyFont="1" applyFill="1" applyAlignment="1">
      <alignment vertical="center"/>
    </xf>
    <xf numFmtId="0" fontId="17" fillId="28" borderId="161" xfId="0" applyFont="1" applyFill="1" applyBorder="1" applyAlignment="1">
      <alignment vertical="center"/>
    </xf>
    <xf numFmtId="173" fontId="17" fillId="24" borderId="162" xfId="1253" applyNumberFormat="1" applyFont="1" applyFill="1" applyBorder="1" applyAlignment="1">
      <alignment horizontal="center" vertical="center" wrapText="1"/>
    </xf>
    <xf numFmtId="41" fontId="17" fillId="36" borderId="163" xfId="1253" applyNumberFormat="1" applyFont="1" applyFill="1" applyBorder="1" applyAlignment="1">
      <alignment horizontal="center" vertical="center"/>
    </xf>
    <xf numFmtId="173" fontId="47" fillId="24" borderId="79" xfId="1253" applyNumberFormat="1" applyFont="1" applyFill="1" applyBorder="1" applyAlignment="1">
      <alignment horizontal="center" vertical="center" wrapText="1"/>
    </xf>
    <xf numFmtId="169" fontId="17" fillId="25" borderId="79" xfId="1253" applyNumberFormat="1" applyFont="1" applyFill="1" applyBorder="1" applyAlignment="1">
      <alignment horizontal="center" vertical="center" wrapText="1"/>
    </xf>
    <xf numFmtId="10" fontId="17" fillId="25" borderId="164" xfId="1253" applyNumberFormat="1" applyFont="1" applyFill="1" applyBorder="1" applyAlignment="1">
      <alignment horizontal="right" vertical="center"/>
    </xf>
    <xf numFmtId="10" fontId="17" fillId="24" borderId="95" xfId="1253" applyNumberFormat="1" applyFont="1" applyFill="1" applyBorder="1" applyAlignment="1">
      <alignment horizontal="center" vertical="center"/>
    </xf>
    <xf numFmtId="10" fontId="24" fillId="24" borderId="164" xfId="1253" applyNumberFormat="1" applyFont="1" applyFill="1" applyBorder="1" applyAlignment="1">
      <alignment horizontal="center" vertical="center"/>
    </xf>
    <xf numFmtId="10" fontId="25" fillId="24" borderId="164" xfId="1253" applyNumberFormat="1" applyFont="1" applyFill="1" applyBorder="1" applyAlignment="1">
      <alignment horizontal="center" vertical="center"/>
    </xf>
    <xf numFmtId="10" fontId="17" fillId="24" borderId="164" xfId="1253" applyNumberFormat="1" applyFont="1" applyFill="1" applyBorder="1" applyAlignment="1">
      <alignment horizontal="center" vertical="center"/>
    </xf>
    <xf numFmtId="10" fontId="17" fillId="25" borderId="164" xfId="1253" applyNumberFormat="1" applyFont="1" applyFill="1" applyBorder="1" applyAlignment="1">
      <alignment horizontal="center" vertical="center"/>
    </xf>
    <xf numFmtId="0" fontId="18" fillId="31" borderId="165" xfId="1253" applyFont="1" applyFill="1" applyBorder="1" applyAlignment="1">
      <alignment horizontal="center" vertical="center"/>
    </xf>
    <xf numFmtId="41" fontId="18" fillId="31" borderId="166" xfId="1253" applyNumberFormat="1" applyFont="1" applyFill="1" applyBorder="1" applyAlignment="1">
      <alignment horizontal="right" vertical="center"/>
    </xf>
    <xf numFmtId="41" fontId="18" fillId="31" borderId="167" xfId="1253" applyNumberFormat="1" applyFont="1" applyFill="1" applyBorder="1" applyAlignment="1">
      <alignment horizontal="right" vertical="center"/>
    </xf>
    <xf numFmtId="10" fontId="18" fillId="31" borderId="168" xfId="1253" applyNumberFormat="1" applyFont="1" applyFill="1" applyBorder="1" applyAlignment="1">
      <alignment vertical="center"/>
    </xf>
    <xf numFmtId="10" fontId="18" fillId="31" borderId="169" xfId="1253" applyNumberFormat="1" applyFont="1" applyFill="1" applyBorder="1" applyAlignment="1">
      <alignment vertical="center"/>
    </xf>
    <xf numFmtId="10" fontId="18" fillId="31" borderId="170" xfId="1253" applyNumberFormat="1" applyFont="1" applyFill="1" applyBorder="1" applyAlignment="1">
      <alignment vertical="center"/>
    </xf>
    <xf numFmtId="41" fontId="18" fillId="31" borderId="171" xfId="1253" applyNumberFormat="1" applyFont="1" applyFill="1" applyBorder="1" applyAlignment="1">
      <alignment horizontal="right" vertical="center"/>
    </xf>
    <xf numFmtId="174" fontId="18" fillId="31" borderId="166" xfId="1253" applyNumberFormat="1" applyFont="1" applyFill="1" applyBorder="1" applyAlignment="1">
      <alignment horizontal="right" vertical="center"/>
    </xf>
    <xf numFmtId="174" fontId="18" fillId="31" borderId="167" xfId="1253" applyNumberFormat="1" applyFont="1" applyFill="1" applyBorder="1" applyAlignment="1">
      <alignment horizontal="right" vertical="center"/>
    </xf>
    <xf numFmtId="10" fontId="18" fillId="31" borderId="172" xfId="3526" applyNumberFormat="1" applyFont="1" applyFill="1" applyBorder="1" applyAlignment="1">
      <alignment horizontal="right" vertical="center"/>
    </xf>
    <xf numFmtId="41" fontId="18" fillId="31" borderId="173" xfId="1253" applyNumberFormat="1" applyFont="1" applyFill="1" applyBorder="1" applyAlignment="1">
      <alignment horizontal="right" vertical="center"/>
    </xf>
    <xf numFmtId="41" fontId="18" fillId="31" borderId="174" xfId="1253" applyNumberFormat="1" applyFont="1" applyFill="1" applyBorder="1" applyAlignment="1">
      <alignment horizontal="right" vertical="center"/>
    </xf>
    <xf numFmtId="10" fontId="18" fillId="31" borderId="175" xfId="1253" applyNumberFormat="1" applyFont="1" applyFill="1" applyBorder="1" applyAlignment="1">
      <alignment vertical="center"/>
    </xf>
    <xf numFmtId="181" fontId="17" fillId="0" borderId="86" xfId="1253" applyNumberFormat="1" applyFont="1" applyBorder="1" applyAlignment="1">
      <alignment horizontal="center" vertical="center"/>
    </xf>
    <xf numFmtId="10" fontId="19" fillId="24" borderId="78" xfId="1253" applyNumberFormat="1" applyFont="1" applyFill="1" applyBorder="1" applyAlignment="1">
      <alignment horizontal="center" vertical="center" wrapText="1"/>
    </xf>
    <xf numFmtId="41" fontId="17" fillId="29" borderId="24" xfId="1236" applyFont="1" applyFill="1" applyBorder="1" applyAlignment="1">
      <alignment horizontal="center" vertical="center" shrinkToFit="1"/>
    </xf>
    <xf numFmtId="9" fontId="22" fillId="29" borderId="24" xfId="0" applyNumberFormat="1" applyFont="1" applyFill="1" applyBorder="1" applyAlignment="1">
      <alignment horizontal="center" vertical="center"/>
    </xf>
    <xf numFmtId="41" fontId="17" fillId="0" borderId="24" xfId="0" applyNumberFormat="1" applyFont="1" applyBorder="1" applyAlignment="1">
      <alignment horizontal="right" vertical="center"/>
    </xf>
    <xf numFmtId="0" fontId="46" fillId="0" borderId="39" xfId="1255" applyFont="1" applyBorder="1" applyAlignment="1">
      <alignment horizontal="left" vertical="center" wrapText="1"/>
    </xf>
    <xf numFmtId="0" fontId="46" fillId="0" borderId="35" xfId="1255" applyFont="1" applyBorder="1" applyAlignment="1">
      <alignment horizontal="left" vertical="center" wrapText="1"/>
    </xf>
    <xf numFmtId="41" fontId="17" fillId="26" borderId="39" xfId="1236" applyFont="1" applyFill="1" applyBorder="1" applyAlignment="1">
      <alignment horizontal="center" vertical="center" wrapText="1"/>
    </xf>
    <xf numFmtId="10" fontId="18" fillId="32" borderId="19" xfId="0" applyNumberFormat="1" applyFont="1" applyFill="1" applyBorder="1" applyAlignment="1">
      <alignment horizontal="right" vertical="distributed"/>
    </xf>
    <xf numFmtId="10" fontId="18" fillId="32" borderId="18" xfId="1236" applyNumberFormat="1" applyFont="1" applyFill="1" applyBorder="1" applyAlignment="1">
      <alignment horizontal="right" vertical="center" wrapText="1"/>
    </xf>
    <xf numFmtId="9" fontId="18" fillId="32" borderId="18" xfId="0" applyNumberFormat="1" applyFont="1" applyFill="1" applyBorder="1" applyAlignment="1">
      <alignment horizontal="right" vertical="center" wrapText="1"/>
    </xf>
    <xf numFmtId="41" fontId="18" fillId="32" borderId="18" xfId="0" applyNumberFormat="1" applyFont="1" applyFill="1" applyBorder="1" applyAlignment="1">
      <alignment horizontal="right" vertical="center"/>
    </xf>
    <xf numFmtId="174" fontId="19" fillId="0" borderId="23" xfId="0" applyNumberFormat="1" applyFont="1" applyBorder="1" applyAlignment="1">
      <alignment horizontal="center" vertical="center"/>
    </xf>
    <xf numFmtId="174" fontId="19" fillId="0" borderId="0" xfId="0" applyNumberFormat="1" applyFont="1" applyAlignment="1">
      <alignment horizontal="center" vertical="center"/>
    </xf>
    <xf numFmtId="41" fontId="19" fillId="38" borderId="36" xfId="1253" applyNumberFormat="1" applyFont="1" applyFill="1" applyBorder="1" applyAlignment="1">
      <alignment horizontal="center" vertical="center" wrapText="1"/>
    </xf>
    <xf numFmtId="41" fontId="53" fillId="24" borderId="15" xfId="1236" applyFont="1" applyFill="1" applyBorder="1" applyAlignment="1">
      <alignment horizontal="center" vertical="center" wrapText="1"/>
    </xf>
    <xf numFmtId="41" fontId="17" fillId="0" borderId="20" xfId="1253" applyNumberFormat="1" applyFont="1" applyBorder="1" applyAlignment="1">
      <alignment horizontal="center" vertical="center"/>
    </xf>
    <xf numFmtId="41" fontId="19" fillId="38" borderId="20" xfId="1253" applyNumberFormat="1" applyFont="1" applyFill="1" applyBorder="1" applyAlignment="1">
      <alignment horizontal="center" vertical="center" wrapText="1"/>
    </xf>
    <xf numFmtId="41" fontId="19" fillId="38" borderId="86" xfId="1253" applyNumberFormat="1" applyFont="1" applyFill="1" applyBorder="1" applyAlignment="1">
      <alignment horizontal="center" vertical="center" wrapText="1"/>
    </xf>
    <xf numFmtId="177" fontId="17" fillId="24" borderId="86" xfId="1253" applyNumberFormat="1" applyFont="1" applyFill="1" applyBorder="1" applyAlignment="1">
      <alignment horizontal="center" vertical="center"/>
    </xf>
    <xf numFmtId="179" fontId="17" fillId="25" borderId="20" xfId="1253" applyNumberFormat="1" applyFont="1" applyFill="1" applyBorder="1" applyAlignment="1">
      <alignment horizontal="center" vertical="center"/>
    </xf>
    <xf numFmtId="173" fontId="47" fillId="24" borderId="143" xfId="1253" applyNumberFormat="1" applyFont="1" applyFill="1" applyBorder="1" applyAlignment="1">
      <alignment horizontal="center" vertical="center" wrapText="1"/>
    </xf>
    <xf numFmtId="41" fontId="19" fillId="38" borderId="73" xfId="1253" applyNumberFormat="1" applyFont="1" applyFill="1" applyBorder="1" applyAlignment="1">
      <alignment horizontal="center" vertical="center" wrapText="1"/>
    </xf>
    <xf numFmtId="41" fontId="53" fillId="36" borderId="190" xfId="1253" applyNumberFormat="1" applyFont="1" applyFill="1" applyBorder="1" applyAlignment="1">
      <alignment horizontal="center" vertical="center" wrapText="1"/>
    </xf>
    <xf numFmtId="41" fontId="17" fillId="25" borderId="36" xfId="1253" applyNumberFormat="1" applyFont="1" applyFill="1" applyBorder="1" applyAlignment="1">
      <alignment horizontal="center" vertical="center"/>
    </xf>
    <xf numFmtId="10" fontId="17" fillId="25" borderId="36" xfId="3526" applyNumberFormat="1" applyFont="1" applyFill="1" applyBorder="1" applyAlignment="1">
      <alignment horizontal="right" vertical="center"/>
    </xf>
    <xf numFmtId="41" fontId="17" fillId="25" borderId="86" xfId="1253" applyNumberFormat="1" applyFont="1" applyFill="1" applyBorder="1" applyAlignment="1">
      <alignment horizontal="center" vertical="center"/>
    </xf>
    <xf numFmtId="187" fontId="17" fillId="25" borderId="86" xfId="1253" applyNumberFormat="1" applyFont="1" applyFill="1" applyBorder="1" applyAlignment="1">
      <alignment horizontal="center" vertical="center"/>
    </xf>
    <xf numFmtId="9" fontId="17" fillId="25" borderId="150" xfId="3526" applyFont="1" applyFill="1" applyBorder="1" applyAlignment="1">
      <alignment horizontal="right" vertical="center"/>
    </xf>
    <xf numFmtId="41" fontId="17" fillId="24" borderId="191" xfId="1253" applyNumberFormat="1" applyFont="1" applyFill="1" applyBorder="1" applyAlignment="1">
      <alignment horizontal="center" vertical="center"/>
    </xf>
    <xf numFmtId="174" fontId="17" fillId="24" borderId="191" xfId="1253" applyNumberFormat="1" applyFont="1" applyFill="1" applyBorder="1" applyAlignment="1">
      <alignment horizontal="center" vertical="center"/>
    </xf>
    <xf numFmtId="10" fontId="17" fillId="0" borderId="191" xfId="3526" applyNumberFormat="1" applyFont="1" applyFill="1" applyBorder="1" applyAlignment="1">
      <alignment horizontal="right" vertical="center"/>
    </xf>
    <xf numFmtId="177" fontId="17" fillId="0" borderId="191" xfId="1253" applyNumberFormat="1" applyFont="1" applyBorder="1" applyAlignment="1">
      <alignment horizontal="center" vertical="center"/>
    </xf>
    <xf numFmtId="187" fontId="17" fillId="0" borderId="191" xfId="1253" applyNumberFormat="1" applyFont="1" applyBorder="1" applyAlignment="1">
      <alignment horizontal="center" vertical="center"/>
    </xf>
    <xf numFmtId="9" fontId="17" fillId="0" borderId="191" xfId="3526" applyFont="1" applyFill="1" applyBorder="1" applyAlignment="1">
      <alignment horizontal="right" vertical="center"/>
    </xf>
    <xf numFmtId="41" fontId="17" fillId="0" borderId="191" xfId="1253" applyNumberFormat="1" applyFont="1" applyBorder="1" applyAlignment="1">
      <alignment horizontal="center" vertical="center"/>
    </xf>
    <xf numFmtId="174" fontId="17" fillId="0" borderId="191" xfId="1253" applyNumberFormat="1" applyFont="1" applyBorder="1" applyAlignment="1">
      <alignment horizontal="center" vertical="center"/>
    </xf>
    <xf numFmtId="174" fontId="17" fillId="0" borderId="51" xfId="1253" applyNumberFormat="1" applyFont="1" applyBorder="1" applyAlignment="1">
      <alignment vertical="center"/>
    </xf>
    <xf numFmtId="174" fontId="17" fillId="0" borderId="86" xfId="1253" applyNumberFormat="1" applyFont="1" applyBorder="1" applyAlignment="1">
      <alignment horizontal="center" vertical="center"/>
    </xf>
    <xf numFmtId="0" fontId="19" fillId="24" borderId="12" xfId="1253" applyFont="1" applyFill="1" applyBorder="1" applyAlignment="1">
      <alignment horizontal="center" vertical="center" wrapText="1"/>
    </xf>
    <xf numFmtId="16" fontId="0" fillId="0" borderId="12" xfId="0" applyNumberFormat="1" applyBorder="1" applyAlignment="1">
      <alignment vertical="center"/>
    </xf>
    <xf numFmtId="41" fontId="19" fillId="24" borderId="12" xfId="1253" applyNumberFormat="1" applyFont="1" applyFill="1" applyBorder="1" applyAlignment="1">
      <alignment horizontal="center" vertical="center" wrapText="1"/>
    </xf>
    <xf numFmtId="9" fontId="17" fillId="0" borderId="86" xfId="3526" applyFont="1" applyFill="1" applyBorder="1" applyAlignment="1">
      <alignment horizontal="right" vertical="center"/>
    </xf>
    <xf numFmtId="9" fontId="17" fillId="25" borderId="89" xfId="3526" applyFont="1" applyFill="1" applyBorder="1" applyAlignment="1">
      <alignment horizontal="right" vertical="center"/>
    </xf>
    <xf numFmtId="9" fontId="17" fillId="0" borderId="134" xfId="3526" applyFont="1" applyFill="1" applyBorder="1" applyAlignment="1">
      <alignment horizontal="right" vertical="center"/>
    </xf>
    <xf numFmtId="9" fontId="17" fillId="0" borderId="114" xfId="3526" applyFont="1" applyFill="1" applyBorder="1" applyAlignment="1">
      <alignment horizontal="right" vertical="center"/>
    </xf>
    <xf numFmtId="38" fontId="17" fillId="0" borderId="196" xfId="1253" applyNumberFormat="1" applyFont="1" applyBorder="1" applyAlignment="1">
      <alignment vertical="center"/>
    </xf>
    <xf numFmtId="38" fontId="17" fillId="0" borderId="197" xfId="1253" applyNumberFormat="1" applyFont="1" applyBorder="1" applyAlignment="1">
      <alignment vertical="center"/>
    </xf>
    <xf numFmtId="41" fontId="17" fillId="36" borderId="59" xfId="1253" applyNumberFormat="1" applyFont="1" applyFill="1" applyBorder="1" applyAlignment="1">
      <alignment horizontal="center" vertical="center"/>
    </xf>
    <xf numFmtId="38" fontId="17" fillId="0" borderId="198" xfId="1253" applyNumberFormat="1" applyFont="1" applyBorder="1" applyAlignment="1">
      <alignment vertical="center"/>
    </xf>
    <xf numFmtId="38" fontId="17" fillId="0" borderId="199" xfId="1253" applyNumberFormat="1" applyFont="1" applyBorder="1" applyAlignment="1">
      <alignment vertical="center"/>
    </xf>
    <xf numFmtId="10" fontId="17" fillId="25" borderId="45" xfId="1253" applyNumberFormat="1" applyFont="1" applyFill="1" applyBorder="1" applyAlignment="1">
      <alignment horizontal="right" vertical="center"/>
    </xf>
    <xf numFmtId="41" fontId="17" fillId="25" borderId="201" xfId="1253" applyNumberFormat="1" applyFont="1" applyFill="1" applyBorder="1" applyAlignment="1">
      <alignment horizontal="center" vertical="center"/>
    </xf>
    <xf numFmtId="9" fontId="17" fillId="24" borderId="200" xfId="3526" applyFont="1" applyFill="1" applyBorder="1" applyAlignment="1">
      <alignment vertical="center"/>
    </xf>
    <xf numFmtId="9" fontId="17" fillId="28" borderId="202" xfId="3526" applyFont="1" applyFill="1" applyBorder="1" applyAlignment="1">
      <alignment vertical="center"/>
    </xf>
    <xf numFmtId="174" fontId="17" fillId="0" borderId="203" xfId="1253" applyNumberFormat="1" applyFont="1" applyBorder="1" applyAlignment="1">
      <alignment horizontal="center" vertical="center"/>
    </xf>
    <xf numFmtId="9" fontId="17" fillId="24" borderId="202" xfId="3526" applyFont="1" applyFill="1" applyBorder="1" applyAlignment="1">
      <alignment vertical="center"/>
    </xf>
    <xf numFmtId="9" fontId="17" fillId="24" borderId="204" xfId="3526" applyFont="1" applyFill="1" applyBorder="1" applyAlignment="1">
      <alignment vertical="center"/>
    </xf>
    <xf numFmtId="9" fontId="17" fillId="25" borderId="205" xfId="3526" applyFont="1" applyFill="1" applyBorder="1" applyAlignment="1">
      <alignment horizontal="right" vertical="center"/>
    </xf>
    <xf numFmtId="9" fontId="17" fillId="0" borderId="86" xfId="1253" applyNumberFormat="1" applyFont="1" applyBorder="1" applyAlignment="1">
      <alignment horizontal="right" vertical="center"/>
    </xf>
    <xf numFmtId="0" fontId="17" fillId="24" borderId="208" xfId="0" applyFont="1" applyFill="1" applyBorder="1" applyAlignment="1">
      <alignment vertical="center"/>
    </xf>
    <xf numFmtId="9" fontId="17" fillId="0" borderId="29" xfId="3526" applyFont="1" applyFill="1" applyBorder="1" applyAlignment="1">
      <alignment horizontal="right" vertical="center"/>
    </xf>
    <xf numFmtId="9" fontId="18" fillId="31" borderId="83" xfId="1253" applyNumberFormat="1" applyFont="1" applyFill="1" applyBorder="1" applyAlignment="1">
      <alignment horizontal="right" vertical="center"/>
    </xf>
    <xf numFmtId="10" fontId="18" fillId="31" borderId="85" xfId="1253" applyNumberFormat="1" applyFont="1" applyFill="1" applyBorder="1" applyAlignment="1">
      <alignment horizontal="right" vertical="center"/>
    </xf>
    <xf numFmtId="174" fontId="17" fillId="24" borderId="86" xfId="1253" applyNumberFormat="1" applyFont="1" applyFill="1" applyBorder="1" applyAlignment="1">
      <alignment horizontal="center" vertical="center"/>
    </xf>
    <xf numFmtId="0" fontId="19" fillId="24" borderId="210" xfId="1253" applyFont="1" applyFill="1" applyBorder="1" applyAlignment="1">
      <alignment horizontal="center" vertical="center" wrapText="1"/>
    </xf>
    <xf numFmtId="182" fontId="51" fillId="31" borderId="211" xfId="3526" applyNumberFormat="1" applyFont="1" applyFill="1" applyBorder="1" applyAlignment="1">
      <alignment horizontal="center" vertical="center"/>
    </xf>
    <xf numFmtId="9" fontId="18" fillId="31" borderId="84" xfId="1253" applyNumberFormat="1" applyFont="1" applyFill="1" applyBorder="1" applyAlignment="1">
      <alignment horizontal="right" vertical="center"/>
    </xf>
    <xf numFmtId="174" fontId="18" fillId="31" borderId="83" xfId="3526" applyNumberFormat="1" applyFont="1" applyFill="1" applyBorder="1" applyAlignment="1">
      <alignment horizontal="right" vertical="center"/>
    </xf>
    <xf numFmtId="10" fontId="18" fillId="31" borderId="166" xfId="3526" applyNumberFormat="1" applyFont="1" applyFill="1" applyBorder="1" applyAlignment="1">
      <alignment horizontal="right" vertical="center"/>
    </xf>
    <xf numFmtId="0" fontId="18" fillId="35" borderId="213" xfId="1253" applyFont="1" applyFill="1" applyBorder="1" applyAlignment="1">
      <alignment horizontal="center" vertical="center" wrapText="1"/>
    </xf>
    <xf numFmtId="10" fontId="18" fillId="31" borderId="215" xfId="1253" applyNumberFormat="1" applyFont="1" applyFill="1" applyBorder="1" applyAlignment="1">
      <alignment vertical="center"/>
    </xf>
    <xf numFmtId="9" fontId="17" fillId="0" borderId="214" xfId="3526" applyFont="1" applyFill="1" applyBorder="1" applyAlignment="1">
      <alignment horizontal="right" vertical="center"/>
    </xf>
    <xf numFmtId="9" fontId="17" fillId="0" borderId="163" xfId="3526" applyFont="1" applyFill="1" applyBorder="1" applyAlignment="1">
      <alignment horizontal="right" vertical="center"/>
    </xf>
    <xf numFmtId="9" fontId="17" fillId="0" borderId="214" xfId="1253" applyNumberFormat="1" applyFont="1" applyBorder="1" applyAlignment="1">
      <alignment horizontal="right" vertical="center"/>
    </xf>
    <xf numFmtId="2" fontId="57" fillId="0" borderId="161" xfId="0" applyNumberFormat="1" applyFont="1" applyBorder="1" applyAlignment="1">
      <alignment vertical="center"/>
    </xf>
    <xf numFmtId="2" fontId="55" fillId="34" borderId="161" xfId="0" applyNumberFormat="1" applyFont="1" applyFill="1" applyBorder="1" applyAlignment="1">
      <alignment vertical="center"/>
    </xf>
    <xf numFmtId="170" fontId="18" fillId="39" borderId="83" xfId="1254" applyNumberFormat="1" applyFont="1" applyFill="1" applyBorder="1" applyAlignment="1">
      <alignment horizontal="center" vertical="center"/>
    </xf>
    <xf numFmtId="41" fontId="18" fillId="39" borderId="83" xfId="1236" applyFont="1" applyFill="1" applyBorder="1" applyAlignment="1">
      <alignment horizontal="center" vertical="center" shrinkToFit="1"/>
    </xf>
    <xf numFmtId="10" fontId="18" fillId="39" borderId="83" xfId="0" applyNumberFormat="1" applyFont="1" applyFill="1" applyBorder="1" applyAlignment="1">
      <alignment horizontal="right" vertical="center" wrapText="1"/>
    </xf>
    <xf numFmtId="10" fontId="18" fillId="39" borderId="83" xfId="1236" applyNumberFormat="1" applyFont="1" applyFill="1" applyBorder="1" applyAlignment="1">
      <alignment horizontal="right" vertical="center" shrinkToFit="1"/>
    </xf>
    <xf numFmtId="10" fontId="18" fillId="39" borderId="83" xfId="3526" applyNumberFormat="1" applyFont="1" applyFill="1" applyBorder="1" applyAlignment="1">
      <alignment horizontal="right" vertical="center" shrinkToFit="1"/>
    </xf>
    <xf numFmtId="10" fontId="18" fillId="39" borderId="228" xfId="3526" applyNumberFormat="1" applyFont="1" applyFill="1" applyBorder="1" applyAlignment="1">
      <alignment horizontal="right" vertical="center"/>
    </xf>
    <xf numFmtId="2" fontId="18" fillId="39" borderId="85" xfId="3526" applyNumberFormat="1" applyFont="1" applyFill="1" applyBorder="1" applyAlignment="1">
      <alignment horizontal="right" vertical="center"/>
    </xf>
    <xf numFmtId="0" fontId="62" fillId="0" borderId="0" xfId="3528" applyFont="1" applyAlignment="1">
      <alignment vertical="center"/>
    </xf>
    <xf numFmtId="0" fontId="61" fillId="0" borderId="0" xfId="3528" applyAlignment="1">
      <alignment vertical="center"/>
    </xf>
    <xf numFmtId="41" fontId="19" fillId="24" borderId="186" xfId="1253" applyNumberFormat="1" applyFont="1" applyFill="1" applyBorder="1" applyAlignment="1">
      <alignment horizontal="center" vertical="center" wrapText="1"/>
    </xf>
    <xf numFmtId="41" fontId="19" fillId="24" borderId="97" xfId="1253" applyNumberFormat="1" applyFont="1" applyFill="1" applyBorder="1" applyAlignment="1">
      <alignment horizontal="center" vertical="center" wrapText="1"/>
    </xf>
    <xf numFmtId="41" fontId="19" fillId="0" borderId="12" xfId="1253" applyNumberFormat="1" applyFont="1" applyBorder="1" applyAlignment="1">
      <alignment horizontal="center" vertical="center" wrapText="1"/>
    </xf>
    <xf numFmtId="0" fontId="18" fillId="34" borderId="152" xfId="1253" applyFont="1" applyFill="1" applyBorder="1" applyAlignment="1">
      <alignment horizontal="center" vertical="center" wrapText="1"/>
    </xf>
    <xf numFmtId="10" fontId="17" fillId="24" borderId="191" xfId="1253" applyNumberFormat="1" applyFont="1" applyFill="1" applyBorder="1" applyAlignment="1">
      <alignment horizontal="center" vertical="center"/>
    </xf>
    <xf numFmtId="41" fontId="19" fillId="24" borderId="45" xfId="1253" applyNumberFormat="1" applyFont="1" applyFill="1" applyBorder="1" applyAlignment="1">
      <alignment horizontal="center" vertical="center" wrapText="1"/>
    </xf>
    <xf numFmtId="10" fontId="24" fillId="24" borderId="191" xfId="1253" applyNumberFormat="1" applyFont="1" applyFill="1" applyBorder="1" applyAlignment="1">
      <alignment horizontal="center" vertical="center"/>
    </xf>
    <xf numFmtId="10" fontId="25" fillId="24" borderId="191" xfId="1253" applyNumberFormat="1" applyFont="1" applyFill="1" applyBorder="1" applyAlignment="1">
      <alignment horizontal="center" vertical="center"/>
    </xf>
    <xf numFmtId="10" fontId="17" fillId="25" borderId="191" xfId="1253" applyNumberFormat="1" applyFont="1" applyFill="1" applyBorder="1" applyAlignment="1">
      <alignment horizontal="center" vertical="center"/>
    </xf>
    <xf numFmtId="41" fontId="19" fillId="24" borderId="39" xfId="1253" applyNumberFormat="1" applyFont="1" applyFill="1" applyBorder="1" applyAlignment="1">
      <alignment horizontal="center" vertical="center" wrapText="1"/>
    </xf>
    <xf numFmtId="41" fontId="17" fillId="25" borderId="229" xfId="1253" applyNumberFormat="1" applyFont="1" applyFill="1" applyBorder="1" applyAlignment="1">
      <alignment horizontal="center" vertical="center"/>
    </xf>
    <xf numFmtId="41" fontId="19" fillId="24" borderId="191" xfId="1253" applyNumberFormat="1" applyFont="1" applyFill="1" applyBorder="1" applyAlignment="1">
      <alignment horizontal="center" vertical="center" wrapText="1"/>
    </xf>
    <xf numFmtId="10" fontId="19" fillId="24" borderId="191" xfId="1253" applyNumberFormat="1" applyFont="1" applyFill="1" applyBorder="1" applyAlignment="1">
      <alignment horizontal="center" vertical="center" wrapText="1"/>
    </xf>
    <xf numFmtId="0" fontId="17" fillId="24" borderId="191" xfId="0" applyFont="1" applyFill="1" applyBorder="1" applyAlignment="1">
      <alignment vertical="center"/>
    </xf>
    <xf numFmtId="174" fontId="17" fillId="0" borderId="232" xfId="1253" applyNumberFormat="1" applyFont="1" applyBorder="1" applyAlignment="1">
      <alignment vertical="center"/>
    </xf>
    <xf numFmtId="10" fontId="17" fillId="0" borderId="235" xfId="3526" applyNumberFormat="1" applyFont="1" applyFill="1" applyBorder="1" applyAlignment="1">
      <alignment horizontal="right" vertical="center"/>
    </xf>
    <xf numFmtId="41" fontId="17" fillId="25" borderId="24" xfId="1253" applyNumberFormat="1" applyFont="1" applyFill="1" applyBorder="1" applyAlignment="1">
      <alignment horizontal="center" vertical="center"/>
    </xf>
    <xf numFmtId="9" fontId="17" fillId="25" borderId="236" xfId="3526" applyFont="1" applyFill="1" applyBorder="1" applyAlignment="1">
      <alignment horizontal="right" vertical="center"/>
    </xf>
    <xf numFmtId="9" fontId="17" fillId="0" borderId="61" xfId="3526" applyFont="1" applyFill="1" applyBorder="1" applyAlignment="1">
      <alignment horizontal="right" vertical="center"/>
    </xf>
    <xf numFmtId="41" fontId="17" fillId="25" borderId="44" xfId="1253" applyNumberFormat="1" applyFont="1" applyFill="1" applyBorder="1" applyAlignment="1">
      <alignment horizontal="center" vertical="center"/>
    </xf>
    <xf numFmtId="9" fontId="17" fillId="0" borderId="238" xfId="3526" applyFont="1" applyFill="1" applyBorder="1" applyAlignment="1">
      <alignment horizontal="right" vertical="center"/>
    </xf>
    <xf numFmtId="9" fontId="17" fillId="0" borderId="239" xfId="3526" applyFont="1" applyFill="1" applyBorder="1" applyAlignment="1">
      <alignment horizontal="right" vertical="center"/>
    </xf>
    <xf numFmtId="1" fontId="17" fillId="0" borderId="86" xfId="1253" applyNumberFormat="1" applyFont="1" applyBorder="1" applyAlignment="1">
      <alignment horizontal="right" vertical="center"/>
    </xf>
    <xf numFmtId="10" fontId="17" fillId="25" borderId="64" xfId="3526" applyNumberFormat="1" applyFont="1" applyFill="1" applyBorder="1" applyAlignment="1">
      <alignment horizontal="right" vertical="center"/>
    </xf>
    <xf numFmtId="174" fontId="17" fillId="0" borderId="76" xfId="1253" applyNumberFormat="1" applyFont="1" applyBorder="1" applyAlignment="1">
      <alignment vertical="center"/>
    </xf>
    <xf numFmtId="174" fontId="17" fillId="0" borderId="240" xfId="1253" applyNumberFormat="1" applyFont="1" applyBorder="1" applyAlignment="1">
      <alignment vertical="center"/>
    </xf>
    <xf numFmtId="174" fontId="17" fillId="0" borderId="61" xfId="1253" applyNumberFormat="1" applyFont="1" applyBorder="1" applyAlignment="1">
      <alignment vertical="center"/>
    </xf>
    <xf numFmtId="0" fontId="17" fillId="0" borderId="61" xfId="1253" applyFont="1" applyBorder="1" applyAlignment="1">
      <alignment vertical="center"/>
    </xf>
    <xf numFmtId="181" fontId="17" fillId="0" borderId="61" xfId="1253" applyNumberFormat="1" applyFont="1" applyBorder="1" applyAlignment="1">
      <alignment horizontal="center" vertical="center"/>
    </xf>
    <xf numFmtId="9" fontId="17" fillId="24" borderId="241" xfId="3526" applyFont="1" applyFill="1" applyBorder="1" applyAlignment="1">
      <alignment vertical="center"/>
    </xf>
    <xf numFmtId="188" fontId="17" fillId="25" borderId="146" xfId="1253" applyNumberFormat="1" applyFont="1" applyFill="1" applyBorder="1" applyAlignment="1">
      <alignment horizontal="center" vertical="center"/>
    </xf>
    <xf numFmtId="41" fontId="19" fillId="24" borderId="243" xfId="1253" applyNumberFormat="1" applyFont="1" applyFill="1" applyBorder="1" applyAlignment="1">
      <alignment horizontal="center" vertical="center" wrapText="1"/>
    </xf>
    <xf numFmtId="9" fontId="17" fillId="24" borderId="121" xfId="1253" applyNumberFormat="1" applyFont="1" applyFill="1" applyBorder="1" applyAlignment="1">
      <alignment horizontal="right" vertical="center"/>
    </xf>
    <xf numFmtId="10" fontId="17" fillId="24" borderId="29" xfId="1253" applyNumberFormat="1" applyFont="1" applyFill="1" applyBorder="1" applyAlignment="1">
      <alignment horizontal="right" vertical="center"/>
    </xf>
    <xf numFmtId="9" fontId="17" fillId="0" borderId="78" xfId="1253" applyNumberFormat="1" applyFont="1" applyBorder="1" applyAlignment="1">
      <alignment horizontal="right" vertical="center"/>
    </xf>
    <xf numFmtId="9" fontId="17" fillId="0" borderId="244" xfId="1253" applyNumberFormat="1" applyFont="1" applyBorder="1" applyAlignment="1">
      <alignment horizontal="right" vertical="center"/>
    </xf>
    <xf numFmtId="9" fontId="17" fillId="0" borderId="78" xfId="3526" applyFont="1" applyFill="1" applyBorder="1" applyAlignment="1">
      <alignment horizontal="right" vertical="center"/>
    </xf>
    <xf numFmtId="9" fontId="17" fillId="25" borderId="164" xfId="1253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vertical="center"/>
    </xf>
    <xf numFmtId="41" fontId="65" fillId="24" borderId="12" xfId="1253" applyNumberFormat="1" applyFont="1" applyFill="1" applyBorder="1" applyAlignment="1">
      <alignment horizontal="center" vertical="center"/>
    </xf>
    <xf numFmtId="41" fontId="65" fillId="24" borderId="12" xfId="1253" applyNumberFormat="1" applyFont="1" applyFill="1" applyBorder="1" applyAlignment="1">
      <alignment vertical="center"/>
    </xf>
    <xf numFmtId="9" fontId="65" fillId="24" borderId="12" xfId="3526" applyFont="1" applyFill="1" applyBorder="1" applyAlignment="1">
      <alignment vertical="center"/>
    </xf>
    <xf numFmtId="9" fontId="65" fillId="24" borderId="12" xfId="3526" applyFont="1" applyFill="1" applyBorder="1" applyAlignment="1">
      <alignment horizontal="center" vertical="center"/>
    </xf>
    <xf numFmtId="1" fontId="65" fillId="24" borderId="12" xfId="3526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77" fontId="65" fillId="24" borderId="12" xfId="3527" applyNumberFormat="1" applyFont="1" applyFill="1" applyBorder="1" applyAlignment="1">
      <alignment horizontal="right" vertical="center"/>
    </xf>
    <xf numFmtId="177" fontId="65" fillId="24" borderId="186" xfId="3527" applyNumberFormat="1" applyFont="1" applyFill="1" applyBorder="1" applyAlignment="1">
      <alignment horizontal="right" vertical="center"/>
    </xf>
    <xf numFmtId="177" fontId="65" fillId="0" borderId="12" xfId="3527" applyNumberFormat="1" applyFont="1" applyBorder="1" applyAlignment="1">
      <alignment horizontal="right" vertical="center"/>
    </xf>
    <xf numFmtId="177" fontId="65" fillId="0" borderId="186" xfId="3527" applyNumberFormat="1" applyFont="1" applyBorder="1" applyAlignment="1">
      <alignment horizontal="right" vertical="center"/>
    </xf>
    <xf numFmtId="177" fontId="65" fillId="24" borderId="12" xfId="3527" applyNumberFormat="1" applyFont="1" applyFill="1" applyBorder="1" applyAlignment="1">
      <alignment horizontal="center" vertical="center"/>
    </xf>
    <xf numFmtId="177" fontId="65" fillId="0" borderId="12" xfId="3527" applyNumberFormat="1" applyFont="1" applyBorder="1" applyAlignment="1">
      <alignment vertical="center"/>
    </xf>
    <xf numFmtId="41" fontId="65" fillId="24" borderId="186" xfId="1253" applyNumberFormat="1" applyFont="1" applyFill="1" applyBorder="1" applyAlignment="1">
      <alignment horizontal="center" vertical="center"/>
    </xf>
    <xf numFmtId="1" fontId="65" fillId="0" borderId="186" xfId="0" applyNumberFormat="1" applyFont="1" applyBorder="1" applyAlignment="1">
      <alignment vertical="center"/>
    </xf>
    <xf numFmtId="0" fontId="65" fillId="0" borderId="186" xfId="0" applyFont="1" applyBorder="1" applyAlignment="1">
      <alignment vertical="center"/>
    </xf>
    <xf numFmtId="16" fontId="0" fillId="0" borderId="105" xfId="0" applyNumberFormat="1" applyBorder="1" applyAlignment="1">
      <alignment vertical="center"/>
    </xf>
    <xf numFmtId="177" fontId="65" fillId="0" borderId="105" xfId="3527" applyNumberFormat="1" applyFont="1" applyBorder="1" applyAlignment="1">
      <alignment horizontal="right" vertical="center"/>
    </xf>
    <xf numFmtId="0" fontId="65" fillId="0" borderId="184" xfId="0" applyFont="1" applyBorder="1" applyAlignment="1">
      <alignment vertical="center"/>
    </xf>
    <xf numFmtId="0" fontId="65" fillId="0" borderId="105" xfId="0" applyFont="1" applyBorder="1" applyAlignment="1">
      <alignment vertical="center"/>
    </xf>
    <xf numFmtId="177" fontId="65" fillId="0" borderId="105" xfId="3527" applyNumberFormat="1" applyFont="1" applyBorder="1" applyAlignment="1">
      <alignment vertical="center"/>
    </xf>
    <xf numFmtId="1" fontId="65" fillId="0" borderId="184" xfId="0" applyNumberFormat="1" applyFont="1" applyBorder="1" applyAlignment="1">
      <alignment vertical="center"/>
    </xf>
    <xf numFmtId="9" fontId="65" fillId="24" borderId="105" xfId="3526" applyFont="1" applyFill="1" applyBorder="1" applyAlignment="1">
      <alignment vertical="center"/>
    </xf>
    <xf numFmtId="1" fontId="65" fillId="24" borderId="105" xfId="3526" applyNumberFormat="1" applyFont="1" applyFill="1" applyBorder="1" applyAlignment="1">
      <alignment horizontal="right" vertical="center"/>
    </xf>
    <xf numFmtId="177" fontId="65" fillId="24" borderId="105" xfId="3527" applyNumberFormat="1" applyFont="1" applyFill="1" applyBorder="1" applyAlignment="1">
      <alignment horizontal="center" vertical="center"/>
    </xf>
    <xf numFmtId="0" fontId="65" fillId="0" borderId="188" xfId="0" applyFont="1" applyBorder="1" applyAlignment="1">
      <alignment vertical="center"/>
    </xf>
    <xf numFmtId="0" fontId="65" fillId="0" borderId="189" xfId="0" applyFont="1" applyBorder="1" applyAlignment="1">
      <alignment vertical="center"/>
    </xf>
    <xf numFmtId="177" fontId="65" fillId="0" borderId="189" xfId="3527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77" fontId="65" fillId="24" borderId="189" xfId="3527" applyNumberFormat="1" applyFont="1" applyFill="1" applyBorder="1" applyAlignment="1">
      <alignment horizontal="right" vertical="center"/>
    </xf>
    <xf numFmtId="177" fontId="65" fillId="24" borderId="188" xfId="3527" applyNumberFormat="1" applyFont="1" applyFill="1" applyBorder="1" applyAlignment="1">
      <alignment horizontal="right" vertical="center"/>
    </xf>
    <xf numFmtId="41" fontId="65" fillId="24" borderId="188" xfId="1253" applyNumberFormat="1" applyFont="1" applyFill="1" applyBorder="1" applyAlignment="1">
      <alignment horizontal="center" vertical="center"/>
    </xf>
    <xf numFmtId="41" fontId="65" fillId="24" borderId="189" xfId="1253" applyNumberFormat="1" applyFont="1" applyFill="1" applyBorder="1" applyAlignment="1">
      <alignment vertical="center"/>
    </xf>
    <xf numFmtId="9" fontId="65" fillId="24" borderId="189" xfId="3526" applyFont="1" applyFill="1" applyBorder="1" applyAlignment="1">
      <alignment vertical="center"/>
    </xf>
    <xf numFmtId="41" fontId="65" fillId="24" borderId="189" xfId="1253" applyNumberFormat="1" applyFont="1" applyFill="1" applyBorder="1" applyAlignment="1">
      <alignment horizontal="center" vertical="center"/>
    </xf>
    <xf numFmtId="177" fontId="65" fillId="24" borderId="189" xfId="3527" applyNumberFormat="1" applyFont="1" applyFill="1" applyBorder="1" applyAlignment="1">
      <alignment horizontal="center" vertical="center"/>
    </xf>
    <xf numFmtId="16" fontId="66" fillId="0" borderId="12" xfId="0" applyNumberFormat="1" applyFont="1" applyBorder="1" applyAlignment="1">
      <alignment vertical="center"/>
    </xf>
    <xf numFmtId="16" fontId="66" fillId="0" borderId="189" xfId="0" applyNumberFormat="1" applyFont="1" applyBorder="1" applyAlignment="1">
      <alignment vertical="center"/>
    </xf>
    <xf numFmtId="9" fontId="17" fillId="24" borderId="191" xfId="3526" applyFont="1" applyFill="1" applyBorder="1" applyAlignment="1">
      <alignment horizontal="right" vertical="center"/>
    </xf>
    <xf numFmtId="9" fontId="17" fillId="25" borderId="191" xfId="3526" applyFont="1" applyFill="1" applyBorder="1" applyAlignment="1">
      <alignment horizontal="right" vertical="center"/>
    </xf>
    <xf numFmtId="41" fontId="19" fillId="42" borderId="36" xfId="1253" applyNumberFormat="1" applyFont="1" applyFill="1" applyBorder="1" applyAlignment="1">
      <alignment horizontal="center" vertical="center" wrapText="1"/>
    </xf>
    <xf numFmtId="41" fontId="19" fillId="42" borderId="86" xfId="1253" applyNumberFormat="1" applyFont="1" applyFill="1" applyBorder="1" applyAlignment="1">
      <alignment horizontal="center" vertical="center" wrapText="1"/>
    </xf>
    <xf numFmtId="10" fontId="19" fillId="43" borderId="96" xfId="1253" applyNumberFormat="1" applyFont="1" applyFill="1" applyBorder="1" applyAlignment="1">
      <alignment horizontal="center" vertical="center" wrapText="1"/>
    </xf>
    <xf numFmtId="10" fontId="53" fillId="43" borderId="96" xfId="1253" applyNumberFormat="1" applyFont="1" applyFill="1" applyBorder="1" applyAlignment="1">
      <alignment horizontal="center" vertical="center" wrapText="1"/>
    </xf>
    <xf numFmtId="10" fontId="53" fillId="43" borderId="95" xfId="1253" applyNumberFormat="1" applyFont="1" applyFill="1" applyBorder="1" applyAlignment="1">
      <alignment horizontal="center" vertical="center" wrapText="1"/>
    </xf>
    <xf numFmtId="10" fontId="19" fillId="43" borderId="100" xfId="1253" applyNumberFormat="1" applyFont="1" applyFill="1" applyBorder="1" applyAlignment="1">
      <alignment horizontal="center" vertical="center" wrapText="1"/>
    </xf>
    <xf numFmtId="10" fontId="53" fillId="43" borderId="216" xfId="1253" applyNumberFormat="1" applyFont="1" applyFill="1" applyBorder="1" applyAlignment="1">
      <alignment horizontal="center" vertical="center" wrapText="1"/>
    </xf>
    <xf numFmtId="41" fontId="19" fillId="42" borderId="73" xfId="1253" applyNumberFormat="1" applyFont="1" applyFill="1" applyBorder="1" applyAlignment="1">
      <alignment horizontal="center" vertical="center" wrapText="1"/>
    </xf>
    <xf numFmtId="41" fontId="19" fillId="42" borderId="74" xfId="1253" applyNumberFormat="1" applyFont="1" applyFill="1" applyBorder="1" applyAlignment="1">
      <alignment horizontal="center" vertical="center" wrapText="1"/>
    </xf>
    <xf numFmtId="10" fontId="53" fillId="43" borderId="112" xfId="1253" applyNumberFormat="1" applyFont="1" applyFill="1" applyBorder="1" applyAlignment="1">
      <alignment horizontal="center" vertical="center" wrapText="1"/>
    </xf>
    <xf numFmtId="41" fontId="19" fillId="42" borderId="20" xfId="1253" applyNumberFormat="1" applyFont="1" applyFill="1" applyBorder="1" applyAlignment="1">
      <alignment horizontal="center" vertical="center" wrapText="1"/>
    </xf>
    <xf numFmtId="41" fontId="19" fillId="42" borderId="29" xfId="1253" applyNumberFormat="1" applyFont="1" applyFill="1" applyBorder="1" applyAlignment="1">
      <alignment horizontal="center" vertical="center" wrapText="1"/>
    </xf>
    <xf numFmtId="41" fontId="53" fillId="42" borderId="29" xfId="1253" applyNumberFormat="1" applyFont="1" applyFill="1" applyBorder="1" applyAlignment="1">
      <alignment horizontal="center" vertical="center" wrapText="1"/>
    </xf>
    <xf numFmtId="41" fontId="53" fillId="36" borderId="29" xfId="1253" applyNumberFormat="1" applyFont="1" applyFill="1" applyBorder="1" applyAlignment="1">
      <alignment horizontal="center" vertical="center" wrapText="1"/>
    </xf>
    <xf numFmtId="10" fontId="53" fillId="43" borderId="209" xfId="1253" applyNumberFormat="1" applyFont="1" applyFill="1" applyBorder="1" applyAlignment="1">
      <alignment horizontal="center" vertical="center" wrapText="1"/>
    </xf>
    <xf numFmtId="10" fontId="53" fillId="43" borderId="122" xfId="1253" applyNumberFormat="1" applyFont="1" applyFill="1" applyBorder="1" applyAlignment="1">
      <alignment horizontal="center" vertical="center" wrapText="1"/>
    </xf>
    <xf numFmtId="177" fontId="17" fillId="25" borderId="20" xfId="1253" applyNumberFormat="1" applyFont="1" applyFill="1" applyBorder="1" applyAlignment="1">
      <alignment horizontal="center" vertical="center"/>
    </xf>
    <xf numFmtId="9" fontId="17" fillId="24" borderId="249" xfId="3526" applyFont="1" applyFill="1" applyBorder="1" applyAlignment="1">
      <alignment horizontal="right" vertical="center"/>
    </xf>
    <xf numFmtId="41" fontId="17" fillId="0" borderId="250" xfId="1253" applyNumberFormat="1" applyFont="1" applyBorder="1" applyAlignment="1">
      <alignment horizontal="center" vertical="center"/>
    </xf>
    <xf numFmtId="41" fontId="17" fillId="0" borderId="59" xfId="1253" applyNumberFormat="1" applyFont="1" applyBorder="1" applyAlignment="1">
      <alignment horizontal="center" vertical="center"/>
    </xf>
    <xf numFmtId="9" fontId="17" fillId="24" borderId="251" xfId="1253" applyNumberFormat="1" applyFont="1" applyFill="1" applyBorder="1" applyAlignment="1">
      <alignment horizontal="right" vertical="center"/>
    </xf>
    <xf numFmtId="38" fontId="17" fillId="0" borderId="252" xfId="1253" applyNumberFormat="1" applyFont="1" applyBorder="1" applyAlignment="1">
      <alignment vertical="center"/>
    </xf>
    <xf numFmtId="174" fontId="17" fillId="0" borderId="253" xfId="1253" applyNumberFormat="1" applyFont="1" applyBorder="1" applyAlignment="1">
      <alignment vertical="center"/>
    </xf>
    <xf numFmtId="174" fontId="17" fillId="0" borderId="254" xfId="1253" applyNumberFormat="1" applyFont="1" applyBorder="1" applyAlignment="1">
      <alignment vertical="center"/>
    </xf>
    <xf numFmtId="9" fontId="17" fillId="24" borderId="20" xfId="3526" applyFont="1" applyFill="1" applyBorder="1" applyAlignment="1">
      <alignment horizontal="right" vertical="center"/>
    </xf>
    <xf numFmtId="9" fontId="17" fillId="24" borderId="255" xfId="3526" applyFont="1" applyFill="1" applyBorder="1" applyAlignment="1">
      <alignment horizontal="right" vertical="center"/>
    </xf>
    <xf numFmtId="10" fontId="19" fillId="43" borderId="256" xfId="1253" applyNumberFormat="1" applyFont="1" applyFill="1" applyBorder="1" applyAlignment="1">
      <alignment horizontal="center" vertical="center" wrapText="1"/>
    </xf>
    <xf numFmtId="10" fontId="19" fillId="43" borderId="257" xfId="1253" applyNumberFormat="1" applyFont="1" applyFill="1" applyBorder="1" applyAlignment="1">
      <alignment horizontal="center" vertical="center" wrapText="1"/>
    </xf>
    <xf numFmtId="10" fontId="53" fillId="43" borderId="133" xfId="1253" applyNumberFormat="1" applyFont="1" applyFill="1" applyBorder="1" applyAlignment="1">
      <alignment horizontal="center" vertical="center" wrapText="1"/>
    </xf>
    <xf numFmtId="0" fontId="17" fillId="24" borderId="261" xfId="0" applyFont="1" applyFill="1" applyBorder="1" applyAlignment="1">
      <alignment vertical="center"/>
    </xf>
    <xf numFmtId="0" fontId="27" fillId="24" borderId="208" xfId="0" applyFont="1" applyFill="1" applyBorder="1" applyAlignment="1">
      <alignment vertical="center"/>
    </xf>
    <xf numFmtId="41" fontId="19" fillId="24" borderId="193" xfId="1253" applyNumberFormat="1" applyFont="1" applyFill="1" applyBorder="1" applyAlignment="1">
      <alignment horizontal="center" vertical="center" wrapText="1"/>
    </xf>
    <xf numFmtId="41" fontId="19" fillId="24" borderId="192" xfId="1253" applyNumberFormat="1" applyFont="1" applyFill="1" applyBorder="1" applyAlignment="1">
      <alignment horizontal="center" vertical="center" wrapText="1"/>
    </xf>
    <xf numFmtId="41" fontId="19" fillId="42" borderId="101" xfId="1253" applyNumberFormat="1" applyFont="1" applyFill="1" applyBorder="1" applyAlignment="1">
      <alignment horizontal="center" vertical="center" wrapText="1"/>
    </xf>
    <xf numFmtId="174" fontId="17" fillId="24" borderId="0" xfId="0" applyNumberFormat="1" applyFont="1" applyFill="1" applyAlignment="1">
      <alignment horizontal="center" vertical="center"/>
    </xf>
    <xf numFmtId="174" fontId="17" fillId="24" borderId="0" xfId="0" applyNumberFormat="1" applyFont="1" applyFill="1" applyAlignment="1">
      <alignment vertical="center"/>
    </xf>
    <xf numFmtId="174" fontId="23" fillId="24" borderId="0" xfId="0" applyNumberFormat="1" applyFont="1" applyFill="1" applyAlignment="1">
      <alignment vertical="center"/>
    </xf>
    <xf numFmtId="174" fontId="26" fillId="24" borderId="0" xfId="0" applyNumberFormat="1" applyFont="1" applyFill="1" applyAlignment="1">
      <alignment horizontal="center" vertical="center"/>
    </xf>
    <xf numFmtId="174" fontId="19" fillId="42" borderId="86" xfId="1253" applyNumberFormat="1" applyFont="1" applyFill="1" applyBorder="1" applyAlignment="1">
      <alignment horizontal="center" vertical="center" wrapText="1"/>
    </xf>
    <xf numFmtId="174" fontId="0" fillId="0" borderId="0" xfId="0" applyNumberFormat="1" applyAlignment="1">
      <alignment vertical="center"/>
    </xf>
    <xf numFmtId="174" fontId="19" fillId="42" borderId="74" xfId="1253" applyNumberFormat="1" applyFont="1" applyFill="1" applyBorder="1" applyAlignment="1">
      <alignment horizontal="center" vertical="center" wrapText="1"/>
    </xf>
    <xf numFmtId="174" fontId="17" fillId="25" borderId="36" xfId="1253" applyNumberFormat="1" applyFont="1" applyFill="1" applyBorder="1" applyAlignment="1">
      <alignment horizontal="center" vertical="center"/>
    </xf>
    <xf numFmtId="174" fontId="27" fillId="24" borderId="0" xfId="0" applyNumberFormat="1" applyFont="1" applyFill="1" applyAlignment="1">
      <alignment vertical="center"/>
    </xf>
    <xf numFmtId="174" fontId="19" fillId="24" borderId="86" xfId="1253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vertical="center"/>
    </xf>
    <xf numFmtId="1" fontId="19" fillId="24" borderId="97" xfId="1253" applyNumberFormat="1" applyFont="1" applyFill="1" applyBorder="1" applyAlignment="1">
      <alignment horizontal="center" vertical="center" wrapText="1"/>
    </xf>
    <xf numFmtId="1" fontId="17" fillId="24" borderId="97" xfId="3526" applyNumberFormat="1" applyFont="1" applyFill="1" applyBorder="1" applyAlignment="1">
      <alignment horizontal="center" vertical="center"/>
    </xf>
    <xf numFmtId="1" fontId="17" fillId="24" borderId="0" xfId="0" applyNumberFormat="1" applyFont="1" applyFill="1" applyAlignment="1">
      <alignment horizontal="center" vertical="center"/>
    </xf>
    <xf numFmtId="1" fontId="17" fillId="24" borderId="0" xfId="0" applyNumberFormat="1" applyFont="1" applyFill="1" applyAlignment="1">
      <alignment vertical="center"/>
    </xf>
    <xf numFmtId="1" fontId="23" fillId="24" borderId="0" xfId="0" applyNumberFormat="1" applyFont="1" applyFill="1" applyAlignment="1">
      <alignment vertical="center"/>
    </xf>
    <xf numFmtId="1" fontId="26" fillId="24" borderId="0" xfId="0" applyNumberFormat="1" applyFont="1" applyFill="1" applyAlignment="1">
      <alignment horizontal="center" vertical="center"/>
    </xf>
    <xf numFmtId="1" fontId="53" fillId="43" borderId="96" xfId="1253" applyNumberFormat="1" applyFont="1" applyFill="1" applyBorder="1" applyAlignment="1">
      <alignment horizontal="center" vertical="center" wrapText="1"/>
    </xf>
    <xf numFmtId="1" fontId="17" fillId="0" borderId="0" xfId="0" applyNumberFormat="1" applyFont="1" applyAlignment="1">
      <alignment horizontal="right" vertical="center"/>
    </xf>
    <xf numFmtId="177" fontId="65" fillId="0" borderId="105" xfId="3527" applyNumberFormat="1" applyFont="1" applyFill="1" applyBorder="1" applyAlignment="1">
      <alignment horizontal="right" vertical="center"/>
    </xf>
    <xf numFmtId="177" fontId="65" fillId="0" borderId="184" xfId="3527" applyNumberFormat="1" applyFont="1" applyFill="1" applyBorder="1" applyAlignment="1">
      <alignment horizontal="right" vertical="center"/>
    </xf>
    <xf numFmtId="41" fontId="19" fillId="24" borderId="194" xfId="1253" applyNumberFormat="1" applyFont="1" applyFill="1" applyBorder="1" applyAlignment="1">
      <alignment horizontal="center" vertical="top" wrapText="1"/>
    </xf>
    <xf numFmtId="41" fontId="65" fillId="24" borderId="185" xfId="1253" applyNumberFormat="1" applyFont="1" applyFill="1" applyBorder="1" applyAlignment="1">
      <alignment horizontal="center" vertical="center"/>
    </xf>
    <xf numFmtId="41" fontId="65" fillId="24" borderId="97" xfId="1253" applyNumberFormat="1" applyFont="1" applyFill="1" applyBorder="1" applyAlignment="1">
      <alignment horizontal="center" vertical="center"/>
    </xf>
    <xf numFmtId="41" fontId="65" fillId="24" borderId="187" xfId="1253" applyNumberFormat="1" applyFont="1" applyFill="1" applyBorder="1" applyAlignment="1">
      <alignment horizontal="center" vertical="center"/>
    </xf>
    <xf numFmtId="41" fontId="65" fillId="24" borderId="248" xfId="1253" applyNumberFormat="1" applyFont="1" applyFill="1" applyBorder="1" applyAlignment="1">
      <alignment horizontal="center" vertical="center"/>
    </xf>
    <xf numFmtId="41" fontId="65" fillId="24" borderId="87" xfId="1253" applyNumberFormat="1" applyFont="1" applyFill="1" applyBorder="1" applyAlignment="1">
      <alignment horizontal="center" vertical="center"/>
    </xf>
    <xf numFmtId="41" fontId="65" fillId="24" borderId="105" xfId="1253" applyNumberFormat="1" applyFont="1" applyFill="1" applyBorder="1" applyAlignment="1">
      <alignment horizontal="center" vertical="center"/>
    </xf>
    <xf numFmtId="41" fontId="65" fillId="24" borderId="247" xfId="1253" applyNumberFormat="1" applyFont="1" applyFill="1" applyBorder="1" applyAlignment="1">
      <alignment horizontal="center" vertical="center"/>
    </xf>
    <xf numFmtId="1" fontId="17" fillId="0" borderId="86" xfId="1253" applyNumberFormat="1" applyFont="1" applyBorder="1" applyAlignment="1">
      <alignment vertical="center"/>
    </xf>
    <xf numFmtId="174" fontId="19" fillId="42" borderId="29" xfId="1253" applyNumberFormat="1" applyFont="1" applyFill="1" applyBorder="1" applyAlignment="1">
      <alignment horizontal="center" vertical="center" wrapText="1"/>
    </xf>
    <xf numFmtId="174" fontId="17" fillId="24" borderId="24" xfId="1253" applyNumberFormat="1" applyFont="1" applyFill="1" applyBorder="1" applyAlignment="1">
      <alignment horizontal="center" vertical="center"/>
    </xf>
    <xf numFmtId="174" fontId="17" fillId="24" borderId="15" xfId="1253" applyNumberFormat="1" applyFont="1" applyFill="1" applyBorder="1" applyAlignment="1">
      <alignment horizontal="center" vertical="center"/>
    </xf>
    <xf numFmtId="174" fontId="17" fillId="0" borderId="41" xfId="1253" applyNumberFormat="1" applyFont="1" applyBorder="1" applyAlignment="1">
      <alignment horizontal="center" vertical="center"/>
    </xf>
    <xf numFmtId="174" fontId="17" fillId="0" borderId="43" xfId="1253" applyNumberFormat="1" applyFont="1" applyBorder="1" applyAlignment="1">
      <alignment horizontal="center" vertical="center"/>
    </xf>
    <xf numFmtId="174" fontId="22" fillId="24" borderId="0" xfId="0" applyNumberFormat="1" applyFont="1" applyFill="1" applyAlignment="1">
      <alignment horizontal="right" vertical="center" wrapText="1"/>
    </xf>
    <xf numFmtId="174" fontId="17" fillId="0" borderId="0" xfId="0" applyNumberFormat="1" applyFont="1" applyAlignment="1">
      <alignment horizontal="center" vertical="center"/>
    </xf>
    <xf numFmtId="174" fontId="51" fillId="0" borderId="0" xfId="0" applyNumberFormat="1" applyFont="1" applyAlignment="1">
      <alignment horizontal="center" vertical="center"/>
    </xf>
    <xf numFmtId="174" fontId="17" fillId="0" borderId="0" xfId="0" applyNumberFormat="1" applyFont="1" applyAlignment="1">
      <alignment horizontal="center" vertical="distributed" shrinkToFit="1"/>
    </xf>
    <xf numFmtId="174" fontId="17" fillId="28" borderId="0" xfId="0" applyNumberFormat="1" applyFont="1" applyFill="1" applyAlignment="1">
      <alignment vertical="center"/>
    </xf>
    <xf numFmtId="9" fontId="17" fillId="0" borderId="114" xfId="3526" applyFont="1" applyFill="1" applyBorder="1" applyAlignment="1">
      <alignment vertical="center"/>
    </xf>
    <xf numFmtId="9" fontId="17" fillId="25" borderId="121" xfId="3526" applyFont="1" applyFill="1" applyBorder="1" applyAlignment="1">
      <alignment vertical="center"/>
    </xf>
    <xf numFmtId="9" fontId="17" fillId="24" borderId="122" xfId="3526" applyFont="1" applyFill="1" applyBorder="1" applyAlignment="1">
      <alignment vertical="center"/>
    </xf>
    <xf numFmtId="9" fontId="17" fillId="24" borderId="121" xfId="3526" applyFont="1" applyFill="1" applyBorder="1" applyAlignment="1">
      <alignment vertical="center"/>
    </xf>
    <xf numFmtId="174" fontId="51" fillId="32" borderId="105" xfId="0" applyNumberFormat="1" applyFont="1" applyFill="1" applyBorder="1" applyAlignment="1">
      <alignment horizontal="center" vertical="center"/>
    </xf>
    <xf numFmtId="174" fontId="51" fillId="37" borderId="0" xfId="0" applyNumberFormat="1" applyFont="1" applyFill="1" applyAlignment="1">
      <alignment horizontal="center" vertical="center"/>
    </xf>
    <xf numFmtId="174" fontId="17" fillId="37" borderId="0" xfId="0" applyNumberFormat="1" applyFont="1" applyFill="1" applyAlignment="1">
      <alignment vertical="center"/>
    </xf>
    <xf numFmtId="174" fontId="19" fillId="24" borderId="191" xfId="1253" applyNumberFormat="1" applyFont="1" applyFill="1" applyBorder="1" applyAlignment="1">
      <alignment horizontal="center" vertical="center" wrapText="1"/>
    </xf>
    <xf numFmtId="41" fontId="18" fillId="31" borderId="230" xfId="1253" applyNumberFormat="1" applyFont="1" applyFill="1" applyBorder="1" applyAlignment="1">
      <alignment horizontal="right" vertical="center"/>
    </xf>
    <xf numFmtId="10" fontId="19" fillId="24" borderId="229" xfId="1253" applyNumberFormat="1" applyFont="1" applyFill="1" applyBorder="1" applyAlignment="1">
      <alignment horizontal="center" vertical="center" wrapText="1"/>
    </xf>
    <xf numFmtId="41" fontId="19" fillId="24" borderId="268" xfId="1253" applyNumberFormat="1" applyFont="1" applyFill="1" applyBorder="1" applyAlignment="1">
      <alignment horizontal="center" vertical="center" wrapText="1"/>
    </xf>
    <xf numFmtId="41" fontId="19" fillId="24" borderId="269" xfId="1253" applyNumberFormat="1" applyFont="1" applyFill="1" applyBorder="1" applyAlignment="1">
      <alignment horizontal="center" vertical="center" wrapText="1"/>
    </xf>
    <xf numFmtId="10" fontId="19" fillId="24" borderId="269" xfId="1253" applyNumberFormat="1" applyFont="1" applyFill="1" applyBorder="1" applyAlignment="1">
      <alignment horizontal="center" vertical="center" wrapText="1"/>
    </xf>
    <xf numFmtId="10" fontId="53" fillId="43" borderId="274" xfId="1253" applyNumberFormat="1" applyFont="1" applyFill="1" applyBorder="1" applyAlignment="1">
      <alignment horizontal="center" vertical="center" wrapText="1"/>
    </xf>
    <xf numFmtId="9" fontId="17" fillId="24" borderId="164" xfId="1253" applyNumberFormat="1" applyFont="1" applyFill="1" applyBorder="1" applyAlignment="1">
      <alignment horizontal="right" vertical="center"/>
    </xf>
    <xf numFmtId="9" fontId="65" fillId="0" borderId="12" xfId="3526" applyFont="1" applyBorder="1" applyAlignment="1">
      <alignment vertical="center"/>
    </xf>
    <xf numFmtId="9" fontId="65" fillId="0" borderId="189" xfId="3526" applyFont="1" applyBorder="1" applyAlignment="1">
      <alignment vertical="center"/>
    </xf>
    <xf numFmtId="1" fontId="17" fillId="24" borderId="97" xfId="3526" applyNumberFormat="1" applyFont="1" applyFill="1" applyBorder="1" applyAlignment="1">
      <alignment horizontal="right" vertical="center"/>
    </xf>
    <xf numFmtId="1" fontId="17" fillId="24" borderId="248" xfId="3526" applyNumberFormat="1" applyFont="1" applyFill="1" applyBorder="1" applyAlignment="1">
      <alignment horizontal="right" vertical="center"/>
    </xf>
    <xf numFmtId="1" fontId="17" fillId="24" borderId="247" xfId="3526" applyNumberFormat="1" applyFont="1" applyFill="1" applyBorder="1" applyAlignment="1">
      <alignment horizontal="right" vertical="center"/>
    </xf>
    <xf numFmtId="0" fontId="65" fillId="0" borderId="12" xfId="0" applyFont="1" applyBorder="1" applyAlignment="1">
      <alignment horizontal="right" vertical="center"/>
    </xf>
    <xf numFmtId="9" fontId="65" fillId="24" borderId="12" xfId="3526" applyFont="1" applyFill="1" applyBorder="1" applyAlignment="1">
      <alignment horizontal="right" vertical="center"/>
    </xf>
    <xf numFmtId="0" fontId="65" fillId="0" borderId="189" xfId="0" applyFont="1" applyBorder="1" applyAlignment="1">
      <alignment horizontal="right" vertical="center"/>
    </xf>
    <xf numFmtId="9" fontId="65" fillId="24" borderId="189" xfId="3526" applyFont="1" applyFill="1" applyBorder="1" applyAlignment="1">
      <alignment horizontal="right" vertical="center"/>
    </xf>
    <xf numFmtId="9" fontId="65" fillId="24" borderId="105" xfId="3526" applyFont="1" applyFill="1" applyBorder="1" applyAlignment="1">
      <alignment horizontal="right" vertical="center"/>
    </xf>
    <xf numFmtId="1" fontId="17" fillId="24" borderId="53" xfId="3526" applyNumberFormat="1" applyFont="1" applyFill="1" applyBorder="1" applyAlignment="1">
      <alignment horizontal="right" vertical="center"/>
    </xf>
    <xf numFmtId="1" fontId="17" fillId="24" borderId="266" xfId="3526" applyNumberFormat="1" applyFont="1" applyFill="1" applyBorder="1" applyAlignment="1">
      <alignment horizontal="right" vertical="center"/>
    </xf>
    <xf numFmtId="1" fontId="17" fillId="24" borderId="267" xfId="3526" applyNumberFormat="1" applyFont="1" applyFill="1" applyBorder="1" applyAlignment="1">
      <alignment horizontal="right" vertical="center"/>
    </xf>
    <xf numFmtId="177" fontId="17" fillId="24" borderId="12" xfId="3527" applyNumberFormat="1" applyFont="1" applyFill="1" applyBorder="1" applyAlignment="1">
      <alignment vertical="center"/>
    </xf>
    <xf numFmtId="9" fontId="17" fillId="24" borderId="275" xfId="3526" applyFont="1" applyFill="1" applyBorder="1" applyAlignment="1">
      <alignment horizontal="right" vertical="center"/>
    </xf>
    <xf numFmtId="9" fontId="17" fillId="0" borderId="276" xfId="3526" applyFont="1" applyFill="1" applyBorder="1" applyAlignment="1">
      <alignment horizontal="right" vertical="center"/>
    </xf>
    <xf numFmtId="9" fontId="17" fillId="25" borderId="203" xfId="3526" applyFont="1" applyFill="1" applyBorder="1" applyAlignment="1">
      <alignment horizontal="right" vertical="center"/>
    </xf>
    <xf numFmtId="9" fontId="17" fillId="0" borderId="88" xfId="3526" applyFont="1" applyFill="1" applyBorder="1" applyAlignment="1">
      <alignment horizontal="right" vertical="center"/>
    </xf>
    <xf numFmtId="9" fontId="17" fillId="25" borderId="277" xfId="3526" applyFont="1" applyFill="1" applyBorder="1" applyAlignment="1">
      <alignment horizontal="right" vertical="center"/>
    </xf>
    <xf numFmtId="183" fontId="17" fillId="25" borderId="146" xfId="1253" applyNumberFormat="1" applyFont="1" applyFill="1" applyBorder="1" applyAlignment="1">
      <alignment horizontal="center" vertical="center"/>
    </xf>
    <xf numFmtId="10" fontId="17" fillId="25" borderId="279" xfId="3526" applyNumberFormat="1" applyFont="1" applyFill="1" applyBorder="1" applyAlignment="1">
      <alignment horizontal="right" vertical="center"/>
    </xf>
    <xf numFmtId="174" fontId="17" fillId="25" borderId="146" xfId="1253" applyNumberFormat="1" applyFont="1" applyFill="1" applyBorder="1" applyAlignment="1">
      <alignment horizontal="center" vertical="center"/>
    </xf>
    <xf numFmtId="183" fontId="17" fillId="25" borderId="86" xfId="1253" applyNumberFormat="1" applyFont="1" applyFill="1" applyBorder="1" applyAlignment="1">
      <alignment horizontal="center" vertical="center"/>
    </xf>
    <xf numFmtId="10" fontId="17" fillId="25" borderId="150" xfId="3526" applyNumberFormat="1" applyFont="1" applyFill="1" applyBorder="1" applyAlignment="1">
      <alignment horizontal="right" vertical="center"/>
    </xf>
    <xf numFmtId="41" fontId="17" fillId="25" borderId="35" xfId="1253" applyNumberFormat="1" applyFont="1" applyFill="1" applyBorder="1" applyAlignment="1">
      <alignment horizontal="center" vertical="center"/>
    </xf>
    <xf numFmtId="174" fontId="17" fillId="25" borderId="86" xfId="1253" applyNumberFormat="1" applyFont="1" applyFill="1" applyBorder="1" applyAlignment="1">
      <alignment horizontal="center" vertical="center"/>
    </xf>
    <xf numFmtId="41" fontId="17" fillId="24" borderId="88" xfId="1253" applyNumberFormat="1" applyFont="1" applyFill="1" applyBorder="1" applyAlignment="1">
      <alignment horizontal="center" vertical="center"/>
    </xf>
    <xf numFmtId="174" fontId="17" fillId="0" borderId="88" xfId="1253" applyNumberFormat="1" applyFont="1" applyBorder="1" applyAlignment="1">
      <alignment vertical="center"/>
    </xf>
    <xf numFmtId="10" fontId="17" fillId="0" borderId="88" xfId="3526" applyNumberFormat="1" applyFont="1" applyFill="1" applyBorder="1" applyAlignment="1">
      <alignment horizontal="right" vertical="center"/>
    </xf>
    <xf numFmtId="0" fontId="68" fillId="0" borderId="0" xfId="3535" applyAlignment="1">
      <alignment vertical="center"/>
    </xf>
    <xf numFmtId="38" fontId="69" fillId="44" borderId="280" xfId="3535" applyNumberFormat="1" applyFont="1" applyFill="1" applyBorder="1" applyAlignment="1">
      <alignment horizontal="center" vertical="center"/>
    </xf>
    <xf numFmtId="38" fontId="70" fillId="0" borderId="281" xfId="3535" applyNumberFormat="1" applyFont="1" applyBorder="1" applyAlignment="1">
      <alignment horizontal="center" vertical="center"/>
    </xf>
    <xf numFmtId="38" fontId="70" fillId="0" borderId="0" xfId="3535" applyNumberFormat="1" applyFont="1" applyAlignment="1">
      <alignment horizontal="center" vertical="center"/>
    </xf>
    <xf numFmtId="9" fontId="17" fillId="0" borderId="74" xfId="3526" applyFont="1" applyFill="1" applyBorder="1" applyAlignment="1">
      <alignment horizontal="right" vertical="center"/>
    </xf>
    <xf numFmtId="9" fontId="17" fillId="0" borderId="229" xfId="3526" applyFont="1" applyFill="1" applyBorder="1" applyAlignment="1">
      <alignment horizontal="right" vertical="center"/>
    </xf>
    <xf numFmtId="174" fontId="17" fillId="24" borderId="146" xfId="1253" applyNumberFormat="1" applyFont="1" applyFill="1" applyBorder="1" applyAlignment="1">
      <alignment horizontal="center" vertical="center"/>
    </xf>
    <xf numFmtId="174" fontId="17" fillId="24" borderId="284" xfId="1253" applyNumberFormat="1" applyFont="1" applyFill="1" applyBorder="1" applyAlignment="1">
      <alignment horizontal="center" vertical="center"/>
    </xf>
    <xf numFmtId="174" fontId="17" fillId="24" borderId="285" xfId="1253" applyNumberFormat="1" applyFont="1" applyFill="1" applyBorder="1" applyAlignment="1">
      <alignment horizontal="center" vertical="center"/>
    </xf>
    <xf numFmtId="41" fontId="17" fillId="24" borderId="287" xfId="1253" applyNumberFormat="1" applyFont="1" applyFill="1" applyBorder="1" applyAlignment="1">
      <alignment horizontal="center" vertical="center"/>
    </xf>
    <xf numFmtId="9" fontId="17" fillId="25" borderId="93" xfId="3526" applyFont="1" applyFill="1" applyBorder="1" applyAlignment="1">
      <alignment horizontal="right" vertical="center"/>
    </xf>
    <xf numFmtId="41" fontId="19" fillId="42" borderId="74" xfId="1253" applyNumberFormat="1" applyFont="1" applyFill="1" applyBorder="1" applyAlignment="1">
      <alignment horizontal="center" vertical="top" wrapText="1"/>
    </xf>
    <xf numFmtId="10" fontId="74" fillId="0" borderId="49" xfId="3526" applyNumberFormat="1" applyFont="1" applyBorder="1" applyAlignment="1">
      <alignment horizontal="right" vertical="center"/>
    </xf>
    <xf numFmtId="174" fontId="74" fillId="0" borderId="49" xfId="1253" applyNumberFormat="1" applyFont="1" applyBorder="1" applyAlignment="1">
      <alignment horizontal="center" vertical="center"/>
    </xf>
    <xf numFmtId="10" fontId="74" fillId="30" borderId="52" xfId="1253" applyNumberFormat="1" applyFont="1" applyFill="1" applyBorder="1" applyAlignment="1">
      <alignment horizontal="right" vertical="center"/>
    </xf>
    <xf numFmtId="10" fontId="74" fillId="30" borderId="293" xfId="1253" applyNumberFormat="1" applyFont="1" applyFill="1" applyBorder="1" applyAlignment="1">
      <alignment horizontal="right" vertical="center"/>
    </xf>
    <xf numFmtId="9" fontId="17" fillId="25" borderId="255" xfId="3526" applyFont="1" applyFill="1" applyBorder="1" applyAlignment="1">
      <alignment horizontal="right" vertical="center"/>
    </xf>
    <xf numFmtId="174" fontId="17" fillId="25" borderId="93" xfId="1253" applyNumberFormat="1" applyFont="1" applyFill="1" applyBorder="1" applyAlignment="1">
      <alignment horizontal="center" vertical="center"/>
    </xf>
    <xf numFmtId="10" fontId="17" fillId="30" borderId="294" xfId="1253" applyNumberFormat="1" applyFont="1" applyFill="1" applyBorder="1" applyAlignment="1">
      <alignment horizontal="right" vertical="center"/>
    </xf>
    <xf numFmtId="174" fontId="74" fillId="24" borderId="86" xfId="3526" applyNumberFormat="1" applyFont="1" applyFill="1" applyBorder="1" applyAlignment="1">
      <alignment horizontal="right" vertical="center"/>
    </xf>
    <xf numFmtId="9" fontId="74" fillId="0" borderId="61" xfId="3526" applyFont="1" applyBorder="1" applyAlignment="1">
      <alignment horizontal="right" vertical="center"/>
    </xf>
    <xf numFmtId="10" fontId="74" fillId="0" borderId="102" xfId="3526" applyNumberFormat="1" applyFont="1" applyBorder="1" applyAlignment="1">
      <alignment horizontal="right" vertical="center"/>
    </xf>
    <xf numFmtId="185" fontId="74" fillId="0" borderId="49" xfId="1253" applyNumberFormat="1" applyFont="1" applyBorder="1" applyAlignment="1">
      <alignment horizontal="center" vertical="center"/>
    </xf>
    <xf numFmtId="174" fontId="74" fillId="0" borderId="203" xfId="1253" applyNumberFormat="1" applyFont="1" applyBorder="1" applyAlignment="1">
      <alignment horizontal="center" vertical="center"/>
    </xf>
    <xf numFmtId="9" fontId="74" fillId="24" borderId="200" xfId="3526" applyFont="1" applyFill="1" applyBorder="1" applyAlignment="1">
      <alignment vertical="center"/>
    </xf>
    <xf numFmtId="174" fontId="74" fillId="0" borderId="86" xfId="1253" applyNumberFormat="1" applyFont="1" applyBorder="1" applyAlignment="1">
      <alignment horizontal="center" vertical="center"/>
    </xf>
    <xf numFmtId="9" fontId="74" fillId="24" borderId="202" xfId="3526" applyFont="1" applyFill="1" applyBorder="1" applyAlignment="1">
      <alignment vertical="center"/>
    </xf>
    <xf numFmtId="174" fontId="74" fillId="0" borderId="50" xfId="1253" applyNumberFormat="1" applyFont="1" applyBorder="1" applyAlignment="1">
      <alignment vertical="center"/>
    </xf>
    <xf numFmtId="10" fontId="74" fillId="0" borderId="150" xfId="3526" applyNumberFormat="1" applyFont="1" applyBorder="1" applyAlignment="1">
      <alignment horizontal="right" vertical="center"/>
    </xf>
    <xf numFmtId="174" fontId="74" fillId="0" borderId="61" xfId="1253" applyNumberFormat="1" applyFont="1" applyBorder="1" applyAlignment="1">
      <alignment vertical="center"/>
    </xf>
    <xf numFmtId="10" fontId="74" fillId="0" borderId="235" xfId="3526" applyNumberFormat="1" applyFont="1" applyBorder="1" applyAlignment="1">
      <alignment horizontal="right" vertical="center"/>
    </xf>
    <xf numFmtId="181" fontId="74" fillId="0" borderId="61" xfId="1253" applyNumberFormat="1" applyFont="1" applyBorder="1" applyAlignment="1">
      <alignment horizontal="center" vertical="center"/>
    </xf>
    <xf numFmtId="9" fontId="74" fillId="24" borderId="241" xfId="3526" applyFont="1" applyFill="1" applyBorder="1" applyAlignment="1">
      <alignment vertical="center"/>
    </xf>
    <xf numFmtId="181" fontId="74" fillId="0" borderId="86" xfId="1253" applyNumberFormat="1" applyFont="1" applyBorder="1" applyAlignment="1">
      <alignment horizontal="center" vertical="center"/>
    </xf>
    <xf numFmtId="174" fontId="74" fillId="0" borderId="74" xfId="1253" applyNumberFormat="1" applyFont="1" applyBorder="1" applyAlignment="1">
      <alignment horizontal="center" vertical="center"/>
    </xf>
    <xf numFmtId="9" fontId="17" fillId="30" borderId="191" xfId="3526" applyFont="1" applyFill="1" applyBorder="1" applyAlignment="1">
      <alignment horizontal="right" vertical="center"/>
    </xf>
    <xf numFmtId="41" fontId="17" fillId="24" borderId="206" xfId="1253" applyNumberFormat="1" applyFont="1" applyFill="1" applyBorder="1" applyAlignment="1">
      <alignment horizontal="center" vertical="center"/>
    </xf>
    <xf numFmtId="41" fontId="17" fillId="24" borderId="39" xfId="1253" applyNumberFormat="1" applyFont="1" applyFill="1" applyBorder="1" applyAlignment="1">
      <alignment horizontal="center" vertical="center"/>
    </xf>
    <xf numFmtId="184" fontId="74" fillId="0" borderId="86" xfId="1253" applyNumberFormat="1" applyFont="1" applyBorder="1" applyAlignment="1">
      <alignment horizontal="center" vertical="center"/>
    </xf>
    <xf numFmtId="9" fontId="74" fillId="0" borderId="86" xfId="3526" applyFont="1" applyBorder="1" applyAlignment="1">
      <alignment horizontal="right" vertical="center"/>
    </xf>
    <xf numFmtId="185" fontId="74" fillId="0" borderId="61" xfId="1253" applyNumberFormat="1" applyFont="1" applyBorder="1" applyAlignment="1">
      <alignment vertical="center"/>
    </xf>
    <xf numFmtId="174" fontId="50" fillId="24" borderId="0" xfId="0" applyNumberFormat="1" applyFont="1" applyFill="1" applyAlignment="1">
      <alignment horizontal="center" vertical="center"/>
    </xf>
    <xf numFmtId="174" fontId="17" fillId="25" borderId="24" xfId="1253" applyNumberFormat="1" applyFont="1" applyFill="1" applyBorder="1" applyAlignment="1">
      <alignment horizontal="center" vertical="center"/>
    </xf>
    <xf numFmtId="9" fontId="17" fillId="25" borderId="36" xfId="3526" applyFont="1" applyFill="1" applyBorder="1" applyAlignment="1">
      <alignment horizontal="right" vertical="center"/>
    </xf>
    <xf numFmtId="9" fontId="17" fillId="24" borderId="0" xfId="0" applyNumberFormat="1" applyFont="1" applyFill="1" applyAlignment="1">
      <alignment horizontal="center" vertical="center"/>
    </xf>
    <xf numFmtId="9" fontId="17" fillId="24" borderId="0" xfId="0" applyNumberFormat="1" applyFont="1" applyFill="1" applyAlignment="1">
      <alignment vertical="center"/>
    </xf>
    <xf numFmtId="9" fontId="23" fillId="24" borderId="0" xfId="0" applyNumberFormat="1" applyFont="1" applyFill="1" applyAlignment="1">
      <alignment vertical="center"/>
    </xf>
    <xf numFmtId="9" fontId="26" fillId="24" borderId="0" xfId="0" applyNumberFormat="1" applyFont="1" applyFill="1" applyAlignment="1">
      <alignment horizontal="center" vertical="center"/>
    </xf>
    <xf numFmtId="9" fontId="19" fillId="42" borderId="29" xfId="1253" applyNumberFormat="1" applyFont="1" applyFill="1" applyBorder="1" applyAlignment="1">
      <alignment horizontal="center" vertical="center" wrapText="1"/>
    </xf>
    <xf numFmtId="9" fontId="17" fillId="24" borderId="29" xfId="1253" applyNumberFormat="1" applyFont="1" applyFill="1" applyBorder="1" applyAlignment="1">
      <alignment horizontal="center" vertical="center"/>
    </xf>
    <xf numFmtId="9" fontId="17" fillId="24" borderId="146" xfId="1253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17" fillId="28" borderId="29" xfId="1253" applyNumberFormat="1" applyFont="1" applyFill="1" applyBorder="1" applyAlignment="1">
      <alignment horizontal="center" vertical="center"/>
    </xf>
    <xf numFmtId="9" fontId="17" fillId="0" borderId="36" xfId="3526" applyFont="1" applyFill="1" applyBorder="1" applyAlignment="1">
      <alignment horizontal="right" vertical="center"/>
    </xf>
    <xf numFmtId="9" fontId="17" fillId="25" borderId="29" xfId="1253" applyNumberFormat="1" applyFont="1" applyFill="1" applyBorder="1" applyAlignment="1">
      <alignment horizontal="center" vertical="center"/>
    </xf>
    <xf numFmtId="9" fontId="18" fillId="31" borderId="166" xfId="3526" applyFont="1" applyFill="1" applyBorder="1" applyAlignment="1">
      <alignment horizontal="right" vertical="center"/>
    </xf>
    <xf numFmtId="9" fontId="22" fillId="24" borderId="0" xfId="0" applyNumberFormat="1" applyFont="1" applyFill="1" applyAlignment="1">
      <alignment horizontal="right" vertical="center" wrapText="1"/>
    </xf>
    <xf numFmtId="9" fontId="19" fillId="42" borderId="86" xfId="1253" applyNumberFormat="1" applyFont="1" applyFill="1" applyBorder="1" applyAlignment="1">
      <alignment horizontal="center" vertical="center" wrapText="1"/>
    </xf>
    <xf numFmtId="9" fontId="19" fillId="42" borderId="74" xfId="1253" applyNumberFormat="1" applyFont="1" applyFill="1" applyBorder="1" applyAlignment="1">
      <alignment horizontal="center" vertical="center" wrapText="1"/>
    </xf>
    <xf numFmtId="9" fontId="18" fillId="31" borderId="124" xfId="3526" applyFont="1" applyFill="1" applyBorder="1" applyAlignment="1">
      <alignment horizontal="right" vertical="center"/>
    </xf>
    <xf numFmtId="9" fontId="17" fillId="24" borderId="78" xfId="1253" applyNumberFormat="1" applyFont="1" applyFill="1" applyBorder="1" applyAlignment="1">
      <alignment horizontal="right" vertical="center"/>
    </xf>
    <xf numFmtId="9" fontId="17" fillId="24" borderId="78" xfId="3526" applyFont="1" applyFill="1" applyBorder="1" applyAlignment="1">
      <alignment horizontal="right" vertical="center"/>
    </xf>
    <xf numFmtId="9" fontId="18" fillId="31" borderId="85" xfId="3526" applyFont="1" applyFill="1" applyBorder="1" applyAlignment="1">
      <alignment horizontal="right" vertical="center"/>
    </xf>
    <xf numFmtId="9" fontId="65" fillId="0" borderId="105" xfId="3526" applyFont="1" applyBorder="1" applyAlignment="1">
      <alignment vertical="center"/>
    </xf>
    <xf numFmtId="192" fontId="17" fillId="24" borderId="29" xfId="1253" applyNumberFormat="1" applyFont="1" applyFill="1" applyBorder="1" applyAlignment="1">
      <alignment horizontal="center" vertical="center"/>
    </xf>
    <xf numFmtId="192" fontId="18" fillId="31" borderId="83" xfId="1253" applyNumberFormat="1" applyFont="1" applyFill="1" applyBorder="1" applyAlignment="1">
      <alignment horizontal="right" vertical="center"/>
    </xf>
    <xf numFmtId="178" fontId="17" fillId="24" borderId="29" xfId="1253" applyNumberFormat="1" applyFont="1" applyFill="1" applyBorder="1" applyAlignment="1">
      <alignment horizontal="center" vertical="center"/>
    </xf>
    <xf numFmtId="178" fontId="18" fillId="31" borderId="83" xfId="1253" applyNumberFormat="1" applyFont="1" applyFill="1" applyBorder="1" applyAlignment="1">
      <alignment horizontal="right" vertical="center"/>
    </xf>
    <xf numFmtId="192" fontId="17" fillId="29" borderId="49" xfId="1253" applyNumberFormat="1" applyFont="1" applyFill="1" applyBorder="1" applyAlignment="1">
      <alignment horizontal="center" vertical="center"/>
    </xf>
    <xf numFmtId="193" fontId="17" fillId="25" borderId="86" xfId="1253" applyNumberFormat="1" applyFont="1" applyFill="1" applyBorder="1" applyAlignment="1">
      <alignment horizontal="center" vertical="center"/>
    </xf>
    <xf numFmtId="10" fontId="75" fillId="32" borderId="18" xfId="1236" applyNumberFormat="1" applyFont="1" applyFill="1" applyBorder="1" applyAlignment="1">
      <alignment horizontal="right" vertical="center" wrapText="1"/>
    </xf>
    <xf numFmtId="0" fontId="46" fillId="0" borderId="35" xfId="1255" quotePrefix="1" applyFont="1" applyBorder="1" applyAlignment="1">
      <alignment horizontal="left" vertical="center" wrapText="1"/>
    </xf>
    <xf numFmtId="0" fontId="76" fillId="0" borderId="35" xfId="1255" quotePrefix="1" applyFont="1" applyBorder="1" applyAlignment="1">
      <alignment horizontal="left" vertical="center" wrapText="1"/>
    </xf>
    <xf numFmtId="41" fontId="77" fillId="0" borderId="24" xfId="1236" applyFont="1" applyFill="1" applyBorder="1" applyAlignment="1">
      <alignment horizontal="center" vertical="center" shrinkToFit="1"/>
    </xf>
    <xf numFmtId="10" fontId="77" fillId="0" borderId="24" xfId="0" applyNumberFormat="1" applyFont="1" applyBorder="1" applyAlignment="1">
      <alignment horizontal="right" vertical="center"/>
    </xf>
    <xf numFmtId="41" fontId="77" fillId="0" borderId="24" xfId="1236" applyFont="1" applyBorder="1" applyAlignment="1">
      <alignment horizontal="center" vertical="center" shrinkToFit="1"/>
    </xf>
    <xf numFmtId="2" fontId="78" fillId="0" borderId="161" xfId="0" applyNumberFormat="1" applyFont="1" applyBorder="1" applyAlignment="1">
      <alignment vertical="center"/>
    </xf>
    <xf numFmtId="0" fontId="46" fillId="48" borderId="35" xfId="1255" quotePrefix="1" applyFont="1" applyFill="1" applyBorder="1" applyAlignment="1">
      <alignment horizontal="left" vertical="center" wrapText="1"/>
    </xf>
    <xf numFmtId="0" fontId="17" fillId="48" borderId="35" xfId="1255" applyFont="1" applyFill="1" applyBorder="1" applyAlignment="1">
      <alignment horizontal="center" vertical="center" wrapText="1"/>
    </xf>
    <xf numFmtId="41" fontId="17" fillId="48" borderId="39" xfId="1236" applyFont="1" applyFill="1" applyBorder="1" applyAlignment="1">
      <alignment horizontal="center" vertical="center" wrapText="1"/>
    </xf>
    <xf numFmtId="41" fontId="17" fillId="48" borderId="24" xfId="1236" applyFont="1" applyFill="1" applyBorder="1" applyAlignment="1">
      <alignment horizontal="center" vertical="center" shrinkToFit="1"/>
    </xf>
    <xf numFmtId="9" fontId="22" fillId="48" borderId="24" xfId="0" applyNumberFormat="1" applyFont="1" applyFill="1" applyBorder="1" applyAlignment="1">
      <alignment horizontal="center" vertical="center"/>
    </xf>
    <xf numFmtId="41" fontId="77" fillId="48" borderId="24" xfId="1236" applyFont="1" applyFill="1" applyBorder="1" applyAlignment="1">
      <alignment horizontal="center" vertical="center" shrinkToFit="1"/>
    </xf>
    <xf numFmtId="10" fontId="77" fillId="48" borderId="24" xfId="0" applyNumberFormat="1" applyFont="1" applyFill="1" applyBorder="1" applyAlignment="1">
      <alignment horizontal="right" vertical="center"/>
    </xf>
    <xf numFmtId="0" fontId="76" fillId="48" borderId="35" xfId="1255" quotePrefix="1" applyFont="1" applyFill="1" applyBorder="1" applyAlignment="1">
      <alignment horizontal="left" vertical="center" wrapText="1"/>
    </xf>
    <xf numFmtId="174" fontId="17" fillId="24" borderId="229" xfId="1253" applyNumberFormat="1" applyFont="1" applyFill="1" applyBorder="1" applyAlignment="1">
      <alignment horizontal="center" vertical="center"/>
    </xf>
    <xf numFmtId="174" fontId="17" fillId="24" borderId="88" xfId="1253" applyNumberFormat="1" applyFont="1" applyFill="1" applyBorder="1" applyAlignment="1">
      <alignment horizontal="center" vertical="center"/>
    </xf>
    <xf numFmtId="174" fontId="19" fillId="24" borderId="96" xfId="1253" applyNumberFormat="1" applyFont="1" applyFill="1" applyBorder="1" applyAlignment="1">
      <alignment horizontal="center" vertical="center" wrapText="1"/>
    </xf>
    <xf numFmtId="174" fontId="17" fillId="0" borderId="286" xfId="1253" applyNumberFormat="1" applyFont="1" applyBorder="1" applyAlignment="1">
      <alignment horizontal="center" vertical="center"/>
    </xf>
    <xf numFmtId="174" fontId="17" fillId="24" borderId="45" xfId="1253" applyNumberFormat="1" applyFont="1" applyFill="1" applyBorder="1" applyAlignment="1">
      <alignment horizontal="center" vertical="center"/>
    </xf>
    <xf numFmtId="174" fontId="17" fillId="25" borderId="45" xfId="1253" applyNumberFormat="1" applyFont="1" applyFill="1" applyBorder="1" applyAlignment="1">
      <alignment horizontal="center" vertical="center"/>
    </xf>
    <xf numFmtId="1" fontId="65" fillId="24" borderId="189" xfId="3526" applyNumberFormat="1" applyFont="1" applyFill="1" applyBorder="1" applyAlignment="1">
      <alignment horizontal="right" vertical="center"/>
    </xf>
    <xf numFmtId="1" fontId="19" fillId="24" borderId="12" xfId="1253" applyNumberFormat="1" applyFont="1" applyFill="1" applyBorder="1" applyAlignment="1">
      <alignment horizontal="right" vertical="center" wrapText="1"/>
    </xf>
    <xf numFmtId="1" fontId="65" fillId="24" borderId="12" xfId="1253" applyNumberFormat="1" applyFont="1" applyFill="1" applyBorder="1" applyAlignment="1">
      <alignment horizontal="right" vertical="center"/>
    </xf>
    <xf numFmtId="1" fontId="65" fillId="24" borderId="189" xfId="1253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19" fillId="24" borderId="12" xfId="1253" applyNumberFormat="1" applyFont="1" applyFill="1" applyBorder="1" applyAlignment="1">
      <alignment horizontal="right" vertical="center" wrapText="1"/>
    </xf>
    <xf numFmtId="1" fontId="19" fillId="24" borderId="53" xfId="1253" applyNumberFormat="1" applyFont="1" applyFill="1" applyBorder="1" applyAlignment="1">
      <alignment horizontal="right" vertical="center" wrapText="1"/>
    </xf>
    <xf numFmtId="41" fontId="77" fillId="48" borderId="24" xfId="0" applyNumberFormat="1" applyFont="1" applyFill="1" applyBorder="1" applyAlignment="1">
      <alignment horizontal="center" vertical="center"/>
    </xf>
    <xf numFmtId="10" fontId="18" fillId="31" borderId="13" xfId="1253" applyNumberFormat="1" applyFont="1" applyFill="1" applyBorder="1" applyAlignment="1">
      <alignment vertical="center"/>
    </xf>
    <xf numFmtId="2" fontId="17" fillId="24" borderId="86" xfId="3526" applyNumberFormat="1" applyFont="1" applyFill="1" applyBorder="1" applyAlignment="1">
      <alignment horizontal="right" vertical="center"/>
    </xf>
    <xf numFmtId="174" fontId="17" fillId="25" borderId="255" xfId="3526" applyNumberFormat="1" applyFont="1" applyFill="1" applyBorder="1" applyAlignment="1">
      <alignment horizontal="right" vertical="center"/>
    </xf>
    <xf numFmtId="168" fontId="19" fillId="38" borderId="0" xfId="0" applyNumberFormat="1" applyFont="1" applyFill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/>
    </xf>
    <xf numFmtId="41" fontId="19" fillId="24" borderId="0" xfId="0" applyNumberFormat="1" applyFont="1" applyFill="1" applyAlignment="1">
      <alignment horizontal="center" vertical="center"/>
    </xf>
    <xf numFmtId="2" fontId="78" fillId="49" borderId="161" xfId="0" applyNumberFormat="1" applyFont="1" applyFill="1" applyBorder="1" applyAlignment="1">
      <alignment vertical="center"/>
    </xf>
    <xf numFmtId="9" fontId="17" fillId="24" borderId="29" xfId="1253" applyNumberFormat="1" applyFont="1" applyFill="1" applyBorder="1" applyAlignment="1">
      <alignment horizontal="right" vertical="center"/>
    </xf>
    <xf numFmtId="185" fontId="17" fillId="25" borderId="86" xfId="1253" applyNumberFormat="1" applyFont="1" applyFill="1" applyBorder="1" applyAlignment="1">
      <alignment horizontal="center" vertical="center"/>
    </xf>
    <xf numFmtId="185" fontId="17" fillId="0" borderId="49" xfId="1253" applyNumberFormat="1" applyFont="1" applyBorder="1" applyAlignment="1">
      <alignment horizontal="center" vertical="center"/>
    </xf>
    <xf numFmtId="177" fontId="65" fillId="24" borderId="105" xfId="3527" applyNumberFormat="1" applyFont="1" applyFill="1" applyBorder="1" applyAlignment="1">
      <alignment horizontal="right" vertical="center"/>
    </xf>
    <xf numFmtId="9" fontId="19" fillId="38" borderId="0" xfId="3526" applyFont="1" applyFill="1" applyAlignment="1">
      <alignment horizontal="center" vertical="center" wrapText="1"/>
    </xf>
    <xf numFmtId="168" fontId="52" fillId="38" borderId="0" xfId="0" applyNumberFormat="1" applyFont="1" applyFill="1" applyAlignment="1">
      <alignment horizontal="center" vertical="center" wrapText="1"/>
    </xf>
    <xf numFmtId="41" fontId="81" fillId="42" borderId="298" xfId="1253" applyNumberFormat="1" applyFont="1" applyFill="1" applyBorder="1" applyAlignment="1">
      <alignment horizontal="center" vertical="center" wrapText="1"/>
    </xf>
    <xf numFmtId="41" fontId="18" fillId="31" borderId="211" xfId="1253" applyNumberFormat="1" applyFont="1" applyFill="1" applyBorder="1" applyAlignment="1">
      <alignment horizontal="right" vertical="center"/>
    </xf>
    <xf numFmtId="41" fontId="17" fillId="25" borderId="88" xfId="1253" applyNumberFormat="1" applyFont="1" applyFill="1" applyBorder="1" applyAlignment="1">
      <alignment horizontal="center" vertical="center"/>
    </xf>
    <xf numFmtId="2" fontId="17" fillId="0" borderId="88" xfId="3526" applyNumberFormat="1" applyFont="1" applyFill="1" applyBorder="1" applyAlignment="1">
      <alignment horizontal="right" vertical="center"/>
    </xf>
    <xf numFmtId="2" fontId="17" fillId="25" borderId="88" xfId="3526" applyNumberFormat="1" applyFont="1" applyFill="1" applyBorder="1" applyAlignment="1">
      <alignment horizontal="right" vertical="center"/>
    </xf>
    <xf numFmtId="194" fontId="17" fillId="25" borderId="20" xfId="1253" applyNumberFormat="1" applyFont="1" applyFill="1" applyBorder="1" applyAlignment="1">
      <alignment horizontal="center" vertical="center"/>
    </xf>
    <xf numFmtId="41" fontId="17" fillId="0" borderId="86" xfId="1253" applyNumberFormat="1" applyFont="1" applyBorder="1" applyAlignment="1">
      <alignment horizontal="center" vertical="center"/>
    </xf>
    <xf numFmtId="41" fontId="17" fillId="25" borderId="242" xfId="1253" applyNumberFormat="1" applyFont="1" applyFill="1" applyBorder="1" applyAlignment="1">
      <alignment horizontal="right" vertical="center"/>
    </xf>
    <xf numFmtId="41" fontId="17" fillId="0" borderId="88" xfId="1253" applyNumberFormat="1" applyFont="1" applyBorder="1" applyAlignment="1">
      <alignment horizontal="center" vertical="center"/>
    </xf>
    <xf numFmtId="41" fontId="17" fillId="24" borderId="88" xfId="1253" applyNumberFormat="1" applyFont="1" applyFill="1" applyBorder="1" applyAlignment="1">
      <alignment horizontal="right" vertical="center"/>
    </xf>
    <xf numFmtId="41" fontId="17" fillId="25" borderId="278" xfId="1253" applyNumberFormat="1" applyFont="1" applyFill="1" applyBorder="1" applyAlignment="1">
      <alignment horizontal="right" vertical="center"/>
    </xf>
    <xf numFmtId="41" fontId="17" fillId="25" borderId="92" xfId="1253" applyNumberFormat="1" applyFont="1" applyFill="1" applyBorder="1" applyAlignment="1">
      <alignment horizontal="right" vertical="center"/>
    </xf>
    <xf numFmtId="41" fontId="17" fillId="24" borderId="93" xfId="1253" applyNumberFormat="1" applyFont="1" applyFill="1" applyBorder="1" applyAlignment="1">
      <alignment horizontal="center" vertical="center"/>
    </xf>
    <xf numFmtId="1" fontId="17" fillId="0" borderId="86" xfId="3526" applyNumberFormat="1" applyFont="1" applyFill="1" applyBorder="1" applyAlignment="1">
      <alignment horizontal="right" vertical="center"/>
    </xf>
    <xf numFmtId="1" fontId="17" fillId="25" borderId="89" xfId="3526" applyNumberFormat="1" applyFont="1" applyFill="1" applyBorder="1" applyAlignment="1">
      <alignment horizontal="right" vertical="center"/>
    </xf>
    <xf numFmtId="1" fontId="17" fillId="24" borderId="283" xfId="1253" applyNumberFormat="1" applyFont="1" applyFill="1" applyBorder="1" applyAlignment="1">
      <alignment horizontal="right" vertical="center"/>
    </xf>
    <xf numFmtId="1" fontId="17" fillId="24" borderId="191" xfId="1253" applyNumberFormat="1" applyFont="1" applyFill="1" applyBorder="1" applyAlignment="1">
      <alignment horizontal="right" vertical="center"/>
    </xf>
    <xf numFmtId="1" fontId="17" fillId="25" borderId="191" xfId="3526" applyNumberFormat="1" applyFont="1" applyFill="1" applyBorder="1" applyAlignment="1">
      <alignment horizontal="right" vertical="center"/>
    </xf>
    <xf numFmtId="1" fontId="17" fillId="24" borderId="288" xfId="1253" applyNumberFormat="1" applyFont="1" applyFill="1" applyBorder="1" applyAlignment="1">
      <alignment horizontal="right" vertical="center"/>
    </xf>
    <xf numFmtId="1" fontId="17" fillId="24" borderId="93" xfId="1253" applyNumberFormat="1" applyFont="1" applyFill="1" applyBorder="1" applyAlignment="1">
      <alignment horizontal="right" vertical="center"/>
    </xf>
    <xf numFmtId="1" fontId="17" fillId="24" borderId="93" xfId="1253" applyNumberFormat="1" applyFont="1" applyFill="1" applyBorder="1" applyAlignment="1">
      <alignment horizontal="center" vertical="center"/>
    </xf>
    <xf numFmtId="1" fontId="24" fillId="24" borderId="93" xfId="1253" applyNumberFormat="1" applyFont="1" applyFill="1" applyBorder="1" applyAlignment="1">
      <alignment horizontal="center" vertical="center"/>
    </xf>
    <xf numFmtId="1" fontId="25" fillId="24" borderId="93" xfId="1253" applyNumberFormat="1" applyFont="1" applyFill="1" applyBorder="1" applyAlignment="1">
      <alignment horizontal="center" vertical="center"/>
    </xf>
    <xf numFmtId="1" fontId="17" fillId="25" borderId="93" xfId="1253" applyNumberFormat="1" applyFont="1" applyFill="1" applyBorder="1" applyAlignment="1">
      <alignment horizontal="center" vertical="center"/>
    </xf>
    <xf numFmtId="1" fontId="18" fillId="31" borderId="137" xfId="1253" applyNumberFormat="1" applyFont="1" applyFill="1" applyBorder="1" applyAlignment="1">
      <alignment vertical="center"/>
    </xf>
    <xf numFmtId="41" fontId="17" fillId="0" borderId="86" xfId="1253" applyNumberFormat="1" applyFont="1" applyBorder="1" applyAlignment="1">
      <alignment horizontal="right" vertical="center"/>
    </xf>
    <xf numFmtId="41" fontId="17" fillId="24" borderId="61" xfId="1253" applyNumberFormat="1" applyFont="1" applyFill="1" applyBorder="1" applyAlignment="1">
      <alignment horizontal="right" vertical="center"/>
    </xf>
    <xf numFmtId="41" fontId="17" fillId="24" borderId="92" xfId="1253" applyNumberFormat="1" applyFont="1" applyFill="1" applyBorder="1" applyAlignment="1">
      <alignment horizontal="right" vertical="center"/>
    </xf>
    <xf numFmtId="41" fontId="17" fillId="24" borderId="93" xfId="1253" applyNumberFormat="1" applyFont="1" applyFill="1" applyBorder="1" applyAlignment="1">
      <alignment horizontal="right" vertical="center"/>
    </xf>
    <xf numFmtId="41" fontId="17" fillId="25" borderId="89" xfId="3526" applyNumberFormat="1" applyFont="1" applyFill="1" applyBorder="1" applyAlignment="1">
      <alignment horizontal="right" vertical="center"/>
    </xf>
    <xf numFmtId="41" fontId="24" fillId="24" borderId="93" xfId="1253" applyNumberFormat="1" applyFont="1" applyFill="1" applyBorder="1" applyAlignment="1">
      <alignment horizontal="center" vertical="center"/>
    </xf>
    <xf numFmtId="41" fontId="25" fillId="24" borderId="93" xfId="1253" applyNumberFormat="1" applyFont="1" applyFill="1" applyBorder="1" applyAlignment="1">
      <alignment horizontal="center" vertical="center"/>
    </xf>
    <xf numFmtId="41" fontId="17" fillId="25" borderId="93" xfId="1253" applyNumberFormat="1" applyFont="1" applyFill="1" applyBorder="1" applyAlignment="1">
      <alignment horizontal="center" vertical="center"/>
    </xf>
    <xf numFmtId="41" fontId="18" fillId="31" borderId="169" xfId="1253" applyNumberFormat="1" applyFont="1" applyFill="1" applyBorder="1" applyAlignment="1">
      <alignment vertical="center"/>
    </xf>
    <xf numFmtId="41" fontId="17" fillId="24" borderId="191" xfId="1253" applyNumberFormat="1" applyFont="1" applyFill="1" applyBorder="1" applyAlignment="1">
      <alignment horizontal="right" vertical="center"/>
    </xf>
    <xf numFmtId="41" fontId="81" fillId="42" borderId="96" xfId="1253" applyNumberFormat="1" applyFont="1" applyFill="1" applyBorder="1" applyAlignment="1">
      <alignment horizontal="center" vertical="center" wrapText="1"/>
    </xf>
    <xf numFmtId="0" fontId="18" fillId="35" borderId="308" xfId="1253" applyFont="1" applyFill="1" applyBorder="1" applyAlignment="1">
      <alignment horizontal="center" vertical="center" wrapText="1"/>
    </xf>
    <xf numFmtId="1" fontId="17" fillId="24" borderId="29" xfId="1253" applyNumberFormat="1" applyFont="1" applyFill="1" applyBorder="1" applyAlignment="1">
      <alignment horizontal="right" vertical="center"/>
    </xf>
    <xf numFmtId="41" fontId="17" fillId="0" borderId="29" xfId="1253" applyNumberFormat="1" applyFont="1" applyBorder="1" applyAlignment="1">
      <alignment horizontal="center" vertical="center"/>
    </xf>
    <xf numFmtId="1" fontId="17" fillId="0" borderId="29" xfId="1253" applyNumberFormat="1" applyFont="1" applyBorder="1" applyAlignment="1">
      <alignment vertical="center"/>
    </xf>
    <xf numFmtId="1" fontId="17" fillId="24" borderId="29" xfId="1253" applyNumberFormat="1" applyFont="1" applyFill="1" applyBorder="1" applyAlignment="1">
      <alignment vertical="center"/>
    </xf>
    <xf numFmtId="1" fontId="17" fillId="24" borderId="191" xfId="1253" applyNumberFormat="1" applyFont="1" applyFill="1" applyBorder="1" applyAlignment="1">
      <alignment vertical="center"/>
    </xf>
    <xf numFmtId="9" fontId="17" fillId="0" borderId="309" xfId="3526" applyFont="1" applyFill="1" applyBorder="1" applyAlignment="1">
      <alignment horizontal="right" vertical="center"/>
    </xf>
    <xf numFmtId="1" fontId="17" fillId="24" borderId="310" xfId="1253" applyNumberFormat="1" applyFont="1" applyFill="1" applyBorder="1" applyAlignment="1">
      <alignment horizontal="right" vertical="center"/>
    </xf>
    <xf numFmtId="10" fontId="17" fillId="0" borderId="311" xfId="3526" applyNumberFormat="1" applyFont="1" applyFill="1" applyBorder="1" applyAlignment="1">
      <alignment horizontal="right" vertical="center"/>
    </xf>
    <xf numFmtId="174" fontId="17" fillId="0" borderId="312" xfId="1253" applyNumberFormat="1" applyFont="1" applyBorder="1" applyAlignment="1">
      <alignment vertical="center"/>
    </xf>
    <xf numFmtId="174" fontId="17" fillId="0" borderId="313" xfId="1253" applyNumberFormat="1" applyFont="1" applyBorder="1" applyAlignment="1">
      <alignment vertical="center"/>
    </xf>
    <xf numFmtId="10" fontId="17" fillId="0" borderId="314" xfId="3526" applyNumberFormat="1" applyFont="1" applyFill="1" applyBorder="1" applyAlignment="1">
      <alignment horizontal="right" vertical="center"/>
    </xf>
    <xf numFmtId="174" fontId="17" fillId="0" borderId="315" xfId="1253" applyNumberFormat="1" applyFont="1" applyBorder="1" applyAlignment="1">
      <alignment vertical="center"/>
    </xf>
    <xf numFmtId="174" fontId="17" fillId="0" borderId="316" xfId="1253" applyNumberFormat="1" applyFont="1" applyBorder="1" applyAlignment="1">
      <alignment vertical="center"/>
    </xf>
    <xf numFmtId="174" fontId="17" fillId="0" borderId="317" xfId="1253" applyNumberFormat="1" applyFont="1" applyBorder="1" applyAlignment="1">
      <alignment vertical="center"/>
    </xf>
    <xf numFmtId="10" fontId="17" fillId="0" borderId="318" xfId="3526" applyNumberFormat="1" applyFont="1" applyFill="1" applyBorder="1" applyAlignment="1">
      <alignment horizontal="right" vertical="center"/>
    </xf>
    <xf numFmtId="174" fontId="17" fillId="0" borderId="319" xfId="1253" applyNumberFormat="1" applyFont="1" applyBorder="1" applyAlignment="1">
      <alignment vertical="center"/>
    </xf>
    <xf numFmtId="9" fontId="65" fillId="0" borderId="12" xfId="0" applyNumberFormat="1" applyFont="1" applyBorder="1" applyAlignment="1">
      <alignment vertical="center"/>
    </xf>
    <xf numFmtId="185" fontId="74" fillId="0" borderId="50" xfId="1253" applyNumberFormat="1" applyFont="1" applyBorder="1" applyAlignment="1">
      <alignment vertical="center"/>
    </xf>
    <xf numFmtId="185" fontId="17" fillId="0" borderId="50" xfId="1253" applyNumberFormat="1" applyFont="1" applyBorder="1" applyAlignment="1">
      <alignment vertical="center"/>
    </xf>
    <xf numFmtId="186" fontId="17" fillId="25" borderId="29" xfId="1253" applyNumberFormat="1" applyFont="1" applyFill="1" applyBorder="1" applyAlignment="1">
      <alignment horizontal="center" vertical="center"/>
    </xf>
    <xf numFmtId="9" fontId="17" fillId="24" borderId="320" xfId="3526" applyFont="1" applyFill="1" applyBorder="1" applyAlignment="1">
      <alignment vertical="center"/>
    </xf>
    <xf numFmtId="9" fontId="17" fillId="25" borderId="321" xfId="3526" applyFont="1" applyFill="1" applyBorder="1" applyAlignment="1">
      <alignment horizontal="right" vertical="center"/>
    </xf>
    <xf numFmtId="185" fontId="17" fillId="0" borderId="285" xfId="1253" applyNumberFormat="1" applyFont="1" applyBorder="1" applyAlignment="1">
      <alignment horizontal="center" vertical="center"/>
    </xf>
    <xf numFmtId="174" fontId="17" fillId="0" borderId="285" xfId="1253" applyNumberFormat="1" applyFont="1" applyBorder="1" applyAlignment="1">
      <alignment horizontal="center" vertical="center"/>
    </xf>
    <xf numFmtId="185" fontId="17" fillId="0" borderId="322" xfId="1253" applyNumberFormat="1" applyFont="1" applyBorder="1" applyAlignment="1">
      <alignment horizontal="center" vertical="center"/>
    </xf>
    <xf numFmtId="174" fontId="17" fillId="0" borderId="322" xfId="1253" applyNumberFormat="1" applyFont="1" applyBorder="1" applyAlignment="1">
      <alignment horizontal="center" vertical="center"/>
    </xf>
    <xf numFmtId="0" fontId="17" fillId="24" borderId="0" xfId="0" applyFont="1" applyFill="1" applyAlignment="1">
      <alignment horizontal="left" vertical="center" indent="4"/>
    </xf>
    <xf numFmtId="181" fontId="17" fillId="0" borderId="229" xfId="1253" applyNumberFormat="1" applyFont="1" applyBorder="1" applyAlignment="1">
      <alignment horizontal="center" vertical="center"/>
    </xf>
    <xf numFmtId="10" fontId="17" fillId="0" borderId="323" xfId="3526" applyNumberFormat="1" applyFont="1" applyFill="1" applyBorder="1" applyAlignment="1">
      <alignment horizontal="right" vertical="center"/>
    </xf>
    <xf numFmtId="185" fontId="17" fillId="0" borderId="325" xfId="1253" applyNumberFormat="1" applyFont="1" applyBorder="1" applyAlignment="1">
      <alignment vertical="center"/>
    </xf>
    <xf numFmtId="174" fontId="17" fillId="0" borderId="325" xfId="1253" applyNumberFormat="1" applyFont="1" applyBorder="1" applyAlignment="1">
      <alignment vertical="center"/>
    </xf>
    <xf numFmtId="185" fontId="17" fillId="0" borderId="324" xfId="1253" applyNumberFormat="1" applyFont="1" applyBorder="1" applyAlignment="1">
      <alignment vertical="center"/>
    </xf>
    <xf numFmtId="174" fontId="17" fillId="0" borderId="324" xfId="1253" applyNumberFormat="1" applyFont="1" applyBorder="1" applyAlignment="1">
      <alignment vertical="center"/>
    </xf>
    <xf numFmtId="185" fontId="17" fillId="0" borderId="326" xfId="1253" applyNumberFormat="1" applyFont="1" applyBorder="1" applyAlignment="1">
      <alignment vertical="center"/>
    </xf>
    <xf numFmtId="174" fontId="17" fillId="0" borderId="326" xfId="1253" applyNumberFormat="1" applyFont="1" applyBorder="1" applyAlignment="1">
      <alignment vertical="center"/>
    </xf>
    <xf numFmtId="10" fontId="17" fillId="0" borderId="327" xfId="3526" applyNumberFormat="1" applyFont="1" applyFill="1" applyBorder="1" applyAlignment="1">
      <alignment horizontal="right" vertical="center"/>
    </xf>
    <xf numFmtId="185" fontId="17" fillId="0" borderId="328" xfId="1253" applyNumberFormat="1" applyFont="1" applyBorder="1" applyAlignment="1">
      <alignment vertical="center"/>
    </xf>
    <xf numFmtId="174" fontId="17" fillId="0" borderId="329" xfId="1253" applyNumberFormat="1" applyFont="1" applyBorder="1" applyAlignment="1">
      <alignment vertical="center"/>
    </xf>
    <xf numFmtId="10" fontId="17" fillId="0" borderId="330" xfId="3526" applyNumberFormat="1" applyFont="1" applyFill="1" applyBorder="1" applyAlignment="1">
      <alignment horizontal="right" vertical="center"/>
    </xf>
    <xf numFmtId="0" fontId="79" fillId="0" borderId="300" xfId="3536" applyBorder="1" applyAlignment="1">
      <alignment vertical="center" readingOrder="1"/>
    </xf>
    <xf numFmtId="0" fontId="0" fillId="0" borderId="331" xfId="0" applyBorder="1" applyAlignment="1">
      <alignment vertical="center"/>
    </xf>
    <xf numFmtId="177" fontId="65" fillId="0" borderId="298" xfId="3527" applyNumberFormat="1" applyFont="1" applyBorder="1" applyAlignment="1">
      <alignment horizontal="right" vertical="center"/>
    </xf>
    <xf numFmtId="177" fontId="65" fillId="0" borderId="335" xfId="3527" applyNumberFormat="1" applyFont="1" applyBorder="1" applyAlignment="1">
      <alignment horizontal="right" vertical="center"/>
    </xf>
    <xf numFmtId="177" fontId="65" fillId="24" borderId="298" xfId="3527" applyNumberFormat="1" applyFont="1" applyFill="1" applyBorder="1" applyAlignment="1">
      <alignment horizontal="right" vertical="center"/>
    </xf>
    <xf numFmtId="0" fontId="65" fillId="0" borderId="335" xfId="0" applyFont="1" applyBorder="1" applyAlignment="1">
      <alignment vertical="center"/>
    </xf>
    <xf numFmtId="0" fontId="65" fillId="0" borderId="298" xfId="0" applyFont="1" applyBorder="1" applyAlignment="1">
      <alignment vertical="center"/>
    </xf>
    <xf numFmtId="9" fontId="65" fillId="0" borderId="298" xfId="0" applyNumberFormat="1" applyFont="1" applyBorder="1" applyAlignment="1">
      <alignment vertical="center"/>
    </xf>
    <xf numFmtId="1" fontId="65" fillId="24" borderId="298" xfId="3526" applyNumberFormat="1" applyFont="1" applyFill="1" applyBorder="1" applyAlignment="1">
      <alignment horizontal="right" vertical="center"/>
    </xf>
    <xf numFmtId="177" fontId="65" fillId="0" borderId="298" xfId="3527" applyNumberFormat="1" applyFont="1" applyBorder="1" applyAlignment="1">
      <alignment vertical="center"/>
    </xf>
    <xf numFmtId="9" fontId="65" fillId="24" borderId="298" xfId="3526" applyFont="1" applyFill="1" applyBorder="1" applyAlignment="1">
      <alignment horizontal="right" vertical="center"/>
    </xf>
    <xf numFmtId="41" fontId="65" fillId="24" borderId="337" xfId="1253" applyNumberFormat="1" applyFont="1" applyFill="1" applyBorder="1" applyAlignment="1">
      <alignment horizontal="center" vertical="center"/>
    </xf>
    <xf numFmtId="41" fontId="65" fillId="24" borderId="298" xfId="1253" applyNumberFormat="1" applyFont="1" applyFill="1" applyBorder="1" applyAlignment="1">
      <alignment horizontal="center" vertical="center"/>
    </xf>
    <xf numFmtId="41" fontId="65" fillId="24" borderId="334" xfId="1253" applyNumberFormat="1" applyFont="1" applyFill="1" applyBorder="1" applyAlignment="1">
      <alignment horizontal="center" vertical="center"/>
    </xf>
    <xf numFmtId="16" fontId="0" fillId="0" borderId="338" xfId="0" applyNumberFormat="1" applyBorder="1" applyAlignment="1">
      <alignment vertical="center"/>
    </xf>
    <xf numFmtId="177" fontId="65" fillId="0" borderId="338" xfId="3527" applyNumberFormat="1" applyFont="1" applyBorder="1" applyAlignment="1">
      <alignment horizontal="right" vertical="center"/>
    </xf>
    <xf numFmtId="177" fontId="65" fillId="0" borderId="340" xfId="3527" applyNumberFormat="1" applyFont="1" applyBorder="1" applyAlignment="1">
      <alignment horizontal="right" vertical="center"/>
    </xf>
    <xf numFmtId="0" fontId="65" fillId="0" borderId="340" xfId="0" applyFont="1" applyBorder="1" applyAlignment="1">
      <alignment vertical="center"/>
    </xf>
    <xf numFmtId="0" fontId="65" fillId="0" borderId="338" xfId="0" applyFont="1" applyBorder="1" applyAlignment="1">
      <alignment vertical="center"/>
    </xf>
    <xf numFmtId="1" fontId="65" fillId="24" borderId="338" xfId="3526" applyNumberFormat="1" applyFont="1" applyFill="1" applyBorder="1" applyAlignment="1">
      <alignment horizontal="right" vertical="center"/>
    </xf>
    <xf numFmtId="177" fontId="65" fillId="0" borderId="338" xfId="3527" applyNumberFormat="1" applyFont="1" applyBorder="1" applyAlignment="1">
      <alignment vertical="center"/>
    </xf>
    <xf numFmtId="9" fontId="65" fillId="24" borderId="338" xfId="3526" applyFont="1" applyFill="1" applyBorder="1" applyAlignment="1">
      <alignment horizontal="right" vertical="center"/>
    </xf>
    <xf numFmtId="41" fontId="65" fillId="24" borderId="342" xfId="1253" applyNumberFormat="1" applyFont="1" applyFill="1" applyBorder="1" applyAlignment="1">
      <alignment horizontal="center" vertical="center"/>
    </xf>
    <xf numFmtId="41" fontId="65" fillId="24" borderId="338" xfId="1253" applyNumberFormat="1" applyFont="1" applyFill="1" applyBorder="1" applyAlignment="1">
      <alignment horizontal="center" vertical="center"/>
    </xf>
    <xf numFmtId="41" fontId="65" fillId="24" borderId="339" xfId="1253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54" fillId="0" borderId="88" xfId="1236" applyFont="1" applyFill="1" applyBorder="1" applyAlignment="1">
      <alignment horizontal="center" vertical="center" shrinkToFit="1"/>
    </xf>
    <xf numFmtId="41" fontId="54" fillId="0" borderId="88" xfId="0" applyNumberFormat="1" applyFont="1" applyBorder="1" applyAlignment="1">
      <alignment horizontal="center" vertical="center"/>
    </xf>
    <xf numFmtId="9" fontId="54" fillId="41" borderId="88" xfId="1236" applyNumberFormat="1" applyFont="1" applyFill="1" applyBorder="1" applyAlignment="1">
      <alignment horizontal="right" vertical="center" shrinkToFit="1"/>
    </xf>
    <xf numFmtId="180" fontId="54" fillId="0" borderId="88" xfId="0" applyNumberFormat="1" applyFont="1" applyBorder="1" applyAlignment="1">
      <alignment horizontal="center" vertical="center"/>
    </xf>
    <xf numFmtId="9" fontId="54" fillId="0" borderId="88" xfId="0" applyNumberFormat="1" applyFont="1" applyBorder="1" applyAlignment="1">
      <alignment horizontal="right" vertical="center"/>
    </xf>
    <xf numFmtId="0" fontId="19" fillId="0" borderId="350" xfId="0" applyFont="1" applyBorder="1" applyAlignment="1">
      <alignment vertical="center"/>
    </xf>
    <xf numFmtId="0" fontId="19" fillId="0" borderId="351" xfId="0" applyFont="1" applyBorder="1" applyAlignment="1">
      <alignment vertical="center"/>
    </xf>
    <xf numFmtId="0" fontId="17" fillId="24" borderId="58" xfId="1254" applyFont="1" applyFill="1" applyBorder="1" applyAlignment="1">
      <alignment vertical="center"/>
    </xf>
    <xf numFmtId="41" fontId="19" fillId="24" borderId="53" xfId="1253" applyNumberFormat="1" applyFont="1" applyFill="1" applyBorder="1" applyAlignment="1">
      <alignment horizontal="center" vertical="center" wrapText="1"/>
    </xf>
    <xf numFmtId="177" fontId="65" fillId="0" borderId="267" xfId="3527" applyNumberFormat="1" applyFont="1" applyFill="1" applyBorder="1" applyAlignment="1">
      <alignment horizontal="right" vertical="center"/>
    </xf>
    <xf numFmtId="177" fontId="65" fillId="24" borderId="53" xfId="3527" applyNumberFormat="1" applyFont="1" applyFill="1" applyBorder="1" applyAlignment="1">
      <alignment horizontal="right" vertical="center"/>
    </xf>
    <xf numFmtId="177" fontId="65" fillId="24" borderId="266" xfId="3527" applyNumberFormat="1" applyFont="1" applyFill="1" applyBorder="1" applyAlignment="1">
      <alignment horizontal="right" vertical="center"/>
    </xf>
    <xf numFmtId="177" fontId="65" fillId="0" borderId="267" xfId="3527" applyNumberFormat="1" applyFont="1" applyBorder="1" applyAlignment="1">
      <alignment horizontal="right" vertical="center"/>
    </xf>
    <xf numFmtId="177" fontId="65" fillId="0" borderId="53" xfId="3527" applyNumberFormat="1" applyFont="1" applyBorder="1" applyAlignment="1">
      <alignment horizontal="right" vertical="center"/>
    </xf>
    <xf numFmtId="177" fontId="65" fillId="0" borderId="336" xfId="3527" applyNumberFormat="1" applyFont="1" applyBorder="1" applyAlignment="1">
      <alignment horizontal="right" vertical="center"/>
    </xf>
    <xf numFmtId="177" fontId="65" fillId="0" borderId="341" xfId="3527" applyNumberFormat="1" applyFont="1" applyBorder="1" applyAlignment="1">
      <alignment horizontal="right" vertical="center"/>
    </xf>
    <xf numFmtId="9" fontId="65" fillId="0" borderId="247" xfId="3527" applyNumberFormat="1" applyFont="1" applyFill="1" applyBorder="1" applyAlignment="1">
      <alignment horizontal="right" vertical="center"/>
    </xf>
    <xf numFmtId="9" fontId="65" fillId="24" borderId="97" xfId="3527" applyNumberFormat="1" applyFont="1" applyFill="1" applyBorder="1" applyAlignment="1">
      <alignment horizontal="right" vertical="center"/>
    </xf>
    <xf numFmtId="9" fontId="65" fillId="24" borderId="248" xfId="3527" applyNumberFormat="1" applyFont="1" applyFill="1" applyBorder="1" applyAlignment="1">
      <alignment horizontal="right" vertical="center"/>
    </xf>
    <xf numFmtId="9" fontId="65" fillId="0" borderId="247" xfId="3527" applyNumberFormat="1" applyFont="1" applyBorder="1" applyAlignment="1">
      <alignment horizontal="right" vertical="center"/>
    </xf>
    <xf numFmtId="9" fontId="65" fillId="0" borderId="97" xfId="3527" applyNumberFormat="1" applyFont="1" applyBorder="1" applyAlignment="1">
      <alignment horizontal="right" vertical="center"/>
    </xf>
    <xf numFmtId="9" fontId="65" fillId="0" borderId="334" xfId="3527" applyNumberFormat="1" applyFont="1" applyBorder="1" applyAlignment="1">
      <alignment horizontal="right" vertical="center"/>
    </xf>
    <xf numFmtId="9" fontId="65" fillId="0" borderId="339" xfId="3527" applyNumberFormat="1" applyFont="1" applyBorder="1" applyAlignment="1">
      <alignment horizontal="right" vertical="center"/>
    </xf>
    <xf numFmtId="1" fontId="84" fillId="53" borderId="184" xfId="0" applyNumberFormat="1" applyFont="1" applyFill="1" applyBorder="1" applyAlignment="1">
      <alignment vertical="center"/>
    </xf>
    <xf numFmtId="0" fontId="84" fillId="53" borderId="105" xfId="0" applyFont="1" applyFill="1" applyBorder="1" applyAlignment="1">
      <alignment vertical="center"/>
    </xf>
    <xf numFmtId="9" fontId="84" fillId="53" borderId="105" xfId="3526" applyFont="1" applyFill="1" applyBorder="1" applyAlignment="1">
      <alignment vertical="center"/>
    </xf>
    <xf numFmtId="1" fontId="85" fillId="53" borderId="247" xfId="3526" applyNumberFormat="1" applyFont="1" applyFill="1" applyBorder="1" applyAlignment="1">
      <alignment horizontal="right" vertical="center"/>
    </xf>
    <xf numFmtId="1" fontId="84" fillId="53" borderId="105" xfId="3526" applyNumberFormat="1" applyFont="1" applyFill="1" applyBorder="1" applyAlignment="1">
      <alignment horizontal="right" vertical="center"/>
    </xf>
    <xf numFmtId="9" fontId="84" fillId="53" borderId="105" xfId="3526" applyFont="1" applyFill="1" applyBorder="1" applyAlignment="1">
      <alignment horizontal="right" vertical="center"/>
    </xf>
    <xf numFmtId="177" fontId="84" fillId="53" borderId="105" xfId="3527" applyNumberFormat="1" applyFont="1" applyFill="1" applyBorder="1" applyAlignment="1">
      <alignment horizontal="center" vertical="center"/>
    </xf>
    <xf numFmtId="1" fontId="85" fillId="53" borderId="267" xfId="3526" applyNumberFormat="1" applyFont="1" applyFill="1" applyBorder="1" applyAlignment="1">
      <alignment horizontal="right" vertical="center"/>
    </xf>
    <xf numFmtId="1" fontId="84" fillId="53" borderId="186" xfId="0" applyNumberFormat="1" applyFont="1" applyFill="1" applyBorder="1" applyAlignment="1">
      <alignment vertical="center"/>
    </xf>
    <xf numFmtId="0" fontId="84" fillId="53" borderId="12" xfId="0" applyFont="1" applyFill="1" applyBorder="1" applyAlignment="1">
      <alignment vertical="center"/>
    </xf>
    <xf numFmtId="9" fontId="84" fillId="53" borderId="12" xfId="3526" applyFont="1" applyFill="1" applyBorder="1" applyAlignment="1">
      <alignment vertical="center"/>
    </xf>
    <xf numFmtId="1" fontId="85" fillId="53" borderId="97" xfId="3526" applyNumberFormat="1" applyFont="1" applyFill="1" applyBorder="1" applyAlignment="1">
      <alignment horizontal="right" vertical="center"/>
    </xf>
    <xf numFmtId="1" fontId="84" fillId="53" borderId="12" xfId="3526" applyNumberFormat="1" applyFont="1" applyFill="1" applyBorder="1" applyAlignment="1">
      <alignment horizontal="right" vertical="center"/>
    </xf>
    <xf numFmtId="9" fontId="84" fillId="53" borderId="12" xfId="3526" applyFont="1" applyFill="1" applyBorder="1" applyAlignment="1">
      <alignment horizontal="right" vertical="center"/>
    </xf>
    <xf numFmtId="177" fontId="84" fillId="53" borderId="12" xfId="3527" applyNumberFormat="1" applyFont="1" applyFill="1" applyBorder="1" applyAlignment="1">
      <alignment vertical="center"/>
    </xf>
    <xf numFmtId="177" fontId="84" fillId="53" borderId="12" xfId="3527" applyNumberFormat="1" applyFont="1" applyFill="1" applyBorder="1" applyAlignment="1">
      <alignment horizontal="center" vertical="center"/>
    </xf>
    <xf numFmtId="1" fontId="85" fillId="53" borderId="53" xfId="3526" applyNumberFormat="1" applyFont="1" applyFill="1" applyBorder="1" applyAlignment="1">
      <alignment horizontal="right" vertical="center"/>
    </xf>
    <xf numFmtId="0" fontId="84" fillId="53" borderId="186" xfId="0" applyFont="1" applyFill="1" applyBorder="1" applyAlignment="1">
      <alignment vertical="center"/>
    </xf>
    <xf numFmtId="0" fontId="84" fillId="53" borderId="12" xfId="0" applyFont="1" applyFill="1" applyBorder="1" applyAlignment="1">
      <alignment horizontal="right" vertical="center"/>
    </xf>
    <xf numFmtId="0" fontId="84" fillId="53" borderId="188" xfId="0" applyFont="1" applyFill="1" applyBorder="1" applyAlignment="1">
      <alignment vertical="center"/>
    </xf>
    <xf numFmtId="0" fontId="84" fillId="53" borderId="189" xfId="0" applyFont="1" applyFill="1" applyBorder="1" applyAlignment="1">
      <alignment vertical="center"/>
    </xf>
    <xf numFmtId="9" fontId="84" fillId="53" borderId="189" xfId="3526" applyFont="1" applyFill="1" applyBorder="1" applyAlignment="1">
      <alignment vertical="center"/>
    </xf>
    <xf numFmtId="1" fontId="85" fillId="53" borderId="248" xfId="3526" applyNumberFormat="1" applyFont="1" applyFill="1" applyBorder="1" applyAlignment="1">
      <alignment horizontal="right" vertical="center"/>
    </xf>
    <xf numFmtId="0" fontId="84" fillId="53" borderId="189" xfId="0" applyFont="1" applyFill="1" applyBorder="1" applyAlignment="1">
      <alignment horizontal="right" vertical="center"/>
    </xf>
    <xf numFmtId="1" fontId="84" fillId="53" borderId="189" xfId="3526" applyNumberFormat="1" applyFont="1" applyFill="1" applyBorder="1" applyAlignment="1">
      <alignment horizontal="right" vertical="center"/>
    </xf>
    <xf numFmtId="9" fontId="84" fillId="53" borderId="189" xfId="3526" applyFont="1" applyFill="1" applyBorder="1" applyAlignment="1">
      <alignment horizontal="right" vertical="center"/>
    </xf>
    <xf numFmtId="177" fontId="84" fillId="53" borderId="189" xfId="3527" applyNumberFormat="1" applyFont="1" applyFill="1" applyBorder="1" applyAlignment="1">
      <alignment vertical="center"/>
    </xf>
    <xf numFmtId="1" fontId="85" fillId="53" borderId="266" xfId="3526" applyNumberFormat="1" applyFont="1" applyFill="1" applyBorder="1" applyAlignment="1">
      <alignment horizontal="right" vertical="center"/>
    </xf>
    <xf numFmtId="168" fontId="19" fillId="0" borderId="0" xfId="0" applyNumberFormat="1" applyFont="1" applyAlignment="1">
      <alignment horizontal="center" vertical="center" wrapText="1"/>
    </xf>
    <xf numFmtId="9" fontId="19" fillId="0" borderId="0" xfId="3526" applyFont="1" applyFill="1" applyAlignment="1">
      <alignment horizontal="center" vertical="center" wrapText="1"/>
    </xf>
    <xf numFmtId="16" fontId="0" fillId="48" borderId="338" xfId="0" applyNumberFormat="1" applyFill="1" applyBorder="1" applyAlignment="1">
      <alignment vertical="center"/>
    </xf>
    <xf numFmtId="177" fontId="65" fillId="48" borderId="338" xfId="3527" applyNumberFormat="1" applyFont="1" applyFill="1" applyBorder="1" applyAlignment="1">
      <alignment horizontal="right" vertical="center"/>
    </xf>
    <xf numFmtId="177" fontId="65" fillId="48" borderId="341" xfId="3527" applyNumberFormat="1" applyFont="1" applyFill="1" applyBorder="1" applyAlignment="1">
      <alignment horizontal="right" vertical="center"/>
    </xf>
    <xf numFmtId="9" fontId="65" fillId="48" borderId="339" xfId="3527" applyNumberFormat="1" applyFont="1" applyFill="1" applyBorder="1" applyAlignment="1">
      <alignment horizontal="right" vertical="center"/>
    </xf>
    <xf numFmtId="177" fontId="65" fillId="48" borderId="340" xfId="3527" applyNumberFormat="1" applyFont="1" applyFill="1" applyBorder="1" applyAlignment="1">
      <alignment horizontal="right" vertical="center"/>
    </xf>
    <xf numFmtId="41" fontId="65" fillId="48" borderId="340" xfId="1253" applyNumberFormat="1" applyFont="1" applyFill="1" applyBorder="1" applyAlignment="1">
      <alignment horizontal="center" vertical="center"/>
    </xf>
    <xf numFmtId="41" fontId="65" fillId="48" borderId="338" xfId="1253" applyNumberFormat="1" applyFont="1" applyFill="1" applyBorder="1" applyAlignment="1">
      <alignment vertical="center"/>
    </xf>
    <xf numFmtId="9" fontId="65" fillId="48" borderId="338" xfId="3526" applyFont="1" applyFill="1" applyBorder="1" applyAlignment="1">
      <alignment vertical="center"/>
    </xf>
    <xf numFmtId="1" fontId="17" fillId="48" borderId="339" xfId="3526" applyNumberFormat="1" applyFont="1" applyFill="1" applyBorder="1" applyAlignment="1">
      <alignment horizontal="right" vertical="center"/>
    </xf>
    <xf numFmtId="41" fontId="65" fillId="48" borderId="338" xfId="1253" applyNumberFormat="1" applyFont="1" applyFill="1" applyBorder="1" applyAlignment="1">
      <alignment horizontal="center" vertical="center"/>
    </xf>
    <xf numFmtId="1" fontId="65" fillId="48" borderId="338" xfId="1253" applyNumberFormat="1" applyFont="1" applyFill="1" applyBorder="1" applyAlignment="1">
      <alignment horizontal="right" vertical="center"/>
    </xf>
    <xf numFmtId="9" fontId="65" fillId="48" borderId="338" xfId="3526" applyFont="1" applyFill="1" applyBorder="1" applyAlignment="1">
      <alignment horizontal="right" vertical="center"/>
    </xf>
    <xf numFmtId="177" fontId="65" fillId="48" borderId="338" xfId="3527" applyNumberFormat="1" applyFont="1" applyFill="1" applyBorder="1" applyAlignment="1">
      <alignment horizontal="center" vertical="center"/>
    </xf>
    <xf numFmtId="1" fontId="17" fillId="48" borderId="341" xfId="3526" applyNumberFormat="1" applyFont="1" applyFill="1" applyBorder="1" applyAlignment="1">
      <alignment horizontal="right" vertical="center"/>
    </xf>
    <xf numFmtId="41" fontId="65" fillId="48" borderId="342" xfId="1253" applyNumberFormat="1" applyFont="1" applyFill="1" applyBorder="1" applyAlignment="1">
      <alignment horizontal="center" vertical="center"/>
    </xf>
    <xf numFmtId="41" fontId="65" fillId="48" borderId="339" xfId="1253" applyNumberFormat="1" applyFont="1" applyFill="1" applyBorder="1" applyAlignment="1">
      <alignment horizontal="center" vertical="center"/>
    </xf>
    <xf numFmtId="0" fontId="0" fillId="48" borderId="352" xfId="0" applyFill="1" applyBorder="1" applyAlignment="1">
      <alignment vertical="center"/>
    </xf>
    <xf numFmtId="16" fontId="66" fillId="0" borderId="298" xfId="0" applyNumberFormat="1" applyFont="1" applyBorder="1" applyAlignment="1">
      <alignment vertical="center"/>
    </xf>
    <xf numFmtId="177" fontId="65" fillId="24" borderId="336" xfId="3527" applyNumberFormat="1" applyFont="1" applyFill="1" applyBorder="1" applyAlignment="1">
      <alignment horizontal="right" vertical="center"/>
    </xf>
    <xf numFmtId="9" fontId="65" fillId="24" borderId="334" xfId="3527" applyNumberFormat="1" applyFont="1" applyFill="1" applyBorder="1" applyAlignment="1">
      <alignment horizontal="right" vertical="center"/>
    </xf>
    <xf numFmtId="177" fontId="65" fillId="24" borderId="335" xfId="3527" applyNumberFormat="1" applyFont="1" applyFill="1" applyBorder="1" applyAlignment="1">
      <alignment horizontal="right" vertical="center"/>
    </xf>
    <xf numFmtId="0" fontId="84" fillId="53" borderId="335" xfId="0" applyFont="1" applyFill="1" applyBorder="1" applyAlignment="1">
      <alignment vertical="center"/>
    </xf>
    <xf numFmtId="0" fontId="84" fillId="53" borderId="298" xfId="0" applyFont="1" applyFill="1" applyBorder="1" applyAlignment="1">
      <alignment vertical="center"/>
    </xf>
    <xf numFmtId="9" fontId="84" fillId="53" borderId="298" xfId="3526" applyFont="1" applyFill="1" applyBorder="1" applyAlignment="1">
      <alignment vertical="center"/>
    </xf>
    <xf numFmtId="1" fontId="85" fillId="53" borderId="334" xfId="3526" applyNumberFormat="1" applyFont="1" applyFill="1" applyBorder="1" applyAlignment="1">
      <alignment horizontal="right" vertical="center"/>
    </xf>
    <xf numFmtId="0" fontId="84" fillId="53" borderId="298" xfId="0" applyFont="1" applyFill="1" applyBorder="1" applyAlignment="1">
      <alignment horizontal="right" vertical="center"/>
    </xf>
    <xf numFmtId="1" fontId="84" fillId="53" borderId="298" xfId="3526" applyNumberFormat="1" applyFont="1" applyFill="1" applyBorder="1" applyAlignment="1">
      <alignment horizontal="right" vertical="center"/>
    </xf>
    <xf numFmtId="9" fontId="84" fillId="53" borderId="298" xfId="3526" applyFont="1" applyFill="1" applyBorder="1" applyAlignment="1">
      <alignment horizontal="right" vertical="center"/>
    </xf>
    <xf numFmtId="177" fontId="84" fillId="53" borderId="298" xfId="3527" applyNumberFormat="1" applyFont="1" applyFill="1" applyBorder="1" applyAlignment="1">
      <alignment vertical="center"/>
    </xf>
    <xf numFmtId="1" fontId="85" fillId="53" borderId="336" xfId="3526" applyNumberFormat="1" applyFont="1" applyFill="1" applyBorder="1" applyAlignment="1">
      <alignment horizontal="right" vertical="center"/>
    </xf>
    <xf numFmtId="38" fontId="17" fillId="0" borderId="353" xfId="1253" applyNumberFormat="1" applyFont="1" applyBorder="1" applyAlignment="1">
      <alignment vertical="center"/>
    </xf>
    <xf numFmtId="38" fontId="17" fillId="0" borderId="354" xfId="1253" applyNumberFormat="1" applyFont="1" applyBorder="1" applyAlignment="1">
      <alignment vertical="center"/>
    </xf>
    <xf numFmtId="38" fontId="17" fillId="0" borderId="355" xfId="1253" applyNumberFormat="1" applyFont="1" applyBorder="1" applyAlignment="1">
      <alignment vertical="center"/>
    </xf>
    <xf numFmtId="174" fontId="17" fillId="0" borderId="355" xfId="1253" applyNumberFormat="1" applyFont="1" applyBorder="1" applyAlignment="1">
      <alignment vertical="center"/>
    </xf>
    <xf numFmtId="38" fontId="17" fillId="0" borderId="356" xfId="1253" applyNumberFormat="1" applyFont="1" applyBorder="1" applyAlignment="1">
      <alignment vertical="center"/>
    </xf>
    <xf numFmtId="41" fontId="17" fillId="36" borderId="357" xfId="1253" applyNumberFormat="1" applyFont="1" applyFill="1" applyBorder="1" applyAlignment="1">
      <alignment horizontal="center" vertical="center"/>
    </xf>
    <xf numFmtId="174" fontId="17" fillId="0" borderId="357" xfId="1253" applyNumberFormat="1" applyFont="1" applyBorder="1" applyAlignment="1">
      <alignment horizontal="center" vertical="center"/>
    </xf>
    <xf numFmtId="9" fontId="17" fillId="0" borderId="358" xfId="3526" applyFont="1" applyFill="1" applyBorder="1" applyAlignment="1">
      <alignment horizontal="right" vertical="center"/>
    </xf>
    <xf numFmtId="38" fontId="17" fillId="0" borderId="359" xfId="1253" applyNumberFormat="1" applyFont="1" applyBorder="1" applyAlignment="1">
      <alignment vertical="center"/>
    </xf>
    <xf numFmtId="38" fontId="17" fillId="0" borderId="360" xfId="1253" applyNumberFormat="1" applyFont="1" applyBorder="1" applyAlignment="1">
      <alignment vertical="center"/>
    </xf>
    <xf numFmtId="38" fontId="17" fillId="0" borderId="317" xfId="1253" applyNumberFormat="1" applyFont="1" applyBorder="1" applyAlignment="1">
      <alignment vertical="center"/>
    </xf>
    <xf numFmtId="38" fontId="17" fillId="0" borderId="250" xfId="1253" applyNumberFormat="1" applyFont="1" applyBorder="1" applyAlignment="1">
      <alignment vertical="center"/>
    </xf>
    <xf numFmtId="38" fontId="17" fillId="0" borderId="361" xfId="1253" applyNumberFormat="1" applyFont="1" applyBorder="1" applyAlignment="1">
      <alignment vertical="center"/>
    </xf>
    <xf numFmtId="38" fontId="17" fillId="0" borderId="362" xfId="1253" applyNumberFormat="1" applyFont="1" applyBorder="1" applyAlignment="1">
      <alignment vertical="center"/>
    </xf>
    <xf numFmtId="174" fontId="17" fillId="0" borderId="362" xfId="1253" applyNumberFormat="1" applyFont="1" applyBorder="1" applyAlignment="1">
      <alignment vertical="center"/>
    </xf>
    <xf numFmtId="10" fontId="17" fillId="25" borderId="229" xfId="3526" applyNumberFormat="1" applyFont="1" applyFill="1" applyBorder="1" applyAlignment="1">
      <alignment horizontal="right" vertical="center"/>
    </xf>
    <xf numFmtId="9" fontId="74" fillId="0" borderId="309" xfId="3526" applyFont="1" applyBorder="1" applyAlignment="1">
      <alignment horizontal="right" vertical="center"/>
    </xf>
    <xf numFmtId="9" fontId="17" fillId="0" borderId="363" xfId="3526" applyFont="1" applyFill="1" applyBorder="1" applyAlignment="1">
      <alignment horizontal="right" vertical="center"/>
    </xf>
    <xf numFmtId="184" fontId="17" fillId="0" borderId="358" xfId="1253" applyNumberFormat="1" applyFont="1" applyBorder="1" applyAlignment="1">
      <alignment horizontal="center" vertical="center"/>
    </xf>
    <xf numFmtId="0" fontId="63" fillId="0" borderId="304" xfId="0" applyFont="1" applyBorder="1" applyAlignment="1">
      <alignment vertical="center" readingOrder="1"/>
    </xf>
    <xf numFmtId="0" fontId="63" fillId="0" borderId="290" xfId="0" applyFont="1" applyBorder="1" applyAlignment="1">
      <alignment vertical="center" readingOrder="1"/>
    </xf>
    <xf numFmtId="0" fontId="63" fillId="0" borderId="307" xfId="0" applyFont="1" applyBorder="1" applyAlignment="1">
      <alignment vertical="center" readingOrder="1"/>
    </xf>
    <xf numFmtId="0" fontId="63" fillId="0" borderId="289" xfId="0" applyFont="1" applyBorder="1" applyAlignment="1">
      <alignment vertical="center" readingOrder="1"/>
    </xf>
    <xf numFmtId="0" fontId="63" fillId="0" borderId="305" xfId="0" applyFont="1" applyBorder="1" applyAlignment="1">
      <alignment vertical="center" readingOrder="1"/>
    </xf>
    <xf numFmtId="0" fontId="63" fillId="0" borderId="292" xfId="0" applyFont="1" applyBorder="1" applyAlignment="1">
      <alignment vertical="center" readingOrder="1"/>
    </xf>
    <xf numFmtId="2" fontId="54" fillId="24" borderId="88" xfId="0" applyNumberFormat="1" applyFont="1" applyFill="1" applyBorder="1" applyAlignment="1">
      <alignment horizontal="right" vertical="center"/>
    </xf>
    <xf numFmtId="10" fontId="18" fillId="0" borderId="0" xfId="0" applyNumberFormat="1" applyFont="1" applyAlignment="1">
      <alignment horizontal="right" vertical="center" wrapText="1"/>
    </xf>
    <xf numFmtId="10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 shrinkToFit="1"/>
    </xf>
    <xf numFmtId="174" fontId="18" fillId="0" borderId="0" xfId="1236" applyNumberFormat="1" applyFont="1" applyFill="1" applyBorder="1" applyAlignment="1">
      <alignment horizontal="right" vertical="center" shrinkToFit="1"/>
    </xf>
    <xf numFmtId="10" fontId="18" fillId="0" borderId="0" xfId="3526" applyNumberFormat="1" applyFont="1" applyFill="1" applyBorder="1" applyAlignment="1">
      <alignment horizontal="right" vertical="center"/>
    </xf>
    <xf numFmtId="2" fontId="18" fillId="0" borderId="0" xfId="3526" applyNumberFormat="1" applyFont="1" applyFill="1" applyBorder="1" applyAlignment="1">
      <alignment horizontal="right" vertical="center"/>
    </xf>
    <xf numFmtId="10" fontId="17" fillId="25" borderId="207" xfId="1253" applyNumberFormat="1" applyFont="1" applyFill="1" applyBorder="1" applyAlignment="1">
      <alignment horizontal="center" vertical="center"/>
    </xf>
    <xf numFmtId="10" fontId="17" fillId="25" borderId="242" xfId="1253" applyNumberFormat="1" applyFont="1" applyFill="1" applyBorder="1" applyAlignment="1">
      <alignment horizontal="center" vertical="center"/>
    </xf>
    <xf numFmtId="169" fontId="17" fillId="54" borderId="371" xfId="1253" applyNumberFormat="1" applyFont="1" applyFill="1" applyBorder="1" applyAlignment="1">
      <alignment horizontal="center" vertical="center" wrapText="1"/>
    </xf>
    <xf numFmtId="41" fontId="17" fillId="54" borderId="24" xfId="1253" applyNumberFormat="1" applyFont="1" applyFill="1" applyBorder="1" applyAlignment="1">
      <alignment horizontal="center" vertical="center"/>
    </xf>
    <xf numFmtId="41" fontId="17" fillId="54" borderId="146" xfId="1253" applyNumberFormat="1" applyFont="1" applyFill="1" applyBorder="1" applyAlignment="1">
      <alignment horizontal="center" vertical="center"/>
    </xf>
    <xf numFmtId="10" fontId="17" fillId="54" borderId="206" xfId="1253" applyNumberFormat="1" applyFont="1" applyFill="1" applyBorder="1" applyAlignment="1">
      <alignment horizontal="center" vertical="center"/>
    </xf>
    <xf numFmtId="10" fontId="17" fillId="54" borderId="207" xfId="1253" applyNumberFormat="1" applyFont="1" applyFill="1" applyBorder="1" applyAlignment="1">
      <alignment horizontal="center" vertical="center"/>
    </xf>
    <xf numFmtId="41" fontId="17" fillId="24" borderId="146" xfId="1253" applyNumberFormat="1" applyFont="1" applyFill="1" applyBorder="1" applyAlignment="1">
      <alignment horizontal="center" vertical="center"/>
    </xf>
    <xf numFmtId="41" fontId="18" fillId="31" borderId="374" xfId="1253" applyNumberFormat="1" applyFont="1" applyFill="1" applyBorder="1" applyAlignment="1">
      <alignment horizontal="right" vertical="center"/>
    </xf>
    <xf numFmtId="41" fontId="18" fillId="31" borderId="375" xfId="1253" applyNumberFormat="1" applyFont="1" applyFill="1" applyBorder="1" applyAlignment="1">
      <alignment horizontal="right" vertical="center"/>
    </xf>
    <xf numFmtId="41" fontId="18" fillId="31" borderId="147" xfId="1253" applyNumberFormat="1" applyFont="1" applyFill="1" applyBorder="1" applyAlignment="1">
      <alignment horizontal="right" vertical="center"/>
    </xf>
    <xf numFmtId="41" fontId="17" fillId="54" borderId="88" xfId="1253" applyNumberFormat="1" applyFont="1" applyFill="1" applyBorder="1" applyAlignment="1">
      <alignment horizontal="center" vertical="center"/>
    </xf>
    <xf numFmtId="41" fontId="18" fillId="31" borderId="376" xfId="1253" applyNumberFormat="1" applyFont="1" applyFill="1" applyBorder="1" applyAlignment="1">
      <alignment horizontal="right" vertical="center"/>
    </xf>
    <xf numFmtId="174" fontId="18" fillId="31" borderId="376" xfId="1253" applyNumberFormat="1" applyFont="1" applyFill="1" applyBorder="1" applyAlignment="1">
      <alignment horizontal="right" vertical="center"/>
    </xf>
    <xf numFmtId="174" fontId="17" fillId="25" borderId="88" xfId="1253" applyNumberFormat="1" applyFont="1" applyFill="1" applyBorder="1" applyAlignment="1">
      <alignment horizontal="center" vertical="center"/>
    </xf>
    <xf numFmtId="10" fontId="17" fillId="25" borderId="88" xfId="3526" applyNumberFormat="1" applyFont="1" applyFill="1" applyBorder="1" applyAlignment="1">
      <alignment horizontal="right" vertical="center"/>
    </xf>
    <xf numFmtId="174" fontId="17" fillId="54" borderId="88" xfId="1253" applyNumberFormat="1" applyFont="1" applyFill="1" applyBorder="1" applyAlignment="1">
      <alignment horizontal="center" vertical="center"/>
    </xf>
    <xf numFmtId="41" fontId="17" fillId="24" borderId="345" xfId="1253" applyNumberFormat="1" applyFont="1" applyFill="1" applyBorder="1" applyAlignment="1">
      <alignment horizontal="center" vertical="center"/>
    </xf>
    <xf numFmtId="41" fontId="17" fillId="54" borderId="44" xfId="1253" applyNumberFormat="1" applyFont="1" applyFill="1" applyBorder="1" applyAlignment="1">
      <alignment horizontal="center" vertical="center"/>
    </xf>
    <xf numFmtId="180" fontId="17" fillId="24" borderId="29" xfId="1253" applyNumberFormat="1" applyFont="1" applyFill="1" applyBorder="1" applyAlignment="1">
      <alignment horizontal="center" vertical="center"/>
    </xf>
    <xf numFmtId="180" fontId="17" fillId="25" borderId="29" xfId="1253" applyNumberFormat="1" applyFont="1" applyFill="1" applyBorder="1" applyAlignment="1">
      <alignment horizontal="center" vertical="center"/>
    </xf>
    <xf numFmtId="38" fontId="18" fillId="33" borderId="377" xfId="0" applyNumberFormat="1" applyFont="1" applyFill="1" applyBorder="1" applyAlignment="1">
      <alignment horizontal="center" vertical="center"/>
    </xf>
    <xf numFmtId="38" fontId="19" fillId="0" borderId="12" xfId="0" applyNumberFormat="1" applyFont="1" applyBorder="1" applyAlignment="1">
      <alignment horizontal="center" vertical="center"/>
    </xf>
    <xf numFmtId="38" fontId="19" fillId="0" borderId="97" xfId="0" applyNumberFormat="1" applyFont="1" applyBorder="1" applyAlignment="1">
      <alignment horizontal="center" vertical="center"/>
    </xf>
    <xf numFmtId="38" fontId="18" fillId="33" borderId="378" xfId="0" applyNumberFormat="1" applyFont="1" applyFill="1" applyBorder="1" applyAlignment="1">
      <alignment horizontal="center" vertical="center"/>
    </xf>
    <xf numFmtId="180" fontId="19" fillId="0" borderId="189" xfId="0" applyNumberFormat="1" applyFont="1" applyBorder="1" applyAlignment="1">
      <alignment horizontal="center" vertical="center"/>
    </xf>
    <xf numFmtId="180" fontId="19" fillId="0" borderId="248" xfId="0" applyNumberFormat="1" applyFont="1" applyBorder="1" applyAlignment="1">
      <alignment horizontal="center" vertical="center"/>
    </xf>
    <xf numFmtId="174" fontId="17" fillId="54" borderId="24" xfId="1253" applyNumberFormat="1" applyFont="1" applyFill="1" applyBorder="1" applyAlignment="1">
      <alignment horizontal="center" vertical="center"/>
    </xf>
    <xf numFmtId="10" fontId="17" fillId="54" borderId="146" xfId="3526" applyNumberFormat="1" applyFont="1" applyFill="1" applyBorder="1" applyAlignment="1">
      <alignment horizontal="right" vertical="center"/>
    </xf>
    <xf numFmtId="177" fontId="17" fillId="24" borderId="74" xfId="1253" applyNumberFormat="1" applyFont="1" applyFill="1" applyBorder="1" applyAlignment="1">
      <alignment horizontal="center" vertical="center"/>
    </xf>
    <xf numFmtId="170" fontId="54" fillId="24" borderId="96" xfId="0" applyNumberFormat="1" applyFont="1" applyFill="1" applyBorder="1" applyAlignment="1">
      <alignment horizontal="center" vertical="center" shrinkToFit="1"/>
    </xf>
    <xf numFmtId="41" fontId="17" fillId="0" borderId="44" xfId="1236" applyFont="1" applyFill="1" applyBorder="1" applyAlignment="1">
      <alignment horizontal="center" vertical="center" shrinkToFit="1"/>
    </xf>
    <xf numFmtId="180" fontId="17" fillId="0" borderId="24" xfId="0" applyNumberFormat="1" applyFont="1" applyBorder="1" applyAlignment="1">
      <alignment horizontal="right" vertical="center"/>
    </xf>
    <xf numFmtId="41" fontId="17" fillId="0" borderId="379" xfId="1236" applyFont="1" applyFill="1" applyBorder="1" applyAlignment="1">
      <alignment horizontal="right" vertical="center" wrapText="1" indent="1"/>
    </xf>
    <xf numFmtId="170" fontId="54" fillId="24" borderId="88" xfId="0" applyNumberFormat="1" applyFont="1" applyFill="1" applyBorder="1" applyAlignment="1">
      <alignment horizontal="center" vertical="center" shrinkToFit="1"/>
    </xf>
    <xf numFmtId="41" fontId="17" fillId="0" borderId="367" xfId="1236" applyFont="1" applyFill="1" applyBorder="1" applyAlignment="1">
      <alignment horizontal="center" vertical="center" shrinkToFit="1"/>
    </xf>
    <xf numFmtId="41" fontId="18" fillId="32" borderId="18" xfId="1236" applyFont="1" applyFill="1" applyBorder="1" applyAlignment="1">
      <alignment horizontal="center" vertical="center" shrinkToFit="1"/>
    </xf>
    <xf numFmtId="180" fontId="18" fillId="32" borderId="19" xfId="0" applyNumberFormat="1" applyFont="1" applyFill="1" applyBorder="1" applyAlignment="1">
      <alignment horizontal="right" vertical="distributed"/>
    </xf>
    <xf numFmtId="41" fontId="17" fillId="0" borderId="380" xfId="1236" applyFont="1" applyFill="1" applyBorder="1" applyAlignment="1">
      <alignment horizontal="right" vertical="center" wrapText="1" indent="1"/>
    </xf>
    <xf numFmtId="170" fontId="54" fillId="24" borderId="381" xfId="0" applyNumberFormat="1" applyFont="1" applyFill="1" applyBorder="1" applyAlignment="1">
      <alignment horizontal="center" vertical="center" shrinkToFit="1"/>
    </xf>
    <xf numFmtId="41" fontId="86" fillId="0" borderId="24" xfId="1236" applyFont="1" applyFill="1" applyBorder="1" applyAlignment="1">
      <alignment horizontal="center" vertical="center" shrinkToFit="1"/>
    </xf>
    <xf numFmtId="41" fontId="86" fillId="0" borderId="39" xfId="1236" applyFont="1" applyFill="1" applyBorder="1" applyAlignment="1">
      <alignment horizontal="center" vertical="center" wrapText="1"/>
    </xf>
    <xf numFmtId="177" fontId="88" fillId="0" borderId="191" xfId="3527" applyNumberFormat="1" applyFont="1" applyFill="1" applyBorder="1" applyAlignment="1">
      <alignment horizontal="center" vertical="center" wrapText="1"/>
    </xf>
    <xf numFmtId="10" fontId="88" fillId="0" borderId="191" xfId="3526" applyNumberFormat="1" applyFont="1" applyFill="1" applyBorder="1" applyAlignment="1">
      <alignment horizontal="right" vertical="center" wrapText="1"/>
    </xf>
    <xf numFmtId="41" fontId="17" fillId="0" borderId="249" xfId="1236" applyFont="1" applyFill="1" applyBorder="1" applyAlignment="1">
      <alignment horizontal="center" vertical="center" shrinkToFit="1"/>
    </xf>
    <xf numFmtId="10" fontId="17" fillId="37" borderId="24" xfId="0" applyNumberFormat="1" applyFont="1" applyFill="1" applyBorder="1" applyAlignment="1">
      <alignment horizontal="right" vertical="center"/>
    </xf>
    <xf numFmtId="41" fontId="88" fillId="0" borderId="24" xfId="1236" applyFont="1" applyFill="1" applyBorder="1" applyAlignment="1">
      <alignment horizontal="center" vertical="center" shrinkToFit="1"/>
    </xf>
    <xf numFmtId="180" fontId="18" fillId="39" borderId="83" xfId="1236" applyNumberFormat="1" applyFont="1" applyFill="1" applyBorder="1" applyAlignment="1">
      <alignment horizontal="right" vertical="center" shrinkToFit="1"/>
    </xf>
    <xf numFmtId="9" fontId="18" fillId="32" borderId="26" xfId="0" applyNumberFormat="1" applyFont="1" applyFill="1" applyBorder="1" applyAlignment="1">
      <alignment horizontal="right" vertical="center" wrapText="1"/>
    </xf>
    <xf numFmtId="41" fontId="18" fillId="32" borderId="73" xfId="1236" applyFont="1" applyFill="1" applyBorder="1" applyAlignment="1">
      <alignment horizontal="center" vertical="center" shrinkToFit="1"/>
    </xf>
    <xf numFmtId="10" fontId="18" fillId="32" borderId="73" xfId="0" applyNumberFormat="1" applyFont="1" applyFill="1" applyBorder="1" applyAlignment="1">
      <alignment horizontal="right" vertical="center"/>
    </xf>
    <xf numFmtId="10" fontId="18" fillId="32" borderId="26" xfId="1236" applyNumberFormat="1" applyFont="1" applyFill="1" applyBorder="1" applyAlignment="1">
      <alignment horizontal="right" vertical="center" wrapText="1"/>
    </xf>
    <xf numFmtId="0" fontId="18" fillId="0" borderId="88" xfId="0" applyFont="1" applyBorder="1" applyAlignment="1">
      <alignment horizontal="center" vertical="center" shrinkToFit="1"/>
    </xf>
    <xf numFmtId="41" fontId="18" fillId="32" borderId="26" xfId="1236" applyFont="1" applyFill="1" applyBorder="1" applyAlignment="1">
      <alignment horizontal="center" vertical="center" shrinkToFit="1"/>
    </xf>
    <xf numFmtId="10" fontId="18" fillId="32" borderId="26" xfId="0" applyNumberFormat="1" applyFont="1" applyFill="1" applyBorder="1" applyAlignment="1">
      <alignment horizontal="right" vertical="center"/>
    </xf>
    <xf numFmtId="41" fontId="18" fillId="32" borderId="26" xfId="0" applyNumberFormat="1" applyFont="1" applyFill="1" applyBorder="1" applyAlignment="1">
      <alignment horizontal="right" vertical="center"/>
    </xf>
    <xf numFmtId="9" fontId="18" fillId="32" borderId="73" xfId="0" applyNumberFormat="1" applyFont="1" applyFill="1" applyBorder="1" applyAlignment="1">
      <alignment horizontal="right" vertical="center" wrapText="1"/>
    </xf>
    <xf numFmtId="10" fontId="18" fillId="32" borderId="73" xfId="1236" applyNumberFormat="1" applyFont="1" applyFill="1" applyBorder="1" applyAlignment="1">
      <alignment horizontal="right" vertical="center" wrapText="1"/>
    </xf>
    <xf numFmtId="180" fontId="18" fillId="32" borderId="70" xfId="0" applyNumberFormat="1" applyFont="1" applyFill="1" applyBorder="1" applyAlignment="1">
      <alignment horizontal="right" vertical="distributed"/>
    </xf>
    <xf numFmtId="10" fontId="18" fillId="32" borderId="74" xfId="0" applyNumberFormat="1" applyFont="1" applyFill="1" applyBorder="1" applyAlignment="1">
      <alignment horizontal="right" vertical="distributed"/>
    </xf>
    <xf numFmtId="0" fontId="17" fillId="24" borderId="384" xfId="1254" applyFont="1" applyFill="1" applyBorder="1" applyAlignment="1">
      <alignment vertical="center" wrapText="1"/>
    </xf>
    <xf numFmtId="0" fontId="17" fillId="27" borderId="385" xfId="1254" applyFont="1" applyFill="1" applyBorder="1" applyAlignment="1">
      <alignment vertical="center" wrapText="1"/>
    </xf>
    <xf numFmtId="41" fontId="17" fillId="0" borderId="325" xfId="1236" applyFont="1" applyFill="1" applyBorder="1" applyAlignment="1">
      <alignment horizontal="right" vertical="center" wrapText="1" indent="1"/>
    </xf>
    <xf numFmtId="170" fontId="54" fillId="24" borderId="343" xfId="0" applyNumberFormat="1" applyFont="1" applyFill="1" applyBorder="1" applyAlignment="1">
      <alignment horizontal="center" vertical="center" shrinkToFit="1"/>
    </xf>
    <xf numFmtId="41" fontId="17" fillId="0" borderId="73" xfId="1236" applyFont="1" applyFill="1" applyBorder="1" applyAlignment="1">
      <alignment horizontal="center" vertical="center" shrinkToFit="1"/>
    </xf>
    <xf numFmtId="41" fontId="17" fillId="0" borderId="73" xfId="0" applyNumberFormat="1" applyFont="1" applyBorder="1" applyAlignment="1">
      <alignment horizontal="center" vertical="center"/>
    </xf>
    <xf numFmtId="180" fontId="17" fillId="0" borderId="73" xfId="0" applyNumberFormat="1" applyFont="1" applyBorder="1" applyAlignment="1">
      <alignment horizontal="right" vertical="center"/>
    </xf>
    <xf numFmtId="9" fontId="17" fillId="54" borderId="146" xfId="1253" applyNumberFormat="1" applyFont="1" applyFill="1" applyBorder="1" applyAlignment="1">
      <alignment horizontal="right" vertical="center"/>
    </xf>
    <xf numFmtId="41" fontId="17" fillId="0" borderId="361" xfId="1253" applyNumberFormat="1" applyFont="1" applyBorder="1" applyAlignment="1">
      <alignment horizontal="center" vertical="center"/>
    </xf>
    <xf numFmtId="41" fontId="19" fillId="42" borderId="388" xfId="1253" applyNumberFormat="1" applyFont="1" applyFill="1" applyBorder="1" applyAlignment="1">
      <alignment horizontal="center" vertical="center" wrapText="1"/>
    </xf>
    <xf numFmtId="10" fontId="17" fillId="0" borderId="389" xfId="3526" applyNumberFormat="1" applyFont="1" applyFill="1" applyBorder="1" applyAlignment="1">
      <alignment horizontal="right" vertical="center"/>
    </xf>
    <xf numFmtId="10" fontId="17" fillId="25" borderId="203" xfId="3526" applyNumberFormat="1" applyFont="1" applyFill="1" applyBorder="1" applyAlignment="1">
      <alignment horizontal="right" vertical="center"/>
    </xf>
    <xf numFmtId="41" fontId="17" fillId="24" borderId="89" xfId="1253" applyNumberFormat="1" applyFont="1" applyFill="1" applyBorder="1" applyAlignment="1">
      <alignment horizontal="center" vertical="center"/>
    </xf>
    <xf numFmtId="41" fontId="17" fillId="25" borderId="89" xfId="1253" applyNumberFormat="1" applyFont="1" applyFill="1" applyBorder="1" applyAlignment="1">
      <alignment horizontal="center" vertical="center"/>
    </xf>
    <xf numFmtId="10" fontId="18" fillId="31" borderId="137" xfId="3526" applyNumberFormat="1" applyFont="1" applyFill="1" applyBorder="1" applyAlignment="1">
      <alignment horizontal="right" vertical="center"/>
    </xf>
    <xf numFmtId="41" fontId="51" fillId="0" borderId="0" xfId="0" applyNumberFormat="1" applyFont="1" applyAlignment="1">
      <alignment horizontal="center" vertical="center"/>
    </xf>
    <xf numFmtId="41" fontId="17" fillId="0" borderId="0" xfId="0" applyNumberFormat="1" applyFont="1" applyAlignment="1">
      <alignment vertical="center"/>
    </xf>
    <xf numFmtId="0" fontId="55" fillId="32" borderId="12" xfId="0" applyFont="1" applyFill="1" applyBorder="1" applyAlignment="1">
      <alignment horizontal="center" vertical="center" wrapText="1"/>
    </xf>
    <xf numFmtId="180" fontId="17" fillId="24" borderId="191" xfId="1253" applyNumberFormat="1" applyFont="1" applyFill="1" applyBorder="1" applyAlignment="1">
      <alignment horizontal="center" vertical="center"/>
    </xf>
    <xf numFmtId="180" fontId="17" fillId="0" borderId="191" xfId="1253" applyNumberFormat="1" applyFont="1" applyBorder="1" applyAlignment="1">
      <alignment horizontal="center" vertical="center"/>
    </xf>
    <xf numFmtId="180" fontId="17" fillId="25" borderId="36" xfId="1253" applyNumberFormat="1" applyFont="1" applyFill="1" applyBorder="1" applyAlignment="1">
      <alignment horizontal="center" vertical="center"/>
    </xf>
    <xf numFmtId="180" fontId="17" fillId="54" borderId="24" xfId="1253" applyNumberFormat="1" applyFont="1" applyFill="1" applyBorder="1" applyAlignment="1">
      <alignment horizontal="center" vertical="center"/>
    </xf>
    <xf numFmtId="9" fontId="17" fillId="24" borderId="390" xfId="3526" applyFont="1" applyFill="1" applyBorder="1" applyAlignment="1">
      <alignment horizontal="right" vertical="center"/>
    </xf>
    <xf numFmtId="174" fontId="18" fillId="31" borderId="123" xfId="1253" applyNumberFormat="1" applyFont="1" applyFill="1" applyBorder="1" applyAlignment="1">
      <alignment horizontal="right" vertical="center"/>
    </xf>
    <xf numFmtId="174" fontId="18" fillId="31" borderId="373" xfId="1253" applyNumberFormat="1" applyFont="1" applyFill="1" applyBorder="1" applyAlignment="1">
      <alignment vertical="center"/>
    </xf>
    <xf numFmtId="174" fontId="18" fillId="31" borderId="147" xfId="1253" applyNumberFormat="1" applyFont="1" applyFill="1" applyBorder="1" applyAlignment="1">
      <alignment vertical="center"/>
    </xf>
    <xf numFmtId="9" fontId="18" fillId="31" borderId="136" xfId="1253" applyNumberFormat="1" applyFont="1" applyFill="1" applyBorder="1" applyAlignment="1">
      <alignment vertical="center"/>
    </xf>
    <xf numFmtId="174" fontId="17" fillId="0" borderId="392" xfId="1253" applyNumberFormat="1" applyFont="1" applyBorder="1" applyAlignment="1">
      <alignment vertical="center"/>
    </xf>
    <xf numFmtId="174" fontId="17" fillId="0" borderId="393" xfId="1253" applyNumberFormat="1" applyFont="1" applyBorder="1" applyAlignment="1">
      <alignment vertical="center"/>
    </xf>
    <xf numFmtId="10" fontId="17" fillId="0" borderId="394" xfId="3526" applyNumberFormat="1" applyFont="1" applyFill="1" applyBorder="1" applyAlignment="1">
      <alignment horizontal="right" vertical="center"/>
    </xf>
    <xf numFmtId="9" fontId="17" fillId="54" borderId="88" xfId="1253" applyNumberFormat="1" applyFont="1" applyFill="1" applyBorder="1" applyAlignment="1">
      <alignment horizontal="right" vertical="center"/>
    </xf>
    <xf numFmtId="184" fontId="17" fillId="0" borderId="74" xfId="1253" applyNumberFormat="1" applyFont="1" applyBorder="1" applyAlignment="1">
      <alignment horizontal="center" vertical="center"/>
    </xf>
    <xf numFmtId="9" fontId="17" fillId="0" borderId="368" xfId="3526" applyFont="1" applyFill="1" applyBorder="1" applyAlignment="1">
      <alignment horizontal="right" vertical="center"/>
    </xf>
    <xf numFmtId="3" fontId="74" fillId="0" borderId="88" xfId="1236" applyNumberFormat="1" applyFont="1" applyFill="1" applyBorder="1" applyAlignment="1">
      <alignment horizontal="right" vertical="center" shrinkToFit="1"/>
    </xf>
    <xf numFmtId="10" fontId="17" fillId="54" borderId="88" xfId="3526" applyNumberFormat="1" applyFont="1" applyFill="1" applyBorder="1" applyAlignment="1">
      <alignment horizontal="right" vertical="center"/>
    </xf>
    <xf numFmtId="174" fontId="17" fillId="54" borderId="88" xfId="1253" applyNumberFormat="1" applyFont="1" applyFill="1" applyBorder="1" applyAlignment="1">
      <alignment horizontal="right" vertical="center"/>
    </xf>
    <xf numFmtId="9" fontId="18" fillId="31" borderId="135" xfId="3526" applyFont="1" applyFill="1" applyBorder="1" applyAlignment="1">
      <alignment horizontal="right" vertical="center"/>
    </xf>
    <xf numFmtId="9" fontId="18" fillId="31" borderId="137" xfId="3526" applyFont="1" applyFill="1" applyBorder="1" applyAlignment="1">
      <alignment vertical="center"/>
    </xf>
    <xf numFmtId="41" fontId="51" fillId="37" borderId="0" xfId="0" applyNumberFormat="1" applyFont="1" applyFill="1" applyAlignment="1">
      <alignment horizontal="center" vertical="center"/>
    </xf>
    <xf numFmtId="41" fontId="17" fillId="37" borderId="0" xfId="0" applyNumberFormat="1" applyFont="1" applyFill="1" applyAlignment="1">
      <alignment vertical="center"/>
    </xf>
    <xf numFmtId="41" fontId="51" fillId="32" borderId="185" xfId="0" applyNumberFormat="1" applyFont="1" applyFill="1" applyBorder="1" applyAlignment="1">
      <alignment horizontal="center" vertical="center"/>
    </xf>
    <xf numFmtId="0" fontId="55" fillId="32" borderId="97" xfId="0" applyFont="1" applyFill="1" applyBorder="1" applyAlignment="1">
      <alignment horizontal="center" vertical="center" wrapText="1"/>
    </xf>
    <xf numFmtId="41" fontId="17" fillId="24" borderId="187" xfId="0" applyNumberFormat="1" applyFont="1" applyFill="1" applyBorder="1" applyAlignment="1">
      <alignment vertical="center"/>
    </xf>
    <xf numFmtId="41" fontId="17" fillId="24" borderId="189" xfId="0" applyNumberFormat="1" applyFont="1" applyFill="1" applyBorder="1" applyAlignment="1">
      <alignment vertical="center"/>
    </xf>
    <xf numFmtId="9" fontId="17" fillId="24" borderId="248" xfId="3526" applyFont="1" applyFill="1" applyBorder="1" applyAlignment="1">
      <alignment vertical="center"/>
    </xf>
    <xf numFmtId="10" fontId="17" fillId="37" borderId="24" xfId="3526" applyNumberFormat="1" applyFont="1" applyFill="1" applyBorder="1" applyAlignment="1">
      <alignment horizontal="right" vertical="center"/>
    </xf>
    <xf numFmtId="9" fontId="18" fillId="39" borderId="83" xfId="0" applyNumberFormat="1" applyFont="1" applyFill="1" applyBorder="1" applyAlignment="1">
      <alignment horizontal="right" vertical="center" wrapText="1"/>
    </xf>
    <xf numFmtId="0" fontId="19" fillId="37" borderId="0" xfId="0" applyFont="1" applyFill="1" applyAlignment="1">
      <alignment vertical="center"/>
    </xf>
    <xf numFmtId="38" fontId="18" fillId="56" borderId="0" xfId="0" applyNumberFormat="1" applyFont="1" applyFill="1" applyAlignment="1">
      <alignment horizontal="center" vertical="center"/>
    </xf>
    <xf numFmtId="38" fontId="19" fillId="37" borderId="0" xfId="0" applyNumberFormat="1" applyFont="1" applyFill="1" applyAlignment="1">
      <alignment vertical="center"/>
    </xf>
    <xf numFmtId="177" fontId="17" fillId="0" borderId="237" xfId="1253" applyNumberFormat="1" applyFont="1" applyBorder="1" applyAlignment="1">
      <alignment horizontal="center" vertical="center"/>
    </xf>
    <xf numFmtId="187" fontId="17" fillId="0" borderId="272" xfId="1253" applyNumberFormat="1" applyFont="1" applyBorder="1" applyAlignment="1">
      <alignment horizontal="center" vertical="center"/>
    </xf>
    <xf numFmtId="9" fontId="17" fillId="0" borderId="398" xfId="3526" applyFont="1" applyFill="1" applyBorder="1" applyAlignment="1">
      <alignment horizontal="right" vertical="center"/>
    </xf>
    <xf numFmtId="9" fontId="17" fillId="24" borderId="146" xfId="3526" applyFont="1" applyFill="1" applyBorder="1" applyAlignment="1">
      <alignment horizontal="right" vertical="center"/>
    </xf>
    <xf numFmtId="174" fontId="17" fillId="24" borderId="74" xfId="3526" applyNumberFormat="1" applyFont="1" applyFill="1" applyBorder="1" applyAlignment="1">
      <alignment horizontal="right" vertical="center"/>
    </xf>
    <xf numFmtId="1" fontId="17" fillId="24" borderId="242" xfId="1253" applyNumberFormat="1" applyFont="1" applyFill="1" applyBorder="1" applyAlignment="1">
      <alignment horizontal="right" vertical="center"/>
    </xf>
    <xf numFmtId="9" fontId="17" fillId="24" borderId="207" xfId="1253" applyNumberFormat="1" applyFont="1" applyFill="1" applyBorder="1" applyAlignment="1">
      <alignment horizontal="right" vertical="center"/>
    </xf>
    <xf numFmtId="187" fontId="17" fillId="0" borderId="88" xfId="1253" applyNumberFormat="1" applyFont="1" applyBorder="1" applyAlignment="1">
      <alignment horizontal="center" vertical="center"/>
    </xf>
    <xf numFmtId="177" fontId="17" fillId="24" borderId="88" xfId="1253" applyNumberFormat="1" applyFont="1" applyFill="1" applyBorder="1" applyAlignment="1">
      <alignment horizontal="center" vertical="center"/>
    </xf>
    <xf numFmtId="9" fontId="17" fillId="24" borderId="88" xfId="3526" applyFont="1" applyFill="1" applyBorder="1" applyAlignment="1">
      <alignment horizontal="right" vertical="center"/>
    </xf>
    <xf numFmtId="174" fontId="17" fillId="24" borderId="88" xfId="3526" applyNumberFormat="1" applyFont="1" applyFill="1" applyBorder="1" applyAlignment="1">
      <alignment horizontal="right" vertical="center"/>
    </xf>
    <xf numFmtId="1" fontId="17" fillId="24" borderId="88" xfId="1253" applyNumberFormat="1" applyFont="1" applyFill="1" applyBorder="1" applyAlignment="1">
      <alignment horizontal="right" vertical="center"/>
    </xf>
    <xf numFmtId="9" fontId="17" fillId="54" borderId="88" xfId="3526" applyFont="1" applyFill="1" applyBorder="1" applyAlignment="1">
      <alignment horizontal="right" vertical="center"/>
    </xf>
    <xf numFmtId="1" fontId="17" fillId="54" borderId="88" xfId="1253" applyNumberFormat="1" applyFont="1" applyFill="1" applyBorder="1" applyAlignment="1">
      <alignment horizontal="right" vertical="center"/>
    </xf>
    <xf numFmtId="180" fontId="77" fillId="0" borderId="24" xfId="0" applyNumberFormat="1" applyFont="1" applyBorder="1" applyAlignment="1">
      <alignment horizontal="right" vertical="center"/>
    </xf>
    <xf numFmtId="180" fontId="77" fillId="48" borderId="24" xfId="0" applyNumberFormat="1" applyFont="1" applyFill="1" applyBorder="1" applyAlignment="1">
      <alignment horizontal="right" vertical="center"/>
    </xf>
    <xf numFmtId="180" fontId="75" fillId="32" borderId="18" xfId="0" applyNumberFormat="1" applyFont="1" applyFill="1" applyBorder="1" applyAlignment="1">
      <alignment horizontal="center" vertical="center"/>
    </xf>
    <xf numFmtId="13" fontId="83" fillId="31" borderId="391" xfId="0" applyNumberFormat="1" applyFont="1" applyFill="1" applyBorder="1" applyAlignment="1">
      <alignment horizontal="center" vertical="center" shrinkToFit="1"/>
    </xf>
    <xf numFmtId="41" fontId="75" fillId="31" borderId="391" xfId="1236" applyFont="1" applyFill="1" applyBorder="1" applyAlignment="1">
      <alignment horizontal="center" vertical="center"/>
    </xf>
    <xf numFmtId="10" fontId="75" fillId="31" borderId="391" xfId="0" applyNumberFormat="1" applyFont="1" applyFill="1" applyBorder="1" applyAlignment="1">
      <alignment horizontal="center" vertical="center"/>
    </xf>
    <xf numFmtId="41" fontId="54" fillId="24" borderId="88" xfId="1236" applyFont="1" applyFill="1" applyBorder="1" applyAlignment="1">
      <alignment horizontal="center" vertical="center" shrinkToFit="1"/>
    </xf>
    <xf numFmtId="41" fontId="54" fillId="24" borderId="88" xfId="0" applyNumberFormat="1" applyFont="1" applyFill="1" applyBorder="1" applyAlignment="1">
      <alignment horizontal="center" vertical="center"/>
    </xf>
    <xf numFmtId="9" fontId="54" fillId="24" borderId="88" xfId="1236" applyNumberFormat="1" applyFont="1" applyFill="1" applyBorder="1" applyAlignment="1">
      <alignment horizontal="right" vertical="center" shrinkToFit="1"/>
    </xf>
    <xf numFmtId="180" fontId="54" fillId="24" borderId="88" xfId="0" applyNumberFormat="1" applyFont="1" applyFill="1" applyBorder="1" applyAlignment="1">
      <alignment horizontal="center" vertical="center"/>
    </xf>
    <xf numFmtId="9" fontId="54" fillId="24" borderId="88" xfId="0" applyNumberFormat="1" applyFont="1" applyFill="1" applyBorder="1" applyAlignment="1">
      <alignment horizontal="right" vertical="center"/>
    </xf>
    <xf numFmtId="175" fontId="54" fillId="40" borderId="88" xfId="3526" applyNumberFormat="1" applyFont="1" applyFill="1" applyBorder="1" applyAlignment="1">
      <alignment horizontal="right" vertical="center"/>
    </xf>
    <xf numFmtId="175" fontId="54" fillId="37" borderId="88" xfId="3526" applyNumberFormat="1" applyFont="1" applyFill="1" applyBorder="1" applyAlignment="1">
      <alignment horizontal="right" vertical="center"/>
    </xf>
    <xf numFmtId="9" fontId="56" fillId="41" borderId="88" xfId="0" applyNumberFormat="1" applyFont="1" applyFill="1" applyBorder="1" applyAlignment="1">
      <alignment horizontal="right" vertical="center"/>
    </xf>
    <xf numFmtId="10" fontId="54" fillId="40" borderId="88" xfId="0" applyNumberFormat="1" applyFont="1" applyFill="1" applyBorder="1" applyAlignment="1">
      <alignment horizontal="center" vertical="center"/>
    </xf>
    <xf numFmtId="175" fontId="54" fillId="24" borderId="88" xfId="3526" applyNumberFormat="1" applyFont="1" applyFill="1" applyBorder="1" applyAlignment="1">
      <alignment horizontal="right" vertical="center"/>
    </xf>
    <xf numFmtId="9" fontId="56" fillId="0" borderId="88" xfId="0" applyNumberFormat="1" applyFont="1" applyBorder="1" applyAlignment="1">
      <alignment horizontal="right" vertical="center"/>
    </xf>
    <xf numFmtId="10" fontId="54" fillId="0" borderId="88" xfId="0" applyNumberFormat="1" applyFont="1" applyBorder="1" applyAlignment="1">
      <alignment horizontal="center" vertical="center"/>
    </xf>
    <xf numFmtId="41" fontId="54" fillId="24" borderId="96" xfId="1236" applyFont="1" applyFill="1" applyBorder="1" applyAlignment="1">
      <alignment horizontal="center" vertical="center" shrinkToFit="1"/>
    </xf>
    <xf numFmtId="9" fontId="54" fillId="41" borderId="96" xfId="0" applyNumberFormat="1" applyFont="1" applyFill="1" applyBorder="1" applyAlignment="1">
      <alignment horizontal="right" vertical="center"/>
    </xf>
    <xf numFmtId="10" fontId="54" fillId="24" borderId="96" xfId="0" applyNumberFormat="1" applyFont="1" applyFill="1" applyBorder="1" applyAlignment="1">
      <alignment horizontal="center" vertical="center"/>
    </xf>
    <xf numFmtId="41" fontId="54" fillId="24" borderId="96" xfId="0" applyNumberFormat="1" applyFont="1" applyFill="1" applyBorder="1" applyAlignment="1">
      <alignment horizontal="center" vertical="center"/>
    </xf>
    <xf numFmtId="9" fontId="54" fillId="24" borderId="96" xfId="1236" applyNumberFormat="1" applyFont="1" applyFill="1" applyBorder="1" applyAlignment="1">
      <alignment horizontal="right" vertical="center" shrinkToFit="1"/>
    </xf>
    <xf numFmtId="180" fontId="54" fillId="24" borderId="96" xfId="0" applyNumberFormat="1" applyFont="1" applyFill="1" applyBorder="1" applyAlignment="1">
      <alignment horizontal="center" vertical="center"/>
    </xf>
    <xf numFmtId="9" fontId="54" fillId="24" borderId="96" xfId="0" applyNumberFormat="1" applyFont="1" applyFill="1" applyBorder="1" applyAlignment="1">
      <alignment horizontal="right" vertical="center"/>
    </xf>
    <xf numFmtId="2" fontId="54" fillId="24" borderId="96" xfId="0" applyNumberFormat="1" applyFont="1" applyFill="1" applyBorder="1" applyAlignment="1">
      <alignment horizontal="right" vertical="center"/>
    </xf>
    <xf numFmtId="175" fontId="54" fillId="40" borderId="96" xfId="3526" applyNumberFormat="1" applyFont="1" applyFill="1" applyBorder="1" applyAlignment="1">
      <alignment horizontal="right" vertical="center"/>
    </xf>
    <xf numFmtId="175" fontId="54" fillId="37" borderId="96" xfId="3526" applyNumberFormat="1" applyFont="1" applyFill="1" applyBorder="1" applyAlignment="1">
      <alignment horizontal="right" vertical="center"/>
    </xf>
    <xf numFmtId="2" fontId="54" fillId="37" borderId="346" xfId="3526" applyNumberFormat="1" applyFont="1" applyFill="1" applyBorder="1" applyAlignment="1">
      <alignment horizontal="right" vertical="center"/>
    </xf>
    <xf numFmtId="2" fontId="54" fillId="37" borderId="160" xfId="3526" applyNumberFormat="1" applyFont="1" applyFill="1" applyBorder="1" applyAlignment="1">
      <alignment horizontal="right" vertical="center"/>
    </xf>
    <xf numFmtId="41" fontId="17" fillId="24" borderId="88" xfId="1236" applyFont="1" applyFill="1" applyBorder="1" applyAlignment="1">
      <alignment horizontal="center" vertical="center"/>
    </xf>
    <xf numFmtId="41" fontId="82" fillId="24" borderId="88" xfId="1236" applyFont="1" applyFill="1" applyBorder="1" applyAlignment="1">
      <alignment horizontal="center" vertical="center" wrapText="1"/>
    </xf>
    <xf numFmtId="9" fontId="58" fillId="36" borderId="88" xfId="0" applyNumberFormat="1" applyFont="1" applyFill="1" applyBorder="1" applyAlignment="1">
      <alignment horizontal="center" vertical="center" wrapText="1"/>
    </xf>
    <xf numFmtId="10" fontId="17" fillId="24" borderId="88" xfId="0" applyNumberFormat="1" applyFont="1" applyFill="1" applyBorder="1" applyAlignment="1">
      <alignment horizontal="center" vertical="center"/>
    </xf>
    <xf numFmtId="175" fontId="17" fillId="37" borderId="401" xfId="3526" applyNumberFormat="1" applyFont="1" applyFill="1" applyBorder="1" applyAlignment="1">
      <alignment horizontal="right" vertical="center"/>
    </xf>
    <xf numFmtId="2" fontId="17" fillId="37" borderId="402" xfId="3526" applyNumberFormat="1" applyFont="1" applyFill="1" applyBorder="1" applyAlignment="1">
      <alignment horizontal="right" vertical="center"/>
    </xf>
    <xf numFmtId="170" fontId="54" fillId="24" borderId="215" xfId="0" applyNumberFormat="1" applyFont="1" applyFill="1" applyBorder="1" applyAlignment="1">
      <alignment horizontal="center" vertical="center" shrinkToFit="1"/>
    </xf>
    <xf numFmtId="41" fontId="17" fillId="47" borderId="215" xfId="1236" applyFont="1" applyFill="1" applyBorder="1" applyAlignment="1">
      <alignment horizontal="center" vertical="center" shrinkToFit="1"/>
    </xf>
    <xf numFmtId="41" fontId="17" fillId="47" borderId="215" xfId="1236" applyFont="1" applyFill="1" applyBorder="1" applyAlignment="1">
      <alignment horizontal="right" vertical="center" shrinkToFit="1"/>
    </xf>
    <xf numFmtId="41" fontId="54" fillId="0" borderId="215" xfId="1236" applyFont="1" applyFill="1" applyBorder="1" applyAlignment="1">
      <alignment horizontal="center" vertical="center" shrinkToFit="1"/>
    </xf>
    <xf numFmtId="10" fontId="54" fillId="41" borderId="215" xfId="0" applyNumberFormat="1" applyFont="1" applyFill="1" applyBorder="1" applyAlignment="1">
      <alignment horizontal="center" vertical="center"/>
    </xf>
    <xf numFmtId="41" fontId="54" fillId="0" borderId="215" xfId="0" applyNumberFormat="1" applyFont="1" applyBorder="1" applyAlignment="1">
      <alignment horizontal="center" vertical="center"/>
    </xf>
    <xf numFmtId="9" fontId="54" fillId="41" borderId="215" xfId="1236" applyNumberFormat="1" applyFont="1" applyFill="1" applyBorder="1" applyAlignment="1">
      <alignment horizontal="right" vertical="center" shrinkToFit="1"/>
    </xf>
    <xf numFmtId="180" fontId="54" fillId="0" borderId="215" xfId="0" applyNumberFormat="1" applyFont="1" applyBorder="1" applyAlignment="1">
      <alignment horizontal="center" vertical="center"/>
    </xf>
    <xf numFmtId="9" fontId="54" fillId="0" borderId="215" xfId="0" applyNumberFormat="1" applyFont="1" applyBorder="1" applyAlignment="1">
      <alignment horizontal="right" vertical="center"/>
    </xf>
    <xf numFmtId="2" fontId="54" fillId="24" borderId="215" xfId="0" applyNumberFormat="1" applyFont="1" applyFill="1" applyBorder="1" applyAlignment="1">
      <alignment horizontal="right" vertical="center"/>
    </xf>
    <xf numFmtId="175" fontId="54" fillId="24" borderId="215" xfId="3526" applyNumberFormat="1" applyFont="1" applyFill="1" applyBorder="1" applyAlignment="1">
      <alignment horizontal="right" vertical="center"/>
    </xf>
    <xf numFmtId="175" fontId="54" fillId="37" borderId="215" xfId="3526" applyNumberFormat="1" applyFont="1" applyFill="1" applyBorder="1" applyAlignment="1">
      <alignment horizontal="right" vertical="center"/>
    </xf>
    <xf numFmtId="2" fontId="54" fillId="37" borderId="400" xfId="3526" applyNumberFormat="1" applyFont="1" applyFill="1" applyBorder="1" applyAlignment="1">
      <alignment horizontal="right" vertical="center"/>
    </xf>
    <xf numFmtId="173" fontId="80" fillId="43" borderId="120" xfId="1253" applyNumberFormat="1" applyFont="1" applyFill="1" applyBorder="1" applyAlignment="1">
      <alignment horizontal="center" vertical="center" wrapText="1"/>
    </xf>
    <xf numFmtId="41" fontId="80" fillId="43" borderId="20" xfId="1253" applyNumberFormat="1" applyFont="1" applyFill="1" applyBorder="1" applyAlignment="1">
      <alignment horizontal="center" vertical="center"/>
    </xf>
    <xf numFmtId="180" fontId="80" fillId="43" borderId="20" xfId="1253" applyNumberFormat="1" applyFont="1" applyFill="1" applyBorder="1" applyAlignment="1">
      <alignment horizontal="center" vertical="center"/>
    </xf>
    <xf numFmtId="9" fontId="80" fillId="43" borderId="29" xfId="1253" applyNumberFormat="1" applyFont="1" applyFill="1" applyBorder="1" applyAlignment="1">
      <alignment vertical="center"/>
    </xf>
    <xf numFmtId="9" fontId="80" fillId="43" borderId="88" xfId="3526" applyFont="1" applyFill="1" applyBorder="1" applyAlignment="1">
      <alignment horizontal="right" vertical="center"/>
    </xf>
    <xf numFmtId="187" fontId="80" fillId="43" borderId="0" xfId="1253" applyNumberFormat="1" applyFont="1" applyFill="1" applyAlignment="1">
      <alignment horizontal="center" vertical="center"/>
    </xf>
    <xf numFmtId="41" fontId="80" fillId="43" borderId="29" xfId="1253" applyNumberFormat="1" applyFont="1" applyFill="1" applyBorder="1" applyAlignment="1">
      <alignment horizontal="center" vertical="center"/>
    </xf>
    <xf numFmtId="9" fontId="80" fillId="43" borderId="29" xfId="3526" applyFont="1" applyFill="1" applyBorder="1" applyAlignment="1">
      <alignment horizontal="right" vertical="center"/>
    </xf>
    <xf numFmtId="174" fontId="80" fillId="43" borderId="88" xfId="3526" applyNumberFormat="1" applyFont="1" applyFill="1" applyBorder="1" applyAlignment="1">
      <alignment horizontal="right" vertical="center"/>
    </xf>
    <xf numFmtId="9" fontId="80" fillId="43" borderId="20" xfId="3526" applyFont="1" applyFill="1" applyBorder="1" applyAlignment="1">
      <alignment horizontal="right" vertical="center"/>
    </xf>
    <xf numFmtId="41" fontId="18" fillId="31" borderId="391" xfId="1236" applyFont="1" applyFill="1" applyBorder="1" applyAlignment="1">
      <alignment horizontal="center" vertical="center"/>
    </xf>
    <xf numFmtId="9" fontId="75" fillId="31" borderId="391" xfId="0" applyNumberFormat="1" applyFont="1" applyFill="1" applyBorder="1" applyAlignment="1">
      <alignment horizontal="right" vertical="center"/>
    </xf>
    <xf numFmtId="180" fontId="18" fillId="31" borderId="391" xfId="1236" applyNumberFormat="1" applyFont="1" applyFill="1" applyBorder="1" applyAlignment="1">
      <alignment horizontal="center" vertical="center"/>
    </xf>
    <xf numFmtId="174" fontId="18" fillId="31" borderId="399" xfId="3526" applyNumberFormat="1" applyFont="1" applyFill="1" applyBorder="1" applyAlignment="1">
      <alignment horizontal="right" vertical="center"/>
    </xf>
    <xf numFmtId="175" fontId="18" fillId="31" borderId="399" xfId="3526" applyNumberFormat="1" applyFont="1" applyFill="1" applyBorder="1" applyAlignment="1">
      <alignment horizontal="right" vertical="center"/>
    </xf>
    <xf numFmtId="41" fontId="19" fillId="24" borderId="191" xfId="1236" applyFont="1" applyFill="1" applyBorder="1" applyAlignment="1">
      <alignment horizontal="center" vertical="center"/>
    </xf>
    <xf numFmtId="41" fontId="53" fillId="24" borderId="191" xfId="1236" applyFont="1" applyFill="1" applyBorder="1" applyAlignment="1">
      <alignment horizontal="center" vertical="center" wrapText="1"/>
    </xf>
    <xf numFmtId="9" fontId="52" fillId="36" borderId="191" xfId="0" applyNumberFormat="1" applyFont="1" applyFill="1" applyBorder="1" applyAlignment="1">
      <alignment horizontal="center" vertical="center" wrapText="1"/>
    </xf>
    <xf numFmtId="10" fontId="19" fillId="24" borderId="191" xfId="0" applyNumberFormat="1" applyFont="1" applyFill="1" applyBorder="1" applyAlignment="1">
      <alignment horizontal="center" vertical="center"/>
    </xf>
    <xf numFmtId="170" fontId="54" fillId="24" borderId="191" xfId="0" applyNumberFormat="1" applyFont="1" applyFill="1" applyBorder="1" applyAlignment="1">
      <alignment horizontal="center" vertical="center" shrinkToFit="1"/>
    </xf>
    <xf numFmtId="41" fontId="17" fillId="47" borderId="191" xfId="1236" applyFont="1" applyFill="1" applyBorder="1" applyAlignment="1">
      <alignment horizontal="center" vertical="center" shrinkToFit="1"/>
    </xf>
    <xf numFmtId="41" fontId="17" fillId="47" borderId="191" xfId="1236" applyFont="1" applyFill="1" applyBorder="1" applyAlignment="1">
      <alignment horizontal="right" vertical="center" shrinkToFit="1"/>
    </xf>
    <xf numFmtId="41" fontId="54" fillId="24" borderId="191" xfId="1236" applyFont="1" applyFill="1" applyBorder="1" applyAlignment="1">
      <alignment horizontal="center" vertical="center" shrinkToFit="1"/>
    </xf>
    <xf numFmtId="10" fontId="54" fillId="24" borderId="191" xfId="1236" applyNumberFormat="1" applyFont="1" applyFill="1" applyBorder="1" applyAlignment="1">
      <alignment horizontal="center" vertical="center" shrinkToFit="1"/>
    </xf>
    <xf numFmtId="41" fontId="54" fillId="24" borderId="191" xfId="0" applyNumberFormat="1" applyFont="1" applyFill="1" applyBorder="1" applyAlignment="1">
      <alignment horizontal="center" vertical="center"/>
    </xf>
    <xf numFmtId="9" fontId="54" fillId="24" borderId="191" xfId="1236" applyNumberFormat="1" applyFont="1" applyFill="1" applyBorder="1" applyAlignment="1">
      <alignment horizontal="right" vertical="center" shrinkToFit="1"/>
    </xf>
    <xf numFmtId="180" fontId="54" fillId="24" borderId="191" xfId="0" applyNumberFormat="1" applyFont="1" applyFill="1" applyBorder="1" applyAlignment="1">
      <alignment horizontal="center" vertical="center"/>
    </xf>
    <xf numFmtId="9" fontId="54" fillId="24" borderId="191" xfId="0" applyNumberFormat="1" applyFont="1" applyFill="1" applyBorder="1" applyAlignment="1">
      <alignment horizontal="right" vertical="center"/>
    </xf>
    <xf numFmtId="2" fontId="54" fillId="24" borderId="191" xfId="0" applyNumberFormat="1" applyFont="1" applyFill="1" applyBorder="1" applyAlignment="1">
      <alignment horizontal="right" vertical="center"/>
    </xf>
    <xf numFmtId="175" fontId="54" fillId="40" borderId="191" xfId="3526" applyNumberFormat="1" applyFont="1" applyFill="1" applyBorder="1" applyAlignment="1">
      <alignment horizontal="right" vertical="center"/>
    </xf>
    <xf numFmtId="175" fontId="54" fillId="37" borderId="191" xfId="3526" applyNumberFormat="1" applyFont="1" applyFill="1" applyBorder="1" applyAlignment="1">
      <alignment horizontal="right" vertical="center"/>
    </xf>
    <xf numFmtId="175" fontId="54" fillId="24" borderId="191" xfId="3526" applyNumberFormat="1" applyFont="1" applyFill="1" applyBorder="1" applyAlignment="1">
      <alignment horizontal="right" vertical="center"/>
    </xf>
    <xf numFmtId="41" fontId="54" fillId="0" borderId="191" xfId="1236" applyFont="1" applyFill="1" applyBorder="1" applyAlignment="1">
      <alignment horizontal="center" vertical="center" shrinkToFit="1"/>
    </xf>
    <xf numFmtId="10" fontId="54" fillId="0" borderId="191" xfId="1236" applyNumberFormat="1" applyFont="1" applyFill="1" applyBorder="1" applyAlignment="1">
      <alignment horizontal="center" vertical="center" shrinkToFit="1"/>
    </xf>
    <xf numFmtId="41" fontId="54" fillId="0" borderId="191" xfId="0" applyNumberFormat="1" applyFont="1" applyBorder="1" applyAlignment="1">
      <alignment horizontal="center" vertical="center"/>
    </xf>
    <xf numFmtId="180" fontId="54" fillId="0" borderId="191" xfId="0" applyNumberFormat="1" applyFont="1" applyBorder="1" applyAlignment="1">
      <alignment horizontal="center" vertical="center"/>
    </xf>
    <xf numFmtId="9" fontId="54" fillId="0" borderId="191" xfId="0" applyNumberFormat="1" applyFont="1" applyBorder="1" applyAlignment="1">
      <alignment horizontal="right" vertical="center"/>
    </xf>
    <xf numFmtId="9" fontId="54" fillId="0" borderId="191" xfId="3526" applyFont="1" applyBorder="1" applyAlignment="1">
      <alignment horizontal="right" vertical="center"/>
    </xf>
    <xf numFmtId="195" fontId="18" fillId="31" borderId="135" xfId="1253" applyNumberFormat="1" applyFont="1" applyFill="1" applyBorder="1" applyAlignment="1">
      <alignment horizontal="right" vertical="center"/>
    </xf>
    <xf numFmtId="41" fontId="19" fillId="42" borderId="190" xfId="1253" applyNumberFormat="1" applyFont="1" applyFill="1" applyBorder="1" applyAlignment="1">
      <alignment horizontal="center" vertical="center" wrapText="1"/>
    </xf>
    <xf numFmtId="10" fontId="17" fillId="0" borderId="238" xfId="3526" applyNumberFormat="1" applyFont="1" applyFill="1" applyBorder="1" applyAlignment="1">
      <alignment horizontal="right" vertical="center"/>
    </xf>
    <xf numFmtId="0" fontId="51" fillId="32" borderId="407" xfId="0" applyFont="1" applyFill="1" applyBorder="1" applyAlignment="1">
      <alignment horizontal="center" vertical="center"/>
    </xf>
    <xf numFmtId="0" fontId="55" fillId="32" borderId="408" xfId="0" applyFont="1" applyFill="1" applyBorder="1" applyAlignment="1">
      <alignment horizontal="center" vertical="center" wrapText="1"/>
    </xf>
    <xf numFmtId="41" fontId="17" fillId="24" borderId="409" xfId="0" applyNumberFormat="1" applyFont="1" applyFill="1" applyBorder="1" applyAlignment="1">
      <alignment vertical="center"/>
    </xf>
    <xf numFmtId="9" fontId="17" fillId="24" borderId="410" xfId="3526" applyFont="1" applyFill="1" applyBorder="1" applyAlignment="1">
      <alignment vertical="center"/>
    </xf>
    <xf numFmtId="41" fontId="51" fillId="32" borderId="409" xfId="0" applyNumberFormat="1" applyFont="1" applyFill="1" applyBorder="1" applyAlignment="1">
      <alignment horizontal="center" vertical="center"/>
    </xf>
    <xf numFmtId="177" fontId="17" fillId="24" borderId="411" xfId="0" applyNumberFormat="1" applyFont="1" applyFill="1" applyBorder="1" applyAlignment="1">
      <alignment vertical="center"/>
    </xf>
    <xf numFmtId="41" fontId="17" fillId="24" borderId="357" xfId="1253" applyNumberFormat="1" applyFont="1" applyFill="1" applyBorder="1" applyAlignment="1">
      <alignment horizontal="center" vertical="center"/>
    </xf>
    <xf numFmtId="9" fontId="17" fillId="24" borderId="412" xfId="3526" applyFont="1" applyFill="1" applyBorder="1" applyAlignment="1">
      <alignment vertical="center" wrapText="1"/>
    </xf>
    <xf numFmtId="10" fontId="19" fillId="43" borderId="413" xfId="1253" applyNumberFormat="1" applyFont="1" applyFill="1" applyBorder="1" applyAlignment="1">
      <alignment horizontal="center" vertical="center" wrapText="1"/>
    </xf>
    <xf numFmtId="41" fontId="17" fillId="29" borderId="75" xfId="1253" applyNumberFormat="1" applyFont="1" applyFill="1" applyBorder="1" applyAlignment="1">
      <alignment horizontal="center" vertical="center"/>
    </xf>
    <xf numFmtId="41" fontId="53" fillId="36" borderId="363" xfId="1253" applyNumberFormat="1" applyFont="1" applyFill="1" applyBorder="1" applyAlignment="1">
      <alignment horizontal="center" vertical="center" wrapText="1"/>
    </xf>
    <xf numFmtId="41" fontId="17" fillId="29" borderId="414" xfId="1253" applyNumberFormat="1" applyFont="1" applyFill="1" applyBorder="1" applyAlignment="1">
      <alignment horizontal="center" vertical="center"/>
    </xf>
    <xf numFmtId="9" fontId="17" fillId="30" borderId="415" xfId="3526" applyFont="1" applyFill="1" applyBorder="1" applyAlignment="1">
      <alignment horizontal="right" vertical="center"/>
    </xf>
    <xf numFmtId="9" fontId="17" fillId="25" borderId="229" xfId="3526" applyFont="1" applyFill="1" applyBorder="1" applyAlignment="1">
      <alignment horizontal="right" vertical="center"/>
    </xf>
    <xf numFmtId="9" fontId="17" fillId="25" borderId="309" xfId="3526" applyFont="1" applyFill="1" applyBorder="1" applyAlignment="1">
      <alignment horizontal="right" vertical="center"/>
    </xf>
    <xf numFmtId="9" fontId="17" fillId="30" borderId="416" xfId="3526" applyFont="1" applyFill="1" applyBorder="1" applyAlignment="1">
      <alignment horizontal="right" vertical="center"/>
    </xf>
    <xf numFmtId="41" fontId="17" fillId="24" borderId="229" xfId="1253" applyNumberFormat="1" applyFont="1" applyFill="1" applyBorder="1" applyAlignment="1">
      <alignment horizontal="center" vertical="center"/>
    </xf>
    <xf numFmtId="9" fontId="74" fillId="0" borderId="379" xfId="3526" applyFont="1" applyBorder="1" applyAlignment="1">
      <alignment horizontal="right" vertical="center"/>
    </xf>
    <xf numFmtId="41" fontId="17" fillId="24" borderId="242" xfId="1253" applyNumberFormat="1" applyFont="1" applyFill="1" applyBorder="1" applyAlignment="1">
      <alignment horizontal="center" vertical="center"/>
    </xf>
    <xf numFmtId="41" fontId="17" fillId="24" borderId="92" xfId="1253" applyNumberFormat="1" applyFont="1" applyFill="1" applyBorder="1" applyAlignment="1">
      <alignment horizontal="center" vertical="center"/>
    </xf>
    <xf numFmtId="41" fontId="17" fillId="25" borderId="191" xfId="3526" applyNumberFormat="1" applyFont="1" applyFill="1" applyBorder="1" applyAlignment="1">
      <alignment horizontal="right" vertical="center"/>
    </xf>
    <xf numFmtId="187" fontId="17" fillId="0" borderId="348" xfId="1253" applyNumberFormat="1" applyFont="1" applyBorder="1" applyAlignment="1">
      <alignment horizontal="center" vertical="center"/>
    </xf>
    <xf numFmtId="187" fontId="17" fillId="0" borderId="296" xfId="1253" applyNumberFormat="1" applyFont="1" applyBorder="1" applyAlignment="1">
      <alignment horizontal="center" vertical="center"/>
    </xf>
    <xf numFmtId="174" fontId="17" fillId="54" borderId="296" xfId="1253" applyNumberFormat="1" applyFont="1" applyFill="1" applyBorder="1" applyAlignment="1">
      <alignment horizontal="center" vertical="center"/>
    </xf>
    <xf numFmtId="41" fontId="17" fillId="24" borderId="296" xfId="1253" applyNumberFormat="1" applyFont="1" applyFill="1" applyBorder="1" applyAlignment="1">
      <alignment horizontal="center" vertical="center"/>
    </xf>
    <xf numFmtId="9" fontId="17" fillId="25" borderId="238" xfId="3526" applyFont="1" applyFill="1" applyBorder="1" applyAlignment="1">
      <alignment horizontal="right" vertical="center"/>
    </xf>
    <xf numFmtId="9" fontId="17" fillId="0" borderId="237" xfId="3526" applyFont="1" applyFill="1" applyBorder="1" applyAlignment="1">
      <alignment horizontal="right" vertical="center"/>
    </xf>
    <xf numFmtId="41" fontId="17" fillId="24" borderId="417" xfId="1253" applyNumberFormat="1" applyFont="1" applyFill="1" applyBorder="1" applyAlignment="1">
      <alignment horizontal="center" vertical="center"/>
    </xf>
    <xf numFmtId="9" fontId="17" fillId="54" borderId="237" xfId="3526" applyFont="1" applyFill="1" applyBorder="1" applyAlignment="1">
      <alignment horizontal="right" vertical="center"/>
    </xf>
    <xf numFmtId="41" fontId="17" fillId="54" borderId="418" xfId="1253" applyNumberFormat="1" applyFont="1" applyFill="1" applyBorder="1" applyAlignment="1">
      <alignment horizontal="center" vertical="center"/>
    </xf>
    <xf numFmtId="41" fontId="17" fillId="24" borderId="418" xfId="1253" applyNumberFormat="1" applyFont="1" applyFill="1" applyBorder="1" applyAlignment="1">
      <alignment horizontal="center" vertical="center"/>
    </xf>
    <xf numFmtId="41" fontId="17" fillId="24" borderId="419" xfId="1253" applyNumberFormat="1" applyFont="1" applyFill="1" applyBorder="1" applyAlignment="1">
      <alignment horizontal="center" vertical="center"/>
    </xf>
    <xf numFmtId="10" fontId="17" fillId="54" borderId="296" xfId="3526" applyNumberFormat="1" applyFont="1" applyFill="1" applyBorder="1" applyAlignment="1">
      <alignment horizontal="right" vertical="center"/>
    </xf>
    <xf numFmtId="41" fontId="17" fillId="54" borderId="420" xfId="1253" applyNumberFormat="1" applyFont="1" applyFill="1" applyBorder="1" applyAlignment="1">
      <alignment horizontal="center" vertical="center"/>
    </xf>
    <xf numFmtId="9" fontId="17" fillId="54" borderId="202" xfId="3526" applyFont="1" applyFill="1" applyBorder="1" applyAlignment="1">
      <alignment horizontal="right" vertical="center"/>
    </xf>
    <xf numFmtId="9" fontId="17" fillId="24" borderId="202" xfId="1253" applyNumberFormat="1" applyFont="1" applyFill="1" applyBorder="1" applyAlignment="1">
      <alignment horizontal="right" vertical="center"/>
    </xf>
    <xf numFmtId="9" fontId="17" fillId="24" borderId="296" xfId="1253" applyNumberFormat="1" applyFont="1" applyFill="1" applyBorder="1" applyAlignment="1">
      <alignment horizontal="right" vertical="center"/>
    </xf>
    <xf numFmtId="41" fontId="17" fillId="24" borderId="201" xfId="1253" applyNumberFormat="1" applyFont="1" applyFill="1" applyBorder="1" applyAlignment="1">
      <alignment horizontal="center" vertical="center"/>
    </xf>
    <xf numFmtId="9" fontId="17" fillId="0" borderId="421" xfId="3526" applyFont="1" applyFill="1" applyBorder="1" applyAlignment="1">
      <alignment horizontal="right" vertical="center"/>
    </xf>
    <xf numFmtId="10" fontId="17" fillId="25" borderId="422" xfId="3526" applyNumberFormat="1" applyFont="1" applyFill="1" applyBorder="1" applyAlignment="1">
      <alignment horizontal="right" vertical="center"/>
    </xf>
    <xf numFmtId="9" fontId="17" fillId="0" borderId="422" xfId="3526" applyFont="1" applyFill="1" applyBorder="1" applyAlignment="1">
      <alignment horizontal="right" vertical="center"/>
    </xf>
    <xf numFmtId="9" fontId="17" fillId="54" borderId="202" xfId="1253" applyNumberFormat="1" applyFont="1" applyFill="1" applyBorder="1" applyAlignment="1">
      <alignment horizontal="right" vertical="center"/>
    </xf>
    <xf numFmtId="10" fontId="17" fillId="54" borderId="345" xfId="3526" applyNumberFormat="1" applyFont="1" applyFill="1" applyBorder="1" applyAlignment="1">
      <alignment horizontal="right" vertical="center"/>
    </xf>
    <xf numFmtId="183" fontId="17" fillId="25" borderId="88" xfId="1253" applyNumberFormat="1" applyFont="1" applyFill="1" applyBorder="1" applyAlignment="1">
      <alignment horizontal="center" vertical="center"/>
    </xf>
    <xf numFmtId="41" fontId="17" fillId="24" borderId="143" xfId="1253" applyNumberFormat="1" applyFont="1" applyFill="1" applyBorder="1" applyAlignment="1">
      <alignment horizontal="center" vertical="center"/>
    </xf>
    <xf numFmtId="41" fontId="17" fillId="25" borderId="143" xfId="1253" applyNumberFormat="1" applyFont="1" applyFill="1" applyBorder="1" applyAlignment="1">
      <alignment horizontal="center" vertical="center"/>
    </xf>
    <xf numFmtId="10" fontId="17" fillId="25" borderId="423" xfId="3526" applyNumberFormat="1" applyFont="1" applyFill="1" applyBorder="1" applyAlignment="1">
      <alignment horizontal="right" vertical="center"/>
    </xf>
    <xf numFmtId="174" fontId="18" fillId="31" borderId="168" xfId="1253" applyNumberFormat="1" applyFont="1" applyFill="1" applyBorder="1" applyAlignment="1">
      <alignment vertical="center"/>
    </xf>
    <xf numFmtId="41" fontId="25" fillId="24" borderId="268" xfId="1253" applyNumberFormat="1" applyFont="1" applyFill="1" applyBorder="1" applyAlignment="1">
      <alignment horizontal="center" vertical="center"/>
    </xf>
    <xf numFmtId="41" fontId="17" fillId="25" borderId="268" xfId="3526" applyNumberFormat="1" applyFont="1" applyFill="1" applyBorder="1" applyAlignment="1">
      <alignment horizontal="right" vertical="center"/>
    </xf>
    <xf numFmtId="10" fontId="17" fillId="25" borderId="22" xfId="1253" applyNumberFormat="1" applyFont="1" applyFill="1" applyBorder="1" applyAlignment="1">
      <alignment horizontal="right" vertical="center"/>
    </xf>
    <xf numFmtId="9" fontId="17" fillId="25" borderId="191" xfId="1253" applyNumberFormat="1" applyFont="1" applyFill="1" applyBorder="1" applyAlignment="1">
      <alignment horizontal="right" vertical="center"/>
    </xf>
    <xf numFmtId="9" fontId="17" fillId="25" borderId="121" xfId="1253" applyNumberFormat="1" applyFont="1" applyFill="1" applyBorder="1" applyAlignment="1">
      <alignment horizontal="right" vertical="center"/>
    </xf>
    <xf numFmtId="9" fontId="17" fillId="25" borderId="93" xfId="1253" applyNumberFormat="1" applyFont="1" applyFill="1" applyBorder="1" applyAlignment="1">
      <alignment horizontal="right" vertical="center"/>
    </xf>
    <xf numFmtId="174" fontId="18" fillId="31" borderId="166" xfId="3526" applyNumberFormat="1" applyFont="1" applyFill="1" applyBorder="1" applyAlignment="1">
      <alignment horizontal="right" vertical="center"/>
    </xf>
    <xf numFmtId="0" fontId="18" fillId="0" borderId="0" xfId="1253" applyFont="1" applyAlignment="1">
      <alignment horizontal="center" vertical="center"/>
    </xf>
    <xf numFmtId="41" fontId="18" fillId="0" borderId="0" xfId="1253" applyNumberFormat="1" applyFont="1" applyAlignment="1">
      <alignment horizontal="right" vertical="center"/>
    </xf>
    <xf numFmtId="174" fontId="18" fillId="0" borderId="0" xfId="1253" applyNumberFormat="1" applyFont="1" applyAlignment="1">
      <alignment horizontal="right" vertical="center"/>
    </xf>
    <xf numFmtId="175" fontId="18" fillId="0" borderId="0" xfId="3526" applyNumberFormat="1" applyFont="1" applyFill="1" applyBorder="1" applyAlignment="1">
      <alignment horizontal="right" vertical="center"/>
    </xf>
    <xf numFmtId="9" fontId="18" fillId="0" borderId="0" xfId="3526" applyFont="1" applyFill="1" applyBorder="1" applyAlignment="1">
      <alignment horizontal="right" vertical="center"/>
    </xf>
    <xf numFmtId="174" fontId="18" fillId="0" borderId="0" xfId="3526" applyNumberFormat="1" applyFont="1" applyFill="1" applyBorder="1" applyAlignment="1">
      <alignment horizontal="right" vertical="center"/>
    </xf>
    <xf numFmtId="9" fontId="18" fillId="0" borderId="0" xfId="1253" applyNumberFormat="1" applyFont="1" applyAlignment="1">
      <alignment horizontal="right" vertical="center"/>
    </xf>
    <xf numFmtId="192" fontId="18" fillId="0" borderId="0" xfId="1253" applyNumberFormat="1" applyFont="1" applyAlignment="1">
      <alignment horizontal="right" vertical="center"/>
    </xf>
    <xf numFmtId="9" fontId="17" fillId="25" borderId="86" xfId="3526" applyFont="1" applyFill="1" applyBorder="1" applyAlignment="1">
      <alignment horizontal="right" vertical="center"/>
    </xf>
    <xf numFmtId="177" fontId="17" fillId="25" borderId="150" xfId="3527" applyNumberFormat="1" applyFont="1" applyFill="1" applyBorder="1" applyAlignment="1">
      <alignment horizontal="right" vertical="center"/>
    </xf>
    <xf numFmtId="177" fontId="17" fillId="25" borderId="29" xfId="3527" applyNumberFormat="1" applyFont="1" applyFill="1" applyBorder="1" applyAlignment="1">
      <alignment horizontal="center" vertical="center"/>
    </xf>
    <xf numFmtId="9" fontId="17" fillId="25" borderId="296" xfId="3526" applyFont="1" applyFill="1" applyBorder="1" applyAlignment="1">
      <alignment horizontal="right" vertical="center"/>
    </xf>
    <xf numFmtId="174" fontId="17" fillId="25" borderId="191" xfId="3526" applyNumberFormat="1" applyFont="1" applyFill="1" applyBorder="1" applyAlignment="1">
      <alignment horizontal="right" vertical="center"/>
    </xf>
    <xf numFmtId="41" fontId="80" fillId="43" borderId="88" xfId="3526" applyNumberFormat="1" applyFont="1" applyFill="1" applyBorder="1" applyAlignment="1">
      <alignment horizontal="right" vertical="center"/>
    </xf>
    <xf numFmtId="9" fontId="17" fillId="0" borderId="424" xfId="3526" applyFont="1" applyFill="1" applyBorder="1" applyAlignment="1">
      <alignment horizontal="right" vertical="center"/>
    </xf>
    <xf numFmtId="9" fontId="17" fillId="0" borderId="150" xfId="3526" applyFont="1" applyFill="1" applyBorder="1" applyAlignment="1">
      <alignment horizontal="right" vertical="center"/>
    </xf>
    <xf numFmtId="174" fontId="17" fillId="0" borderId="425" xfId="1253" applyNumberFormat="1" applyFont="1" applyBorder="1" applyAlignment="1">
      <alignment horizontal="center" vertical="center"/>
    </xf>
    <xf numFmtId="9" fontId="17" fillId="0" borderId="426" xfId="3526" applyFont="1" applyFill="1" applyBorder="1" applyAlignment="1">
      <alignment horizontal="right" vertical="center"/>
    </xf>
    <xf numFmtId="174" fontId="17" fillId="0" borderId="296" xfId="1253" applyNumberFormat="1" applyFont="1" applyBorder="1" applyAlignment="1">
      <alignment horizontal="center" vertical="center"/>
    </xf>
    <xf numFmtId="9" fontId="17" fillId="0" borderId="427" xfId="3526" applyFont="1" applyFill="1" applyBorder="1" applyAlignment="1">
      <alignment horizontal="right" vertical="center"/>
    </xf>
    <xf numFmtId="174" fontId="17" fillId="54" borderId="73" xfId="1253" applyNumberFormat="1" applyFont="1" applyFill="1" applyBorder="1" applyAlignment="1">
      <alignment horizontal="center" vertical="center"/>
    </xf>
    <xf numFmtId="174" fontId="17" fillId="24" borderId="296" xfId="1253" applyNumberFormat="1" applyFont="1" applyFill="1" applyBorder="1" applyAlignment="1">
      <alignment horizontal="center" vertical="center"/>
    </xf>
    <xf numFmtId="174" fontId="74" fillId="0" borderId="88" xfId="1253" applyNumberFormat="1" applyFont="1" applyBorder="1" applyAlignment="1">
      <alignment vertical="center"/>
    </xf>
    <xf numFmtId="10" fontId="74" fillId="0" borderId="88" xfId="3526" applyNumberFormat="1" applyFont="1" applyBorder="1" applyAlignment="1">
      <alignment horizontal="right" vertical="center"/>
    </xf>
    <xf numFmtId="1" fontId="17" fillId="0" borderId="59" xfId="1253" applyNumberFormat="1" applyFont="1" applyBorder="1" applyAlignment="1">
      <alignment horizontal="right" vertical="center"/>
    </xf>
    <xf numFmtId="183" fontId="17" fillId="25" borderId="74" xfId="1253" applyNumberFormat="1" applyFont="1" applyFill="1" applyBorder="1" applyAlignment="1">
      <alignment horizontal="center" vertical="center"/>
    </xf>
    <xf numFmtId="10" fontId="17" fillId="25" borderId="295" xfId="3526" applyNumberFormat="1" applyFont="1" applyFill="1" applyBorder="1" applyAlignment="1">
      <alignment horizontal="right" vertical="center"/>
    </xf>
    <xf numFmtId="174" fontId="17" fillId="0" borderId="345" xfId="1253" applyNumberFormat="1" applyFont="1" applyBorder="1" applyAlignment="1">
      <alignment vertical="center"/>
    </xf>
    <xf numFmtId="41" fontId="19" fillId="24" borderId="428" xfId="1253" applyNumberFormat="1" applyFont="1" applyFill="1" applyBorder="1" applyAlignment="1">
      <alignment horizontal="center" vertical="center" wrapText="1"/>
    </xf>
    <xf numFmtId="41" fontId="19" fillId="24" borderId="73" xfId="1253" applyNumberFormat="1" applyFont="1" applyFill="1" applyBorder="1" applyAlignment="1">
      <alignment horizontal="center" vertical="center" wrapText="1"/>
    </xf>
    <xf numFmtId="41" fontId="19" fillId="24" borderId="74" xfId="1253" applyNumberFormat="1" applyFont="1" applyFill="1" applyBorder="1" applyAlignment="1">
      <alignment horizontal="center" vertical="center" wrapText="1"/>
    </xf>
    <xf numFmtId="174" fontId="19" fillId="24" borderId="74" xfId="1253" applyNumberFormat="1" applyFont="1" applyFill="1" applyBorder="1" applyAlignment="1">
      <alignment horizontal="center" vertical="center" wrapText="1"/>
    </xf>
    <xf numFmtId="41" fontId="17" fillId="25" borderId="111" xfId="1253" applyNumberFormat="1" applyFont="1" applyFill="1" applyBorder="1" applyAlignment="1">
      <alignment horizontal="center" vertical="center"/>
    </xf>
    <xf numFmtId="38" fontId="17" fillId="0" borderId="88" xfId="1253" applyNumberFormat="1" applyFont="1" applyBorder="1" applyAlignment="1">
      <alignment vertical="center"/>
    </xf>
    <xf numFmtId="10" fontId="17" fillId="0" borderId="74" xfId="3526" applyNumberFormat="1" applyFont="1" applyFill="1" applyBorder="1" applyAlignment="1">
      <alignment horizontal="right" vertical="center"/>
    </xf>
    <xf numFmtId="10" fontId="17" fillId="0" borderId="296" xfId="3526" applyNumberFormat="1" applyFont="1" applyFill="1" applyBorder="1" applyAlignment="1">
      <alignment horizontal="right" vertical="center"/>
    </xf>
    <xf numFmtId="41" fontId="17" fillId="25" borderId="146" xfId="1253" applyNumberFormat="1" applyFont="1" applyFill="1" applyBorder="1" applyAlignment="1">
      <alignment horizontal="center" vertical="center"/>
    </xf>
    <xf numFmtId="9" fontId="17" fillId="0" borderId="429" xfId="3526" applyFont="1" applyFill="1" applyBorder="1" applyAlignment="1">
      <alignment horizontal="right" vertical="center"/>
    </xf>
    <xf numFmtId="184" fontId="17" fillId="0" borderId="88" xfId="1253" applyNumberFormat="1" applyFont="1" applyBorder="1" applyAlignment="1">
      <alignment horizontal="center" vertical="center"/>
    </xf>
    <xf numFmtId="9" fontId="17" fillId="0" borderId="202" xfId="3526" applyFont="1" applyFill="1" applyBorder="1" applyAlignment="1">
      <alignment horizontal="right" vertical="center"/>
    </xf>
    <xf numFmtId="10" fontId="17" fillId="25" borderId="208" xfId="3526" applyNumberFormat="1" applyFont="1" applyFill="1" applyBorder="1" applyAlignment="1">
      <alignment horizontal="right" vertical="center"/>
    </xf>
    <xf numFmtId="1" fontId="17" fillId="0" borderId="59" xfId="1253" applyNumberFormat="1" applyFont="1" applyBorder="1" applyAlignment="1">
      <alignment vertical="center"/>
    </xf>
    <xf numFmtId="41" fontId="19" fillId="24" borderId="190" xfId="1253" applyNumberFormat="1" applyFont="1" applyFill="1" applyBorder="1" applyAlignment="1">
      <alignment horizontal="center" vertical="center" wrapText="1"/>
    </xf>
    <xf numFmtId="10" fontId="19" fillId="24" borderId="278" xfId="1253" applyNumberFormat="1" applyFont="1" applyFill="1" applyBorder="1" applyAlignment="1">
      <alignment horizontal="center" vertical="center" wrapText="1"/>
    </xf>
    <xf numFmtId="1" fontId="17" fillId="24" borderId="88" xfId="1253" applyNumberFormat="1" applyFont="1" applyFill="1" applyBorder="1" applyAlignment="1">
      <alignment vertical="center"/>
    </xf>
    <xf numFmtId="1" fontId="17" fillId="24" borderId="92" xfId="1253" applyNumberFormat="1" applyFont="1" applyFill="1" applyBorder="1" applyAlignment="1">
      <alignment vertical="center"/>
    </xf>
    <xf numFmtId="1" fontId="17" fillId="24" borderId="93" xfId="1253" applyNumberFormat="1" applyFont="1" applyFill="1" applyBorder="1" applyAlignment="1">
      <alignment vertical="center"/>
    </xf>
    <xf numFmtId="9" fontId="17" fillId="24" borderId="59" xfId="1253" applyNumberFormat="1" applyFont="1" applyFill="1" applyBorder="1" applyAlignment="1">
      <alignment horizontal="right" vertical="center"/>
    </xf>
    <xf numFmtId="174" fontId="17" fillId="0" borderId="88" xfId="1253" applyNumberFormat="1" applyFont="1" applyBorder="1" applyAlignment="1">
      <alignment horizontal="center" vertical="center"/>
    </xf>
    <xf numFmtId="9" fontId="17" fillId="0" borderId="275" xfId="3526" applyFont="1" applyFill="1" applyBorder="1" applyAlignment="1">
      <alignment horizontal="right" vertical="center"/>
    </xf>
    <xf numFmtId="177" fontId="17" fillId="0" borderId="88" xfId="1253" applyNumberFormat="1" applyFont="1" applyBorder="1" applyAlignment="1">
      <alignment horizontal="center" vertical="center"/>
    </xf>
    <xf numFmtId="10" fontId="19" fillId="24" borderId="430" xfId="1253" applyNumberFormat="1" applyFont="1" applyFill="1" applyBorder="1" applyAlignment="1">
      <alignment horizontal="center" vertical="center" wrapText="1"/>
    </xf>
    <xf numFmtId="41" fontId="17" fillId="36" borderId="88" xfId="1253" applyNumberFormat="1" applyFont="1" applyFill="1" applyBorder="1" applyAlignment="1">
      <alignment horizontal="center" vertical="center"/>
    </xf>
    <xf numFmtId="38" fontId="17" fillId="0" borderId="431" xfId="1253" applyNumberFormat="1" applyFont="1" applyBorder="1" applyAlignment="1">
      <alignment vertical="center"/>
    </xf>
    <xf numFmtId="38" fontId="17" fillId="0" borderId="432" xfId="1253" applyNumberFormat="1" applyFont="1" applyBorder="1" applyAlignment="1">
      <alignment vertical="center"/>
    </xf>
    <xf numFmtId="38" fontId="17" fillId="0" borderId="433" xfId="1253" applyNumberFormat="1" applyFont="1" applyBorder="1" applyAlignment="1">
      <alignment vertical="center"/>
    </xf>
    <xf numFmtId="9" fontId="65" fillId="0" borderId="338" xfId="0" applyNumberFormat="1" applyFont="1" applyBorder="1" applyAlignment="1">
      <alignment vertical="center"/>
    </xf>
    <xf numFmtId="9" fontId="74" fillId="0" borderId="88" xfId="3526" applyFont="1" applyBorder="1" applyAlignment="1">
      <alignment horizontal="right" vertical="center"/>
    </xf>
    <xf numFmtId="174" fontId="75" fillId="31" borderId="167" xfId="1253" applyNumberFormat="1" applyFont="1" applyFill="1" applyBorder="1" applyAlignment="1">
      <alignment horizontal="right" vertical="center"/>
    </xf>
    <xf numFmtId="10" fontId="75" fillId="31" borderId="172" xfId="3526" applyNumberFormat="1" applyFont="1" applyFill="1" applyBorder="1" applyAlignment="1">
      <alignment horizontal="right" vertical="center"/>
    </xf>
    <xf numFmtId="41" fontId="75" fillId="31" borderId="173" xfId="1253" applyNumberFormat="1" applyFont="1" applyFill="1" applyBorder="1" applyAlignment="1">
      <alignment horizontal="right" vertical="center"/>
    </xf>
    <xf numFmtId="174" fontId="75" fillId="31" borderId="166" xfId="3526" applyNumberFormat="1" applyFont="1" applyFill="1" applyBorder="1" applyAlignment="1">
      <alignment horizontal="right" vertical="center"/>
    </xf>
    <xf numFmtId="41" fontId="75" fillId="31" borderId="166" xfId="1253" applyNumberFormat="1" applyFont="1" applyFill="1" applyBorder="1" applyAlignment="1">
      <alignment horizontal="right" vertical="center"/>
    </xf>
    <xf numFmtId="9" fontId="75" fillId="31" borderId="166" xfId="1253" applyNumberFormat="1" applyFont="1" applyFill="1" applyBorder="1" applyAlignment="1">
      <alignment horizontal="right" vertical="center"/>
    </xf>
    <xf numFmtId="41" fontId="47" fillId="24" borderId="45" xfId="1253" applyNumberFormat="1" applyFont="1" applyFill="1" applyBorder="1" applyAlignment="1">
      <alignment horizontal="center" vertical="center"/>
    </xf>
    <xf numFmtId="0" fontId="63" fillId="0" borderId="306" xfId="0" applyFont="1" applyBorder="1" applyAlignment="1">
      <alignment vertical="center" readingOrder="1"/>
    </xf>
    <xf numFmtId="0" fontId="79" fillId="0" borderId="299" xfId="3536" applyBorder="1" applyAlignment="1">
      <alignment vertical="center" readingOrder="1"/>
    </xf>
    <xf numFmtId="190" fontId="17" fillId="24" borderId="29" xfId="1253" applyNumberFormat="1" applyFont="1" applyFill="1" applyBorder="1" applyAlignment="1">
      <alignment horizontal="center" vertical="center"/>
    </xf>
    <xf numFmtId="1" fontId="74" fillId="24" borderId="97" xfId="3526" applyNumberFormat="1" applyFont="1" applyFill="1" applyBorder="1" applyAlignment="1">
      <alignment horizontal="center" vertical="center"/>
    </xf>
    <xf numFmtId="1" fontId="74" fillId="24" borderId="341" xfId="3526" applyNumberFormat="1" applyFont="1" applyFill="1" applyBorder="1" applyAlignment="1">
      <alignment horizontal="right" vertical="center"/>
    </xf>
    <xf numFmtId="1" fontId="74" fillId="24" borderId="339" xfId="3526" applyNumberFormat="1" applyFont="1" applyFill="1" applyBorder="1" applyAlignment="1">
      <alignment horizontal="center" vertical="center"/>
    </xf>
    <xf numFmtId="1" fontId="74" fillId="24" borderId="336" xfId="3526" applyNumberFormat="1" applyFont="1" applyFill="1" applyBorder="1" applyAlignment="1">
      <alignment horizontal="right" vertical="center"/>
    </xf>
    <xf numFmtId="1" fontId="74" fillId="24" borderId="334" xfId="3526" applyNumberFormat="1" applyFont="1" applyFill="1" applyBorder="1" applyAlignment="1">
      <alignment vertical="center"/>
    </xf>
    <xf numFmtId="1" fontId="74" fillId="24" borderId="334" xfId="3526" applyNumberFormat="1" applyFont="1" applyFill="1" applyBorder="1" applyAlignment="1">
      <alignment horizontal="right" vertical="center"/>
    </xf>
    <xf numFmtId="1" fontId="74" fillId="24" borderId="53" xfId="3526" applyNumberFormat="1" applyFont="1" applyFill="1" applyBorder="1" applyAlignment="1">
      <alignment horizontal="right" vertical="center"/>
    </xf>
    <xf numFmtId="1" fontId="74" fillId="24" borderId="97" xfId="3526" applyNumberFormat="1" applyFont="1" applyFill="1" applyBorder="1" applyAlignment="1">
      <alignment vertical="center"/>
    </xf>
    <xf numFmtId="1" fontId="74" fillId="24" borderId="97" xfId="3526" applyNumberFormat="1" applyFont="1" applyFill="1" applyBorder="1" applyAlignment="1">
      <alignment horizontal="right" vertical="center"/>
    </xf>
    <xf numFmtId="1" fontId="74" fillId="24" borderId="267" xfId="3526" applyNumberFormat="1" applyFont="1" applyFill="1" applyBorder="1" applyAlignment="1">
      <alignment horizontal="right" vertical="center"/>
    </xf>
    <xf numFmtId="1" fontId="74" fillId="24" borderId="247" xfId="3526" applyNumberFormat="1" applyFont="1" applyFill="1" applyBorder="1" applyAlignment="1">
      <alignment horizontal="right" vertical="center"/>
    </xf>
    <xf numFmtId="177" fontId="65" fillId="0" borderId="184" xfId="3527" applyNumberFormat="1" applyFont="1" applyBorder="1" applyAlignment="1">
      <alignment horizontal="right" vertical="center"/>
    </xf>
    <xf numFmtId="16" fontId="0" fillId="48" borderId="12" xfId="0" applyNumberFormat="1" applyFill="1" applyBorder="1" applyAlignment="1">
      <alignment vertical="center"/>
    </xf>
    <xf numFmtId="177" fontId="65" fillId="48" borderId="12" xfId="3527" applyNumberFormat="1" applyFont="1" applyFill="1" applyBorder="1" applyAlignment="1">
      <alignment horizontal="right" vertical="center"/>
    </xf>
    <xf numFmtId="177" fontId="65" fillId="48" borderId="53" xfId="3527" applyNumberFormat="1" applyFont="1" applyFill="1" applyBorder="1" applyAlignment="1">
      <alignment horizontal="right" vertical="center"/>
    </xf>
    <xf numFmtId="177" fontId="65" fillId="48" borderId="186" xfId="3527" applyNumberFormat="1" applyFont="1" applyFill="1" applyBorder="1" applyAlignment="1">
      <alignment horizontal="right" vertical="center"/>
    </xf>
    <xf numFmtId="0" fontId="65" fillId="48" borderId="186" xfId="0" applyFont="1" applyFill="1" applyBorder="1" applyAlignment="1">
      <alignment vertical="center"/>
    </xf>
    <xf numFmtId="0" fontId="65" fillId="48" borderId="12" xfId="0" applyFont="1" applyFill="1" applyBorder="1" applyAlignment="1">
      <alignment vertical="center"/>
    </xf>
    <xf numFmtId="9" fontId="65" fillId="48" borderId="12" xfId="3526" applyFont="1" applyFill="1" applyBorder="1" applyAlignment="1">
      <alignment vertical="center"/>
    </xf>
    <xf numFmtId="1" fontId="74" fillId="48" borderId="97" xfId="3526" applyNumberFormat="1" applyFont="1" applyFill="1" applyBorder="1" applyAlignment="1">
      <alignment horizontal="center" vertical="center"/>
    </xf>
    <xf numFmtId="1" fontId="65" fillId="48" borderId="12" xfId="3526" applyNumberFormat="1" applyFont="1" applyFill="1" applyBorder="1" applyAlignment="1">
      <alignment horizontal="right" vertical="center"/>
    </xf>
    <xf numFmtId="9" fontId="65" fillId="48" borderId="12" xfId="3526" applyFont="1" applyFill="1" applyBorder="1" applyAlignment="1">
      <alignment horizontal="center" vertical="center"/>
    </xf>
    <xf numFmtId="177" fontId="65" fillId="48" borderId="12" xfId="3527" applyNumberFormat="1" applyFont="1" applyFill="1" applyBorder="1" applyAlignment="1">
      <alignment vertical="center"/>
    </xf>
    <xf numFmtId="9" fontId="65" fillId="48" borderId="12" xfId="3526" applyFont="1" applyFill="1" applyBorder="1" applyAlignment="1">
      <alignment horizontal="right" vertical="center"/>
    </xf>
    <xf numFmtId="1" fontId="74" fillId="48" borderId="53" xfId="3526" applyNumberFormat="1" applyFont="1" applyFill="1" applyBorder="1" applyAlignment="1">
      <alignment horizontal="right" vertical="center"/>
    </xf>
    <xf numFmtId="41" fontId="65" fillId="48" borderId="185" xfId="1253" applyNumberFormat="1" applyFont="1" applyFill="1" applyBorder="1" applyAlignment="1">
      <alignment horizontal="center" vertical="center"/>
    </xf>
    <xf numFmtId="41" fontId="65" fillId="48" borderId="12" xfId="1253" applyNumberFormat="1" applyFont="1" applyFill="1" applyBorder="1" applyAlignment="1">
      <alignment horizontal="center" vertical="center"/>
    </xf>
    <xf numFmtId="41" fontId="65" fillId="48" borderId="97" xfId="1253" applyNumberFormat="1" applyFont="1" applyFill="1" applyBorder="1" applyAlignment="1">
      <alignment horizontal="center" vertical="center"/>
    </xf>
    <xf numFmtId="0" fontId="0" fillId="48" borderId="0" xfId="0" applyFill="1" applyAlignment="1">
      <alignment vertical="center"/>
    </xf>
    <xf numFmtId="180" fontId="17" fillId="24" borderId="20" xfId="1253" applyNumberFormat="1" applyFont="1" applyFill="1" applyBorder="1" applyAlignment="1">
      <alignment horizontal="center" vertical="center"/>
    </xf>
    <xf numFmtId="9" fontId="65" fillId="48" borderId="97" xfId="3527" applyNumberFormat="1" applyFont="1" applyFill="1" applyBorder="1" applyAlignment="1">
      <alignment horizontal="right" vertical="center"/>
    </xf>
    <xf numFmtId="1" fontId="74" fillId="24" borderId="339" xfId="3526" applyNumberFormat="1" applyFont="1" applyFill="1" applyBorder="1" applyAlignment="1">
      <alignment horizontal="right" vertical="center"/>
    </xf>
    <xf numFmtId="1" fontId="74" fillId="48" borderId="97" xfId="3526" applyNumberFormat="1" applyFont="1" applyFill="1" applyBorder="1" applyAlignment="1">
      <alignment horizontal="right" vertical="center"/>
    </xf>
    <xf numFmtId="41" fontId="18" fillId="32" borderId="31" xfId="1236" applyFont="1" applyFill="1" applyBorder="1" applyAlignment="1">
      <alignment horizontal="right" vertical="center" shrinkToFit="1"/>
    </xf>
    <xf numFmtId="44" fontId="18" fillId="32" borderId="31" xfId="0" applyNumberFormat="1" applyFont="1" applyFill="1" applyBorder="1" applyAlignment="1">
      <alignment horizontal="right" vertical="center"/>
    </xf>
    <xf numFmtId="9" fontId="18" fillId="31" borderId="391" xfId="1236" applyNumberFormat="1" applyFont="1" applyFill="1" applyBorder="1" applyAlignment="1">
      <alignment horizontal="right" vertical="center"/>
    </xf>
    <xf numFmtId="9" fontId="18" fillId="39" borderId="83" xfId="3526" applyFont="1" applyFill="1" applyBorder="1" applyAlignment="1">
      <alignment horizontal="right" vertical="center" shrinkToFit="1"/>
    </xf>
    <xf numFmtId="166" fontId="18" fillId="39" borderId="85" xfId="3526" applyNumberFormat="1" applyFont="1" applyFill="1" applyBorder="1" applyAlignment="1">
      <alignment horizontal="right" vertical="center"/>
    </xf>
    <xf numFmtId="166" fontId="57" fillId="0" borderId="382" xfId="0" applyNumberFormat="1" applyFont="1" applyBorder="1" applyAlignment="1">
      <alignment vertical="center"/>
    </xf>
    <xf numFmtId="166" fontId="55" fillId="34" borderId="161" xfId="0" applyNumberFormat="1" applyFont="1" applyFill="1" applyBorder="1" applyAlignment="1">
      <alignment vertical="center"/>
    </xf>
    <xf numFmtId="10" fontId="18" fillId="32" borderId="27" xfId="0" applyNumberFormat="1" applyFont="1" applyFill="1" applyBorder="1" applyAlignment="1">
      <alignment horizontal="right" vertical="distributed"/>
    </xf>
    <xf numFmtId="41" fontId="17" fillId="0" borderId="442" xfId="1236" applyFont="1" applyFill="1" applyBorder="1" applyAlignment="1">
      <alignment horizontal="right" vertical="center" wrapText="1" indent="1"/>
    </xf>
    <xf numFmtId="41" fontId="17" fillId="0" borderId="343" xfId="1236" applyFont="1" applyFill="1" applyBorder="1" applyAlignment="1">
      <alignment horizontal="center" vertical="center" shrinkToFit="1"/>
    </xf>
    <xf numFmtId="10" fontId="17" fillId="37" borderId="73" xfId="0" applyNumberFormat="1" applyFont="1" applyFill="1" applyBorder="1" applyAlignment="1">
      <alignment horizontal="right" vertical="center"/>
    </xf>
    <xf numFmtId="0" fontId="19" fillId="24" borderId="443" xfId="0" applyFont="1" applyFill="1" applyBorder="1" applyAlignment="1">
      <alignment horizontal="center" vertical="center" shrinkToFit="1"/>
    </xf>
    <xf numFmtId="0" fontId="19" fillId="24" borderId="443" xfId="0" applyFont="1" applyFill="1" applyBorder="1" applyAlignment="1">
      <alignment horizontal="center" vertical="center"/>
    </xf>
    <xf numFmtId="41" fontId="53" fillId="24" borderId="443" xfId="1236" applyFont="1" applyFill="1" applyBorder="1" applyAlignment="1">
      <alignment horizontal="center" vertical="center" wrapText="1"/>
    </xf>
    <xf numFmtId="9" fontId="52" fillId="36" borderId="443" xfId="0" applyNumberFormat="1" applyFont="1" applyFill="1" applyBorder="1" applyAlignment="1">
      <alignment horizontal="center" vertical="center" wrapText="1"/>
    </xf>
    <xf numFmtId="41" fontId="19" fillId="24" borderId="443" xfId="1236" applyFont="1" applyFill="1" applyBorder="1" applyAlignment="1">
      <alignment horizontal="center" vertical="center"/>
    </xf>
    <xf numFmtId="10" fontId="19" fillId="24" borderId="443" xfId="0" applyNumberFormat="1" applyFont="1" applyFill="1" applyBorder="1" applyAlignment="1">
      <alignment horizontal="center" vertical="center"/>
    </xf>
    <xf numFmtId="9" fontId="74" fillId="24" borderId="164" xfId="1253" applyNumberFormat="1" applyFont="1" applyFill="1" applyBorder="1" applyAlignment="1">
      <alignment horizontal="right" vertical="center"/>
    </xf>
    <xf numFmtId="9" fontId="17" fillId="0" borderId="372" xfId="3526" applyFont="1" applyFill="1" applyBorder="1" applyAlignment="1">
      <alignment horizontal="right" vertical="center"/>
    </xf>
    <xf numFmtId="9" fontId="74" fillId="24" borderId="435" xfId="1253" applyNumberFormat="1" applyFont="1" applyFill="1" applyBorder="1" applyAlignment="1">
      <alignment horizontal="right" vertical="center"/>
    </xf>
    <xf numFmtId="177" fontId="65" fillId="0" borderId="191" xfId="3527" applyNumberFormat="1" applyFont="1" applyBorder="1" applyAlignment="1">
      <alignment horizontal="right" vertical="center"/>
    </xf>
    <xf numFmtId="9" fontId="17" fillId="25" borderId="92" xfId="3526" applyFont="1" applyFill="1" applyBorder="1" applyAlignment="1">
      <alignment horizontal="right" vertical="center"/>
    </xf>
    <xf numFmtId="9" fontId="80" fillId="43" borderId="346" xfId="3526" applyFont="1" applyFill="1" applyBorder="1" applyAlignment="1">
      <alignment horizontal="right" vertical="center"/>
    </xf>
    <xf numFmtId="9" fontId="17" fillId="24" borderId="382" xfId="1253" applyNumberFormat="1" applyFont="1" applyFill="1" applyBorder="1" applyAlignment="1">
      <alignment horizontal="right" vertical="center"/>
    </xf>
    <xf numFmtId="9" fontId="17" fillId="24" borderId="447" xfId="1253" applyNumberFormat="1" applyFont="1" applyFill="1" applyBorder="1" applyAlignment="1">
      <alignment horizontal="right" vertical="center"/>
    </xf>
    <xf numFmtId="9" fontId="17" fillId="24" borderId="95" xfId="1253" applyNumberFormat="1" applyFont="1" applyFill="1" applyBorder="1" applyAlignment="1">
      <alignment horizontal="right" vertical="center"/>
    </xf>
    <xf numFmtId="166" fontId="57" fillId="0" borderId="448" xfId="0" applyNumberFormat="1" applyFont="1" applyBorder="1" applyAlignment="1">
      <alignment vertical="center"/>
    </xf>
    <xf numFmtId="38" fontId="18" fillId="33" borderId="176" xfId="0" applyNumberFormat="1" applyFont="1" applyFill="1" applyBorder="1" applyAlignment="1">
      <alignment horizontal="center" vertical="center"/>
    </xf>
    <xf numFmtId="38" fontId="19" fillId="0" borderId="449" xfId="0" applyNumberFormat="1" applyFont="1" applyBorder="1" applyAlignment="1">
      <alignment horizontal="left" vertical="center"/>
    </xf>
    <xf numFmtId="38" fontId="18" fillId="33" borderId="165" xfId="0" applyNumberFormat="1" applyFont="1" applyFill="1" applyBorder="1" applyAlignment="1">
      <alignment horizontal="center" vertical="center"/>
    </xf>
    <xf numFmtId="180" fontId="19" fillId="0" borderId="182" xfId="0" applyNumberFormat="1" applyFont="1" applyBorder="1" applyAlignment="1">
      <alignment horizontal="center" vertical="center"/>
    </xf>
    <xf numFmtId="41" fontId="54" fillId="0" borderId="191" xfId="0" applyNumberFormat="1" applyFont="1" applyBorder="1" applyAlignment="1">
      <alignment horizontal="center" vertical="center" wrapText="1"/>
    </xf>
    <xf numFmtId="10" fontId="19" fillId="24" borderId="191" xfId="0" applyNumberFormat="1" applyFont="1" applyFill="1" applyBorder="1" applyAlignment="1">
      <alignment horizontal="center" vertical="center" wrapText="1"/>
    </xf>
    <xf numFmtId="9" fontId="17" fillId="25" borderId="164" xfId="3526" applyFont="1" applyFill="1" applyBorder="1" applyAlignment="1">
      <alignment horizontal="right" vertical="center"/>
    </xf>
    <xf numFmtId="1" fontId="17" fillId="25" borderId="92" xfId="1253" applyNumberFormat="1" applyFont="1" applyFill="1" applyBorder="1" applyAlignment="1">
      <alignment horizontal="right" vertical="center"/>
    </xf>
    <xf numFmtId="9" fontId="18" fillId="31" borderId="399" xfId="3526" applyFont="1" applyFill="1" applyBorder="1" applyAlignment="1">
      <alignment horizontal="right" vertical="center"/>
    </xf>
    <xf numFmtId="0" fontId="74" fillId="24" borderId="0" xfId="0" applyFont="1" applyFill="1" applyAlignment="1">
      <alignment horizontal="center" vertical="center"/>
    </xf>
    <xf numFmtId="2" fontId="75" fillId="0" borderId="0" xfId="3526" applyNumberFormat="1" applyFont="1" applyAlignment="1">
      <alignment horizontal="right" vertical="center"/>
    </xf>
    <xf numFmtId="10" fontId="75" fillId="0" borderId="0" xfId="3526" applyNumberFormat="1" applyFont="1" applyAlignment="1">
      <alignment horizontal="right" vertical="center"/>
    </xf>
    <xf numFmtId="174" fontId="75" fillId="0" borderId="0" xfId="1236" applyNumberFormat="1" applyFont="1" applyAlignment="1">
      <alignment horizontal="right" vertical="center" shrinkToFit="1"/>
    </xf>
    <xf numFmtId="10" fontId="75" fillId="0" borderId="0" xfId="3526" applyNumberFormat="1" applyFont="1" applyAlignment="1">
      <alignment horizontal="right" vertical="center" shrinkToFit="1"/>
    </xf>
    <xf numFmtId="10" fontId="75" fillId="0" borderId="0" xfId="1236" applyNumberFormat="1" applyFont="1" applyAlignment="1">
      <alignment horizontal="right" vertical="center" shrinkToFit="1"/>
    </xf>
    <xf numFmtId="10" fontId="75" fillId="0" borderId="0" xfId="0" applyNumberFormat="1" applyFont="1" applyAlignment="1">
      <alignment horizontal="right" vertical="center" wrapText="1"/>
    </xf>
    <xf numFmtId="41" fontId="75" fillId="0" borderId="0" xfId="1236" applyFont="1" applyAlignment="1">
      <alignment horizontal="center" vertical="center" shrinkToFit="1"/>
    </xf>
    <xf numFmtId="170" fontId="75" fillId="0" borderId="0" xfId="1254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19" fillId="0" borderId="297" xfId="0" applyFont="1" applyBorder="1" applyAlignment="1">
      <alignment horizontal="center" vertical="center" wrapText="1"/>
    </xf>
    <xf numFmtId="41" fontId="18" fillId="32" borderId="73" xfId="0" applyNumberFormat="1" applyFont="1" applyFill="1" applyBorder="1" applyAlignment="1">
      <alignment horizontal="center" vertical="center"/>
    </xf>
    <xf numFmtId="196" fontId="18" fillId="32" borderId="73" xfId="0" applyNumberFormat="1" applyFont="1" applyFill="1" applyBorder="1" applyAlignment="1">
      <alignment horizontal="center" vertical="center"/>
    </xf>
    <xf numFmtId="10" fontId="18" fillId="32" borderId="71" xfId="0" applyNumberFormat="1" applyFont="1" applyFill="1" applyBorder="1" applyAlignment="1">
      <alignment horizontal="right" vertical="distributed"/>
    </xf>
    <xf numFmtId="166" fontId="54" fillId="37" borderId="382" xfId="3526" applyNumberFormat="1" applyFont="1" applyFill="1" applyBorder="1" applyAlignment="1">
      <alignment horizontal="right" vertical="center"/>
    </xf>
    <xf numFmtId="166" fontId="19" fillId="37" borderId="434" xfId="3526" applyNumberFormat="1" applyFont="1" applyFill="1" applyBorder="1" applyAlignment="1">
      <alignment horizontal="right" vertical="center"/>
    </xf>
    <xf numFmtId="38" fontId="18" fillId="33" borderId="14" xfId="0" applyNumberFormat="1" applyFont="1" applyFill="1" applyBorder="1" applyAlignment="1">
      <alignment horizontal="center" vertical="center" wrapText="1"/>
    </xf>
    <xf numFmtId="180" fontId="19" fillId="0" borderId="0" xfId="0" applyNumberFormat="1" applyFont="1" applyAlignment="1">
      <alignment horizontal="center" vertical="center"/>
    </xf>
    <xf numFmtId="38" fontId="18" fillId="0" borderId="0" xfId="0" applyNumberFormat="1" applyFont="1" applyAlignment="1">
      <alignment horizontal="center" vertical="center"/>
    </xf>
    <xf numFmtId="9" fontId="54" fillId="41" borderId="191" xfId="1236" applyNumberFormat="1" applyFont="1" applyFill="1" applyBorder="1" applyAlignment="1">
      <alignment horizontal="right" vertical="center" shrinkToFit="1"/>
    </xf>
    <xf numFmtId="175" fontId="54" fillId="41" borderId="191" xfId="3526" applyNumberFormat="1" applyFont="1" applyFill="1" applyBorder="1" applyAlignment="1">
      <alignment horizontal="right" vertical="center"/>
    </xf>
    <xf numFmtId="9" fontId="54" fillId="40" borderId="191" xfId="1236" applyNumberFormat="1" applyFont="1" applyFill="1" applyBorder="1" applyAlignment="1">
      <alignment horizontal="right" vertical="center" shrinkToFit="1"/>
    </xf>
    <xf numFmtId="41" fontId="17" fillId="24" borderId="390" xfId="1253" applyNumberFormat="1" applyFont="1" applyFill="1" applyBorder="1" applyAlignment="1">
      <alignment horizontal="center" vertical="center"/>
    </xf>
    <xf numFmtId="9" fontId="17" fillId="0" borderId="89" xfId="3526" applyFont="1" applyFill="1" applyBorder="1" applyAlignment="1">
      <alignment horizontal="right" vertical="center"/>
    </xf>
    <xf numFmtId="9" fontId="17" fillId="0" borderId="203" xfId="3526" applyFont="1" applyFill="1" applyBorder="1" applyAlignment="1">
      <alignment horizontal="right" vertical="center"/>
    </xf>
    <xf numFmtId="184" fontId="74" fillId="0" borderId="88" xfId="1253" applyNumberFormat="1" applyFont="1" applyBorder="1" applyAlignment="1">
      <alignment horizontal="center" vertical="center"/>
    </xf>
    <xf numFmtId="10" fontId="17" fillId="25" borderId="73" xfId="3526" applyNumberFormat="1" applyFont="1" applyFill="1" applyBorder="1" applyAlignment="1">
      <alignment horizontal="right" vertical="center"/>
    </xf>
    <xf numFmtId="41" fontId="19" fillId="24" borderId="24" xfId="1253" applyNumberFormat="1" applyFont="1" applyFill="1" applyBorder="1" applyAlignment="1">
      <alignment horizontal="center" vertical="center" wrapText="1"/>
    </xf>
    <xf numFmtId="174" fontId="19" fillId="24" borderId="146" xfId="1253" applyNumberFormat="1" applyFont="1" applyFill="1" applyBorder="1" applyAlignment="1">
      <alignment horizontal="center" vertical="center" wrapText="1"/>
    </xf>
    <xf numFmtId="41" fontId="19" fillId="24" borderId="146" xfId="1253" applyNumberFormat="1" applyFont="1" applyFill="1" applyBorder="1" applyAlignment="1">
      <alignment horizontal="center" vertical="center" wrapText="1"/>
    </xf>
    <xf numFmtId="41" fontId="19" fillId="24" borderId="44" xfId="1253" applyNumberFormat="1" applyFont="1" applyFill="1" applyBorder="1" applyAlignment="1">
      <alignment horizontal="center" vertical="center" wrapText="1"/>
    </xf>
    <xf numFmtId="41" fontId="19" fillId="24" borderId="270" xfId="1253" applyNumberFormat="1" applyFont="1" applyFill="1" applyBorder="1" applyAlignment="1">
      <alignment horizontal="center" vertical="center" wrapText="1"/>
    </xf>
    <xf numFmtId="41" fontId="17" fillId="25" borderId="343" xfId="1253" applyNumberFormat="1" applyFont="1" applyFill="1" applyBorder="1" applyAlignment="1">
      <alignment horizontal="center" vertical="center"/>
    </xf>
    <xf numFmtId="174" fontId="17" fillId="25" borderId="73" xfId="1253" applyNumberFormat="1" applyFont="1" applyFill="1" applyBorder="1" applyAlignment="1">
      <alignment horizontal="center" vertical="center"/>
    </xf>
    <xf numFmtId="41" fontId="19" fillId="24" borderId="272" xfId="1253" applyNumberFormat="1" applyFont="1" applyFill="1" applyBorder="1" applyAlignment="1">
      <alignment horizontal="center" vertical="center" wrapText="1"/>
    </xf>
    <xf numFmtId="41" fontId="17" fillId="25" borderId="73" xfId="1253" applyNumberFormat="1" applyFont="1" applyFill="1" applyBorder="1" applyAlignment="1">
      <alignment horizontal="center" vertical="center"/>
    </xf>
    <xf numFmtId="179" fontId="17" fillId="24" borderId="29" xfId="1253" applyNumberFormat="1" applyFont="1" applyFill="1" applyBorder="1" applyAlignment="1">
      <alignment horizontal="center" vertical="center"/>
    </xf>
    <xf numFmtId="175" fontId="17" fillId="25" borderId="73" xfId="3526" applyNumberFormat="1" applyFont="1" applyFill="1" applyBorder="1" applyAlignment="1">
      <alignment horizontal="right" vertical="center"/>
    </xf>
    <xf numFmtId="41" fontId="17" fillId="25" borderId="74" xfId="1253" applyNumberFormat="1" applyFont="1" applyFill="1" applyBorder="1" applyAlignment="1">
      <alignment horizontal="center" vertical="center"/>
    </xf>
    <xf numFmtId="9" fontId="17" fillId="25" borderId="74" xfId="3526" applyFont="1" applyFill="1" applyBorder="1" applyAlignment="1">
      <alignment horizontal="right" vertical="center"/>
    </xf>
    <xf numFmtId="9" fontId="80" fillId="43" borderId="86" xfId="1253" applyNumberFormat="1" applyFont="1" applyFill="1" applyBorder="1" applyAlignment="1">
      <alignment vertical="center"/>
    </xf>
    <xf numFmtId="10" fontId="80" fillId="43" borderId="430" xfId="3526" applyNumberFormat="1" applyFont="1" applyFill="1" applyBorder="1" applyAlignment="1">
      <alignment horizontal="right" vertical="center"/>
    </xf>
    <xf numFmtId="2" fontId="17" fillId="0" borderId="345" xfId="3526" applyNumberFormat="1" applyFont="1" applyFill="1" applyBorder="1" applyAlignment="1">
      <alignment horizontal="right" vertical="center"/>
    </xf>
    <xf numFmtId="187" fontId="17" fillId="25" borderId="59" xfId="1253" applyNumberFormat="1" applyFont="1" applyFill="1" applyBorder="1" applyAlignment="1">
      <alignment horizontal="center" vertical="center"/>
    </xf>
    <xf numFmtId="41" fontId="80" fillId="43" borderId="430" xfId="1253" applyNumberFormat="1" applyFont="1" applyFill="1" applyBorder="1" applyAlignment="1">
      <alignment horizontal="center" vertical="center"/>
    </xf>
    <xf numFmtId="9" fontId="80" fillId="43" borderId="430" xfId="3526" applyFont="1" applyFill="1" applyBorder="1" applyAlignment="1">
      <alignment horizontal="right" vertical="center"/>
    </xf>
    <xf numFmtId="9" fontId="17" fillId="25" borderId="88" xfId="3526" applyFont="1" applyFill="1" applyBorder="1" applyAlignment="1">
      <alignment horizontal="right" vertical="center"/>
    </xf>
    <xf numFmtId="174" fontId="17" fillId="24" borderId="451" xfId="3526" applyNumberFormat="1" applyFont="1" applyFill="1" applyBorder="1" applyAlignment="1">
      <alignment horizontal="right" vertical="center"/>
    </xf>
    <xf numFmtId="174" fontId="17" fillId="24" borderId="203" xfId="3526" applyNumberFormat="1" applyFont="1" applyFill="1" applyBorder="1" applyAlignment="1">
      <alignment horizontal="right" vertical="center"/>
    </xf>
    <xf numFmtId="166" fontId="17" fillId="25" borderId="29" xfId="1253" applyNumberFormat="1" applyFont="1" applyFill="1" applyBorder="1" applyAlignment="1">
      <alignment horizontal="center" vertical="center"/>
    </xf>
    <xf numFmtId="9" fontId="17" fillId="25" borderId="29" xfId="1253" applyNumberFormat="1" applyFont="1" applyFill="1" applyBorder="1" applyAlignment="1">
      <alignment horizontal="right" vertical="center"/>
    </xf>
    <xf numFmtId="174" fontId="51" fillId="32" borderId="105" xfId="0" applyNumberFormat="1" applyFont="1" applyFill="1" applyBorder="1" applyAlignment="1">
      <alignment horizontal="center" vertical="center" wrapText="1"/>
    </xf>
    <xf numFmtId="9" fontId="91" fillId="0" borderId="191" xfId="3526" applyFont="1" applyBorder="1" applyAlignment="1">
      <alignment vertical="center"/>
    </xf>
    <xf numFmtId="9" fontId="17" fillId="25" borderId="73" xfId="3526" applyFont="1" applyFill="1" applyBorder="1" applyAlignment="1">
      <alignment horizontal="right" vertical="center"/>
    </xf>
    <xf numFmtId="10" fontId="17" fillId="25" borderId="36" xfId="1253" applyNumberFormat="1" applyFont="1" applyFill="1" applyBorder="1" applyAlignment="1">
      <alignment horizontal="right" vertical="center"/>
    </xf>
    <xf numFmtId="9" fontId="17" fillId="0" borderId="452" xfId="3526" applyFont="1" applyFill="1" applyBorder="1" applyAlignment="1">
      <alignment horizontal="right" vertical="center"/>
    </xf>
    <xf numFmtId="10" fontId="17" fillId="25" borderId="453" xfId="3526" applyNumberFormat="1" applyFont="1" applyFill="1" applyBorder="1" applyAlignment="1">
      <alignment horizontal="right" vertical="center"/>
    </xf>
    <xf numFmtId="9" fontId="17" fillId="24" borderId="454" xfId="3526" applyFont="1" applyFill="1" applyBorder="1" applyAlignment="1">
      <alignment horizontal="right" vertical="center"/>
    </xf>
    <xf numFmtId="9" fontId="74" fillId="0" borderId="74" xfId="3526" applyFont="1" applyBorder="1" applyAlignment="1">
      <alignment horizontal="right" vertical="center"/>
    </xf>
    <xf numFmtId="174" fontId="17" fillId="0" borderId="74" xfId="1253" applyNumberFormat="1" applyFont="1" applyBorder="1" applyAlignment="1">
      <alignment horizontal="center" vertical="center"/>
    </xf>
    <xf numFmtId="174" fontId="17" fillId="0" borderId="455" xfId="1253" applyNumberFormat="1" applyFont="1" applyBorder="1" applyAlignment="1">
      <alignment horizontal="center" vertical="center"/>
    </xf>
    <xf numFmtId="184" fontId="74" fillId="0" borderId="74" xfId="1253" applyNumberFormat="1" applyFont="1" applyBorder="1" applyAlignment="1">
      <alignment horizontal="center" vertical="center"/>
    </xf>
    <xf numFmtId="10" fontId="19" fillId="43" borderId="278" xfId="1253" applyNumberFormat="1" applyFont="1" applyFill="1" applyBorder="1" applyAlignment="1">
      <alignment horizontal="center" vertical="center" wrapText="1"/>
    </xf>
    <xf numFmtId="10" fontId="17" fillId="25" borderId="456" xfId="3526" applyNumberFormat="1" applyFont="1" applyFill="1" applyBorder="1" applyAlignment="1">
      <alignment horizontal="right" vertical="center"/>
    </xf>
    <xf numFmtId="41" fontId="19" fillId="38" borderId="74" xfId="1253" applyNumberFormat="1" applyFont="1" applyFill="1" applyBorder="1" applyAlignment="1">
      <alignment horizontal="center" vertical="center" wrapText="1"/>
    </xf>
    <xf numFmtId="174" fontId="17" fillId="25" borderId="258" xfId="1253" applyNumberFormat="1" applyFont="1" applyFill="1" applyBorder="1" applyAlignment="1">
      <alignment horizontal="center" vertical="center"/>
    </xf>
    <xf numFmtId="10" fontId="17" fillId="25" borderId="457" xfId="3526" applyNumberFormat="1" applyFont="1" applyFill="1" applyBorder="1" applyAlignment="1">
      <alignment horizontal="right" vertical="center"/>
    </xf>
    <xf numFmtId="174" fontId="17" fillId="0" borderId="458" xfId="1253" applyNumberFormat="1" applyFont="1" applyBorder="1" applyAlignment="1">
      <alignment vertical="center"/>
    </xf>
    <xf numFmtId="174" fontId="17" fillId="25" borderId="372" xfId="1253" applyNumberFormat="1" applyFont="1" applyFill="1" applyBorder="1" applyAlignment="1">
      <alignment horizontal="center" vertical="center"/>
    </xf>
    <xf numFmtId="183" fontId="17" fillId="25" borderId="372" xfId="1253" applyNumberFormat="1" applyFont="1" applyFill="1" applyBorder="1" applyAlignment="1">
      <alignment horizontal="center" vertical="center"/>
    </xf>
    <xf numFmtId="174" fontId="17" fillId="0" borderId="459" xfId="1253" applyNumberFormat="1" applyFont="1" applyBorder="1" applyAlignment="1">
      <alignment vertical="center"/>
    </xf>
    <xf numFmtId="9" fontId="74" fillId="0" borderId="368" xfId="3526" applyFont="1" applyBorder="1" applyAlignment="1">
      <alignment horizontal="right" vertical="center"/>
    </xf>
    <xf numFmtId="9" fontId="17" fillId="0" borderId="460" xfId="3526" applyFont="1" applyFill="1" applyBorder="1" applyAlignment="1">
      <alignment horizontal="right" vertical="center"/>
    </xf>
    <xf numFmtId="9" fontId="17" fillId="25" borderId="234" xfId="3526" applyFont="1" applyFill="1" applyBorder="1" applyAlignment="1">
      <alignment horizontal="right" vertical="center"/>
    </xf>
    <xf numFmtId="1" fontId="17" fillId="25" borderId="234" xfId="3526" applyNumberFormat="1" applyFont="1" applyFill="1" applyBorder="1" applyAlignment="1">
      <alignment horizontal="right" vertical="center"/>
    </xf>
    <xf numFmtId="9" fontId="17" fillId="0" borderId="461" xfId="3526" applyFont="1" applyFill="1" applyBorder="1" applyAlignment="1">
      <alignment horizontal="right" vertical="center"/>
    </xf>
    <xf numFmtId="9" fontId="17" fillId="0" borderId="59" xfId="3526" applyFont="1" applyFill="1" applyBorder="1" applyAlignment="1">
      <alignment horizontal="right" vertical="center"/>
    </xf>
    <xf numFmtId="174" fontId="17" fillId="25" borderId="277" xfId="1253" applyNumberFormat="1" applyFont="1" applyFill="1" applyBorder="1" applyAlignment="1">
      <alignment horizontal="center" vertical="center"/>
    </xf>
    <xf numFmtId="1" fontId="17" fillId="25" borderId="277" xfId="3526" applyNumberFormat="1" applyFont="1" applyFill="1" applyBorder="1" applyAlignment="1">
      <alignment horizontal="right" vertical="center"/>
    </xf>
    <xf numFmtId="1" fontId="17" fillId="0" borderId="88" xfId="3526" applyNumberFormat="1" applyFont="1" applyFill="1" applyBorder="1" applyAlignment="1">
      <alignment horizontal="right" vertical="center"/>
    </xf>
    <xf numFmtId="9" fontId="17" fillId="24" borderId="164" xfId="1253" applyNumberFormat="1" applyFont="1" applyFill="1" applyBorder="1" applyAlignment="1">
      <alignment vertical="center"/>
    </xf>
    <xf numFmtId="0" fontId="17" fillId="0" borderId="39" xfId="1255" applyFont="1" applyBorder="1" applyAlignment="1">
      <alignment horizontal="center" vertical="center" wrapText="1"/>
    </xf>
    <xf numFmtId="41" fontId="17" fillId="0" borderId="39" xfId="1236" applyFont="1" applyFill="1" applyBorder="1" applyAlignment="1">
      <alignment horizontal="center" vertical="center" wrapText="1"/>
    </xf>
    <xf numFmtId="0" fontId="86" fillId="0" borderId="35" xfId="1255" quotePrefix="1" applyFont="1" applyBorder="1" applyAlignment="1">
      <alignment horizontal="left" vertical="center" wrapText="1"/>
    </xf>
    <xf numFmtId="0" fontId="86" fillId="0" borderId="35" xfId="1255" applyFont="1" applyBorder="1" applyAlignment="1">
      <alignment horizontal="center" vertical="center" wrapText="1"/>
    </xf>
    <xf numFmtId="10" fontId="86" fillId="0" borderId="24" xfId="0" applyNumberFormat="1" applyFont="1" applyBorder="1" applyAlignment="1">
      <alignment horizontal="right" vertical="center"/>
    </xf>
    <xf numFmtId="41" fontId="86" fillId="0" borderId="146" xfId="0" applyNumberFormat="1" applyFont="1" applyBorder="1" applyAlignment="1">
      <alignment horizontal="center" vertical="center"/>
    </xf>
    <xf numFmtId="180" fontId="86" fillId="0" borderId="24" xfId="0" applyNumberFormat="1" applyFont="1" applyBorder="1" applyAlignment="1">
      <alignment horizontal="right" vertical="center"/>
    </xf>
    <xf numFmtId="166" fontId="87" fillId="0" borderId="382" xfId="0" applyNumberFormat="1" applyFont="1" applyBorder="1" applyAlignment="1">
      <alignment vertical="center"/>
    </xf>
    <xf numFmtId="41" fontId="88" fillId="0" borderId="191" xfId="1236" applyFont="1" applyFill="1" applyBorder="1" applyAlignment="1">
      <alignment horizontal="right" vertical="center" wrapText="1"/>
    </xf>
    <xf numFmtId="0" fontId="17" fillId="0" borderId="35" xfId="1255" applyFont="1" applyBorder="1" applyAlignment="1">
      <alignment horizontal="left" vertical="center" wrapText="1"/>
    </xf>
    <xf numFmtId="41" fontId="88" fillId="0" borderId="146" xfId="0" applyNumberFormat="1" applyFont="1" applyBorder="1" applyAlignment="1">
      <alignment horizontal="center" vertical="center"/>
    </xf>
    <xf numFmtId="180" fontId="17" fillId="0" borderId="191" xfId="0" applyNumberFormat="1" applyFont="1" applyBorder="1" applyAlignment="1">
      <alignment horizontal="right" vertical="center"/>
    </xf>
    <xf numFmtId="180" fontId="86" fillId="0" borderId="191" xfId="0" applyNumberFormat="1" applyFont="1" applyBorder="1" applyAlignment="1">
      <alignment horizontal="right" vertical="center"/>
    </xf>
    <xf numFmtId="0" fontId="86" fillId="0" borderId="343" xfId="1255" quotePrefix="1" applyFont="1" applyBorder="1" applyAlignment="1">
      <alignment horizontal="left" vertical="center" wrapText="1"/>
    </xf>
    <xf numFmtId="0" fontId="86" fillId="0" borderId="343" xfId="1255" applyFont="1" applyBorder="1" applyAlignment="1">
      <alignment horizontal="center" vertical="center" wrapText="1"/>
    </xf>
    <xf numFmtId="41" fontId="86" fillId="0" borderId="44" xfId="1236" applyFont="1" applyFill="1" applyBorder="1" applyAlignment="1">
      <alignment horizontal="center" vertical="center" wrapText="1"/>
    </xf>
    <xf numFmtId="166" fontId="87" fillId="0" borderId="436" xfId="0" applyNumberFormat="1" applyFont="1" applyBorder="1" applyAlignment="1">
      <alignment vertical="center"/>
    </xf>
    <xf numFmtId="0" fontId="17" fillId="0" borderId="268" xfId="1255" quotePrefix="1" applyFont="1" applyBorder="1" applyAlignment="1">
      <alignment horizontal="left" vertical="center" wrapText="1"/>
    </xf>
    <xf numFmtId="0" fontId="86" fillId="0" borderId="191" xfId="1255" applyFont="1" applyBorder="1" applyAlignment="1">
      <alignment horizontal="center" vertical="center" wrapText="1"/>
    </xf>
    <xf numFmtId="41" fontId="17" fillId="0" borderId="191" xfId="1236" applyFont="1" applyFill="1" applyBorder="1" applyAlignment="1">
      <alignment horizontal="center" vertical="center" wrapText="1"/>
    </xf>
    <xf numFmtId="0" fontId="17" fillId="0" borderId="191" xfId="1255" applyFont="1" applyBorder="1" applyAlignment="1">
      <alignment horizontal="center" vertical="center" wrapText="1"/>
    </xf>
    <xf numFmtId="41" fontId="17" fillId="0" borderId="191" xfId="1236" applyFont="1" applyFill="1" applyBorder="1" applyAlignment="1">
      <alignment horizontal="center" vertical="center" shrinkToFit="1"/>
    </xf>
    <xf numFmtId="9" fontId="19" fillId="37" borderId="446" xfId="3526" applyFont="1" applyFill="1" applyBorder="1" applyAlignment="1">
      <alignment horizontal="right" vertical="center"/>
    </xf>
    <xf numFmtId="41" fontId="88" fillId="0" borderId="24" xfId="1236" applyFont="1" applyBorder="1" applyAlignment="1">
      <alignment horizontal="center" vertical="center" shrinkToFit="1"/>
    </xf>
    <xf numFmtId="41" fontId="17" fillId="24" borderId="45" xfId="1253" applyNumberFormat="1" applyFont="1" applyFill="1" applyBorder="1" applyAlignment="1">
      <alignment horizontal="right" vertical="center"/>
    </xf>
    <xf numFmtId="9" fontId="75" fillId="31" borderId="391" xfId="1236" applyNumberFormat="1" applyFont="1" applyFill="1" applyBorder="1" applyAlignment="1">
      <alignment horizontal="right" vertical="center"/>
    </xf>
    <xf numFmtId="9" fontId="18" fillId="31" borderId="391" xfId="0" applyNumberFormat="1" applyFont="1" applyFill="1" applyBorder="1" applyAlignment="1">
      <alignment horizontal="right" vertical="center"/>
    </xf>
    <xf numFmtId="180" fontId="75" fillId="31" borderId="391" xfId="1236" applyNumberFormat="1" applyFont="1" applyFill="1" applyBorder="1" applyAlignment="1">
      <alignment horizontal="center" vertical="center"/>
    </xf>
    <xf numFmtId="9" fontId="75" fillId="31" borderId="399" xfId="3526" applyFont="1" applyFill="1" applyBorder="1" applyAlignment="1">
      <alignment horizontal="right" vertical="center"/>
    </xf>
    <xf numFmtId="174" fontId="75" fillId="31" borderId="211" xfId="3526" applyNumberFormat="1" applyFont="1" applyFill="1" applyBorder="1" applyAlignment="1">
      <alignment horizontal="right" vertical="center"/>
    </xf>
    <xf numFmtId="175" fontId="18" fillId="31" borderId="401" xfId="3526" applyNumberFormat="1" applyFont="1" applyFill="1" applyBorder="1" applyAlignment="1">
      <alignment horizontal="right" vertical="center"/>
    </xf>
    <xf numFmtId="9" fontId="80" fillId="43" borderId="59" xfId="3526" applyFont="1" applyFill="1" applyBorder="1" applyAlignment="1">
      <alignment horizontal="right" vertical="center"/>
    </xf>
    <xf numFmtId="177" fontId="17" fillId="30" borderId="49" xfId="1253" applyNumberFormat="1" applyFont="1" applyFill="1" applyBorder="1" applyAlignment="1">
      <alignment horizontal="center" vertical="center"/>
    </xf>
    <xf numFmtId="177" fontId="17" fillId="25" borderId="29" xfId="1253" applyNumberFormat="1" applyFont="1" applyFill="1" applyBorder="1" applyAlignment="1">
      <alignment horizontal="center" vertical="center"/>
    </xf>
    <xf numFmtId="177" fontId="74" fillId="30" borderId="49" xfId="1253" applyNumberFormat="1" applyFont="1" applyFill="1" applyBorder="1" applyAlignment="1">
      <alignment horizontal="center" vertical="center"/>
    </xf>
    <xf numFmtId="184" fontId="17" fillId="0" borderId="462" xfId="1253" applyNumberFormat="1" applyFont="1" applyBorder="1" applyAlignment="1">
      <alignment horizontal="center" vertical="center"/>
    </xf>
    <xf numFmtId="174" fontId="17" fillId="25" borderId="74" xfId="1253" applyNumberFormat="1" applyFont="1" applyFill="1" applyBorder="1" applyAlignment="1">
      <alignment horizontal="center" vertical="center"/>
    </xf>
    <xf numFmtId="184" fontId="17" fillId="0" borderId="463" xfId="1253" applyNumberFormat="1" applyFont="1" applyBorder="1" applyAlignment="1">
      <alignment horizontal="center" vertical="center"/>
    </xf>
    <xf numFmtId="9" fontId="17" fillId="0" borderId="369" xfId="3526" applyFont="1" applyFill="1" applyBorder="1" applyAlignment="1">
      <alignment horizontal="right" vertical="center"/>
    </xf>
    <xf numFmtId="10" fontId="17" fillId="25" borderId="464" xfId="3526" applyNumberFormat="1" applyFont="1" applyFill="1" applyBorder="1" applyAlignment="1">
      <alignment horizontal="right" vertical="center"/>
    </xf>
    <xf numFmtId="10" fontId="19" fillId="24" borderId="465" xfId="1253" applyNumberFormat="1" applyFont="1" applyFill="1" applyBorder="1" applyAlignment="1">
      <alignment horizontal="center" vertical="center" wrapText="1"/>
    </xf>
    <xf numFmtId="41" fontId="19" fillId="24" borderId="88" xfId="1253" applyNumberFormat="1" applyFont="1" applyFill="1" applyBorder="1" applyAlignment="1">
      <alignment horizontal="center" vertical="center" wrapText="1"/>
    </xf>
    <xf numFmtId="9" fontId="17" fillId="24" borderId="78" xfId="1253" applyNumberFormat="1" applyFont="1" applyFill="1" applyBorder="1" applyAlignment="1">
      <alignment vertical="center"/>
    </xf>
    <xf numFmtId="41" fontId="17" fillId="24" borderId="111" xfId="1253" applyNumberFormat="1" applyFont="1" applyFill="1" applyBorder="1" applyAlignment="1">
      <alignment horizontal="center" vertical="center"/>
    </xf>
    <xf numFmtId="41" fontId="17" fillId="24" borderId="466" xfId="1253" applyNumberFormat="1" applyFont="1" applyFill="1" applyBorder="1" applyAlignment="1">
      <alignment horizontal="center" vertical="center"/>
    </xf>
    <xf numFmtId="0" fontId="92" fillId="0" borderId="12" xfId="0" applyFont="1" applyBorder="1" applyAlignment="1">
      <alignment horizontal="center" vertical="center"/>
    </xf>
    <xf numFmtId="0" fontId="92" fillId="0" borderId="12" xfId="0" applyFont="1" applyBorder="1" applyAlignment="1">
      <alignment horizontal="center" vertical="center" wrapText="1"/>
    </xf>
    <xf numFmtId="16" fontId="66" fillId="0" borderId="467" xfId="0" applyNumberFormat="1" applyFont="1" applyBorder="1" applyAlignment="1">
      <alignment vertical="center"/>
    </xf>
    <xf numFmtId="177" fontId="65" fillId="0" borderId="467" xfId="3527" applyNumberFormat="1" applyFont="1" applyBorder="1" applyAlignment="1">
      <alignment horizontal="right" vertical="center"/>
    </xf>
    <xf numFmtId="177" fontId="65" fillId="0" borderId="468" xfId="3527" applyNumberFormat="1" applyFont="1" applyBorder="1" applyAlignment="1">
      <alignment horizontal="right" vertical="center"/>
    </xf>
    <xf numFmtId="9" fontId="65" fillId="0" borderId="469" xfId="3527" applyNumberFormat="1" applyFont="1" applyBorder="1" applyAlignment="1">
      <alignment horizontal="right" vertical="center"/>
    </xf>
    <xf numFmtId="177" fontId="65" fillId="0" borderId="470" xfId="3527" applyNumberFormat="1" applyFont="1" applyBorder="1" applyAlignment="1">
      <alignment horizontal="right" vertical="center"/>
    </xf>
    <xf numFmtId="0" fontId="65" fillId="0" borderId="470" xfId="0" applyFont="1" applyBorder="1" applyAlignment="1">
      <alignment vertical="center"/>
    </xf>
    <xf numFmtId="0" fontId="65" fillId="0" borderId="467" xfId="0" applyFont="1" applyBorder="1" applyAlignment="1">
      <alignment vertical="center"/>
    </xf>
    <xf numFmtId="9" fontId="65" fillId="0" borderId="467" xfId="3526" applyFont="1" applyBorder="1" applyAlignment="1">
      <alignment vertical="center"/>
    </xf>
    <xf numFmtId="1" fontId="17" fillId="24" borderId="469" xfId="3526" applyNumberFormat="1" applyFont="1" applyFill="1" applyBorder="1" applyAlignment="1">
      <alignment horizontal="right" vertical="center"/>
    </xf>
    <xf numFmtId="1" fontId="65" fillId="24" borderId="467" xfId="3526" applyNumberFormat="1" applyFont="1" applyFill="1" applyBorder="1" applyAlignment="1">
      <alignment horizontal="right" vertical="center"/>
    </xf>
    <xf numFmtId="9" fontId="65" fillId="24" borderId="467" xfId="3526" applyFont="1" applyFill="1" applyBorder="1" applyAlignment="1">
      <alignment horizontal="center" vertical="center"/>
    </xf>
    <xf numFmtId="1" fontId="17" fillId="24" borderId="469" xfId="3526" applyNumberFormat="1" applyFont="1" applyFill="1" applyBorder="1" applyAlignment="1">
      <alignment horizontal="center" vertical="center"/>
    </xf>
    <xf numFmtId="177" fontId="65" fillId="0" borderId="467" xfId="3527" applyNumberFormat="1" applyFont="1" applyBorder="1" applyAlignment="1">
      <alignment vertical="center"/>
    </xf>
    <xf numFmtId="9" fontId="65" fillId="24" borderId="467" xfId="3526" applyFont="1" applyFill="1" applyBorder="1" applyAlignment="1">
      <alignment horizontal="right" vertical="center"/>
    </xf>
    <xf numFmtId="1" fontId="17" fillId="24" borderId="468" xfId="3526" applyNumberFormat="1" applyFont="1" applyFill="1" applyBorder="1" applyAlignment="1">
      <alignment horizontal="right" vertical="center"/>
    </xf>
    <xf numFmtId="41" fontId="65" fillId="24" borderId="471" xfId="1253" applyNumberFormat="1" applyFont="1" applyFill="1" applyBorder="1" applyAlignment="1">
      <alignment horizontal="center" vertical="center"/>
    </xf>
    <xf numFmtId="41" fontId="65" fillId="24" borderId="467" xfId="1253" applyNumberFormat="1" applyFont="1" applyFill="1" applyBorder="1" applyAlignment="1">
      <alignment horizontal="center" vertical="center"/>
    </xf>
    <xf numFmtId="41" fontId="65" fillId="24" borderId="469" xfId="1253" applyNumberFormat="1" applyFont="1" applyFill="1" applyBorder="1" applyAlignment="1">
      <alignment horizontal="center" vertical="center"/>
    </xf>
    <xf numFmtId="0" fontId="0" fillId="0" borderId="472" xfId="0" applyBorder="1" applyAlignment="1">
      <alignment vertical="center"/>
    </xf>
    <xf numFmtId="0" fontId="92" fillId="0" borderId="298" xfId="0" applyFont="1" applyBorder="1" applyAlignment="1">
      <alignment horizontal="center" vertical="center" wrapText="1"/>
    </xf>
    <xf numFmtId="9" fontId="65" fillId="0" borderId="298" xfId="3526" applyFont="1" applyBorder="1" applyAlignment="1">
      <alignment vertical="center"/>
    </xf>
    <xf numFmtId="1" fontId="17" fillId="24" borderId="334" xfId="3526" applyNumberFormat="1" applyFont="1" applyFill="1" applyBorder="1" applyAlignment="1">
      <alignment horizontal="right" vertical="center"/>
    </xf>
    <xf numFmtId="9" fontId="65" fillId="24" borderId="298" xfId="3526" applyFont="1" applyFill="1" applyBorder="1" applyAlignment="1">
      <alignment horizontal="center" vertical="center"/>
    </xf>
    <xf numFmtId="1" fontId="17" fillId="24" borderId="334" xfId="3526" applyNumberFormat="1" applyFont="1" applyFill="1" applyBorder="1" applyAlignment="1">
      <alignment horizontal="center" vertical="center"/>
    </xf>
    <xf numFmtId="1" fontId="17" fillId="24" borderId="336" xfId="3526" applyNumberFormat="1" applyFont="1" applyFill="1" applyBorder="1" applyAlignment="1">
      <alignment horizontal="right" vertical="center"/>
    </xf>
    <xf numFmtId="9" fontId="65" fillId="24" borderId="105" xfId="3526" applyFont="1" applyFill="1" applyBorder="1" applyAlignment="1">
      <alignment horizontal="center" vertical="center"/>
    </xf>
    <xf numFmtId="1" fontId="17" fillId="24" borderId="247" xfId="3526" applyNumberFormat="1" applyFont="1" applyFill="1" applyBorder="1" applyAlignment="1">
      <alignment horizontal="center" vertical="center"/>
    </xf>
    <xf numFmtId="0" fontId="93" fillId="0" borderId="12" xfId="0" applyFont="1" applyBorder="1" applyAlignment="1">
      <alignment horizontal="center" vertical="center" wrapText="1"/>
    </xf>
    <xf numFmtId="0" fontId="92" fillId="0" borderId="189" xfId="0" applyFont="1" applyBorder="1" applyAlignment="1">
      <alignment horizontal="center" vertical="center"/>
    </xf>
    <xf numFmtId="0" fontId="93" fillId="48" borderId="338" xfId="0" applyFont="1" applyFill="1" applyBorder="1" applyAlignment="1">
      <alignment horizontal="center" vertical="center" wrapText="1"/>
    </xf>
    <xf numFmtId="0" fontId="94" fillId="48" borderId="12" xfId="0" applyFont="1" applyFill="1" applyBorder="1" applyAlignment="1">
      <alignment horizontal="center" vertical="center" wrapText="1"/>
    </xf>
    <xf numFmtId="0" fontId="92" fillId="0" borderId="467" xfId="0" applyFont="1" applyBorder="1" applyAlignment="1">
      <alignment horizontal="center" vertical="center"/>
    </xf>
    <xf numFmtId="0" fontId="92" fillId="0" borderId="105" xfId="0" applyFont="1" applyBorder="1" applyAlignment="1">
      <alignment horizontal="center" vertical="center"/>
    </xf>
    <xf numFmtId="41" fontId="19" fillId="51" borderId="12" xfId="1253" applyNumberFormat="1" applyFont="1" applyFill="1" applyBorder="1" applyAlignment="1">
      <alignment horizontal="center" vertical="center" wrapText="1"/>
    </xf>
    <xf numFmtId="0" fontId="86" fillId="37" borderId="35" xfId="1255" quotePrefix="1" applyFont="1" applyFill="1" applyBorder="1" applyAlignment="1">
      <alignment horizontal="left" vertical="center" wrapText="1"/>
    </xf>
    <xf numFmtId="10" fontId="17" fillId="25" borderId="314" xfId="3526" applyNumberFormat="1" applyFont="1" applyFill="1" applyBorder="1" applyAlignment="1">
      <alignment horizontal="right" vertical="center"/>
    </xf>
    <xf numFmtId="0" fontId="17" fillId="0" borderId="475" xfId="1255" quotePrefix="1" applyFont="1" applyBorder="1" applyAlignment="1">
      <alignment horizontal="left" vertical="center" wrapText="1"/>
    </xf>
    <xf numFmtId="0" fontId="17" fillId="24" borderId="476" xfId="1254" applyFont="1" applyFill="1" applyBorder="1" applyAlignment="1">
      <alignment vertical="center" wrapText="1"/>
    </xf>
    <xf numFmtId="0" fontId="17" fillId="24" borderId="477" xfId="1254" applyFont="1" applyFill="1" applyBorder="1" applyAlignment="1">
      <alignment vertical="center" wrapText="1"/>
    </xf>
    <xf numFmtId="0" fontId="17" fillId="24" borderId="478" xfId="1254" applyFont="1" applyFill="1" applyBorder="1" applyAlignment="1">
      <alignment vertical="center" wrapText="1"/>
    </xf>
    <xf numFmtId="0" fontId="17" fillId="24" borderId="479" xfId="1254" applyFont="1" applyFill="1" applyBorder="1" applyAlignment="1">
      <alignment vertical="center" wrapText="1"/>
    </xf>
    <xf numFmtId="166" fontId="57" fillId="0" borderId="436" xfId="0" applyNumberFormat="1" applyFont="1" applyBorder="1" applyAlignment="1">
      <alignment vertical="center"/>
    </xf>
    <xf numFmtId="166" fontId="55" fillId="34" borderId="482" xfId="0" applyNumberFormat="1" applyFont="1" applyFill="1" applyBorder="1" applyAlignment="1">
      <alignment vertical="center"/>
    </xf>
    <xf numFmtId="166" fontId="57" fillId="0" borderId="483" xfId="0" applyNumberFormat="1" applyFont="1" applyBorder="1" applyAlignment="1">
      <alignment vertical="center"/>
    </xf>
    <xf numFmtId="166" fontId="55" fillId="34" borderId="483" xfId="0" applyNumberFormat="1" applyFont="1" applyFill="1" applyBorder="1" applyAlignment="1">
      <alignment vertical="center"/>
    </xf>
    <xf numFmtId="180" fontId="17" fillId="0" borderId="485" xfId="0" applyNumberFormat="1" applyFont="1" applyBorder="1" applyAlignment="1">
      <alignment horizontal="right" vertical="center"/>
    </xf>
    <xf numFmtId="41" fontId="17" fillId="0" borderId="486" xfId="0" applyNumberFormat="1" applyFont="1" applyBorder="1" applyAlignment="1">
      <alignment horizontal="right" vertical="center"/>
    </xf>
    <xf numFmtId="10" fontId="17" fillId="0" borderId="487" xfId="0" applyNumberFormat="1" applyFont="1" applyBorder="1" applyAlignment="1">
      <alignment horizontal="right" vertical="center"/>
    </xf>
    <xf numFmtId="3" fontId="74" fillId="0" borderId="488" xfId="1236" applyNumberFormat="1" applyFont="1" applyFill="1" applyBorder="1" applyAlignment="1">
      <alignment horizontal="right" vertical="center" shrinkToFit="1"/>
    </xf>
    <xf numFmtId="0" fontId="18" fillId="0" borderId="96" xfId="0" applyFont="1" applyBorder="1" applyAlignment="1">
      <alignment horizontal="center" vertical="center" shrinkToFit="1"/>
    </xf>
    <xf numFmtId="3" fontId="74" fillId="0" borderId="372" xfId="1236" applyNumberFormat="1" applyFont="1" applyFill="1" applyBorder="1" applyAlignment="1">
      <alignment horizontal="right" vertical="center" shrinkToFit="1"/>
    </xf>
    <xf numFmtId="41" fontId="18" fillId="32" borderId="494" xfId="1236" applyFont="1" applyFill="1" applyBorder="1" applyAlignment="1">
      <alignment horizontal="center" vertical="center" shrinkToFit="1"/>
    </xf>
    <xf numFmtId="10" fontId="18" fillId="32" borderId="494" xfId="0" applyNumberFormat="1" applyFont="1" applyFill="1" applyBorder="1" applyAlignment="1">
      <alignment horizontal="right" vertical="center"/>
    </xf>
    <xf numFmtId="10" fontId="18" fillId="32" borderId="495" xfId="0" applyNumberFormat="1" applyFont="1" applyFill="1" applyBorder="1" applyAlignment="1">
      <alignment horizontal="right" vertical="distributed"/>
    </xf>
    <xf numFmtId="180" fontId="18" fillId="32" borderId="496" xfId="0" applyNumberFormat="1" applyFont="1" applyFill="1" applyBorder="1" applyAlignment="1">
      <alignment horizontal="right" vertical="distributed"/>
    </xf>
    <xf numFmtId="166" fontId="55" fillId="34" borderId="498" xfId="0" applyNumberFormat="1" applyFont="1" applyFill="1" applyBorder="1" applyAlignment="1">
      <alignment vertical="center"/>
    </xf>
    <xf numFmtId="166" fontId="57" fillId="0" borderId="497" xfId="0" applyNumberFormat="1" applyFont="1" applyBorder="1" applyAlignment="1">
      <alignment vertical="center"/>
    </xf>
    <xf numFmtId="10" fontId="17" fillId="0" borderId="499" xfId="0" applyNumberFormat="1" applyFont="1" applyBorder="1" applyAlignment="1">
      <alignment horizontal="right" vertical="center"/>
    </xf>
    <xf numFmtId="166" fontId="55" fillId="34" borderId="501" xfId="0" applyNumberFormat="1" applyFont="1" applyFill="1" applyBorder="1" applyAlignment="1">
      <alignment vertical="center"/>
    </xf>
    <xf numFmtId="180" fontId="18" fillId="32" borderId="494" xfId="0" applyNumberFormat="1" applyFont="1" applyFill="1" applyBorder="1" applyAlignment="1">
      <alignment horizontal="right" vertical="distributed"/>
    </xf>
    <xf numFmtId="41" fontId="18" fillId="32" borderId="26" xfId="1236" applyFont="1" applyFill="1" applyBorder="1" applyAlignment="1">
      <alignment horizontal="right" vertical="center" shrinkToFit="1"/>
    </xf>
    <xf numFmtId="0" fontId="74" fillId="0" borderId="96" xfId="0" applyFont="1" applyBorder="1" applyAlignment="1">
      <alignment horizontal="center" vertical="center" shrinkToFit="1"/>
    </xf>
    <xf numFmtId="0" fontId="17" fillId="24" borderId="502" xfId="1254" applyFont="1" applyFill="1" applyBorder="1" applyAlignment="1">
      <alignment vertical="center" wrapText="1"/>
    </xf>
    <xf numFmtId="41" fontId="17" fillId="0" borderId="486" xfId="1236" applyFont="1" applyFill="1" applyBorder="1" applyAlignment="1">
      <alignment horizontal="center" vertical="center" shrinkToFit="1"/>
    </xf>
    <xf numFmtId="10" fontId="17" fillId="0" borderId="486" xfId="0" applyNumberFormat="1" applyFont="1" applyBorder="1" applyAlignment="1">
      <alignment horizontal="right" vertical="center"/>
    </xf>
    <xf numFmtId="41" fontId="17" fillId="0" borderId="486" xfId="0" applyNumberFormat="1" applyFont="1" applyBorder="1" applyAlignment="1">
      <alignment horizontal="center" vertical="center"/>
    </xf>
    <xf numFmtId="10" fontId="18" fillId="32" borderId="500" xfId="1236" applyNumberFormat="1" applyFont="1" applyFill="1" applyBorder="1" applyAlignment="1">
      <alignment horizontal="right" vertical="center" wrapText="1"/>
    </xf>
    <xf numFmtId="180" fontId="18" fillId="32" borderId="500" xfId="0" applyNumberFormat="1" applyFont="1" applyFill="1" applyBorder="1" applyAlignment="1">
      <alignment horizontal="right" vertical="distributed"/>
    </xf>
    <xf numFmtId="166" fontId="55" fillId="34" borderId="505" xfId="0" applyNumberFormat="1" applyFont="1" applyFill="1" applyBorder="1" applyAlignment="1">
      <alignment vertical="center"/>
    </xf>
    <xf numFmtId="180" fontId="17" fillId="0" borderId="507" xfId="0" applyNumberFormat="1" applyFont="1" applyBorder="1" applyAlignment="1">
      <alignment horizontal="right" vertical="center"/>
    </xf>
    <xf numFmtId="41" fontId="17" fillId="0" borderId="443" xfId="0" applyNumberFormat="1" applyFont="1" applyBorder="1" applyAlignment="1">
      <alignment horizontal="right" vertical="center"/>
    </xf>
    <xf numFmtId="10" fontId="18" fillId="32" borderId="496" xfId="0" applyNumberFormat="1" applyFont="1" applyFill="1" applyBorder="1" applyAlignment="1">
      <alignment horizontal="right" vertical="center"/>
    </xf>
    <xf numFmtId="41" fontId="18" fillId="32" borderId="496" xfId="1236" applyFont="1" applyFill="1" applyBorder="1" applyAlignment="1">
      <alignment horizontal="center" vertical="center" shrinkToFit="1"/>
    </xf>
    <xf numFmtId="0" fontId="17" fillId="24" borderId="508" xfId="1254" applyFont="1" applyFill="1" applyBorder="1" applyAlignment="1">
      <alignment vertical="center" wrapText="1"/>
    </xf>
    <xf numFmtId="0" fontId="18" fillId="0" borderId="372" xfId="0" applyFont="1" applyBorder="1" applyAlignment="1">
      <alignment horizontal="center" vertical="center" shrinkToFit="1"/>
    </xf>
    <xf numFmtId="0" fontId="74" fillId="0" borderId="372" xfId="0" applyFont="1" applyBorder="1" applyAlignment="1">
      <alignment horizontal="center" vertical="center" shrinkToFit="1"/>
    </xf>
    <xf numFmtId="166" fontId="57" fillId="37" borderId="436" xfId="0" applyNumberFormat="1" applyFont="1" applyFill="1" applyBorder="1" applyAlignment="1">
      <alignment vertical="center"/>
    </xf>
    <xf numFmtId="180" fontId="17" fillId="0" borderId="512" xfId="0" applyNumberFormat="1" applyFont="1" applyBorder="1" applyAlignment="1">
      <alignment horizontal="right" vertical="center"/>
    </xf>
    <xf numFmtId="41" fontId="17" fillId="0" borderId="272" xfId="1236" applyFont="1" applyFill="1" applyBorder="1" applyAlignment="1">
      <alignment horizontal="center" vertical="center" shrinkToFit="1"/>
    </xf>
    <xf numFmtId="0" fontId="17" fillId="0" borderId="272" xfId="1255" applyFont="1" applyBorder="1" applyAlignment="1">
      <alignment horizontal="center" vertical="center" wrapText="1"/>
    </xf>
    <xf numFmtId="41" fontId="17" fillId="0" borderId="512" xfId="1236" applyFont="1" applyFill="1" applyBorder="1" applyAlignment="1">
      <alignment horizontal="center" vertical="center" wrapText="1"/>
    </xf>
    <xf numFmtId="0" fontId="17" fillId="0" borderId="513" xfId="1255" quotePrefix="1" applyFont="1" applyBorder="1" applyAlignment="1">
      <alignment horizontal="left" vertical="center" wrapText="1"/>
    </xf>
    <xf numFmtId="180" fontId="17" fillId="0" borderId="249" xfId="0" applyNumberFormat="1" applyFont="1" applyBorder="1" applyAlignment="1">
      <alignment horizontal="right" vertical="center"/>
    </xf>
    <xf numFmtId="10" fontId="18" fillId="31" borderId="391" xfId="3526" applyNumberFormat="1" applyFont="1" applyFill="1" applyBorder="1" applyAlignment="1">
      <alignment horizontal="right" vertical="center"/>
    </xf>
    <xf numFmtId="10" fontId="80" fillId="43" borderId="255" xfId="3526" applyNumberFormat="1" applyFont="1" applyFill="1" applyBorder="1" applyAlignment="1">
      <alignment horizontal="right" vertical="center"/>
    </xf>
    <xf numFmtId="193" fontId="80" fillId="43" borderId="357" xfId="1253" applyNumberFormat="1" applyFont="1" applyFill="1" applyBorder="1" applyAlignment="1">
      <alignment horizontal="center" vertical="center"/>
    </xf>
    <xf numFmtId="187" fontId="80" fillId="43" borderId="358" xfId="1253" applyNumberFormat="1" applyFont="1" applyFill="1" applyBorder="1" applyAlignment="1">
      <alignment horizontal="center" vertical="center"/>
    </xf>
    <xf numFmtId="9" fontId="80" fillId="43" borderId="514" xfId="3526" applyFont="1" applyFill="1" applyBorder="1" applyAlignment="1">
      <alignment vertical="center"/>
    </xf>
    <xf numFmtId="0" fontId="18" fillId="31" borderId="515" xfId="1253" applyFont="1" applyFill="1" applyBorder="1" applyAlignment="1">
      <alignment horizontal="center" vertical="center"/>
    </xf>
    <xf numFmtId="180" fontId="18" fillId="31" borderId="376" xfId="1253" applyNumberFormat="1" applyFont="1" applyFill="1" applyBorder="1" applyAlignment="1">
      <alignment horizontal="right" vertical="center"/>
    </xf>
    <xf numFmtId="9" fontId="18" fillId="31" borderId="376" xfId="3526" applyFont="1" applyFill="1" applyBorder="1" applyAlignment="1">
      <alignment horizontal="right" vertical="center"/>
    </xf>
    <xf numFmtId="10" fontId="18" fillId="31" borderId="376" xfId="3526" applyNumberFormat="1" applyFont="1" applyFill="1" applyBorder="1" applyAlignment="1">
      <alignment horizontal="right" vertical="center"/>
    </xf>
    <xf numFmtId="174" fontId="18" fillId="31" borderId="375" xfId="1253" applyNumberFormat="1" applyFont="1" applyFill="1" applyBorder="1" applyAlignment="1">
      <alignment horizontal="right" vertical="center"/>
    </xf>
    <xf numFmtId="9" fontId="18" fillId="31" borderId="516" xfId="3526" applyFont="1" applyFill="1" applyBorder="1" applyAlignment="1">
      <alignment horizontal="right" vertical="center"/>
    </xf>
    <xf numFmtId="9" fontId="18" fillId="31" borderId="375" xfId="3526" applyFont="1" applyFill="1" applyBorder="1" applyAlignment="1">
      <alignment horizontal="right" vertical="center"/>
    </xf>
    <xf numFmtId="10" fontId="18" fillId="31" borderId="517" xfId="1253" applyNumberFormat="1" applyFont="1" applyFill="1" applyBorder="1" applyAlignment="1">
      <alignment vertical="center"/>
    </xf>
    <xf numFmtId="1" fontId="18" fillId="31" borderId="518" xfId="1253" applyNumberFormat="1" applyFont="1" applyFill="1" applyBorder="1" applyAlignment="1">
      <alignment vertical="center"/>
    </xf>
    <xf numFmtId="41" fontId="18" fillId="31" borderId="515" xfId="1253" applyNumberFormat="1" applyFont="1" applyFill="1" applyBorder="1" applyAlignment="1">
      <alignment horizontal="right" vertical="center"/>
    </xf>
    <xf numFmtId="10" fontId="18" fillId="31" borderId="516" xfId="3526" applyNumberFormat="1" applyFont="1" applyFill="1" applyBorder="1" applyAlignment="1">
      <alignment horizontal="right" vertical="center"/>
    </xf>
    <xf numFmtId="41" fontId="18" fillId="31" borderId="519" xfId="1253" applyNumberFormat="1" applyFont="1" applyFill="1" applyBorder="1" applyAlignment="1">
      <alignment horizontal="right" vertical="center"/>
    </xf>
    <xf numFmtId="174" fontId="18" fillId="31" borderId="515" xfId="1253" applyNumberFormat="1" applyFont="1" applyFill="1" applyBorder="1" applyAlignment="1">
      <alignment horizontal="right" vertical="center"/>
    </xf>
    <xf numFmtId="184" fontId="18" fillId="31" borderId="375" xfId="1253" applyNumberFormat="1" applyFont="1" applyFill="1" applyBorder="1" applyAlignment="1">
      <alignment horizontal="right" vertical="center"/>
    </xf>
    <xf numFmtId="187" fontId="18" fillId="31" borderId="376" xfId="1253" applyNumberFormat="1" applyFont="1" applyFill="1" applyBorder="1" applyAlignment="1">
      <alignment horizontal="right" vertical="center"/>
    </xf>
    <xf numFmtId="169" fontId="17" fillId="54" borderId="520" xfId="1253" applyNumberFormat="1" applyFont="1" applyFill="1" applyBorder="1" applyAlignment="1">
      <alignment horizontal="center" vertical="center" wrapText="1"/>
    </xf>
    <xf numFmtId="41" fontId="17" fillId="54" borderId="255" xfId="1253" applyNumberFormat="1" applyFont="1" applyFill="1" applyBorder="1" applyAlignment="1">
      <alignment horizontal="center" vertical="center"/>
    </xf>
    <xf numFmtId="180" fontId="17" fillId="54" borderId="255" xfId="1253" applyNumberFormat="1" applyFont="1" applyFill="1" applyBorder="1" applyAlignment="1">
      <alignment horizontal="center" vertical="center"/>
    </xf>
    <xf numFmtId="9" fontId="17" fillId="54" borderId="285" xfId="1253" applyNumberFormat="1" applyFont="1" applyFill="1" applyBorder="1" applyAlignment="1">
      <alignment horizontal="right" vertical="center"/>
    </xf>
    <xf numFmtId="175" fontId="17" fillId="54" borderId="285" xfId="3526" applyNumberFormat="1" applyFont="1" applyFill="1" applyBorder="1" applyAlignment="1">
      <alignment horizontal="right" vertical="center"/>
    </xf>
    <xf numFmtId="174" fontId="17" fillId="54" borderId="285" xfId="1253" applyNumberFormat="1" applyFont="1" applyFill="1" applyBorder="1" applyAlignment="1">
      <alignment horizontal="center" vertical="center"/>
    </xf>
    <xf numFmtId="9" fontId="17" fillId="54" borderId="314" xfId="3526" applyFont="1" applyFill="1" applyBorder="1" applyAlignment="1">
      <alignment horizontal="right" vertical="center"/>
    </xf>
    <xf numFmtId="41" fontId="17" fillId="54" borderId="521" xfId="1253" applyNumberFormat="1" applyFont="1" applyFill="1" applyBorder="1" applyAlignment="1">
      <alignment horizontal="center" vertical="center"/>
    </xf>
    <xf numFmtId="41" fontId="17" fillId="54" borderId="285" xfId="1253" applyNumberFormat="1" applyFont="1" applyFill="1" applyBorder="1" applyAlignment="1">
      <alignment horizontal="center" vertical="center"/>
    </xf>
    <xf numFmtId="9" fontId="17" fillId="54" borderId="255" xfId="3526" applyFont="1" applyFill="1" applyBorder="1" applyAlignment="1">
      <alignment horizontal="right" vertical="center"/>
    </xf>
    <xf numFmtId="174" fontId="17" fillId="54" borderId="522" xfId="1253" applyNumberFormat="1" applyFont="1" applyFill="1" applyBorder="1" applyAlignment="1">
      <alignment horizontal="center" vertical="center"/>
    </xf>
    <xf numFmtId="10" fontId="17" fillId="54" borderId="523" xfId="1253" applyNumberFormat="1" applyFont="1" applyFill="1" applyBorder="1" applyAlignment="1">
      <alignment horizontal="right" vertical="center"/>
    </xf>
    <xf numFmtId="1" fontId="17" fillId="54" borderId="524" xfId="1253" applyNumberFormat="1" applyFont="1" applyFill="1" applyBorder="1" applyAlignment="1">
      <alignment horizontal="right" vertical="center"/>
    </xf>
    <xf numFmtId="9" fontId="17" fillId="54" borderId="524" xfId="3526" applyFont="1" applyFill="1" applyBorder="1" applyAlignment="1">
      <alignment horizontal="right" vertical="center"/>
    </xf>
    <xf numFmtId="174" fontId="17" fillId="54" borderId="255" xfId="1253" applyNumberFormat="1" applyFont="1" applyFill="1" applyBorder="1" applyAlignment="1">
      <alignment horizontal="center" vertical="center"/>
    </xf>
    <xf numFmtId="10" fontId="17" fillId="54" borderId="314" xfId="3526" applyNumberFormat="1" applyFont="1" applyFill="1" applyBorder="1" applyAlignment="1">
      <alignment horizontal="right" vertical="center"/>
    </xf>
    <xf numFmtId="41" fontId="17" fillId="54" borderId="523" xfId="1253" applyNumberFormat="1" applyFont="1" applyFill="1" applyBorder="1" applyAlignment="1">
      <alignment horizontal="center" vertical="center"/>
    </xf>
    <xf numFmtId="174" fontId="17" fillId="54" borderId="523" xfId="1253" applyNumberFormat="1" applyFont="1" applyFill="1" applyBorder="1" applyAlignment="1">
      <alignment horizontal="center" vertical="center"/>
    </xf>
    <xf numFmtId="10" fontId="17" fillId="54" borderId="523" xfId="1253" applyNumberFormat="1" applyFont="1" applyFill="1" applyBorder="1" applyAlignment="1">
      <alignment horizontal="center" vertical="center"/>
    </xf>
    <xf numFmtId="10" fontId="17" fillId="54" borderId="254" xfId="1253" applyNumberFormat="1" applyFont="1" applyFill="1" applyBorder="1" applyAlignment="1">
      <alignment horizontal="center" vertical="center"/>
    </xf>
    <xf numFmtId="10" fontId="17" fillId="54" borderId="525" xfId="1253" applyNumberFormat="1" applyFont="1" applyFill="1" applyBorder="1" applyAlignment="1">
      <alignment horizontal="center" vertical="center"/>
    </xf>
    <xf numFmtId="41" fontId="17" fillId="24" borderId="526" xfId="1253" applyNumberFormat="1" applyFont="1" applyFill="1" applyBorder="1" applyAlignment="1">
      <alignment horizontal="center" vertical="center"/>
    </xf>
    <xf numFmtId="41" fontId="17" fillId="24" borderId="231" xfId="1253" applyNumberFormat="1" applyFont="1" applyFill="1" applyBorder="1" applyAlignment="1">
      <alignment horizontal="center" vertical="center"/>
    </xf>
    <xf numFmtId="41" fontId="18" fillId="31" borderId="527" xfId="1253" applyNumberFormat="1" applyFont="1" applyFill="1" applyBorder="1" applyAlignment="1">
      <alignment horizontal="right" vertical="center"/>
    </xf>
    <xf numFmtId="41" fontId="18" fillId="31" borderId="528" xfId="1253" applyNumberFormat="1" applyFont="1" applyFill="1" applyBorder="1" applyAlignment="1">
      <alignment horizontal="right" vertical="center"/>
    </xf>
    <xf numFmtId="9" fontId="18" fillId="31" borderId="126" xfId="3526" applyFont="1" applyFill="1" applyBorder="1" applyAlignment="1">
      <alignment horizontal="right" vertical="center"/>
    </xf>
    <xf numFmtId="174" fontId="18" fillId="31" borderId="529" xfId="1253" applyNumberFormat="1" applyFont="1" applyFill="1" applyBorder="1" applyAlignment="1">
      <alignment horizontal="right" vertical="center"/>
    </xf>
    <xf numFmtId="10" fontId="18" fillId="31" borderId="126" xfId="1253" applyNumberFormat="1" applyFont="1" applyFill="1" applyBorder="1" applyAlignment="1">
      <alignment horizontal="right" vertical="center"/>
    </xf>
    <xf numFmtId="41" fontId="18" fillId="31" borderId="391" xfId="1253" applyNumberFormat="1" applyFont="1" applyFill="1" applyBorder="1" applyAlignment="1">
      <alignment horizontal="right" vertical="center"/>
    </xf>
    <xf numFmtId="174" fontId="18" fillId="31" borderId="391" xfId="1253" applyNumberFormat="1" applyFont="1" applyFill="1" applyBorder="1" applyAlignment="1">
      <alignment horizontal="right" vertical="center"/>
    </xf>
    <xf numFmtId="9" fontId="17" fillId="24" borderId="164" xfId="3526" applyFont="1" applyFill="1" applyBorder="1" applyAlignment="1">
      <alignment horizontal="right" vertical="center"/>
    </xf>
    <xf numFmtId="0" fontId="70" fillId="45" borderId="12" xfId="3535" applyFont="1" applyFill="1" applyBorder="1" applyAlignment="1">
      <alignment horizontal="center" vertical="center" wrapText="1"/>
    </xf>
    <xf numFmtId="189" fontId="70" fillId="45" borderId="12" xfId="3535" applyNumberFormat="1" applyFont="1" applyFill="1" applyBorder="1" applyAlignment="1">
      <alignment horizontal="center" vertical="center" wrapText="1"/>
    </xf>
    <xf numFmtId="189" fontId="72" fillId="45" borderId="12" xfId="3535" applyNumberFormat="1" applyFont="1" applyFill="1" applyBorder="1" applyAlignment="1">
      <alignment horizontal="center" vertical="center"/>
    </xf>
    <xf numFmtId="189" fontId="64" fillId="45" borderId="12" xfId="3529" applyNumberFormat="1" applyFill="1" applyBorder="1" applyAlignment="1">
      <alignment horizontal="left" vertical="center" wrapText="1"/>
    </xf>
    <xf numFmtId="0" fontId="68" fillId="0" borderId="12" xfId="3535" applyBorder="1" applyAlignment="1">
      <alignment horizontal="center" vertical="center"/>
    </xf>
    <xf numFmtId="189" fontId="73" fillId="45" borderId="12" xfId="3535" applyNumberFormat="1" applyFont="1" applyFill="1" applyBorder="1" applyAlignment="1">
      <alignment horizontal="left" vertical="center" wrapText="1"/>
    </xf>
    <xf numFmtId="189" fontId="64" fillId="45" borderId="12" xfId="3529" applyNumberFormat="1" applyFill="1" applyBorder="1" applyAlignment="1">
      <alignment horizontal="left" vertical="center"/>
    </xf>
    <xf numFmtId="189" fontId="73" fillId="45" borderId="12" xfId="3535" applyNumberFormat="1" applyFont="1" applyFill="1" applyBorder="1" applyAlignment="1">
      <alignment horizontal="left" vertical="center"/>
    </xf>
    <xf numFmtId="0" fontId="18" fillId="32" borderId="55" xfId="1253" applyFont="1" applyFill="1" applyBorder="1" applyAlignment="1">
      <alignment horizontal="center" vertical="center" wrapText="1"/>
    </xf>
    <xf numFmtId="0" fontId="18" fillId="32" borderId="56" xfId="1253" applyFont="1" applyFill="1" applyBorder="1" applyAlignment="1">
      <alignment horizontal="center" vertical="center" wrapText="1"/>
    </xf>
    <xf numFmtId="9" fontId="54" fillId="37" borderId="191" xfId="3526" applyFont="1" applyFill="1" applyBorder="1" applyAlignment="1">
      <alignment horizontal="right" vertical="center"/>
    </xf>
    <xf numFmtId="9" fontId="17" fillId="24" borderId="74" xfId="3526" applyFont="1" applyFill="1" applyBorder="1" applyAlignment="1">
      <alignment horizontal="right" vertical="center"/>
    </xf>
    <xf numFmtId="2" fontId="17" fillId="24" borderId="74" xfId="3526" applyNumberFormat="1" applyFont="1" applyFill="1" applyBorder="1" applyAlignment="1">
      <alignment horizontal="right" vertical="center"/>
    </xf>
    <xf numFmtId="9" fontId="17" fillId="0" borderId="74" xfId="1253" applyNumberFormat="1" applyFont="1" applyBorder="1" applyAlignment="1">
      <alignment horizontal="right" vertical="center"/>
    </xf>
    <xf numFmtId="190" fontId="17" fillId="24" borderId="146" xfId="1253" applyNumberFormat="1" applyFont="1" applyFill="1" applyBorder="1" applyAlignment="1">
      <alignment horizontal="center" vertical="center"/>
    </xf>
    <xf numFmtId="9" fontId="17" fillId="24" borderId="146" xfId="1253" applyNumberFormat="1" applyFont="1" applyFill="1" applyBorder="1" applyAlignment="1">
      <alignment horizontal="right" vertical="center"/>
    </xf>
    <xf numFmtId="10" fontId="17" fillId="24" borderId="146" xfId="3526" applyNumberFormat="1" applyFont="1" applyFill="1" applyBorder="1" applyAlignment="1">
      <alignment horizontal="right" vertical="center"/>
    </xf>
    <xf numFmtId="9" fontId="17" fillId="24" borderId="344" xfId="1253" applyNumberFormat="1" applyFont="1" applyFill="1" applyBorder="1" applyAlignment="1">
      <alignment horizontal="right" vertical="center"/>
    </xf>
    <xf numFmtId="0" fontId="18" fillId="31" borderId="533" xfId="1253" applyFont="1" applyFill="1" applyBorder="1" applyAlignment="1">
      <alignment horizontal="center" vertical="center"/>
    </xf>
    <xf numFmtId="175" fontId="18" fillId="31" borderId="211" xfId="3526" applyNumberFormat="1" applyFont="1" applyFill="1" applyBorder="1" applyAlignment="1">
      <alignment horizontal="right" vertical="center"/>
    </xf>
    <xf numFmtId="10" fontId="18" fillId="31" borderId="211" xfId="3526" applyNumberFormat="1" applyFont="1" applyFill="1" applyBorder="1" applyAlignment="1">
      <alignment horizontal="right" vertical="center"/>
    </xf>
    <xf numFmtId="9" fontId="18" fillId="31" borderId="211" xfId="3526" applyFont="1" applyFill="1" applyBorder="1" applyAlignment="1">
      <alignment horizontal="right" vertical="center"/>
    </xf>
    <xf numFmtId="2" fontId="18" fillId="31" borderId="211" xfId="3526" applyNumberFormat="1" applyFont="1" applyFill="1" applyBorder="1" applyAlignment="1">
      <alignment horizontal="right" vertical="center"/>
    </xf>
    <xf numFmtId="9" fontId="18" fillId="31" borderId="391" xfId="3526" applyFont="1" applyFill="1" applyBorder="1" applyAlignment="1">
      <alignment horizontal="right" vertical="center"/>
    </xf>
    <xf numFmtId="174" fontId="18" fillId="31" borderId="391" xfId="3526" applyNumberFormat="1" applyFont="1" applyFill="1" applyBorder="1" applyAlignment="1">
      <alignment horizontal="right" vertical="center"/>
    </xf>
    <xf numFmtId="9" fontId="18" fillId="31" borderId="391" xfId="1253" applyNumberFormat="1" applyFont="1" applyFill="1" applyBorder="1" applyAlignment="1">
      <alignment horizontal="right" vertical="center"/>
    </xf>
    <xf numFmtId="192" fontId="18" fillId="31" borderId="391" xfId="1253" applyNumberFormat="1" applyFont="1" applyFill="1" applyBorder="1" applyAlignment="1">
      <alignment horizontal="right" vertical="center"/>
    </xf>
    <xf numFmtId="190" fontId="17" fillId="24" borderId="191" xfId="1253" applyNumberFormat="1" applyFont="1" applyFill="1" applyBorder="1" applyAlignment="1">
      <alignment horizontal="center" vertical="center"/>
    </xf>
    <xf numFmtId="9" fontId="17" fillId="24" borderId="191" xfId="1253" applyNumberFormat="1" applyFont="1" applyFill="1" applyBorder="1" applyAlignment="1">
      <alignment horizontal="right" vertical="center"/>
    </xf>
    <xf numFmtId="10" fontId="17" fillId="24" borderId="191" xfId="3526" applyNumberFormat="1" applyFont="1" applyFill="1" applyBorder="1" applyAlignment="1">
      <alignment horizontal="right" vertical="center"/>
    </xf>
    <xf numFmtId="2" fontId="17" fillId="24" borderId="191" xfId="3526" applyNumberFormat="1" applyFont="1" applyFill="1" applyBorder="1" applyAlignment="1">
      <alignment horizontal="right" vertical="center"/>
    </xf>
    <xf numFmtId="9" fontId="17" fillId="0" borderId="191" xfId="1253" applyNumberFormat="1" applyFont="1" applyBorder="1" applyAlignment="1">
      <alignment horizontal="right" vertical="center"/>
    </xf>
    <xf numFmtId="169" fontId="17" fillId="24" borderId="406" xfId="1253" applyNumberFormat="1" applyFont="1" applyFill="1" applyBorder="1" applyAlignment="1">
      <alignment horizontal="center" vertical="center" wrapText="1"/>
    </xf>
    <xf numFmtId="9" fontId="18" fillId="31" borderId="531" xfId="3526" applyFont="1" applyFill="1" applyBorder="1" applyAlignment="1">
      <alignment horizontal="right" vertical="center"/>
    </xf>
    <xf numFmtId="9" fontId="17" fillId="24" borderId="272" xfId="3526" applyFont="1" applyFill="1" applyBorder="1" applyAlignment="1">
      <alignment horizontal="right" vertical="center"/>
    </xf>
    <xf numFmtId="1" fontId="17" fillId="24" borderId="272" xfId="1253" applyNumberFormat="1" applyFont="1" applyFill="1" applyBorder="1" applyAlignment="1">
      <alignment horizontal="right" vertical="center"/>
    </xf>
    <xf numFmtId="10" fontId="18" fillId="31" borderId="434" xfId="1253" applyNumberFormat="1" applyFont="1" applyFill="1" applyBorder="1" applyAlignment="1">
      <alignment horizontal="right" vertical="center"/>
    </xf>
    <xf numFmtId="169" fontId="17" fillId="24" borderId="534" xfId="1253" applyNumberFormat="1" applyFont="1" applyFill="1" applyBorder="1" applyAlignment="1">
      <alignment horizontal="center" vertical="center" wrapText="1"/>
    </xf>
    <xf numFmtId="180" fontId="17" fillId="24" borderId="146" xfId="1253" applyNumberFormat="1" applyFont="1" applyFill="1" applyBorder="1" applyAlignment="1">
      <alignment horizontal="center" vertical="center"/>
    </xf>
    <xf numFmtId="175" fontId="17" fillId="24" borderId="146" xfId="3526" applyNumberFormat="1" applyFont="1" applyFill="1" applyBorder="1" applyAlignment="1">
      <alignment horizontal="right" vertical="center"/>
    </xf>
    <xf numFmtId="10" fontId="17" fillId="24" borderId="146" xfId="1253" applyNumberFormat="1" applyFont="1" applyFill="1" applyBorder="1" applyAlignment="1">
      <alignment horizontal="right" vertical="center"/>
    </xf>
    <xf numFmtId="174" fontId="17" fillId="24" borderId="272" xfId="1253" applyNumberFormat="1" applyFont="1" applyFill="1" applyBorder="1" applyAlignment="1">
      <alignment horizontal="center" vertical="center"/>
    </xf>
    <xf numFmtId="9" fontId="17" fillId="24" borderId="436" xfId="1253" applyNumberFormat="1" applyFont="1" applyFill="1" applyBorder="1" applyAlignment="1">
      <alignment horizontal="right" vertical="center"/>
    </xf>
    <xf numFmtId="10" fontId="18" fillId="31" borderId="399" xfId="1253" applyNumberFormat="1" applyFont="1" applyFill="1" applyBorder="1" applyAlignment="1">
      <alignment horizontal="right" vertical="center"/>
    </xf>
    <xf numFmtId="174" fontId="18" fillId="31" borderId="535" xfId="1253" applyNumberFormat="1" applyFont="1" applyFill="1" applyBorder="1" applyAlignment="1">
      <alignment horizontal="right" vertical="center"/>
    </xf>
    <xf numFmtId="9" fontId="18" fillId="31" borderId="530" xfId="3526" applyFont="1" applyFill="1" applyBorder="1" applyAlignment="1">
      <alignment horizontal="right" vertical="center"/>
    </xf>
    <xf numFmtId="178" fontId="18" fillId="31" borderId="530" xfId="1253" applyNumberFormat="1" applyFont="1" applyFill="1" applyBorder="1" applyAlignment="1">
      <alignment horizontal="right" vertical="center"/>
    </xf>
    <xf numFmtId="180" fontId="17" fillId="24" borderId="88" xfId="1253" applyNumberFormat="1" applyFont="1" applyFill="1" applyBorder="1" applyAlignment="1">
      <alignment horizontal="center" vertical="center"/>
    </xf>
    <xf numFmtId="9" fontId="17" fillId="24" borderId="88" xfId="1253" applyNumberFormat="1" applyFont="1" applyFill="1" applyBorder="1" applyAlignment="1">
      <alignment horizontal="right" vertical="center"/>
    </xf>
    <xf numFmtId="175" fontId="17" fillId="24" borderId="88" xfId="3526" applyNumberFormat="1" applyFont="1" applyFill="1" applyBorder="1" applyAlignment="1">
      <alignment horizontal="right" vertical="center"/>
    </xf>
    <xf numFmtId="10" fontId="17" fillId="24" borderId="88" xfId="1253" applyNumberFormat="1" applyFont="1" applyFill="1" applyBorder="1" applyAlignment="1">
      <alignment horizontal="right" vertical="center"/>
    </xf>
    <xf numFmtId="169" fontId="17" fillId="24" borderId="536" xfId="1253" applyNumberFormat="1" applyFont="1" applyFill="1" applyBorder="1" applyAlignment="1">
      <alignment horizontal="center" vertical="center" wrapText="1"/>
    </xf>
    <xf numFmtId="9" fontId="17" fillId="24" borderId="346" xfId="1253" applyNumberFormat="1" applyFont="1" applyFill="1" applyBorder="1" applyAlignment="1">
      <alignment horizontal="right" vertical="center"/>
    </xf>
    <xf numFmtId="41" fontId="17" fillId="25" borderId="420" xfId="1253" applyNumberFormat="1" applyFont="1" applyFill="1" applyBorder="1" applyAlignment="1">
      <alignment horizontal="center" vertical="center"/>
    </xf>
    <xf numFmtId="41" fontId="17" fillId="24" borderId="420" xfId="1253" applyNumberFormat="1" applyFont="1" applyFill="1" applyBorder="1" applyAlignment="1">
      <alignment horizontal="center" vertical="center"/>
    </xf>
    <xf numFmtId="9" fontId="17" fillId="0" borderId="537" xfId="3526" applyFont="1" applyFill="1" applyBorder="1" applyAlignment="1">
      <alignment horizontal="right" vertical="center"/>
    </xf>
    <xf numFmtId="10" fontId="17" fillId="25" borderId="89" xfId="3526" applyNumberFormat="1" applyFont="1" applyFill="1" applyBorder="1" applyAlignment="1">
      <alignment horizontal="right" vertical="center"/>
    </xf>
    <xf numFmtId="9" fontId="17" fillId="0" borderId="277" xfId="3526" applyFont="1" applyFill="1" applyBorder="1" applyAlignment="1">
      <alignment horizontal="right" vertical="center"/>
    </xf>
    <xf numFmtId="9" fontId="74" fillId="0" borderId="203" xfId="3526" applyFont="1" applyBorder="1" applyAlignment="1">
      <alignment horizontal="right" vertical="center"/>
    </xf>
    <xf numFmtId="9" fontId="74" fillId="0" borderId="277" xfId="3526" applyFont="1" applyBorder="1" applyAlignment="1">
      <alignment horizontal="right" vertical="center"/>
    </xf>
    <xf numFmtId="10" fontId="17" fillId="25" borderId="538" xfId="3526" applyNumberFormat="1" applyFont="1" applyFill="1" applyBorder="1" applyAlignment="1">
      <alignment horizontal="right" vertical="center"/>
    </xf>
    <xf numFmtId="174" fontId="17" fillId="24" borderId="93" xfId="1253" applyNumberFormat="1" applyFont="1" applyFill="1" applyBorder="1" applyAlignment="1">
      <alignment horizontal="center" vertical="center"/>
    </xf>
    <xf numFmtId="10" fontId="17" fillId="0" borderId="272" xfId="3526" applyNumberFormat="1" applyFont="1" applyFill="1" applyBorder="1" applyAlignment="1">
      <alignment horizontal="right" vertical="center"/>
    </xf>
    <xf numFmtId="177" fontId="17" fillId="0" borderId="372" xfId="1253" applyNumberFormat="1" applyFont="1" applyBorder="1" applyAlignment="1">
      <alignment horizontal="center" vertical="center"/>
    </xf>
    <xf numFmtId="9" fontId="17" fillId="24" borderId="74" xfId="1253" applyNumberFormat="1" applyFont="1" applyFill="1" applyBorder="1" applyAlignment="1">
      <alignment horizontal="right" vertical="center"/>
    </xf>
    <xf numFmtId="41" fontId="17" fillId="24" borderId="74" xfId="1253" applyNumberFormat="1" applyFont="1" applyFill="1" applyBorder="1" applyAlignment="1">
      <alignment horizontal="center" vertical="center"/>
    </xf>
    <xf numFmtId="1" fontId="17" fillId="24" borderId="74" xfId="1253" applyNumberFormat="1" applyFont="1" applyFill="1" applyBorder="1" applyAlignment="1">
      <alignment horizontal="right" vertical="center"/>
    </xf>
    <xf numFmtId="9" fontId="17" fillId="24" borderId="346" xfId="3526" applyFont="1" applyFill="1" applyBorder="1" applyAlignment="1">
      <alignment horizontal="right" vertical="center"/>
    </xf>
    <xf numFmtId="166" fontId="80" fillId="43" borderId="539" xfId="3526" applyNumberFormat="1" applyFont="1" applyFill="1" applyBorder="1" applyAlignment="1">
      <alignment horizontal="right" vertical="center"/>
    </xf>
    <xf numFmtId="9" fontId="17" fillId="24" borderId="540" xfId="1253" applyNumberFormat="1" applyFont="1" applyFill="1" applyBorder="1" applyAlignment="1">
      <alignment horizontal="right" vertical="center"/>
    </xf>
    <xf numFmtId="169" fontId="17" fillId="24" borderId="541" xfId="1253" applyNumberFormat="1" applyFont="1" applyFill="1" applyBorder="1" applyAlignment="1">
      <alignment horizontal="center" vertical="center" wrapText="1"/>
    </xf>
    <xf numFmtId="187" fontId="17" fillId="0" borderId="542" xfId="1253" applyNumberFormat="1" applyFont="1" applyBorder="1" applyAlignment="1">
      <alignment horizontal="center" vertical="center"/>
    </xf>
    <xf numFmtId="10" fontId="17" fillId="24" borderId="121" xfId="1253" applyNumberFormat="1" applyFont="1" applyFill="1" applyBorder="1" applyAlignment="1">
      <alignment horizontal="right" vertical="center"/>
    </xf>
    <xf numFmtId="0" fontId="63" fillId="0" borderId="300" xfId="0" applyFont="1" applyBorder="1" applyAlignment="1">
      <alignment vertical="center" readingOrder="1"/>
    </xf>
    <xf numFmtId="0" fontId="63" fillId="0" borderId="299" xfId="0" applyFont="1" applyBorder="1" applyAlignment="1">
      <alignment vertical="center" readingOrder="1"/>
    </xf>
    <xf numFmtId="0" fontId="92" fillId="0" borderId="543" xfId="0" applyFont="1" applyBorder="1" applyAlignment="1">
      <alignment horizontal="center" vertical="center"/>
    </xf>
    <xf numFmtId="16" fontId="66" fillId="0" borderId="544" xfId="0" applyNumberFormat="1" applyFont="1" applyBorder="1" applyAlignment="1">
      <alignment vertical="center"/>
    </xf>
    <xf numFmtId="177" fontId="65" fillId="0" borderId="543" xfId="3527" applyNumberFormat="1" applyFont="1" applyBorder="1" applyAlignment="1">
      <alignment horizontal="right" vertical="center"/>
    </xf>
    <xf numFmtId="177" fontId="65" fillId="0" borderId="545" xfId="3527" applyNumberFormat="1" applyFont="1" applyBorder="1" applyAlignment="1">
      <alignment horizontal="right" vertical="center"/>
    </xf>
    <xf numFmtId="9" fontId="65" fillId="0" borderId="546" xfId="3527" applyNumberFormat="1" applyFont="1" applyBorder="1" applyAlignment="1">
      <alignment horizontal="right" vertical="center"/>
    </xf>
    <xf numFmtId="177" fontId="65" fillId="0" borderId="547" xfId="3527" applyNumberFormat="1" applyFont="1" applyBorder="1" applyAlignment="1">
      <alignment horizontal="right" vertical="center"/>
    </xf>
    <xf numFmtId="0" fontId="65" fillId="0" borderId="547" xfId="0" applyFont="1" applyBorder="1" applyAlignment="1">
      <alignment vertical="center"/>
    </xf>
    <xf numFmtId="0" fontId="65" fillId="0" borderId="543" xfId="0" applyFont="1" applyBorder="1" applyAlignment="1">
      <alignment vertical="center"/>
    </xf>
    <xf numFmtId="1" fontId="17" fillId="24" borderId="546" xfId="3526" applyNumberFormat="1" applyFont="1" applyFill="1" applyBorder="1" applyAlignment="1">
      <alignment horizontal="right" vertical="center"/>
    </xf>
    <xf numFmtId="1" fontId="65" fillId="24" borderId="543" xfId="3526" applyNumberFormat="1" applyFont="1" applyFill="1" applyBorder="1" applyAlignment="1">
      <alignment horizontal="right" vertical="center"/>
    </xf>
    <xf numFmtId="9" fontId="65" fillId="24" borderId="543" xfId="3526" applyFont="1" applyFill="1" applyBorder="1" applyAlignment="1">
      <alignment horizontal="center" vertical="center"/>
    </xf>
    <xf numFmtId="1" fontId="17" fillId="24" borderId="546" xfId="3526" applyNumberFormat="1" applyFont="1" applyFill="1" applyBorder="1" applyAlignment="1">
      <alignment horizontal="center" vertical="center"/>
    </xf>
    <xf numFmtId="177" fontId="65" fillId="0" borderId="543" xfId="3527" applyNumberFormat="1" applyFont="1" applyBorder="1" applyAlignment="1">
      <alignment vertical="center"/>
    </xf>
    <xf numFmtId="9" fontId="65" fillId="24" borderId="543" xfId="3526" applyFont="1" applyFill="1" applyBorder="1" applyAlignment="1">
      <alignment horizontal="right" vertical="center"/>
    </xf>
    <xf numFmtId="1" fontId="17" fillId="24" borderId="545" xfId="3526" applyNumberFormat="1" applyFont="1" applyFill="1" applyBorder="1" applyAlignment="1">
      <alignment horizontal="right" vertical="center"/>
    </xf>
    <xf numFmtId="41" fontId="65" fillId="24" borderId="548" xfId="1253" applyNumberFormat="1" applyFont="1" applyFill="1" applyBorder="1" applyAlignment="1">
      <alignment horizontal="center" vertical="center"/>
    </xf>
    <xf numFmtId="41" fontId="65" fillId="24" borderId="543" xfId="1253" applyNumberFormat="1" applyFont="1" applyFill="1" applyBorder="1" applyAlignment="1">
      <alignment horizontal="center" vertical="center"/>
    </xf>
    <xf numFmtId="41" fontId="65" fillId="24" borderId="546" xfId="1253" applyNumberFormat="1" applyFont="1" applyFill="1" applyBorder="1" applyAlignment="1">
      <alignment horizontal="center" vertical="center"/>
    </xf>
    <xf numFmtId="0" fontId="0" fillId="0" borderId="549" xfId="0" applyBorder="1" applyAlignment="1">
      <alignment vertical="center"/>
    </xf>
    <xf numFmtId="0" fontId="95" fillId="0" borderId="0" xfId="0" applyFont="1" applyAlignment="1">
      <alignment vertical="center"/>
    </xf>
    <xf numFmtId="0" fontId="92" fillId="0" borderId="0" xfId="0" applyFont="1" applyAlignment="1">
      <alignment horizontal="center" vertical="center"/>
    </xf>
    <xf numFmtId="0" fontId="92" fillId="0" borderId="298" xfId="0" applyFont="1" applyBorder="1" applyAlignment="1">
      <alignment horizontal="center" vertical="center"/>
    </xf>
    <xf numFmtId="0" fontId="92" fillId="0" borderId="338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196" fontId="18" fillId="31" borderId="391" xfId="1253" applyNumberFormat="1" applyFont="1" applyFill="1" applyBorder="1" applyAlignment="1">
      <alignment horizontal="right" vertical="center"/>
    </xf>
    <xf numFmtId="0" fontId="97" fillId="50" borderId="289" xfId="0" applyFont="1" applyFill="1" applyBorder="1" applyAlignment="1">
      <alignment vertical="center" readingOrder="1"/>
    </xf>
    <xf numFmtId="0" fontId="96" fillId="46" borderId="289" xfId="0" applyFont="1" applyFill="1" applyBorder="1" applyAlignment="1">
      <alignment vertical="center" readingOrder="1"/>
    </xf>
    <xf numFmtId="0" fontId="96" fillId="0" borderId="289" xfId="0" applyFont="1" applyBorder="1" applyAlignment="1">
      <alignment vertical="center" readingOrder="1"/>
    </xf>
    <xf numFmtId="0" fontId="96" fillId="38" borderId="289" xfId="0" applyFont="1" applyFill="1" applyBorder="1" applyAlignment="1">
      <alignment vertical="center" readingOrder="1"/>
    </xf>
    <xf numFmtId="0" fontId="96" fillId="0" borderId="332" xfId="0" applyFont="1" applyBorder="1" applyAlignment="1">
      <alignment vertical="center" readingOrder="1"/>
    </xf>
    <xf numFmtId="16" fontId="96" fillId="0" borderId="332" xfId="0" applyNumberFormat="1" applyFont="1" applyBorder="1" applyAlignment="1">
      <alignment vertical="center" readingOrder="1"/>
    </xf>
    <xf numFmtId="0" fontId="97" fillId="0" borderId="289" xfId="0" applyFont="1" applyBorder="1" applyAlignment="1">
      <alignment vertical="center" readingOrder="1"/>
    </xf>
    <xf numFmtId="0" fontId="98" fillId="0" borderId="299" xfId="0" applyFont="1" applyBorder="1" applyAlignment="1">
      <alignment vertical="center" readingOrder="1"/>
    </xf>
    <xf numFmtId="0" fontId="97" fillId="50" borderId="291" xfId="0" applyFont="1" applyFill="1" applyBorder="1" applyAlignment="1">
      <alignment vertical="center" readingOrder="1"/>
    </xf>
    <xf numFmtId="3" fontId="96" fillId="0" borderId="289" xfId="0" applyNumberFormat="1" applyFont="1" applyBorder="1" applyAlignment="1">
      <alignment vertical="center" readingOrder="1"/>
    </xf>
    <xf numFmtId="0" fontId="96" fillId="0" borderId="291" xfId="0" applyFont="1" applyBorder="1" applyAlignment="1">
      <alignment vertical="center" readingOrder="1"/>
    </xf>
    <xf numFmtId="16" fontId="96" fillId="0" borderId="289" xfId="0" applyNumberFormat="1" applyFont="1" applyBorder="1" applyAlignment="1">
      <alignment vertical="center" readingOrder="1"/>
    </xf>
    <xf numFmtId="3" fontId="96" fillId="38" borderId="289" xfId="0" applyNumberFormat="1" applyFont="1" applyFill="1" applyBorder="1" applyAlignment="1">
      <alignment vertical="center" readingOrder="1"/>
    </xf>
    <xf numFmtId="0" fontId="96" fillId="0" borderId="300" xfId="0" applyFont="1" applyBorder="1" applyAlignment="1">
      <alignment vertical="center" readingOrder="1"/>
    </xf>
    <xf numFmtId="0" fontId="97" fillId="51" borderId="289" xfId="0" applyFont="1" applyFill="1" applyBorder="1" applyAlignment="1">
      <alignment vertical="center" readingOrder="1"/>
    </xf>
    <xf numFmtId="3" fontId="97" fillId="51" borderId="289" xfId="0" applyNumberFormat="1" applyFont="1" applyFill="1" applyBorder="1" applyAlignment="1">
      <alignment vertical="center" readingOrder="1"/>
    </xf>
    <xf numFmtId="0" fontId="61" fillId="0" borderId="0" xfId="3528" applyAlignment="1">
      <alignment vertical="center" wrapText="1"/>
    </xf>
    <xf numFmtId="3" fontId="96" fillId="0" borderId="300" xfId="0" applyNumberFormat="1" applyFont="1" applyBorder="1" applyAlignment="1">
      <alignment vertical="center" readingOrder="1"/>
    </xf>
    <xf numFmtId="196" fontId="18" fillId="31" borderId="83" xfId="1253" applyNumberFormat="1" applyFont="1" applyFill="1" applyBorder="1" applyAlignment="1">
      <alignment horizontal="right" vertical="center"/>
    </xf>
    <xf numFmtId="177" fontId="18" fillId="31" borderId="123" xfId="3527" applyNumberFormat="1" applyFont="1" applyFill="1" applyBorder="1" applyAlignment="1">
      <alignment horizontal="center" vertical="center"/>
    </xf>
    <xf numFmtId="166" fontId="18" fillId="31" borderId="123" xfId="3537" applyFont="1" applyFill="1" applyBorder="1" applyAlignment="1">
      <alignment horizontal="center" vertical="center"/>
    </xf>
    <xf numFmtId="9" fontId="18" fillId="31" borderId="123" xfId="3526" applyFont="1" applyFill="1" applyBorder="1" applyAlignment="1">
      <alignment horizontal="right" vertical="center"/>
    </xf>
    <xf numFmtId="177" fontId="17" fillId="39" borderId="86" xfId="1253" applyNumberFormat="1" applyFont="1" applyFill="1" applyBorder="1" applyAlignment="1">
      <alignment horizontal="center" vertical="center"/>
    </xf>
    <xf numFmtId="9" fontId="17" fillId="39" borderId="86" xfId="3526" applyFont="1" applyFill="1" applyBorder="1" applyAlignment="1">
      <alignment horizontal="right" vertical="center"/>
    </xf>
    <xf numFmtId="41" fontId="17" fillId="57" borderId="20" xfId="1253" applyNumberFormat="1" applyFont="1" applyFill="1" applyBorder="1" applyAlignment="1">
      <alignment horizontal="center" vertical="center"/>
    </xf>
    <xf numFmtId="9" fontId="17" fillId="57" borderId="24" xfId="3526" applyFont="1" applyFill="1" applyBorder="1" applyAlignment="1">
      <alignment horizontal="right" vertical="center"/>
    </xf>
    <xf numFmtId="41" fontId="17" fillId="47" borderId="0" xfId="1236" applyFont="1" applyFill="1" applyBorder="1" applyAlignment="1">
      <alignment horizontal="center" vertical="center" shrinkToFit="1"/>
    </xf>
    <xf numFmtId="41" fontId="17" fillId="47" borderId="0" xfId="1236" applyFont="1" applyFill="1" applyBorder="1" applyAlignment="1">
      <alignment horizontal="right" vertical="center" shrinkToFit="1"/>
    </xf>
    <xf numFmtId="0" fontId="19" fillId="0" borderId="550" xfId="0" applyFont="1" applyBorder="1" applyAlignment="1">
      <alignment horizontal="center" vertical="center" wrapText="1"/>
    </xf>
    <xf numFmtId="41" fontId="18" fillId="32" borderId="376" xfId="1236" applyFont="1" applyFill="1" applyBorder="1" applyAlignment="1">
      <alignment horizontal="right" vertical="center" shrinkToFit="1"/>
    </xf>
    <xf numFmtId="44" fontId="18" fillId="32" borderId="376" xfId="0" applyNumberFormat="1" applyFont="1" applyFill="1" applyBorder="1" applyAlignment="1">
      <alignment horizontal="right" vertical="center"/>
    </xf>
    <xf numFmtId="41" fontId="18" fillId="32" borderId="376" xfId="0" applyNumberFormat="1" applyFont="1" applyFill="1" applyBorder="1" applyAlignment="1">
      <alignment horizontal="center" vertical="center"/>
    </xf>
    <xf numFmtId="10" fontId="18" fillId="32" borderId="376" xfId="0" applyNumberFormat="1" applyFont="1" applyFill="1" applyBorder="1" applyAlignment="1">
      <alignment horizontal="right" vertical="center"/>
    </xf>
    <xf numFmtId="10" fontId="18" fillId="32" borderId="376" xfId="1236" applyNumberFormat="1" applyFont="1" applyFill="1" applyBorder="1" applyAlignment="1">
      <alignment horizontal="right" vertical="center" wrapText="1"/>
    </xf>
    <xf numFmtId="196" fontId="18" fillId="32" borderId="376" xfId="0" applyNumberFormat="1" applyFont="1" applyFill="1" applyBorder="1" applyAlignment="1">
      <alignment horizontal="center" vertical="center"/>
    </xf>
    <xf numFmtId="10" fontId="18" fillId="32" borderId="551" xfId="0" applyNumberFormat="1" applyFont="1" applyFill="1" applyBorder="1" applyAlignment="1">
      <alignment horizontal="right" vertical="distributed"/>
    </xf>
    <xf numFmtId="166" fontId="55" fillId="34" borderId="552" xfId="0" applyNumberFormat="1" applyFont="1" applyFill="1" applyBorder="1" applyAlignment="1">
      <alignment vertical="center"/>
    </xf>
    <xf numFmtId="0" fontId="86" fillId="0" borderId="0" xfId="1255" applyFont="1" applyAlignment="1">
      <alignment horizontal="center" vertical="center" wrapText="1"/>
    </xf>
    <xf numFmtId="41" fontId="18" fillId="32" borderId="557" xfId="1236" applyFont="1" applyFill="1" applyBorder="1" applyAlignment="1">
      <alignment horizontal="right" vertical="center" shrinkToFit="1"/>
    </xf>
    <xf numFmtId="44" fontId="18" fillId="32" borderId="557" xfId="0" applyNumberFormat="1" applyFont="1" applyFill="1" applyBorder="1" applyAlignment="1">
      <alignment horizontal="right" vertical="center"/>
    </xf>
    <xf numFmtId="170" fontId="54" fillId="24" borderId="558" xfId="0" applyNumberFormat="1" applyFont="1" applyFill="1" applyBorder="1" applyAlignment="1">
      <alignment horizontal="center" vertical="center" shrinkToFit="1"/>
    </xf>
    <xf numFmtId="13" fontId="18" fillId="31" borderId="559" xfId="0" applyNumberFormat="1" applyFont="1" applyFill="1" applyBorder="1" applyAlignment="1">
      <alignment horizontal="center" vertical="center" shrinkToFit="1"/>
    </xf>
    <xf numFmtId="9" fontId="91" fillId="0" borderId="191" xfId="3526" applyFont="1" applyBorder="1" applyAlignment="1">
      <alignment horizontal="right" vertical="center"/>
    </xf>
    <xf numFmtId="173" fontId="17" fillId="27" borderId="120" xfId="1253" applyNumberFormat="1" applyFont="1" applyFill="1" applyBorder="1" applyAlignment="1">
      <alignment horizontal="center" vertical="center" wrapText="1"/>
    </xf>
    <xf numFmtId="41" fontId="17" fillId="27" borderId="20" xfId="1253" applyNumberFormat="1" applyFont="1" applyFill="1" applyBorder="1" applyAlignment="1">
      <alignment horizontal="center" vertical="center"/>
    </xf>
    <xf numFmtId="41" fontId="17" fillId="27" borderId="29" xfId="1253" applyNumberFormat="1" applyFont="1" applyFill="1" applyBorder="1" applyAlignment="1">
      <alignment horizontal="center" vertical="center"/>
    </xf>
    <xf numFmtId="180" fontId="17" fillId="27" borderId="29" xfId="1253" applyNumberFormat="1" applyFont="1" applyFill="1" applyBorder="1" applyAlignment="1">
      <alignment horizontal="center" vertical="center"/>
    </xf>
    <xf numFmtId="9" fontId="17" fillId="27" borderId="29" xfId="1253" applyNumberFormat="1" applyFont="1" applyFill="1" applyBorder="1" applyAlignment="1">
      <alignment horizontal="center" vertical="center"/>
    </xf>
    <xf numFmtId="9" fontId="17" fillId="27" borderId="238" xfId="3526" applyFont="1" applyFill="1" applyBorder="1" applyAlignment="1">
      <alignment horizontal="right" vertical="center"/>
    </xf>
    <xf numFmtId="41" fontId="17" fillId="27" borderId="45" xfId="1253" applyNumberFormat="1" applyFont="1" applyFill="1" applyBorder="1" applyAlignment="1">
      <alignment horizontal="center" vertical="center"/>
    </xf>
    <xf numFmtId="10" fontId="17" fillId="27" borderId="88" xfId="1253" applyNumberFormat="1" applyFont="1" applyFill="1" applyBorder="1" applyAlignment="1">
      <alignment horizontal="center" vertical="center"/>
    </xf>
    <xf numFmtId="10" fontId="17" fillId="27" borderId="93" xfId="1253" applyNumberFormat="1" applyFont="1" applyFill="1" applyBorder="1" applyAlignment="1">
      <alignment horizontal="center" vertical="center"/>
    </xf>
    <xf numFmtId="9" fontId="17" fillId="27" borderId="88" xfId="3526" applyFont="1" applyFill="1" applyBorder="1" applyAlignment="1">
      <alignment horizontal="right" vertical="center"/>
    </xf>
    <xf numFmtId="1" fontId="17" fillId="27" borderId="93" xfId="1253" applyNumberFormat="1" applyFont="1" applyFill="1" applyBorder="1" applyAlignment="1">
      <alignment horizontal="center" vertical="center"/>
    </xf>
    <xf numFmtId="10" fontId="17" fillId="27" borderId="121" xfId="1253" applyNumberFormat="1" applyFont="1" applyFill="1" applyBorder="1" applyAlignment="1">
      <alignment horizontal="center" vertical="center"/>
    </xf>
    <xf numFmtId="41" fontId="17" fillId="27" borderId="120" xfId="1253" applyNumberFormat="1" applyFont="1" applyFill="1" applyBorder="1" applyAlignment="1">
      <alignment horizontal="center" vertical="center"/>
    </xf>
    <xf numFmtId="174" fontId="17" fillId="27" borderId="29" xfId="1253" applyNumberFormat="1" applyFont="1" applyFill="1" applyBorder="1" applyAlignment="1">
      <alignment horizontal="center" vertical="center"/>
    </xf>
    <xf numFmtId="41" fontId="17" fillId="27" borderId="103" xfId="1253" applyNumberFormat="1" applyFont="1" applyFill="1" applyBorder="1" applyAlignment="1">
      <alignment horizontal="center" vertical="center"/>
    </xf>
    <xf numFmtId="41" fontId="17" fillId="27" borderId="345" xfId="1253" applyNumberFormat="1" applyFont="1" applyFill="1" applyBorder="1" applyAlignment="1">
      <alignment horizontal="center" vertical="center"/>
    </xf>
    <xf numFmtId="41" fontId="17" fillId="27" borderId="88" xfId="1253" applyNumberFormat="1" applyFont="1" applyFill="1" applyBorder="1" applyAlignment="1">
      <alignment horizontal="center" vertical="center"/>
    </xf>
    <xf numFmtId="174" fontId="17" fillId="27" borderId="88" xfId="1253" applyNumberFormat="1" applyFont="1" applyFill="1" applyBorder="1" applyAlignment="1">
      <alignment horizontal="center" vertical="center"/>
    </xf>
    <xf numFmtId="173" fontId="47" fillId="27" borderId="120" xfId="1253" applyNumberFormat="1" applyFont="1" applyFill="1" applyBorder="1" applyAlignment="1">
      <alignment horizontal="center" vertical="center" wrapText="1"/>
    </xf>
    <xf numFmtId="10" fontId="17" fillId="27" borderId="242" xfId="1253" applyNumberFormat="1" applyFont="1" applyFill="1" applyBorder="1" applyAlignment="1">
      <alignment horizontal="center" vertical="center"/>
    </xf>
    <xf numFmtId="41" fontId="17" fillId="24" borderId="526" xfId="1253" applyNumberFormat="1" applyFont="1" applyFill="1" applyBorder="1" applyAlignment="1">
      <alignment horizontal="right" vertical="center"/>
    </xf>
    <xf numFmtId="10" fontId="25" fillId="27" borderId="88" xfId="1253" applyNumberFormat="1" applyFont="1" applyFill="1" applyBorder="1" applyAlignment="1">
      <alignment horizontal="center" vertical="center"/>
    </xf>
    <xf numFmtId="10" fontId="25" fillId="27" borderId="93" xfId="1253" applyNumberFormat="1" applyFont="1" applyFill="1" applyBorder="1" applyAlignment="1">
      <alignment horizontal="center" vertical="center"/>
    </xf>
    <xf numFmtId="1" fontId="25" fillId="27" borderId="93" xfId="1253" applyNumberFormat="1" applyFont="1" applyFill="1" applyBorder="1" applyAlignment="1">
      <alignment horizontal="center" vertical="center"/>
    </xf>
    <xf numFmtId="10" fontId="25" fillId="27" borderId="121" xfId="1253" applyNumberFormat="1" applyFont="1" applyFill="1" applyBorder="1" applyAlignment="1">
      <alignment horizontal="center" vertical="center"/>
    </xf>
    <xf numFmtId="174" fontId="17" fillId="27" borderId="45" xfId="1253" applyNumberFormat="1" applyFont="1" applyFill="1" applyBorder="1" applyAlignment="1">
      <alignment horizontal="center" vertical="center"/>
    </xf>
    <xf numFmtId="41" fontId="17" fillId="27" borderId="526" xfId="1253" applyNumberFormat="1" applyFont="1" applyFill="1" applyBorder="1" applyAlignment="1">
      <alignment horizontal="center" vertical="center"/>
    </xf>
    <xf numFmtId="41" fontId="17" fillId="27" borderId="231" xfId="1253" applyNumberFormat="1" applyFont="1" applyFill="1" applyBorder="1" applyAlignment="1">
      <alignment horizontal="center" vertical="center"/>
    </xf>
    <xf numFmtId="0" fontId="63" fillId="0" borderId="563" xfId="0" applyFont="1" applyBorder="1" applyAlignment="1">
      <alignment vertical="center" wrapText="1"/>
    </xf>
    <xf numFmtId="0" fontId="63" fillId="0" borderId="564" xfId="0" applyFont="1" applyBorder="1" applyAlignment="1">
      <alignment vertical="center" wrapText="1"/>
    </xf>
    <xf numFmtId="0" fontId="96" fillId="0" borderId="563" xfId="0" applyFont="1" applyBorder="1" applyAlignment="1">
      <alignment horizontal="right" vertical="center" wrapText="1"/>
    </xf>
    <xf numFmtId="0" fontId="63" fillId="0" borderId="565" xfId="0" applyFont="1" applyBorder="1" applyAlignment="1">
      <alignment vertical="center" wrapText="1"/>
    </xf>
    <xf numFmtId="0" fontId="96" fillId="46" borderId="565" xfId="0" applyFont="1" applyFill="1" applyBorder="1" applyAlignment="1">
      <alignment horizontal="center" vertical="center" wrapText="1"/>
    </xf>
    <xf numFmtId="16" fontId="96" fillId="0" borderId="565" xfId="0" applyNumberFormat="1" applyFont="1" applyBorder="1" applyAlignment="1">
      <alignment horizontal="center" vertical="center" wrapText="1"/>
    </xf>
    <xf numFmtId="0" fontId="96" fillId="0" borderId="565" xfId="0" applyFont="1" applyBorder="1" applyAlignment="1">
      <alignment horizontal="center" vertical="center" wrapText="1"/>
    </xf>
    <xf numFmtId="0" fontId="65" fillId="0" borderId="566" xfId="0" applyFont="1" applyBorder="1" applyAlignment="1">
      <alignment vertical="center"/>
    </xf>
    <xf numFmtId="0" fontId="65" fillId="0" borderId="567" xfId="0" applyFont="1" applyBorder="1" applyAlignment="1">
      <alignment vertical="center"/>
    </xf>
    <xf numFmtId="9" fontId="65" fillId="0" borderId="544" xfId="3526" applyFont="1" applyBorder="1" applyAlignment="1">
      <alignment vertical="center"/>
    </xf>
    <xf numFmtId="41" fontId="18" fillId="32" borderId="568" xfId="0" applyNumberFormat="1" applyFont="1" applyFill="1" applyBorder="1" applyAlignment="1">
      <alignment horizontal="center" vertical="center"/>
    </xf>
    <xf numFmtId="10" fontId="18" fillId="32" borderId="568" xfId="0" applyNumberFormat="1" applyFont="1" applyFill="1" applyBorder="1" applyAlignment="1">
      <alignment horizontal="right" vertical="center"/>
    </xf>
    <xf numFmtId="10" fontId="18" fillId="32" borderId="568" xfId="1236" applyNumberFormat="1" applyFont="1" applyFill="1" applyBorder="1" applyAlignment="1">
      <alignment horizontal="right" vertical="center" wrapText="1"/>
    </xf>
    <xf numFmtId="196" fontId="18" fillId="32" borderId="31" xfId="0" applyNumberFormat="1" applyFont="1" applyFill="1" applyBorder="1" applyAlignment="1">
      <alignment horizontal="center" vertical="center"/>
    </xf>
    <xf numFmtId="10" fontId="18" fillId="32" borderId="569" xfId="0" applyNumberFormat="1" applyFont="1" applyFill="1" applyBorder="1" applyAlignment="1">
      <alignment horizontal="right" vertical="distributed"/>
    </xf>
    <xf numFmtId="10" fontId="86" fillId="0" borderId="24" xfId="3526" applyNumberFormat="1" applyFont="1" applyBorder="1" applyAlignment="1">
      <alignment horizontal="right" vertical="center"/>
    </xf>
    <xf numFmtId="10" fontId="17" fillId="0" borderId="24" xfId="3526" applyNumberFormat="1" applyFont="1" applyFill="1" applyBorder="1" applyAlignment="1">
      <alignment horizontal="right" vertical="center" shrinkToFit="1"/>
    </xf>
    <xf numFmtId="10" fontId="17" fillId="0" borderId="249" xfId="3526" applyNumberFormat="1" applyFont="1" applyFill="1" applyBorder="1" applyAlignment="1">
      <alignment horizontal="right" vertical="center" shrinkToFit="1"/>
    </xf>
    <xf numFmtId="10" fontId="17" fillId="0" borderId="191" xfId="3526" applyNumberFormat="1" applyFont="1" applyFill="1" applyBorder="1" applyAlignment="1">
      <alignment horizontal="right" vertical="center" shrinkToFit="1"/>
    </xf>
    <xf numFmtId="10" fontId="17" fillId="0" borderId="272" xfId="3526" applyNumberFormat="1" applyFont="1" applyFill="1" applyBorder="1" applyAlignment="1">
      <alignment horizontal="right" vertical="center" shrinkToFit="1"/>
    </xf>
    <xf numFmtId="9" fontId="18" fillId="31" borderId="123" xfId="3526" applyFont="1" applyFill="1" applyBorder="1" applyAlignment="1">
      <alignment horizontal="center" vertical="center"/>
    </xf>
    <xf numFmtId="166" fontId="18" fillId="31" borderId="83" xfId="1253" applyNumberFormat="1" applyFont="1" applyFill="1" applyBorder="1" applyAlignment="1">
      <alignment horizontal="right" vertical="center"/>
    </xf>
    <xf numFmtId="10" fontId="18" fillId="31" borderId="123" xfId="3526" applyNumberFormat="1" applyFont="1" applyFill="1" applyBorder="1" applyAlignment="1">
      <alignment horizontal="right" vertical="center"/>
    </xf>
    <xf numFmtId="0" fontId="63" fillId="0" borderId="291" xfId="0" applyFont="1" applyBorder="1" applyAlignment="1">
      <alignment vertical="center" readingOrder="1"/>
    </xf>
    <xf numFmtId="41" fontId="19" fillId="0" borderId="44" xfId="1253" applyNumberFormat="1" applyFont="1" applyBorder="1" applyAlignment="1">
      <alignment horizontal="center" vertical="center" wrapText="1"/>
    </xf>
    <xf numFmtId="41" fontId="19" fillId="0" borderId="24" xfId="1253" applyNumberFormat="1" applyFont="1" applyBorder="1" applyAlignment="1">
      <alignment horizontal="center" vertical="center" wrapText="1"/>
    </xf>
    <xf numFmtId="174" fontId="19" fillId="0" borderId="146" xfId="1253" applyNumberFormat="1" applyFont="1" applyBorder="1" applyAlignment="1">
      <alignment horizontal="center" vertical="center" wrapText="1"/>
    </xf>
    <xf numFmtId="41" fontId="19" fillId="0" borderId="146" xfId="1253" applyNumberFormat="1" applyFont="1" applyBorder="1" applyAlignment="1">
      <alignment horizontal="center" vertical="center" wrapText="1"/>
    </xf>
    <xf numFmtId="41" fontId="19" fillId="0" borderId="270" xfId="1253" applyNumberFormat="1" applyFont="1" applyBorder="1" applyAlignment="1">
      <alignment horizontal="center" vertical="center" wrapText="1"/>
    </xf>
    <xf numFmtId="41" fontId="19" fillId="0" borderId="39" xfId="1253" applyNumberFormat="1" applyFont="1" applyBorder="1" applyAlignment="1">
      <alignment horizontal="center" vertical="center" wrapText="1"/>
    </xf>
    <xf numFmtId="41" fontId="19" fillId="0" borderId="243" xfId="1253" applyNumberFormat="1" applyFont="1" applyBorder="1" applyAlignment="1">
      <alignment horizontal="center" vertical="center" wrapText="1"/>
    </xf>
    <xf numFmtId="191" fontId="18" fillId="31" borderId="83" xfId="1253" applyNumberFormat="1" applyFont="1" applyFill="1" applyBorder="1" applyAlignment="1">
      <alignment horizontal="right" vertical="center"/>
    </xf>
    <xf numFmtId="191" fontId="80" fillId="43" borderId="20" xfId="1253" applyNumberFormat="1" applyFont="1" applyFill="1" applyBorder="1" applyAlignment="1">
      <alignment horizontal="center" vertical="center"/>
    </xf>
    <xf numFmtId="190" fontId="18" fillId="31" borderId="166" xfId="1253" applyNumberFormat="1" applyFont="1" applyFill="1" applyBorder="1" applyAlignment="1">
      <alignment horizontal="right" vertical="center"/>
    </xf>
    <xf numFmtId="9" fontId="17" fillId="24" borderId="463" xfId="3526" applyFont="1" applyFill="1" applyBorder="1" applyAlignment="1">
      <alignment horizontal="right" vertical="center"/>
    </xf>
    <xf numFmtId="0" fontId="65" fillId="0" borderId="105" xfId="3527" applyNumberFormat="1" applyFont="1" applyBorder="1" applyAlignment="1">
      <alignment horizontal="right" vertical="center"/>
    </xf>
    <xf numFmtId="0" fontId="65" fillId="0" borderId="12" xfId="3527" applyNumberFormat="1" applyFont="1" applyBorder="1" applyAlignment="1">
      <alignment horizontal="right" vertical="center"/>
    </xf>
    <xf numFmtId="0" fontId="99" fillId="0" borderId="303" xfId="0" applyFont="1" applyBorder="1" applyAlignment="1">
      <alignment vertical="center" readingOrder="1"/>
    </xf>
    <xf numFmtId="0" fontId="99" fillId="0" borderId="304" xfId="0" applyFont="1" applyBorder="1" applyAlignment="1">
      <alignment vertical="center" readingOrder="1"/>
    </xf>
    <xf numFmtId="0" fontId="99" fillId="0" borderId="290" xfId="0" applyFont="1" applyBorder="1" applyAlignment="1">
      <alignment vertical="center" readingOrder="1"/>
    </xf>
    <xf numFmtId="0" fontId="99" fillId="0" borderId="305" xfId="0" applyFont="1" applyBorder="1" applyAlignment="1">
      <alignment vertical="center" readingOrder="1"/>
    </xf>
    <xf numFmtId="0" fontId="100" fillId="0" borderId="299" xfId="0" applyFont="1" applyBorder="1" applyAlignment="1">
      <alignment vertical="center" readingOrder="1"/>
    </xf>
    <xf numFmtId="0" fontId="99" fillId="0" borderId="299" xfId="0" applyFont="1" applyBorder="1" applyAlignment="1">
      <alignment vertical="center" readingOrder="1"/>
    </xf>
    <xf numFmtId="14" fontId="101" fillId="0" borderId="299" xfId="0" applyNumberFormat="1" applyFont="1" applyBorder="1" applyAlignment="1">
      <alignment vertical="center" wrapText="1" readingOrder="1"/>
    </xf>
    <xf numFmtId="0" fontId="99" fillId="0" borderId="292" xfId="0" applyFont="1" applyBorder="1" applyAlignment="1">
      <alignment vertical="center" readingOrder="1"/>
    </xf>
    <xf numFmtId="0" fontId="99" fillId="0" borderId="300" xfId="0" applyFont="1" applyBorder="1" applyAlignment="1">
      <alignment vertical="center" readingOrder="1"/>
    </xf>
    <xf numFmtId="0" fontId="103" fillId="0" borderId="300" xfId="0" applyFont="1" applyBorder="1" applyAlignment="1">
      <alignment vertical="center" readingOrder="1"/>
    </xf>
    <xf numFmtId="0" fontId="99" fillId="0" borderId="289" xfId="0" applyFont="1" applyBorder="1" applyAlignment="1">
      <alignment vertical="center" readingOrder="1"/>
    </xf>
    <xf numFmtId="0" fontId="99" fillId="0" borderId="306" xfId="0" applyFont="1" applyBorder="1" applyAlignment="1">
      <alignment vertical="center" readingOrder="1"/>
    </xf>
    <xf numFmtId="0" fontId="104" fillId="50" borderId="292" xfId="0" applyFont="1" applyFill="1" applyBorder="1" applyAlignment="1">
      <alignment vertical="center" wrapText="1" readingOrder="1"/>
    </xf>
    <xf numFmtId="0" fontId="104" fillId="50" borderId="292" xfId="0" applyFont="1" applyFill="1" applyBorder="1" applyAlignment="1">
      <alignment vertical="center" readingOrder="1"/>
    </xf>
    <xf numFmtId="0" fontId="99" fillId="50" borderId="289" xfId="0" applyFont="1" applyFill="1" applyBorder="1" applyAlignment="1">
      <alignment vertical="center" readingOrder="1"/>
    </xf>
    <xf numFmtId="0" fontId="104" fillId="50" borderId="289" xfId="0" applyFont="1" applyFill="1" applyBorder="1" applyAlignment="1">
      <alignment vertical="center" readingOrder="1"/>
    </xf>
    <xf numFmtId="0" fontId="107" fillId="36" borderId="289" xfId="0" applyFont="1" applyFill="1" applyBorder="1" applyAlignment="1">
      <alignment vertical="center" wrapText="1" readingOrder="1"/>
    </xf>
    <xf numFmtId="0" fontId="99" fillId="46" borderId="292" xfId="0" applyFont="1" applyFill="1" applyBorder="1" applyAlignment="1">
      <alignment vertical="center" readingOrder="1"/>
    </xf>
    <xf numFmtId="0" fontId="101" fillId="0" borderId="292" xfId="0" applyFont="1" applyBorder="1" applyAlignment="1">
      <alignment vertical="center" readingOrder="1"/>
    </xf>
    <xf numFmtId="0" fontId="101" fillId="46" borderId="289" xfId="0" applyFont="1" applyFill="1" applyBorder="1" applyAlignment="1">
      <alignment vertical="center" readingOrder="1"/>
    </xf>
    <xf numFmtId="16" fontId="101" fillId="46" borderId="289" xfId="0" applyNumberFormat="1" applyFont="1" applyFill="1" applyBorder="1" applyAlignment="1">
      <alignment vertical="center" readingOrder="1"/>
    </xf>
    <xf numFmtId="3" fontId="101" fillId="46" borderId="289" xfId="0" applyNumberFormat="1" applyFont="1" applyFill="1" applyBorder="1" applyAlignment="1">
      <alignment vertical="center" readingOrder="1"/>
    </xf>
    <xf numFmtId="164" fontId="101" fillId="46" borderId="289" xfId="0" applyNumberFormat="1" applyFont="1" applyFill="1" applyBorder="1" applyAlignment="1">
      <alignment vertical="center" readingOrder="1"/>
    </xf>
    <xf numFmtId="9" fontId="101" fillId="41" borderId="289" xfId="0" applyNumberFormat="1" applyFont="1" applyFill="1" applyBorder="1" applyAlignment="1">
      <alignment vertical="center" readingOrder="1"/>
    </xf>
    <xf numFmtId="0" fontId="101" fillId="38" borderId="289" xfId="0" applyFont="1" applyFill="1" applyBorder="1" applyAlignment="1">
      <alignment vertical="center" readingOrder="1"/>
    </xf>
    <xf numFmtId="9" fontId="101" fillId="38" borderId="289" xfId="0" applyNumberFormat="1" applyFont="1" applyFill="1" applyBorder="1" applyAlignment="1">
      <alignment vertical="center" readingOrder="1"/>
    </xf>
    <xf numFmtId="10" fontId="101" fillId="38" borderId="289" xfId="0" applyNumberFormat="1" applyFont="1" applyFill="1" applyBorder="1" applyAlignment="1">
      <alignment vertical="center" readingOrder="1"/>
    </xf>
    <xf numFmtId="10" fontId="101" fillId="46" borderId="289" xfId="0" applyNumberFormat="1" applyFont="1" applyFill="1" applyBorder="1" applyAlignment="1">
      <alignment vertical="center" readingOrder="1"/>
    </xf>
    <xf numFmtId="165" fontId="101" fillId="38" borderId="289" xfId="0" applyNumberFormat="1" applyFont="1" applyFill="1" applyBorder="1" applyAlignment="1">
      <alignment vertical="center" readingOrder="1"/>
    </xf>
    <xf numFmtId="165" fontId="101" fillId="46" borderId="289" xfId="0" applyNumberFormat="1" applyFont="1" applyFill="1" applyBorder="1" applyAlignment="1">
      <alignment vertical="center" readingOrder="1"/>
    </xf>
    <xf numFmtId="9" fontId="101" fillId="46" borderId="289" xfId="0" applyNumberFormat="1" applyFont="1" applyFill="1" applyBorder="1" applyAlignment="1">
      <alignment vertical="center" readingOrder="1"/>
    </xf>
    <xf numFmtId="0" fontId="79" fillId="0" borderId="289" xfId="3536" applyBorder="1" applyAlignment="1">
      <alignment vertical="center" readingOrder="1"/>
    </xf>
    <xf numFmtId="0" fontId="99" fillId="46" borderId="289" xfId="0" applyFont="1" applyFill="1" applyBorder="1" applyAlignment="1">
      <alignment vertical="center" readingOrder="1"/>
    </xf>
    <xf numFmtId="0" fontId="101" fillId="46" borderId="289" xfId="0" quotePrefix="1" applyFont="1" applyFill="1" applyBorder="1" applyAlignment="1">
      <alignment vertical="center" readingOrder="1"/>
    </xf>
    <xf numFmtId="0" fontId="108" fillId="0" borderId="289" xfId="0" applyFont="1" applyBorder="1" applyAlignment="1">
      <alignment vertical="center" readingOrder="1"/>
    </xf>
    <xf numFmtId="0" fontId="99" fillId="50" borderId="300" xfId="0" applyFont="1" applyFill="1" applyBorder="1" applyAlignment="1">
      <alignment vertical="center" readingOrder="1"/>
    </xf>
    <xf numFmtId="0" fontId="104" fillId="50" borderId="300" xfId="0" applyFont="1" applyFill="1" applyBorder="1" applyAlignment="1">
      <alignment vertical="center" readingOrder="1"/>
    </xf>
    <xf numFmtId="3" fontId="104" fillId="50" borderId="289" xfId="0" applyNumberFormat="1" applyFont="1" applyFill="1" applyBorder="1" applyAlignment="1">
      <alignment vertical="center" readingOrder="1"/>
    </xf>
    <xf numFmtId="164" fontId="104" fillId="50" borderId="289" xfId="0" applyNumberFormat="1" applyFont="1" applyFill="1" applyBorder="1" applyAlignment="1">
      <alignment vertical="center" readingOrder="1"/>
    </xf>
    <xf numFmtId="9" fontId="104" fillId="50" borderId="289" xfId="0" applyNumberFormat="1" applyFont="1" applyFill="1" applyBorder="1" applyAlignment="1">
      <alignment vertical="center" readingOrder="1"/>
    </xf>
    <xf numFmtId="10" fontId="104" fillId="50" borderId="289" xfId="0" applyNumberFormat="1" applyFont="1" applyFill="1" applyBorder="1" applyAlignment="1">
      <alignment vertical="center" readingOrder="1"/>
    </xf>
    <xf numFmtId="165" fontId="104" fillId="50" borderId="289" xfId="0" applyNumberFormat="1" applyFont="1" applyFill="1" applyBorder="1" applyAlignment="1">
      <alignment vertical="center" readingOrder="1"/>
    </xf>
    <xf numFmtId="0" fontId="101" fillId="0" borderId="289" xfId="0" applyFont="1" applyBorder="1" applyAlignment="1">
      <alignment vertical="center" readingOrder="1"/>
    </xf>
    <xf numFmtId="3" fontId="101" fillId="0" borderId="289" xfId="0" applyNumberFormat="1" applyFont="1" applyBorder="1" applyAlignment="1">
      <alignment vertical="center" readingOrder="1"/>
    </xf>
    <xf numFmtId="10" fontId="101" fillId="41" borderId="289" xfId="0" applyNumberFormat="1" applyFont="1" applyFill="1" applyBorder="1" applyAlignment="1">
      <alignment vertical="center" readingOrder="1"/>
    </xf>
    <xf numFmtId="165" fontId="101" fillId="41" borderId="289" xfId="0" applyNumberFormat="1" applyFont="1" applyFill="1" applyBorder="1" applyAlignment="1">
      <alignment vertical="center" readingOrder="1"/>
    </xf>
    <xf numFmtId="0" fontId="101" fillId="50" borderId="289" xfId="0" quotePrefix="1" applyFont="1" applyFill="1" applyBorder="1" applyAlignment="1">
      <alignment vertical="center" readingOrder="1"/>
    </xf>
    <xf numFmtId="16" fontId="101" fillId="0" borderId="289" xfId="0" applyNumberFormat="1" applyFont="1" applyBorder="1" applyAlignment="1">
      <alignment vertical="center" readingOrder="1"/>
    </xf>
    <xf numFmtId="0" fontId="101" fillId="0" borderId="289" xfId="0" quotePrefix="1" applyFont="1" applyBorder="1" applyAlignment="1">
      <alignment vertical="center" readingOrder="1"/>
    </xf>
    <xf numFmtId="0" fontId="104" fillId="58" borderId="289" xfId="0" applyFont="1" applyFill="1" applyBorder="1" applyAlignment="1">
      <alignment vertical="center" readingOrder="1"/>
    </xf>
    <xf numFmtId="0" fontId="99" fillId="0" borderId="332" xfId="0" applyFont="1" applyBorder="1" applyAlignment="1">
      <alignment vertical="center" readingOrder="1"/>
    </xf>
    <xf numFmtId="0" fontId="109" fillId="0" borderId="299" xfId="0" applyFont="1" applyBorder="1" applyAlignment="1">
      <alignment vertical="center" readingOrder="1"/>
    </xf>
    <xf numFmtId="0" fontId="110" fillId="0" borderId="299" xfId="0" applyFont="1" applyBorder="1" applyAlignment="1">
      <alignment vertical="center" readingOrder="1"/>
    </xf>
    <xf numFmtId="0" fontId="104" fillId="0" borderId="289" xfId="0" applyFont="1" applyBorder="1" applyAlignment="1">
      <alignment vertical="center" readingOrder="1"/>
    </xf>
    <xf numFmtId="0" fontId="104" fillId="50" borderId="291" xfId="0" applyFont="1" applyFill="1" applyBorder="1" applyAlignment="1">
      <alignment vertical="center" readingOrder="1"/>
    </xf>
    <xf numFmtId="0" fontId="101" fillId="0" borderId="291" xfId="0" applyFont="1" applyBorder="1" applyAlignment="1">
      <alignment vertical="center" readingOrder="1"/>
    </xf>
    <xf numFmtId="3" fontId="101" fillId="38" borderId="289" xfId="0" applyNumberFormat="1" applyFont="1" applyFill="1" applyBorder="1" applyAlignment="1">
      <alignment vertical="center" readingOrder="1"/>
    </xf>
    <xf numFmtId="0" fontId="99" fillId="0" borderId="291" xfId="0" applyFont="1" applyBorder="1" applyAlignment="1">
      <alignment vertical="center" readingOrder="1"/>
    </xf>
    <xf numFmtId="0" fontId="101" fillId="0" borderId="300" xfId="0" applyFont="1" applyBorder="1" applyAlignment="1">
      <alignment vertical="center" readingOrder="1"/>
    </xf>
    <xf numFmtId="0" fontId="104" fillId="51" borderId="289" xfId="0" applyFont="1" applyFill="1" applyBorder="1" applyAlignment="1">
      <alignment vertical="center" readingOrder="1"/>
    </xf>
    <xf numFmtId="3" fontId="104" fillId="51" borderId="289" xfId="0" applyNumberFormat="1" applyFont="1" applyFill="1" applyBorder="1" applyAlignment="1">
      <alignment vertical="center" readingOrder="1"/>
    </xf>
    <xf numFmtId="41" fontId="17" fillId="24" borderId="337" xfId="1253" applyNumberFormat="1" applyFont="1" applyFill="1" applyBorder="1" applyAlignment="1">
      <alignment horizontal="center" vertical="center"/>
    </xf>
    <xf numFmtId="9" fontId="74" fillId="24" borderId="186" xfId="3526" applyFont="1" applyFill="1" applyBorder="1" applyAlignment="1">
      <alignment horizontal="right" vertical="center"/>
    </xf>
    <xf numFmtId="41" fontId="17" fillId="24" borderId="574" xfId="1253" applyNumberFormat="1" applyFont="1" applyFill="1" applyBorder="1" applyAlignment="1">
      <alignment horizontal="center" vertical="center"/>
    </xf>
    <xf numFmtId="41" fontId="17" fillId="24" borderId="575" xfId="1253" applyNumberFormat="1" applyFont="1" applyFill="1" applyBorder="1" applyAlignment="1">
      <alignment horizontal="center" vertical="center"/>
    </xf>
    <xf numFmtId="9" fontId="74" fillId="24" borderId="575" xfId="3526" applyFont="1" applyFill="1" applyBorder="1" applyAlignment="1">
      <alignment horizontal="right" vertical="center"/>
    </xf>
    <xf numFmtId="41" fontId="17" fillId="24" borderId="185" xfId="1253" applyNumberFormat="1" applyFont="1" applyFill="1" applyBorder="1" applyAlignment="1">
      <alignment horizontal="center" vertical="center"/>
    </xf>
    <xf numFmtId="41" fontId="17" fillId="24" borderId="186" xfId="1253" applyNumberFormat="1" applyFont="1" applyFill="1" applyBorder="1" applyAlignment="1">
      <alignment horizontal="center" vertical="center"/>
    </xf>
    <xf numFmtId="1" fontId="17" fillId="24" borderId="12" xfId="1253" applyNumberFormat="1" applyFont="1" applyFill="1" applyBorder="1" applyAlignment="1">
      <alignment horizontal="right" vertical="center"/>
    </xf>
    <xf numFmtId="1" fontId="17" fillId="24" borderId="544" xfId="1253" applyNumberFormat="1" applyFont="1" applyFill="1" applyBorder="1" applyAlignment="1">
      <alignment horizontal="right" vertical="center"/>
    </xf>
    <xf numFmtId="13" fontId="83" fillId="0" borderId="0" xfId="0" applyNumberFormat="1" applyFont="1" applyAlignment="1">
      <alignment horizontal="center" vertical="center" shrinkToFit="1"/>
    </xf>
    <xf numFmtId="41" fontId="75" fillId="0" borderId="0" xfId="1236" applyFont="1" applyFill="1" applyBorder="1" applyAlignment="1">
      <alignment horizontal="center" vertical="center"/>
    </xf>
    <xf numFmtId="9" fontId="18" fillId="0" borderId="0" xfId="0" applyNumberFormat="1" applyFont="1" applyAlignment="1">
      <alignment horizontal="right" vertical="center"/>
    </xf>
    <xf numFmtId="10" fontId="75" fillId="0" borderId="0" xfId="0" applyNumberFormat="1" applyFont="1" applyAlignment="1">
      <alignment horizontal="center" vertical="center"/>
    </xf>
    <xf numFmtId="9" fontId="75" fillId="0" borderId="0" xfId="1236" applyNumberFormat="1" applyFont="1" applyFill="1" applyBorder="1" applyAlignment="1">
      <alignment horizontal="right" vertical="center"/>
    </xf>
    <xf numFmtId="180" fontId="75" fillId="0" borderId="0" xfId="1236" applyNumberFormat="1" applyFont="1" applyFill="1" applyBorder="1" applyAlignment="1">
      <alignment horizontal="center" vertical="center"/>
    </xf>
    <xf numFmtId="9" fontId="75" fillId="0" borderId="0" xfId="3526" applyFont="1" applyFill="1" applyBorder="1" applyAlignment="1">
      <alignment horizontal="right" vertical="center"/>
    </xf>
    <xf numFmtId="174" fontId="75" fillId="0" borderId="0" xfId="3526" applyNumberFormat="1" applyFont="1" applyFill="1" applyBorder="1" applyAlignment="1">
      <alignment horizontal="right" vertical="center"/>
    </xf>
    <xf numFmtId="175" fontId="17" fillId="0" borderId="0" xfId="3526" applyNumberFormat="1" applyFont="1" applyFill="1" applyBorder="1" applyAlignment="1">
      <alignment horizontal="right" vertical="center"/>
    </xf>
    <xf numFmtId="0" fontId="49" fillId="0" borderId="0" xfId="0" applyFont="1" applyAlignment="1">
      <alignment vertical="center"/>
    </xf>
    <xf numFmtId="2" fontId="17" fillId="0" borderId="0" xfId="3526" applyNumberFormat="1" applyFont="1" applyFill="1" applyBorder="1" applyAlignment="1">
      <alignment horizontal="right" vertical="center"/>
    </xf>
    <xf numFmtId="0" fontId="83" fillId="0" borderId="0" xfId="0" applyFont="1" applyAlignment="1">
      <alignment horizontal="center" vertical="center"/>
    </xf>
    <xf numFmtId="41" fontId="17" fillId="39" borderId="24" xfId="1236" applyFont="1" applyFill="1" applyBorder="1" applyAlignment="1">
      <alignment horizontal="center" vertical="center" shrinkToFit="1"/>
    </xf>
    <xf numFmtId="41" fontId="17" fillId="39" borderId="15" xfId="1236" applyFont="1" applyFill="1" applyBorder="1" applyAlignment="1">
      <alignment horizontal="center" vertical="center" shrinkToFit="1"/>
    </xf>
    <xf numFmtId="9" fontId="22" fillId="39" borderId="26" xfId="0" applyNumberFormat="1" applyFont="1" applyFill="1" applyBorder="1" applyAlignment="1">
      <alignment vertical="center"/>
    </xf>
    <xf numFmtId="9" fontId="22" fillId="39" borderId="73" xfId="0" applyNumberFormat="1" applyFont="1" applyFill="1" applyBorder="1" applyAlignment="1">
      <alignment vertical="center"/>
    </xf>
    <xf numFmtId="9" fontId="22" fillId="39" borderId="31" xfId="0" applyNumberFormat="1" applyFont="1" applyFill="1" applyBorder="1" applyAlignment="1">
      <alignment vertical="center"/>
    </xf>
    <xf numFmtId="3" fontId="18" fillId="39" borderId="488" xfId="1236" applyNumberFormat="1" applyFont="1" applyFill="1" applyBorder="1" applyAlignment="1">
      <alignment horizontal="right" vertical="center" shrinkToFit="1"/>
    </xf>
    <xf numFmtId="9" fontId="18" fillId="39" borderId="488" xfId="0" applyNumberFormat="1" applyFont="1" applyFill="1" applyBorder="1" applyAlignment="1">
      <alignment horizontal="right" vertical="center" wrapText="1"/>
    </xf>
    <xf numFmtId="3" fontId="18" fillId="39" borderId="492" xfId="1236" applyNumberFormat="1" applyFont="1" applyFill="1" applyBorder="1" applyAlignment="1">
      <alignment horizontal="right" vertical="center" shrinkToFit="1"/>
    </xf>
    <xf numFmtId="9" fontId="18" fillId="39" borderId="492" xfId="0" applyNumberFormat="1" applyFont="1" applyFill="1" applyBorder="1" applyAlignment="1">
      <alignment horizontal="right" vertical="center" wrapText="1"/>
    </xf>
    <xf numFmtId="0" fontId="54" fillId="0" borderId="88" xfId="0" applyFont="1" applyBorder="1" applyAlignment="1">
      <alignment horizontal="center" vertical="center"/>
    </xf>
    <xf numFmtId="0" fontId="18" fillId="31" borderId="348" xfId="0" applyFont="1" applyFill="1" applyBorder="1" applyAlignment="1">
      <alignment horizontal="center" vertical="center"/>
    </xf>
    <xf numFmtId="0" fontId="18" fillId="31" borderId="349" xfId="0" applyFont="1" applyFill="1" applyBorder="1" applyAlignment="1">
      <alignment horizontal="center" vertical="center"/>
    </xf>
    <xf numFmtId="0" fontId="18" fillId="31" borderId="271" xfId="0" applyFont="1" applyFill="1" applyBorder="1" applyAlignment="1">
      <alignment horizontal="center" vertical="center"/>
    </xf>
    <xf numFmtId="0" fontId="19" fillId="24" borderId="191" xfId="0" applyFont="1" applyFill="1" applyBorder="1" applyAlignment="1">
      <alignment horizontal="center" vertical="center" wrapText="1"/>
    </xf>
    <xf numFmtId="0" fontId="19" fillId="24" borderId="191" xfId="0" applyFont="1" applyFill="1" applyBorder="1" applyAlignment="1">
      <alignment horizontal="center" vertical="center"/>
    </xf>
    <xf numFmtId="180" fontId="19" fillId="24" borderId="191" xfId="0" applyNumberFormat="1" applyFont="1" applyFill="1" applyBorder="1" applyAlignment="1">
      <alignment horizontal="center" vertical="center"/>
    </xf>
    <xf numFmtId="0" fontId="80" fillId="43" borderId="54" xfId="0" applyFont="1" applyFill="1" applyBorder="1" applyAlignment="1">
      <alignment horizontal="center" vertical="center"/>
    </xf>
    <xf numFmtId="0" fontId="80" fillId="43" borderId="55" xfId="0" applyFont="1" applyFill="1" applyBorder="1" applyAlignment="1">
      <alignment horizontal="center" vertical="center"/>
    </xf>
    <xf numFmtId="0" fontId="80" fillId="43" borderId="56" xfId="0" applyFont="1" applyFill="1" applyBorder="1" applyAlignment="1">
      <alignment horizontal="center" vertical="center"/>
    </xf>
    <xf numFmtId="10" fontId="17" fillId="0" borderId="26" xfId="0" applyNumberFormat="1" applyFont="1" applyBorder="1" applyAlignment="1">
      <alignment horizontal="right" vertical="center"/>
    </xf>
    <xf numFmtId="10" fontId="17" fillId="0" borderId="73" xfId="0" applyNumberFormat="1" applyFont="1" applyBorder="1" applyAlignment="1">
      <alignment horizontal="right" vertical="center"/>
    </xf>
    <xf numFmtId="10" fontId="17" fillId="0" borderId="31" xfId="0" applyNumberFormat="1" applyFont="1" applyBorder="1" applyAlignment="1">
      <alignment horizontal="right" vertical="center"/>
    </xf>
    <xf numFmtId="41" fontId="17" fillId="24" borderId="88" xfId="0" applyNumberFormat="1" applyFont="1" applyFill="1" applyBorder="1" applyAlignment="1">
      <alignment horizontal="center" vertical="center" wrapText="1"/>
    </xf>
    <xf numFmtId="0" fontId="17" fillId="0" borderId="88" xfId="0" applyFont="1" applyBorder="1" applyAlignment="1">
      <alignment vertical="center"/>
    </xf>
    <xf numFmtId="0" fontId="17" fillId="0" borderId="88" xfId="0" applyFont="1" applyBorder="1" applyAlignment="1">
      <alignment horizontal="center" vertical="center" shrinkToFit="1"/>
    </xf>
    <xf numFmtId="0" fontId="19" fillId="0" borderId="191" xfId="0" applyFont="1" applyBorder="1" applyAlignment="1">
      <alignment horizontal="center" vertical="center" shrinkToFit="1"/>
    </xf>
    <xf numFmtId="41" fontId="19" fillId="24" borderId="191" xfId="0" applyNumberFormat="1" applyFont="1" applyFill="1" applyBorder="1" applyAlignment="1">
      <alignment horizontal="center" vertical="center"/>
    </xf>
    <xf numFmtId="41" fontId="19" fillId="24" borderId="191" xfId="1236" applyFont="1" applyFill="1" applyBorder="1" applyAlignment="1">
      <alignment horizontal="center" vertical="center"/>
    </xf>
    <xf numFmtId="0" fontId="17" fillId="0" borderId="191" xfId="0" applyFont="1" applyBorder="1" applyAlignment="1">
      <alignment vertical="center"/>
    </xf>
    <xf numFmtId="41" fontId="19" fillId="24" borderId="191" xfId="0" applyNumberFormat="1" applyFont="1" applyFill="1" applyBorder="1" applyAlignment="1">
      <alignment horizontal="center" vertical="center" wrapText="1"/>
    </xf>
    <xf numFmtId="41" fontId="74" fillId="24" borderId="346" xfId="0" applyNumberFormat="1" applyFont="1" applyFill="1" applyBorder="1" applyAlignment="1">
      <alignment horizontal="center" vertical="center" wrapText="1"/>
    </xf>
    <xf numFmtId="0" fontId="74" fillId="0" borderId="346" xfId="0" applyFont="1" applyBorder="1" applyAlignment="1">
      <alignment vertical="center"/>
    </xf>
    <xf numFmtId="41" fontId="74" fillId="24" borderId="88" xfId="0" applyNumberFormat="1" applyFont="1" applyFill="1" applyBorder="1" applyAlignment="1">
      <alignment horizontal="center" vertical="center" wrapText="1"/>
    </xf>
    <xf numFmtId="0" fontId="74" fillId="0" borderId="88" xfId="0" applyFont="1" applyBorder="1" applyAlignment="1">
      <alignment vertical="center"/>
    </xf>
    <xf numFmtId="0" fontId="17" fillId="0" borderId="88" xfId="0" applyFont="1" applyBorder="1" applyAlignment="1">
      <alignment horizontal="center" vertical="center"/>
    </xf>
    <xf numFmtId="0" fontId="54" fillId="0" borderId="96" xfId="0" applyFont="1" applyBorder="1" applyAlignment="1">
      <alignment horizontal="center" vertical="center"/>
    </xf>
    <xf numFmtId="41" fontId="19" fillId="24" borderId="16" xfId="0" applyNumberFormat="1" applyFont="1" applyFill="1" applyBorder="1" applyAlignment="1">
      <alignment horizontal="center" vertical="center"/>
    </xf>
    <xf numFmtId="10" fontId="54" fillId="24" borderId="74" xfId="0" applyNumberFormat="1" applyFont="1" applyFill="1" applyBorder="1" applyAlignment="1">
      <alignment horizontal="right" vertical="center"/>
    </xf>
    <xf numFmtId="10" fontId="54" fillId="24" borderId="364" xfId="0" applyNumberFormat="1" applyFont="1" applyFill="1" applyBorder="1" applyAlignment="1">
      <alignment horizontal="right" vertical="center"/>
    </xf>
    <xf numFmtId="0" fontId="19" fillId="24" borderId="12" xfId="0" applyFont="1" applyFill="1" applyBorder="1" applyAlignment="1">
      <alignment horizontal="center" vertical="center"/>
    </xf>
    <xf numFmtId="41" fontId="17" fillId="24" borderId="88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right" vertical="center"/>
    </xf>
    <xf numFmtId="41" fontId="54" fillId="24" borderId="71" xfId="0" applyNumberFormat="1" applyFont="1" applyFill="1" applyBorder="1" applyAlignment="1">
      <alignment horizontal="right" vertical="center"/>
    </xf>
    <xf numFmtId="41" fontId="54" fillId="24" borderId="72" xfId="0" applyNumberFormat="1" applyFont="1" applyFill="1" applyBorder="1" applyAlignment="1">
      <alignment horizontal="right" vertical="center"/>
    </xf>
    <xf numFmtId="9" fontId="54" fillId="37" borderId="26" xfId="0" applyNumberFormat="1" applyFont="1" applyFill="1" applyBorder="1" applyAlignment="1">
      <alignment horizontal="right" vertical="center"/>
    </xf>
    <xf numFmtId="9" fontId="54" fillId="37" borderId="73" xfId="0" applyNumberFormat="1" applyFont="1" applyFill="1" applyBorder="1" applyAlignment="1">
      <alignment horizontal="right" vertical="center"/>
    </xf>
    <xf numFmtId="9" fontId="54" fillId="37" borderId="31" xfId="0" applyNumberFormat="1" applyFont="1" applyFill="1" applyBorder="1" applyAlignment="1">
      <alignment horizontal="right" vertical="center"/>
    </xf>
    <xf numFmtId="41" fontId="17" fillId="24" borderId="88" xfId="1236" applyFont="1" applyFill="1" applyBorder="1" applyAlignment="1">
      <alignment horizontal="center" vertical="center"/>
    </xf>
    <xf numFmtId="41" fontId="19" fillId="24" borderId="17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vertical="center"/>
    </xf>
    <xf numFmtId="41" fontId="19" fillId="24" borderId="33" xfId="1236" applyFont="1" applyFill="1" applyBorder="1" applyAlignment="1">
      <alignment horizontal="center" vertical="center"/>
    </xf>
    <xf numFmtId="41" fontId="19" fillId="24" borderId="34" xfId="1236" applyFont="1" applyFill="1" applyBorder="1" applyAlignment="1">
      <alignment horizontal="center" vertical="center"/>
    </xf>
    <xf numFmtId="0" fontId="18" fillId="39" borderId="82" xfId="0" applyFont="1" applyFill="1" applyBorder="1" applyAlignment="1">
      <alignment horizontal="center" vertical="center"/>
    </xf>
    <xf numFmtId="0" fontId="17" fillId="39" borderId="83" xfId="0" applyFont="1" applyFill="1" applyBorder="1" applyAlignment="1">
      <alignment vertical="center"/>
    </xf>
    <xf numFmtId="0" fontId="19" fillId="24" borderId="16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8" fillId="32" borderId="38" xfId="0" applyFont="1" applyFill="1" applyBorder="1" applyAlignment="1">
      <alignment horizontal="center" vertical="center" shrinkToFit="1"/>
    </xf>
    <xf numFmtId="0" fontId="18" fillId="32" borderId="32" xfId="0" applyFont="1" applyFill="1" applyBorder="1" applyAlignment="1">
      <alignment horizontal="center" vertical="center" shrinkToFit="1"/>
    </xf>
    <xf numFmtId="0" fontId="18" fillId="32" borderId="37" xfId="0" applyFont="1" applyFill="1" applyBorder="1" applyAlignment="1">
      <alignment horizontal="center" vertical="center" shrinkToFit="1"/>
    </xf>
    <xf numFmtId="0" fontId="83" fillId="31" borderId="57" xfId="0" applyFont="1" applyFill="1" applyBorder="1" applyAlignment="1">
      <alignment horizontal="center" vertical="center"/>
    </xf>
    <xf numFmtId="0" fontId="0" fillId="31" borderId="13" xfId="0" applyFill="1" applyBorder="1" applyAlignment="1">
      <alignment vertical="center"/>
    </xf>
    <xf numFmtId="0" fontId="0" fillId="31" borderId="347" xfId="0" applyFill="1" applyBorder="1" applyAlignment="1">
      <alignment vertical="center"/>
    </xf>
    <xf numFmtId="0" fontId="89" fillId="31" borderId="297" xfId="0" applyFont="1" applyFill="1" applyBorder="1" applyAlignment="1">
      <alignment horizontal="center" vertical="center"/>
    </xf>
    <xf numFmtId="0" fontId="89" fillId="31" borderId="0" xfId="0" applyFont="1" applyFill="1" applyAlignment="1">
      <alignment horizontal="center" vertical="center"/>
    </xf>
    <xf numFmtId="0" fontId="89" fillId="31" borderId="161" xfId="0" applyFont="1" applyFill="1" applyBorder="1" applyAlignment="1">
      <alignment horizontal="center" vertical="center"/>
    </xf>
    <xf numFmtId="0" fontId="19" fillId="0" borderId="191" xfId="0" applyFont="1" applyBorder="1" applyAlignment="1">
      <alignment horizontal="center" vertical="center"/>
    </xf>
    <xf numFmtId="0" fontId="58" fillId="24" borderId="0" xfId="0" applyFont="1" applyFill="1" applyAlignment="1">
      <alignment horizontal="center" vertical="center" wrapText="1"/>
    </xf>
    <xf numFmtId="0" fontId="58" fillId="24" borderId="0" xfId="0" applyFont="1" applyFill="1" applyAlignment="1">
      <alignment horizontal="center" vertical="center"/>
    </xf>
    <xf numFmtId="9" fontId="22" fillId="0" borderId="26" xfId="0" applyNumberFormat="1" applyFont="1" applyBorder="1" applyAlignment="1">
      <alignment horizontal="right" vertical="center"/>
    </xf>
    <xf numFmtId="9" fontId="22" fillId="0" borderId="73" xfId="0" applyNumberFormat="1" applyFont="1" applyBorder="1" applyAlignment="1">
      <alignment horizontal="right" vertical="center"/>
    </xf>
    <xf numFmtId="9" fontId="22" fillId="0" borderId="31" xfId="0" applyNumberFormat="1" applyFont="1" applyBorder="1" applyAlignment="1">
      <alignment horizontal="right" vertical="center"/>
    </xf>
    <xf numFmtId="0" fontId="18" fillId="31" borderId="217" xfId="0" applyFont="1" applyFill="1" applyBorder="1" applyAlignment="1">
      <alignment horizontal="center" vertical="center"/>
    </xf>
    <xf numFmtId="0" fontId="18" fillId="31" borderId="218" xfId="0" applyFont="1" applyFill="1" applyBorder="1" applyAlignment="1">
      <alignment horizontal="center" vertical="center"/>
    </xf>
    <xf numFmtId="0" fontId="18" fillId="31" borderId="219" xfId="0" applyFont="1" applyFill="1" applyBorder="1" applyAlignment="1">
      <alignment horizontal="center" vertical="center"/>
    </xf>
    <xf numFmtId="41" fontId="19" fillId="24" borderId="17" xfId="0" applyNumberFormat="1" applyFont="1" applyFill="1" applyBorder="1" applyAlignment="1">
      <alignment horizontal="center" vertical="center" wrapText="1"/>
    </xf>
    <xf numFmtId="0" fontId="19" fillId="24" borderId="16" xfId="0" applyFont="1" applyFill="1" applyBorder="1" applyAlignment="1">
      <alignment horizontal="center" vertical="center" shrinkToFit="1"/>
    </xf>
    <xf numFmtId="0" fontId="17" fillId="0" borderId="15" xfId="0" applyFont="1" applyBorder="1" applyAlignment="1">
      <alignment vertical="center" shrinkToFit="1"/>
    </xf>
    <xf numFmtId="0" fontId="19" fillId="24" borderId="210" xfId="0" applyFont="1" applyFill="1" applyBorder="1" applyAlignment="1">
      <alignment horizontal="center" vertical="center"/>
    </xf>
    <xf numFmtId="0" fontId="17" fillId="0" borderId="81" xfId="0" applyFont="1" applyBorder="1" applyAlignment="1">
      <alignment vertical="center"/>
    </xf>
    <xf numFmtId="49" fontId="74" fillId="24" borderId="297" xfId="0" applyNumberFormat="1" applyFont="1" applyFill="1" applyBorder="1" applyAlignment="1">
      <alignment horizontal="center" vertical="center" wrapText="1"/>
    </xf>
    <xf numFmtId="49" fontId="74" fillId="24" borderId="57" xfId="0" applyNumberFormat="1" applyFont="1" applyFill="1" applyBorder="1" applyAlignment="1">
      <alignment horizontal="center" vertical="center" wrapText="1"/>
    </xf>
    <xf numFmtId="0" fontId="18" fillId="31" borderId="148" xfId="0" applyFont="1" applyFill="1" applyBorder="1" applyAlignment="1">
      <alignment horizontal="center" vertical="center"/>
    </xf>
    <xf numFmtId="0" fontId="18" fillId="31" borderId="0" xfId="0" applyFont="1" applyFill="1" applyAlignment="1">
      <alignment horizontal="center" vertical="center"/>
    </xf>
    <xf numFmtId="10" fontId="17" fillId="0" borderId="437" xfId="0" applyNumberFormat="1" applyFont="1" applyBorder="1" applyAlignment="1">
      <alignment horizontal="center" vertical="center"/>
    </xf>
    <xf numFmtId="10" fontId="17" fillId="0" borderId="438" xfId="0" applyNumberFormat="1" applyFont="1" applyBorder="1" applyAlignment="1">
      <alignment horizontal="center" vertical="center"/>
    </xf>
    <xf numFmtId="0" fontId="19" fillId="24" borderId="439" xfId="0" applyFont="1" applyFill="1" applyBorder="1" applyAlignment="1">
      <alignment horizontal="center" vertical="center" wrapText="1"/>
    </xf>
    <xf numFmtId="0" fontId="19" fillId="24" borderId="440" xfId="0" applyFont="1" applyFill="1" applyBorder="1" applyAlignment="1">
      <alignment horizontal="center" vertical="center" wrapText="1"/>
    </xf>
    <xf numFmtId="0" fontId="19" fillId="24" borderId="441" xfId="0" applyFont="1" applyFill="1" applyBorder="1" applyAlignment="1">
      <alignment horizontal="center" vertical="center" wrapText="1"/>
    </xf>
    <xf numFmtId="10" fontId="17" fillId="0" borderId="27" xfId="0" applyNumberFormat="1" applyFont="1" applyBorder="1" applyAlignment="1">
      <alignment horizontal="right" vertical="center"/>
    </xf>
    <xf numFmtId="10" fontId="17" fillId="0" borderId="74" xfId="0" applyNumberFormat="1" applyFont="1" applyBorder="1" applyAlignment="1">
      <alignment horizontal="right" vertical="center"/>
    </xf>
    <xf numFmtId="10" fontId="17" fillId="0" borderId="364" xfId="0" applyNumberFormat="1" applyFont="1" applyBorder="1" applyAlignment="1">
      <alignment horizontal="right" vertical="center"/>
    </xf>
    <xf numFmtId="0" fontId="89" fillId="32" borderId="554" xfId="0" applyFont="1" applyFill="1" applyBorder="1" applyAlignment="1">
      <alignment horizontal="center" vertical="center" wrapText="1" shrinkToFit="1"/>
    </xf>
    <xf numFmtId="0" fontId="89" fillId="32" borderId="555" xfId="0" applyFont="1" applyFill="1" applyBorder="1" applyAlignment="1">
      <alignment horizontal="center" vertical="center" wrapText="1" shrinkToFit="1"/>
    </xf>
    <xf numFmtId="0" fontId="89" fillId="32" borderId="556" xfId="0" applyFont="1" applyFill="1" applyBorder="1" applyAlignment="1">
      <alignment horizontal="center" vertical="center" wrapText="1" shrinkToFit="1"/>
    </xf>
    <xf numFmtId="9" fontId="22" fillId="0" borderId="494" xfId="0" applyNumberFormat="1" applyFont="1" applyBorder="1" applyAlignment="1">
      <alignment horizontal="right" vertical="center"/>
    </xf>
    <xf numFmtId="10" fontId="17" fillId="0" borderId="503" xfId="0" applyNumberFormat="1" applyFont="1" applyBorder="1" applyAlignment="1">
      <alignment horizontal="right" vertical="center"/>
    </xf>
    <xf numFmtId="10" fontId="17" fillId="0" borderId="368" xfId="0" applyNumberFormat="1" applyFont="1" applyBorder="1" applyAlignment="1">
      <alignment horizontal="right" vertical="center"/>
    </xf>
    <xf numFmtId="10" fontId="17" fillId="0" borderId="504" xfId="0" applyNumberFormat="1" applyFont="1" applyBorder="1" applyAlignment="1">
      <alignment horizontal="right" vertical="center"/>
    </xf>
    <xf numFmtId="10" fontId="74" fillId="0" borderId="484" xfId="0" applyNumberFormat="1" applyFont="1" applyBorder="1" applyAlignment="1">
      <alignment horizontal="right" vertical="distributed"/>
    </xf>
    <xf numFmtId="10" fontId="74" fillId="0" borderId="450" xfId="0" applyNumberFormat="1" applyFont="1" applyBorder="1" applyAlignment="1">
      <alignment horizontal="right" vertical="distributed"/>
    </xf>
    <xf numFmtId="0" fontId="89" fillId="32" borderId="147" xfId="0" applyFont="1" applyFill="1" applyBorder="1" applyAlignment="1">
      <alignment horizontal="center" vertical="center" wrapText="1" shrinkToFit="1"/>
    </xf>
    <xf numFmtId="0" fontId="89" fillId="32" borderId="374" xfId="0" applyFont="1" applyFill="1" applyBorder="1" applyAlignment="1">
      <alignment horizontal="center" vertical="center" wrapText="1" shrinkToFit="1"/>
    </xf>
    <xf numFmtId="0" fontId="18" fillId="32" borderId="489" xfId="0" applyFont="1" applyFill="1" applyBorder="1" applyAlignment="1">
      <alignment horizontal="center" vertical="center" shrinkToFit="1"/>
    </xf>
    <xf numFmtId="0" fontId="18" fillId="32" borderId="490" xfId="0" applyFont="1" applyFill="1" applyBorder="1" applyAlignment="1">
      <alignment horizontal="center" vertical="center" shrinkToFit="1"/>
    </xf>
    <xf numFmtId="0" fontId="18" fillId="32" borderId="493" xfId="0" applyFont="1" applyFill="1" applyBorder="1" applyAlignment="1">
      <alignment horizontal="center" vertical="center" shrinkToFit="1"/>
    </xf>
    <xf numFmtId="0" fontId="18" fillId="39" borderId="570" xfId="0" applyFont="1" applyFill="1" applyBorder="1" applyAlignment="1">
      <alignment horizontal="center" vertical="center"/>
    </xf>
    <xf numFmtId="0" fontId="18" fillId="39" borderId="571" xfId="0" applyFont="1" applyFill="1" applyBorder="1" applyAlignment="1">
      <alignment horizontal="center" vertical="center"/>
    </xf>
    <xf numFmtId="0" fontId="18" fillId="39" borderId="572" xfId="0" applyFont="1" applyFill="1" applyBorder="1" applyAlignment="1">
      <alignment horizontal="center" vertical="center"/>
    </xf>
    <xf numFmtId="41" fontId="19" fillId="24" borderId="220" xfId="0" applyNumberFormat="1" applyFont="1" applyFill="1" applyBorder="1" applyAlignment="1">
      <alignment horizontal="center" vertical="center" wrapText="1"/>
    </xf>
    <xf numFmtId="0" fontId="17" fillId="0" borderId="221" xfId="0" applyFont="1" applyBorder="1" applyAlignment="1">
      <alignment vertical="center"/>
    </xf>
    <xf numFmtId="10" fontId="74" fillId="0" borderId="506" xfId="0" applyNumberFormat="1" applyFont="1" applyBorder="1" applyAlignment="1">
      <alignment horizontal="right" vertical="distributed"/>
    </xf>
    <xf numFmtId="10" fontId="17" fillId="0" borderId="473" xfId="0" applyNumberFormat="1" applyFont="1" applyBorder="1" applyAlignment="1">
      <alignment horizontal="center" vertical="center"/>
    </xf>
    <xf numFmtId="10" fontId="17" fillId="0" borderId="474" xfId="0" applyNumberFormat="1" applyFont="1" applyBorder="1" applyAlignment="1">
      <alignment horizontal="center" vertical="center"/>
    </xf>
    <xf numFmtId="0" fontId="19" fillId="24" borderId="481" xfId="0" applyFont="1" applyFill="1" applyBorder="1" applyAlignment="1">
      <alignment horizontal="center" vertical="center" wrapText="1"/>
    </xf>
    <xf numFmtId="0" fontId="18" fillId="32" borderId="491" xfId="0" applyFont="1" applyFill="1" applyBorder="1" applyAlignment="1">
      <alignment horizontal="center" vertical="center" shrinkToFit="1"/>
    </xf>
    <xf numFmtId="0" fontId="19" fillId="24" borderId="480" xfId="0" applyFont="1" applyFill="1" applyBorder="1" applyAlignment="1">
      <alignment horizontal="center" vertical="center" wrapText="1"/>
    </xf>
    <xf numFmtId="49" fontId="17" fillId="24" borderId="403" xfId="0" applyNumberFormat="1" applyFont="1" applyFill="1" applyBorder="1" applyAlignment="1">
      <alignment horizontal="center" vertical="center" wrapText="1"/>
    </xf>
    <xf numFmtId="49" fontId="17" fillId="24" borderId="404" xfId="0" applyNumberFormat="1" applyFont="1" applyFill="1" applyBorder="1" applyAlignment="1">
      <alignment horizontal="center" vertical="center" wrapText="1"/>
    </xf>
    <xf numFmtId="0" fontId="54" fillId="0" borderId="215" xfId="0" applyFont="1" applyBorder="1" applyAlignment="1">
      <alignment horizontal="center" vertical="center"/>
    </xf>
    <xf numFmtId="0" fontId="17" fillId="0" borderId="443" xfId="0" applyFont="1" applyBorder="1" applyAlignment="1">
      <alignment vertical="center" shrinkToFit="1"/>
    </xf>
    <xf numFmtId="0" fontId="17" fillId="0" borderId="444" xfId="0" applyFont="1" applyBorder="1" applyAlignment="1">
      <alignment vertical="center"/>
    </xf>
    <xf numFmtId="0" fontId="17" fillId="0" borderId="445" xfId="0" applyFont="1" applyBorder="1" applyAlignment="1">
      <alignment vertical="center"/>
    </xf>
    <xf numFmtId="0" fontId="19" fillId="24" borderId="222" xfId="0" applyFont="1" applyFill="1" applyBorder="1" applyAlignment="1">
      <alignment horizontal="center" vertical="center" wrapText="1"/>
    </xf>
    <xf numFmtId="0" fontId="19" fillId="24" borderId="223" xfId="0" applyFont="1" applyFill="1" applyBorder="1" applyAlignment="1">
      <alignment horizontal="center" vertical="center" wrapText="1"/>
    </xf>
    <xf numFmtId="0" fontId="19" fillId="24" borderId="224" xfId="0" applyFont="1" applyFill="1" applyBorder="1" applyAlignment="1">
      <alignment horizontal="center" vertical="center" wrapText="1"/>
    </xf>
    <xf numFmtId="49" fontId="74" fillId="24" borderId="560" xfId="0" applyNumberFormat="1" applyFont="1" applyFill="1" applyBorder="1" applyAlignment="1">
      <alignment horizontal="center" vertical="center" wrapText="1"/>
    </xf>
    <xf numFmtId="49" fontId="74" fillId="24" borderId="383" xfId="0" applyNumberFormat="1" applyFont="1" applyFill="1" applyBorder="1" applyAlignment="1">
      <alignment horizontal="center" vertical="center" wrapText="1"/>
    </xf>
    <xf numFmtId="0" fontId="19" fillId="24" borderId="386" xfId="0" applyFont="1" applyFill="1" applyBorder="1" applyAlignment="1">
      <alignment horizontal="center" vertical="center" wrapText="1"/>
    </xf>
    <xf numFmtId="0" fontId="19" fillId="24" borderId="383" xfId="0" applyFont="1" applyFill="1" applyBorder="1" applyAlignment="1">
      <alignment horizontal="center" vertical="center" wrapText="1"/>
    </xf>
    <xf numFmtId="0" fontId="19" fillId="24" borderId="387" xfId="0" applyFont="1" applyFill="1" applyBorder="1" applyAlignment="1">
      <alignment horizontal="center" vertical="center" wrapText="1"/>
    </xf>
    <xf numFmtId="41" fontId="80" fillId="24" borderId="382" xfId="0" applyNumberFormat="1" applyFont="1" applyFill="1" applyBorder="1" applyAlignment="1">
      <alignment horizontal="center" vertical="center" wrapText="1"/>
    </xf>
    <xf numFmtId="0" fontId="80" fillId="0" borderId="382" xfId="0" applyFont="1" applyBorder="1" applyAlignment="1">
      <alignment vertical="center"/>
    </xf>
    <xf numFmtId="0" fontId="18" fillId="31" borderId="57" xfId="0" applyFont="1" applyFill="1" applyBorder="1" applyAlignment="1">
      <alignment horizontal="center" vertical="center"/>
    </xf>
    <xf numFmtId="0" fontId="54" fillId="0" borderId="268" xfId="0" applyFont="1" applyBorder="1" applyAlignment="1">
      <alignment horizontal="center" vertical="center"/>
    </xf>
    <xf numFmtId="0" fontId="54" fillId="0" borderId="191" xfId="0" applyFont="1" applyBorder="1" applyAlignment="1">
      <alignment horizontal="center" vertical="center"/>
    </xf>
    <xf numFmtId="49" fontId="19" fillId="24" borderId="405" xfId="0" applyNumberFormat="1" applyFont="1" applyFill="1" applyBorder="1" applyAlignment="1">
      <alignment horizontal="center" vertical="center" wrapText="1"/>
    </xf>
    <xf numFmtId="49" fontId="19" fillId="24" borderId="370" xfId="0" applyNumberFormat="1" applyFont="1" applyFill="1" applyBorder="1" applyAlignment="1">
      <alignment horizontal="center" vertical="center" wrapText="1"/>
    </xf>
    <xf numFmtId="41" fontId="80" fillId="24" borderId="191" xfId="0" applyNumberFormat="1" applyFont="1" applyFill="1" applyBorder="1" applyAlignment="1">
      <alignment horizontal="center" vertical="center" wrapText="1"/>
    </xf>
    <xf numFmtId="0" fontId="80" fillId="0" borderId="191" xfId="0" applyFont="1" applyBorder="1" applyAlignment="1">
      <alignment vertical="center"/>
    </xf>
    <xf numFmtId="0" fontId="50" fillId="0" borderId="561" xfId="0" applyFont="1" applyBorder="1" applyAlignment="1">
      <alignment horizontal="center" vertical="center"/>
    </xf>
    <xf numFmtId="0" fontId="50" fillId="0" borderId="349" xfId="0" applyFont="1" applyBorder="1" applyAlignment="1">
      <alignment horizontal="center" vertical="center"/>
    </xf>
    <xf numFmtId="0" fontId="50" fillId="0" borderId="562" xfId="0" applyFont="1" applyBorder="1" applyAlignment="1">
      <alignment horizontal="center" vertical="center"/>
    </xf>
    <xf numFmtId="0" fontId="18" fillId="32" borderId="365" xfId="0" applyFont="1" applyFill="1" applyBorder="1" applyAlignment="1">
      <alignment horizontal="center" vertical="center" shrinkToFit="1"/>
    </xf>
    <xf numFmtId="0" fontId="18" fillId="32" borderId="366" xfId="0" applyFont="1" applyFill="1" applyBorder="1" applyAlignment="1">
      <alignment horizontal="center" vertical="center" shrinkToFit="1"/>
    </xf>
    <xf numFmtId="0" fontId="19" fillId="0" borderId="225" xfId="0" applyFont="1" applyBorder="1" applyAlignment="1">
      <alignment horizontal="center" vertical="center" wrapText="1"/>
    </xf>
    <xf numFmtId="0" fontId="19" fillId="0" borderId="226" xfId="0" applyFont="1" applyBorder="1" applyAlignment="1">
      <alignment horizontal="center" vertical="center" wrapText="1"/>
    </xf>
    <xf numFmtId="0" fontId="19" fillId="0" borderId="227" xfId="0" applyFont="1" applyBorder="1" applyAlignment="1">
      <alignment horizontal="center" vertical="center" wrapText="1"/>
    </xf>
    <xf numFmtId="0" fontId="18" fillId="32" borderId="509" xfId="0" applyFont="1" applyFill="1" applyBorder="1" applyAlignment="1">
      <alignment horizontal="center" vertical="center" shrinkToFit="1"/>
    </xf>
    <xf numFmtId="0" fontId="18" fillId="32" borderId="510" xfId="0" applyFont="1" applyFill="1" applyBorder="1" applyAlignment="1">
      <alignment horizontal="center" vertical="center" shrinkToFit="1"/>
    </xf>
    <xf numFmtId="0" fontId="18" fillId="32" borderId="511" xfId="0" applyFont="1" applyFill="1" applyBorder="1" applyAlignment="1">
      <alignment horizontal="center" vertical="center" shrinkToFit="1"/>
    </xf>
    <xf numFmtId="0" fontId="19" fillId="0" borderId="439" xfId="0" applyFont="1" applyBorder="1" applyAlignment="1">
      <alignment horizontal="center" vertical="center" wrapText="1"/>
    </xf>
    <xf numFmtId="0" fontId="19" fillId="0" borderId="440" xfId="0" applyFont="1" applyBorder="1" applyAlignment="1">
      <alignment horizontal="center" vertical="center" wrapText="1"/>
    </xf>
    <xf numFmtId="0" fontId="19" fillId="0" borderId="553" xfId="0" applyFont="1" applyBorder="1" applyAlignment="1">
      <alignment horizontal="center" vertical="center" wrapText="1"/>
    </xf>
    <xf numFmtId="10" fontId="17" fillId="0" borderId="500" xfId="0" applyNumberFormat="1" applyFont="1" applyBorder="1" applyAlignment="1">
      <alignment horizontal="right" vertical="center"/>
    </xf>
    <xf numFmtId="0" fontId="18" fillId="32" borderId="25" xfId="0" applyFont="1" applyFill="1" applyBorder="1" applyAlignment="1">
      <alignment horizontal="center" vertical="center" shrinkToFit="1"/>
    </xf>
    <xf numFmtId="0" fontId="18" fillId="32" borderId="28" xfId="0" applyFont="1" applyFill="1" applyBorder="1" applyAlignment="1">
      <alignment horizontal="center" vertical="center" shrinkToFit="1"/>
    </xf>
    <xf numFmtId="0" fontId="51" fillId="31" borderId="145" xfId="0" applyFont="1" applyFill="1" applyBorder="1" applyAlignment="1">
      <alignment horizontal="center" vertical="center"/>
    </xf>
    <xf numFmtId="0" fontId="51" fillId="31" borderId="0" xfId="0" applyFont="1" applyFill="1" applyAlignment="1">
      <alignment horizontal="center" vertical="center"/>
    </xf>
    <xf numFmtId="0" fontId="18" fillId="32" borderId="54" xfId="1253" applyFont="1" applyFill="1" applyBorder="1" applyAlignment="1">
      <alignment horizontal="center" vertical="center" wrapText="1"/>
    </xf>
    <xf numFmtId="0" fontId="18" fillId="32" borderId="55" xfId="1253" applyFont="1" applyFill="1" applyBorder="1" applyAlignment="1">
      <alignment horizontal="center" vertical="center" wrapText="1"/>
    </xf>
    <xf numFmtId="0" fontId="18" fillId="32" borderId="56" xfId="1253" applyFont="1" applyFill="1" applyBorder="1" applyAlignment="1">
      <alignment horizontal="center" vertical="center" wrapText="1"/>
    </xf>
    <xf numFmtId="0" fontId="19" fillId="43" borderId="186" xfId="1253" applyFont="1" applyFill="1" applyBorder="1" applyAlignment="1">
      <alignment horizontal="center" vertical="center" wrapText="1"/>
    </xf>
    <xf numFmtId="0" fontId="19" fillId="43" borderId="12" xfId="1253" applyFont="1" applyFill="1" applyBorder="1" applyAlignment="1">
      <alignment horizontal="center" vertical="center" wrapText="1"/>
    </xf>
    <xf numFmtId="0" fontId="19" fillId="43" borderId="97" xfId="1253" applyFont="1" applyFill="1" applyBorder="1" applyAlignment="1">
      <alignment horizontal="center" vertical="center" wrapText="1"/>
    </xf>
    <xf numFmtId="0" fontId="80" fillId="42" borderId="53" xfId="1253" applyFont="1" applyFill="1" applyBorder="1" applyAlignment="1">
      <alignment horizontal="center" vertical="center" wrapText="1"/>
    </xf>
    <xf numFmtId="0" fontId="80" fillId="42" borderId="11" xfId="1253" applyFont="1" applyFill="1" applyBorder="1" applyAlignment="1">
      <alignment horizontal="center" vertical="center" wrapText="1"/>
    </xf>
    <xf numFmtId="0" fontId="80" fillId="42" borderId="186" xfId="1253" applyFont="1" applyFill="1" applyBorder="1" applyAlignment="1">
      <alignment horizontal="center" vertical="center" wrapText="1"/>
    </xf>
    <xf numFmtId="0" fontId="80" fillId="55" borderId="54" xfId="0" applyFont="1" applyFill="1" applyBorder="1" applyAlignment="1">
      <alignment horizontal="center" vertical="center"/>
    </xf>
    <xf numFmtId="0" fontId="80" fillId="55" borderId="55" xfId="0" applyFont="1" applyFill="1" applyBorder="1" applyAlignment="1">
      <alignment horizontal="center" vertical="center"/>
    </xf>
    <xf numFmtId="0" fontId="80" fillId="55" borderId="56" xfId="0" applyFont="1" applyFill="1" applyBorder="1" applyAlignment="1">
      <alignment horizontal="center" vertical="center"/>
    </xf>
    <xf numFmtId="0" fontId="18" fillId="34" borderId="54" xfId="1253" applyFont="1" applyFill="1" applyBorder="1" applyAlignment="1">
      <alignment horizontal="center" vertical="center" wrapText="1"/>
    </xf>
    <xf numFmtId="0" fontId="18" fillId="34" borderId="55" xfId="1253" applyFont="1" applyFill="1" applyBorder="1" applyAlignment="1">
      <alignment horizontal="center" vertical="center" wrapText="1"/>
    </xf>
    <xf numFmtId="0" fontId="18" fillId="34" borderId="56" xfId="1253" applyFont="1" applyFill="1" applyBorder="1" applyAlignment="1">
      <alignment horizontal="center" vertical="center" wrapText="1"/>
    </xf>
    <xf numFmtId="0" fontId="27" fillId="24" borderId="297" xfId="0" applyFont="1" applyFill="1" applyBorder="1" applyAlignment="1">
      <alignment horizontal="center" vertical="center" wrapText="1"/>
    </xf>
    <xf numFmtId="0" fontId="27" fillId="24" borderId="297" xfId="0" applyFont="1" applyFill="1" applyBorder="1" applyAlignment="1">
      <alignment horizontal="center" vertical="center"/>
    </xf>
    <xf numFmtId="180" fontId="19" fillId="37" borderId="0" xfId="0" applyNumberFormat="1" applyFont="1" applyFill="1" applyAlignment="1">
      <alignment horizontal="left" vertical="center"/>
    </xf>
    <xf numFmtId="0" fontId="51" fillId="31" borderId="12" xfId="0" applyFont="1" applyFill="1" applyBorder="1" applyAlignment="1">
      <alignment horizontal="center" vertical="center"/>
    </xf>
    <xf numFmtId="0" fontId="18" fillId="34" borderId="139" xfId="1253" applyFont="1" applyFill="1" applyBorder="1" applyAlignment="1">
      <alignment horizontal="center" vertical="center" wrapText="1"/>
    </xf>
    <xf numFmtId="0" fontId="18" fillId="34" borderId="140" xfId="1253" applyFont="1" applyFill="1" applyBorder="1" applyAlignment="1">
      <alignment horizontal="center" vertical="center" wrapText="1"/>
    </xf>
    <xf numFmtId="0" fontId="18" fillId="34" borderId="141" xfId="1253" applyFont="1" applyFill="1" applyBorder="1" applyAlignment="1">
      <alignment horizontal="center" vertical="center" wrapText="1"/>
    </xf>
    <xf numFmtId="0" fontId="19" fillId="42" borderId="12" xfId="1253" applyFont="1" applyFill="1" applyBorder="1" applyAlignment="1">
      <alignment horizontal="center" vertical="center" wrapText="1"/>
    </xf>
    <xf numFmtId="0" fontId="19" fillId="43" borderId="132" xfId="1253" applyFont="1" applyFill="1" applyBorder="1" applyAlignment="1">
      <alignment horizontal="center" vertical="center" wrapText="1"/>
    </xf>
    <xf numFmtId="0" fontId="18" fillId="34" borderId="106" xfId="1253" applyFont="1" applyFill="1" applyBorder="1" applyAlignment="1">
      <alignment horizontal="center" vertical="center" wrapText="1"/>
    </xf>
    <xf numFmtId="0" fontId="18" fillId="34" borderId="107" xfId="1253" applyFont="1" applyFill="1" applyBorder="1" applyAlignment="1">
      <alignment horizontal="center" vertical="center" wrapText="1"/>
    </xf>
    <xf numFmtId="0" fontId="18" fillId="34" borderId="108" xfId="1253" applyFont="1" applyFill="1" applyBorder="1" applyAlignment="1">
      <alignment horizontal="center" vertical="center" wrapText="1"/>
    </xf>
    <xf numFmtId="0" fontId="18" fillId="34" borderId="128" xfId="1253" applyFont="1" applyFill="1" applyBorder="1" applyAlignment="1">
      <alignment horizontal="center" vertical="center" wrapText="1"/>
    </xf>
    <xf numFmtId="0" fontId="18" fillId="34" borderId="129" xfId="1253" applyFont="1" applyFill="1" applyBorder="1" applyAlignment="1">
      <alignment horizontal="center" vertical="center" wrapText="1"/>
    </xf>
    <xf numFmtId="0" fontId="18" fillId="34" borderId="130" xfId="1253" applyFont="1" applyFill="1" applyBorder="1" applyAlignment="1">
      <alignment horizontal="center" vertical="center" wrapText="1"/>
    </xf>
    <xf numFmtId="0" fontId="19" fillId="35" borderId="131" xfId="1253" applyFont="1" applyFill="1" applyBorder="1" applyAlignment="1">
      <alignment horizontal="center" vertical="center" wrapText="1"/>
    </xf>
    <xf numFmtId="0" fontId="19" fillId="35" borderId="12" xfId="1253" applyFont="1" applyFill="1" applyBorder="1" applyAlignment="1">
      <alignment horizontal="center" vertical="center" wrapText="1"/>
    </xf>
    <xf numFmtId="0" fontId="19" fillId="35" borderId="132" xfId="1253" applyFont="1" applyFill="1" applyBorder="1" applyAlignment="1">
      <alignment horizontal="center" vertical="center" wrapText="1"/>
    </xf>
    <xf numFmtId="0" fontId="19" fillId="35" borderId="109" xfId="1253" applyFont="1" applyFill="1" applyBorder="1" applyAlignment="1">
      <alignment horizontal="center" vertical="center" wrapText="1"/>
    </xf>
    <xf numFmtId="0" fontId="19" fillId="35" borderId="105" xfId="1253" applyFont="1" applyFill="1" applyBorder="1" applyAlignment="1">
      <alignment horizontal="center" vertical="center" wrapText="1"/>
    </xf>
    <xf numFmtId="0" fontId="19" fillId="35" borderId="110" xfId="1253" applyFont="1" applyFill="1" applyBorder="1" applyAlignment="1">
      <alignment horizontal="center" vertical="center" wrapText="1"/>
    </xf>
    <xf numFmtId="0" fontId="18" fillId="34" borderId="153" xfId="1253" applyFont="1" applyFill="1" applyBorder="1" applyAlignment="1">
      <alignment horizontal="center" vertical="center" wrapText="1"/>
    </xf>
    <xf numFmtId="0" fontId="18" fillId="34" borderId="154" xfId="1253" applyFont="1" applyFill="1" applyBorder="1" applyAlignment="1">
      <alignment horizontal="center" vertical="center" wrapText="1"/>
    </xf>
    <xf numFmtId="174" fontId="18" fillId="34" borderId="154" xfId="1253" applyNumberFormat="1" applyFont="1" applyFill="1" applyBorder="1" applyAlignment="1">
      <alignment horizontal="center" vertical="center" wrapText="1"/>
    </xf>
    <xf numFmtId="0" fontId="18" fillId="34" borderId="159" xfId="1253" applyFont="1" applyFill="1" applyBorder="1" applyAlignment="1">
      <alignment horizontal="center" vertical="center" wrapText="1"/>
    </xf>
    <xf numFmtId="0" fontId="51" fillId="31" borderId="348" xfId="0" applyFont="1" applyFill="1" applyBorder="1" applyAlignment="1">
      <alignment horizontal="center" vertical="center"/>
    </xf>
    <xf numFmtId="0" fontId="51" fillId="31" borderId="349" xfId="0" applyFont="1" applyFill="1" applyBorder="1" applyAlignment="1">
      <alignment horizontal="center" vertical="center"/>
    </xf>
    <xf numFmtId="0" fontId="51" fillId="31" borderId="271" xfId="0" applyFont="1" applyFill="1" applyBorder="1" applyAlignment="1">
      <alignment horizontal="center" vertical="center"/>
    </xf>
    <xf numFmtId="174" fontId="19" fillId="35" borderId="12" xfId="1253" applyNumberFormat="1" applyFont="1" applyFill="1" applyBorder="1" applyAlignment="1">
      <alignment horizontal="center" vertical="center" wrapText="1"/>
    </xf>
    <xf numFmtId="0" fontId="19" fillId="35" borderId="97" xfId="1253" applyFont="1" applyFill="1" applyBorder="1" applyAlignment="1">
      <alignment horizontal="center" vertical="center" wrapText="1"/>
    </xf>
    <xf numFmtId="0" fontId="18" fillId="34" borderId="212" xfId="1253" applyFont="1" applyFill="1" applyBorder="1" applyAlignment="1">
      <alignment horizontal="center" vertical="center" wrapText="1"/>
    </xf>
    <xf numFmtId="0" fontId="18" fillId="34" borderId="155" xfId="1253" applyFont="1" applyFill="1" applyBorder="1" applyAlignment="1">
      <alignment horizontal="center" vertical="center" wrapText="1"/>
    </xf>
    <xf numFmtId="0" fontId="18" fillId="34" borderId="156" xfId="1253" applyFont="1" applyFill="1" applyBorder="1" applyAlignment="1">
      <alignment horizontal="center" vertical="center" wrapText="1"/>
    </xf>
    <xf numFmtId="0" fontId="18" fillId="34" borderId="157" xfId="1253" applyFont="1" applyFill="1" applyBorder="1" applyAlignment="1">
      <alignment horizontal="center" vertical="center" wrapText="1"/>
    </xf>
    <xf numFmtId="174" fontId="18" fillId="34" borderId="157" xfId="1253" applyNumberFormat="1" applyFont="1" applyFill="1" applyBorder="1" applyAlignment="1">
      <alignment horizontal="center" vertical="center" wrapText="1"/>
    </xf>
    <xf numFmtId="0" fontId="18" fillId="34" borderId="158" xfId="1253" applyFont="1" applyFill="1" applyBorder="1" applyAlignment="1">
      <alignment horizontal="center" vertical="center" wrapText="1"/>
    </xf>
    <xf numFmtId="174" fontId="19" fillId="35" borderId="105" xfId="1253" applyNumberFormat="1" applyFont="1" applyFill="1" applyBorder="1" applyAlignment="1">
      <alignment horizontal="center" vertical="center" wrapText="1"/>
    </xf>
    <xf numFmtId="0" fontId="19" fillId="42" borderId="29" xfId="1253" applyFont="1" applyFill="1" applyBorder="1" applyAlignment="1">
      <alignment horizontal="center" vertical="center" wrapText="1"/>
    </xf>
    <xf numFmtId="0" fontId="19" fillId="42" borderId="45" xfId="1253" applyFont="1" applyFill="1" applyBorder="1" applyAlignment="1">
      <alignment horizontal="center" vertical="center" wrapText="1"/>
    </xf>
    <xf numFmtId="0" fontId="19" fillId="42" borderId="44" xfId="1253" applyFont="1" applyFill="1" applyBorder="1" applyAlignment="1">
      <alignment horizontal="center" vertical="center" wrapText="1"/>
    </xf>
    <xf numFmtId="0" fontId="19" fillId="42" borderId="33" xfId="1253" applyFont="1" applyFill="1" applyBorder="1" applyAlignment="1">
      <alignment horizontal="center" vertical="center" wrapText="1"/>
    </xf>
    <xf numFmtId="0" fontId="19" fillId="42" borderId="30" xfId="1253" applyFont="1" applyFill="1" applyBorder="1" applyAlignment="1">
      <alignment horizontal="center" vertical="center" wrapText="1"/>
    </xf>
    <xf numFmtId="0" fontId="19" fillId="42" borderId="34" xfId="1253" applyFont="1" applyFill="1" applyBorder="1" applyAlignment="1">
      <alignment horizontal="center" vertical="center" wrapText="1"/>
    </xf>
    <xf numFmtId="0" fontId="18" fillId="34" borderId="151" xfId="1253" applyFont="1" applyFill="1" applyBorder="1" applyAlignment="1">
      <alignment horizontal="center" vertical="center" wrapText="1"/>
    </xf>
    <xf numFmtId="0" fontId="18" fillId="34" borderId="152" xfId="1253" applyFont="1" applyFill="1" applyBorder="1" applyAlignment="1">
      <alignment horizontal="center" vertical="center" wrapText="1"/>
    </xf>
    <xf numFmtId="0" fontId="18" fillId="34" borderId="183" xfId="1253" applyFont="1" applyFill="1" applyBorder="1" applyAlignment="1">
      <alignment horizontal="center" vertical="center" wrapText="1"/>
    </xf>
    <xf numFmtId="0" fontId="19" fillId="43" borderId="258" xfId="1253" applyFont="1" applyFill="1" applyBorder="1" applyAlignment="1">
      <alignment horizontal="center" vertical="center" wrapText="1"/>
    </xf>
    <xf numFmtId="0" fontId="19" fillId="43" borderId="259" xfId="1253" applyFont="1" applyFill="1" applyBorder="1" applyAlignment="1">
      <alignment horizontal="center" vertical="center" wrapText="1"/>
    </xf>
    <xf numFmtId="0" fontId="19" fillId="43" borderId="260" xfId="1253" applyFont="1" applyFill="1" applyBorder="1" applyAlignment="1">
      <alignment horizontal="center" vertical="center" wrapText="1"/>
    </xf>
    <xf numFmtId="0" fontId="51" fillId="31" borderId="395" xfId="0" applyFont="1" applyFill="1" applyBorder="1" applyAlignment="1">
      <alignment horizontal="center" vertical="center"/>
    </xf>
    <xf numFmtId="0" fontId="51" fillId="31" borderId="396" xfId="0" applyFont="1" applyFill="1" applyBorder="1" applyAlignment="1">
      <alignment horizontal="center" vertical="center"/>
    </xf>
    <xf numFmtId="0" fontId="51" fillId="31" borderId="397" xfId="0" applyFont="1" applyFill="1" applyBorder="1" applyAlignment="1">
      <alignment horizontal="center" vertical="center"/>
    </xf>
    <xf numFmtId="0" fontId="18" fillId="34" borderId="181" xfId="1253" applyFont="1" applyFill="1" applyBorder="1" applyAlignment="1">
      <alignment horizontal="center" vertical="center" wrapText="1"/>
    </xf>
    <xf numFmtId="0" fontId="19" fillId="35" borderId="45" xfId="1253" applyFont="1" applyFill="1" applyBorder="1" applyAlignment="1">
      <alignment horizontal="center" vertical="center" wrapText="1"/>
    </xf>
    <xf numFmtId="0" fontId="19" fillId="35" borderId="164" xfId="1253" applyFont="1" applyFill="1" applyBorder="1" applyAlignment="1">
      <alignment horizontal="center" vertical="center" wrapText="1"/>
    </xf>
    <xf numFmtId="0" fontId="18" fillId="34" borderId="180" xfId="1253" applyFont="1" applyFill="1" applyBorder="1" applyAlignment="1">
      <alignment horizontal="center" vertical="center" wrapText="1"/>
    </xf>
    <xf numFmtId="0" fontId="19" fillId="35" borderId="46" xfId="1253" applyFont="1" applyFill="1" applyBorder="1" applyAlignment="1">
      <alignment horizontal="center" vertical="center" wrapText="1"/>
    </xf>
    <xf numFmtId="0" fontId="19" fillId="35" borderId="206" xfId="1253" applyFont="1" applyFill="1" applyBorder="1" applyAlignment="1">
      <alignment horizontal="center" vertical="center" wrapText="1"/>
    </xf>
    <xf numFmtId="0" fontId="19" fillId="35" borderId="233" xfId="1253" applyFont="1" applyFill="1" applyBorder="1" applyAlignment="1">
      <alignment horizontal="center" vertical="center" wrapText="1"/>
    </xf>
    <xf numFmtId="0" fontId="19" fillId="35" borderId="273" xfId="1253" applyFont="1" applyFill="1" applyBorder="1" applyAlignment="1">
      <alignment horizontal="center" vertical="center" wrapText="1"/>
    </xf>
    <xf numFmtId="0" fontId="19" fillId="35" borderId="63" xfId="1253" applyFont="1" applyFill="1" applyBorder="1" applyAlignment="1">
      <alignment horizontal="center" vertical="center" wrapText="1"/>
    </xf>
    <xf numFmtId="0" fontId="19" fillId="35" borderId="191" xfId="1253" applyFont="1" applyFill="1" applyBorder="1" applyAlignment="1">
      <alignment horizontal="center" vertical="center" wrapText="1"/>
    </xf>
    <xf numFmtId="0" fontId="19" fillId="35" borderId="64" xfId="1253" applyFont="1" applyFill="1" applyBorder="1" applyAlignment="1">
      <alignment horizontal="center" vertical="center" wrapText="1"/>
    </xf>
    <xf numFmtId="0" fontId="19" fillId="35" borderId="231" xfId="1253" applyFont="1" applyFill="1" applyBorder="1" applyAlignment="1">
      <alignment horizontal="center" vertical="center" wrapText="1"/>
    </xf>
    <xf numFmtId="0" fontId="19" fillId="42" borderId="262" xfId="1253" applyFont="1" applyFill="1" applyBorder="1" applyAlignment="1">
      <alignment horizontal="center" vertical="center" wrapText="1"/>
    </xf>
    <xf numFmtId="0" fontId="19" fillId="42" borderId="263" xfId="1253" applyFont="1" applyFill="1" applyBorder="1" applyAlignment="1">
      <alignment horizontal="center" vertical="center" wrapText="1"/>
    </xf>
    <xf numFmtId="0" fontId="19" fillId="42" borderId="264" xfId="1253" applyFont="1" applyFill="1" applyBorder="1" applyAlignment="1">
      <alignment horizontal="center" vertical="center" wrapText="1"/>
    </xf>
    <xf numFmtId="0" fontId="18" fillId="34" borderId="176" xfId="1253" applyFont="1" applyFill="1" applyBorder="1" applyAlignment="1">
      <alignment horizontal="center" vertical="center" wrapText="1"/>
    </xf>
    <xf numFmtId="0" fontId="18" fillId="34" borderId="177" xfId="1253" applyFont="1" applyFill="1" applyBorder="1" applyAlignment="1">
      <alignment horizontal="center" vertical="center" wrapText="1"/>
    </xf>
    <xf numFmtId="0" fontId="18" fillId="34" borderId="178" xfId="1253" applyFont="1" applyFill="1" applyBorder="1" applyAlignment="1">
      <alignment horizontal="center" vertical="center" wrapText="1"/>
    </xf>
    <xf numFmtId="0" fontId="18" fillId="34" borderId="179" xfId="1253" applyFont="1" applyFill="1" applyBorder="1" applyAlignment="1">
      <alignment horizontal="center" vertical="center" wrapText="1"/>
    </xf>
    <xf numFmtId="0" fontId="97" fillId="51" borderId="301" xfId="0" applyFont="1" applyFill="1" applyBorder="1" applyAlignment="1">
      <alignment vertical="center" readingOrder="1"/>
    </xf>
    <xf numFmtId="0" fontId="97" fillId="51" borderId="302" xfId="0" applyFont="1" applyFill="1" applyBorder="1" applyAlignment="1">
      <alignment vertical="center" readingOrder="1"/>
    </xf>
    <xf numFmtId="0" fontId="105" fillId="50" borderId="301" xfId="0" applyFont="1" applyFill="1" applyBorder="1" applyAlignment="1">
      <alignment vertical="center" wrapText="1" readingOrder="1"/>
    </xf>
    <xf numFmtId="0" fontId="105" fillId="50" borderId="573" xfId="0" applyFont="1" applyFill="1" applyBorder="1" applyAlignment="1">
      <alignment vertical="center" wrapText="1" readingOrder="1"/>
    </xf>
    <xf numFmtId="0" fontId="105" fillId="50" borderId="302" xfId="0" applyFont="1" applyFill="1" applyBorder="1" applyAlignment="1">
      <alignment vertical="center" wrapText="1" readingOrder="1"/>
    </xf>
    <xf numFmtId="0" fontId="104" fillId="58" borderId="301" xfId="0" applyFont="1" applyFill="1" applyBorder="1" applyAlignment="1">
      <alignment vertical="center" readingOrder="1"/>
    </xf>
    <xf numFmtId="0" fontId="104" fillId="58" borderId="302" xfId="0" applyFont="1" applyFill="1" applyBorder="1" applyAlignment="1">
      <alignment vertical="center" readingOrder="1"/>
    </xf>
    <xf numFmtId="0" fontId="104" fillId="50" borderId="301" xfId="0" applyFont="1" applyFill="1" applyBorder="1" applyAlignment="1">
      <alignment vertical="center" wrapText="1" readingOrder="1"/>
    </xf>
    <xf numFmtId="0" fontId="104" fillId="50" borderId="573" xfId="0" applyFont="1" applyFill="1" applyBorder="1" applyAlignment="1">
      <alignment vertical="center" wrapText="1" readingOrder="1"/>
    </xf>
    <xf numFmtId="0" fontId="104" fillId="50" borderId="302" xfId="0" applyFont="1" applyFill="1" applyBorder="1" applyAlignment="1">
      <alignment vertical="center" wrapText="1" readingOrder="1"/>
    </xf>
    <xf numFmtId="0" fontId="105" fillId="50" borderId="301" xfId="0" applyFont="1" applyFill="1" applyBorder="1" applyAlignment="1">
      <alignment vertical="center" readingOrder="1"/>
    </xf>
    <xf numFmtId="0" fontId="105" fillId="50" borderId="573" xfId="0" applyFont="1" applyFill="1" applyBorder="1" applyAlignment="1">
      <alignment vertical="center" readingOrder="1"/>
    </xf>
    <xf numFmtId="0" fontId="105" fillId="50" borderId="302" xfId="0" applyFont="1" applyFill="1" applyBorder="1" applyAlignment="1">
      <alignment vertical="center" readingOrder="1"/>
    </xf>
    <xf numFmtId="0" fontId="104" fillId="50" borderId="301" xfId="0" applyFont="1" applyFill="1" applyBorder="1" applyAlignment="1">
      <alignment vertical="center" readingOrder="1"/>
    </xf>
    <xf numFmtId="0" fontId="104" fillId="50" borderId="573" xfId="0" applyFont="1" applyFill="1" applyBorder="1" applyAlignment="1">
      <alignment vertical="center" readingOrder="1"/>
    </xf>
    <xf numFmtId="0" fontId="104" fillId="50" borderId="302" xfId="0" applyFont="1" applyFill="1" applyBorder="1" applyAlignment="1">
      <alignment vertical="center" readingOrder="1"/>
    </xf>
    <xf numFmtId="0" fontId="97" fillId="51" borderId="333" xfId="0" applyFont="1" applyFill="1" applyBorder="1" applyAlignment="1">
      <alignment vertical="center" readingOrder="1"/>
    </xf>
    <xf numFmtId="0" fontId="104" fillId="51" borderId="301" xfId="0" applyFont="1" applyFill="1" applyBorder="1" applyAlignment="1">
      <alignment vertical="center" readingOrder="1"/>
    </xf>
    <xf numFmtId="0" fontId="104" fillId="51" borderId="302" xfId="0" applyFont="1" applyFill="1" applyBorder="1" applyAlignment="1">
      <alignment vertical="center" readingOrder="1"/>
    </xf>
    <xf numFmtId="41" fontId="19" fillId="24" borderId="246" xfId="1253" applyNumberFormat="1" applyFont="1" applyFill="1" applyBorder="1" applyAlignment="1">
      <alignment horizontal="center" vertical="center" wrapText="1"/>
    </xf>
    <xf numFmtId="41" fontId="19" fillId="24" borderId="245" xfId="1253" applyNumberFormat="1" applyFont="1" applyFill="1" applyBorder="1" applyAlignment="1">
      <alignment horizontal="center" vertical="center" wrapText="1"/>
    </xf>
    <xf numFmtId="41" fontId="19" fillId="24" borderId="265" xfId="1253" applyNumberFormat="1" applyFont="1" applyFill="1" applyBorder="1" applyAlignment="1">
      <alignment horizontal="center" vertical="center" wrapText="1"/>
    </xf>
    <xf numFmtId="41" fontId="19" fillId="24" borderId="195" xfId="1253" applyNumberFormat="1" applyFont="1" applyFill="1" applyBorder="1" applyAlignment="1">
      <alignment horizontal="center" vertical="center" wrapText="1"/>
    </xf>
    <xf numFmtId="41" fontId="19" fillId="24" borderId="193" xfId="1253" applyNumberFormat="1" applyFont="1" applyFill="1" applyBorder="1" applyAlignment="1">
      <alignment horizontal="center" vertical="center" wrapText="1"/>
    </xf>
    <xf numFmtId="41" fontId="19" fillId="24" borderId="194" xfId="1253" applyNumberFormat="1" applyFont="1" applyFill="1" applyBorder="1" applyAlignment="1">
      <alignment horizontal="center" vertical="center" wrapText="1"/>
    </xf>
    <xf numFmtId="41" fontId="19" fillId="24" borderId="54" xfId="1253" applyNumberFormat="1" applyFont="1" applyFill="1" applyBorder="1" applyAlignment="1">
      <alignment horizontal="center" vertical="center" wrapText="1"/>
    </xf>
    <xf numFmtId="41" fontId="19" fillId="24" borderId="55" xfId="1253" applyNumberFormat="1" applyFont="1" applyFill="1" applyBorder="1" applyAlignment="1">
      <alignment horizontal="center" vertical="center" wrapText="1"/>
    </xf>
    <xf numFmtId="41" fontId="19" fillId="24" borderId="56" xfId="1253" applyNumberFormat="1" applyFont="1" applyFill="1" applyBorder="1" applyAlignment="1">
      <alignment horizontal="center" vertical="center" wrapText="1"/>
    </xf>
    <xf numFmtId="41" fontId="19" fillId="24" borderId="192" xfId="1253" applyNumberFormat="1" applyFont="1" applyFill="1" applyBorder="1" applyAlignment="1">
      <alignment horizontal="center" vertical="center" wrapText="1"/>
    </xf>
    <xf numFmtId="189" fontId="70" fillId="45" borderId="282" xfId="3535" applyNumberFormat="1" applyFont="1" applyFill="1" applyBorder="1" applyAlignment="1">
      <alignment horizontal="center" vertical="center" wrapText="1"/>
    </xf>
    <xf numFmtId="0" fontId="71" fillId="0" borderId="331" xfId="3535" applyFont="1" applyBorder="1" applyAlignment="1">
      <alignment vertical="center"/>
    </xf>
    <xf numFmtId="0" fontId="71" fillId="0" borderId="532" xfId="3535" applyFont="1" applyBorder="1" applyAlignment="1">
      <alignment vertical="center"/>
    </xf>
    <xf numFmtId="0" fontId="72" fillId="52" borderId="12" xfId="3535" applyFont="1" applyFill="1" applyBorder="1" applyAlignment="1">
      <alignment horizontal="center" vertical="center" wrapText="1"/>
    </xf>
    <xf numFmtId="0" fontId="71" fillId="38" borderId="12" xfId="3535" applyFont="1" applyFill="1" applyBorder="1" applyAlignment="1">
      <alignment vertical="center"/>
    </xf>
  </cellXfs>
  <cellStyles count="3538">
    <cellStyle name="_050930_넥슨제라_디킴스_애드클릭v2" xfId="1"/>
    <cellStyle name="_050930_넥슨제라_디킴스_애드클릭v3" xfId="2"/>
    <cellStyle name="_051012_넥슨빅샷_디킴스_애드클릭v1" xfId="3"/>
    <cellStyle name="_051013_넥슨빅샷_디킴스_애드클릭v1" xfId="4"/>
    <cellStyle name="_051018_넥슨빅샷_디킴스_애드클릭_내부용" xfId="5"/>
    <cellStyle name="_051019_넥슨빅샷_디킴스_애드클릭_내부용" xfId="6"/>
    <cellStyle name="_060213_현대해상하이카_이노션" xfId="1390"/>
    <cellStyle name="_060213_현대해상하이카_이노션_060214_현대해상하이카_믹스 및 플랜" xfId="1391"/>
    <cellStyle name="_060213_현대해상하이카_이노션_060214_현대해상하이카_믹스 및 플랜_060721_하나커피카드_Media Mix" xfId="1392"/>
    <cellStyle name="_060213_현대해상하이카_이노션_060214_현대해상하이카_믹스 및 플랜_060721_하나커피카드_Media Mix_070125_르노삼성(SM5)_Media Mix_NAS(작업전)" xfId="1393"/>
    <cellStyle name="_060213_현대해상하이카_이노션_060214_현대해상하이카_믹스 및 플랜_060721_하나커피카드_Media Mix_070125_르노삼성(SM5)_Media Mix_NAS(작업전)_070131_르노삼성(SM3)_Media Mix_NAS" xfId="1394"/>
    <cellStyle name="_060213_현대해상하이카_이노션_060214_현대해상하이카_믹스 및 플랜_060721_하나커피카드_Media Mix_070125_르노삼성(SM5)_Media Mix_NAS(작업전)_070131_르노삼성(SM3)_Media Mix_NAS_070214_KT_Media Mix_NAS_지나" xfId="1395"/>
    <cellStyle name="_060213_현대해상하이카_이노션_060214_현대해상하이카_믹스 및 플랜_060721_하나커피카드_Media Mix_070125_르노삼성(SM5)_Media Mix_NAS(작업전)_070131_르노삼성(SM5)_Media Mix_NAS(ver5)" xfId="139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" xfId="139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" xfId="139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139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140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140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140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140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" xfId="140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140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140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140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140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140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" xfId="141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141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141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141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141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141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" xfId="141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141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141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141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142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142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" xfId="142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0912_르노삼성QMX" xfId="142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142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142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142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142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" xfId="142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142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143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" xfId="143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" xfId="143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" xfId="143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" xfId="143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" xfId="143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" xfId="143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" xfId="143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" xfId="143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143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144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" xfId="144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" xfId="144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" xfId="144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" xfId="144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144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1446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" xfId="1447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" xfId="1448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" xfId="1449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" xfId="1450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" xfId="1451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1452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" xfId="1453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" xfId="1454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" xfId="1455"/>
    <cellStyle name="_060213_현대해상하이카_이노션_060214_현대해상하이카_믹스 및 플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" xfId="1456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" xfId="1457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0912_르노삼성QMX" xfId="1458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1_RSM_SM7_10월 미디어믹스 제안_최종" xfId="1459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004_RSM_SM7_10월 미디어믹스 제안" xfId="1460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2_RSM_QMX_11월 미디어믹스 제안" xfId="1461"/>
    <cellStyle name="_060213_현대해상하이카_이노션_060214_현대해상하이카_믹스 및 플랜_060721_하나커피카드_Media Mix_070125_르노삼성(SM5)_Media Mix_NAS(작업전)_070131_르노삼성(SM5)_Media Mix_NAS(ver5)_070322_르노삼성H45_4월 캠페인_Media Mix_NAS_071106_RSM_QMX_11월 미디어믹스 제안(수정)" xfId="1462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" xfId="1463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0912_르노삼성QMX" xfId="1464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1_RSM_SM7_10월 미디어믹스 제안_최종" xfId="1465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004_RSM_SM7_10월 미디어믹스 제안" xfId="1466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2_RSM_QMX_11월 미디어믹스 제안" xfId="1467"/>
    <cellStyle name="_060213_현대해상하이카_이노션_060214_현대해상하이카_믹스 및 플랜_060721_하나커피카드_Media Mix_070125_르노삼성(SM5)_Media Mix_NAS(작업전)_070131_르노삼성(SM5)_Media Mix_NAS(ver5)_070326_르노삼성H45_4월 캠페인_Media Mix_NAS_071106_RSM_QMX_11월 미디어믹스 제안(수정)" xfId="1468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" xfId="1469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0912_르노삼성QMX" xfId="1470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1_RSM_SM7_10월 미디어믹스 제안_최종" xfId="1471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004_RSM_SM7_10월 미디어믹스 제안" xfId="1472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2_RSM_QMX_11월 미디어믹스 제안" xfId="1473"/>
    <cellStyle name="_060213_현대해상하이카_이노션_060214_현대해상하이카_믹스 및 플랜_060721_하나커피카드_Media Mix_070125_르노삼성(SM5)_Media Mix_NAS(작업전)_070131_르노삼성(SM5)_Media Mix_NAS(ver5)_070327_르노삼성H45_4월 캠페인_Media Mix_NAS_071106_RSM_QMX_11월 미디어믹스 제안(수정)" xfId="1474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" xfId="1475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0912_르노삼성QMX" xfId="1476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1_RSM_SM7_10월 미디어믹스 제안_최종" xfId="1477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004_RSM_SM7_10월 미디어믹스 제안" xfId="1478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2_RSM_QMX_11월 미디어믹스 제안" xfId="1479"/>
    <cellStyle name="_060213_현대해상하이카_이노션_060214_현대해상하이카_믹스 및 플랜_060721_하나커피카드_Media Mix_070125_르노삼성(SM5)_Media Mix_NAS(작업전)_070131_르노삼성(SM5)_Media Mix_NAS(ver5)_070328_르노삼성H45_4월 캠페인_Media Mix_NAS_071106_RSM_QMX_11월 미디어믹스 제안(수정)" xfId="1480"/>
    <cellStyle name="_060213_현대해상하이카_이노션_060214_현대해상하이카_믹스 및 플랜_060721_하나커피카드_Media Mix_070125_르노삼성(SM5)_Media Mix_NAS(작업전)_070131_르노삼성(SM5)_Media Mix_NAS(ver5)_070403_르노삼성QMX_Media Mix_NAS" xfId="1481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0912_르노삼성QMX" xfId="1482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1_RSM_SM7_10월 미디어믹스 제안_최종" xfId="1483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004_RSM_SM7_10월 미디어믹스 제안" xfId="1484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2_RSM_QMX_11월 미디어믹스 제안" xfId="1485"/>
    <cellStyle name="_060213_현대해상하이카_이노션_060214_현대해상하이카_믹스 및 플랜_060721_하나커피카드_Media Mix_070125_르노삼성(SM5)_Media Mix_NAS(작업전)_070131_르노삼성(SM5)_Media Mix_NAS(ver5)_070403_르노삼성QMX_Media Mix_NAS_071106_RSM_QMX_11월 미디어믹스 제안(수정)" xfId="1486"/>
    <cellStyle name="_060213_현대해상하이카_이노션_060214_현대해상하이카_믹스 및 플랜_060721_하나커피카드_Media Mix_070125_르노삼성(SM5)_Media Mix_NAS(작업전)_070201_르노삼성(SM5)_Media Mix_NAS(최종)" xfId="148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" xfId="148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" xfId="148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149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149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149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149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149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" xfId="149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149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149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149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149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150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" xfId="150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150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150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150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150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150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" xfId="150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150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150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151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151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151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" xfId="151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0912_르노삼성QMX" xfId="151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151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151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151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151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" xfId="151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152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152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" xfId="152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" xfId="152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" xfId="152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" xfId="152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152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152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" xfId="152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" xfId="152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" xfId="153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" xfId="153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153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153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" xfId="153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" xfId="153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" xfId="153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" xfId="153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153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1539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" xfId="1540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" xfId="1541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" xfId="1542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" xfId="1543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" xfId="1544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1545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" xfId="1546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1547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1548"/>
    <cellStyle name="_060213_현대해상하이카_이노션_060214_현대해상하이카_믹스 및 플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" xfId="1549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" xfId="1550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0912_르노삼성QMX" xfId="1551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1_RSM_SM7_10월 미디어믹스 제안_최종" xfId="1552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004_RSM_SM7_10월 미디어믹스 제안" xfId="1553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2_RSM_QMX_11월 미디어믹스 제안" xfId="1554"/>
    <cellStyle name="_060213_현대해상하이카_이노션_060214_현대해상하이카_믹스 및 플랜_060721_하나커피카드_Media Mix_070125_르노삼성(SM5)_Media Mix_NAS(작업전)_070201_르노삼성(SM5)_Media Mix_NAS(최종)_070322_르노삼성H45_4월 캠페인_Media Mix_NAS_071106_RSM_QMX_11월 미디어믹스 제안(수정)" xfId="1555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" xfId="1556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0912_르노삼성QMX" xfId="1557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1_RSM_SM7_10월 미디어믹스 제안_최종" xfId="1558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004_RSM_SM7_10월 미디어믹스 제안" xfId="1559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2_RSM_QMX_11월 미디어믹스 제안" xfId="1560"/>
    <cellStyle name="_060213_현대해상하이카_이노션_060214_현대해상하이카_믹스 및 플랜_060721_하나커피카드_Media Mix_070125_르노삼성(SM5)_Media Mix_NAS(작업전)_070201_르노삼성(SM5)_Media Mix_NAS(최종)_070326_르노삼성H45_4월 캠페인_Media Mix_NAS_071106_RSM_QMX_11월 미디어믹스 제안(수정)" xfId="1561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" xfId="1562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0912_르노삼성QMX" xfId="1563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1_RSM_SM7_10월 미디어믹스 제안_최종" xfId="1564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004_RSM_SM7_10월 미디어믹스 제안" xfId="1565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2_RSM_QMX_11월 미디어믹스 제안" xfId="1566"/>
    <cellStyle name="_060213_현대해상하이카_이노션_060214_현대해상하이카_믹스 및 플랜_060721_하나커피카드_Media Mix_070125_르노삼성(SM5)_Media Mix_NAS(작업전)_070201_르노삼성(SM5)_Media Mix_NAS(최종)_070327_르노삼성H45_4월 캠페인_Media Mix_NAS_071106_RSM_QMX_11월 미디어믹스 제안(수정)" xfId="1567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" xfId="1568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0912_르노삼성QMX" xfId="1569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1_RSM_SM7_10월 미디어믹스 제안_최종" xfId="1570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004_RSM_SM7_10월 미디어믹스 제안" xfId="1571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2_RSM_QMX_11월 미디어믹스 제안" xfId="1572"/>
    <cellStyle name="_060213_현대해상하이카_이노션_060214_현대해상하이카_믹스 및 플랜_060721_하나커피카드_Media Mix_070125_르노삼성(SM5)_Media Mix_NAS(작업전)_070201_르노삼성(SM5)_Media Mix_NAS(최종)_070328_르노삼성H45_4월 캠페인_Media Mix_NAS_071106_RSM_QMX_11월 미디어믹스 제안(수정)" xfId="1573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" xfId="1574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0912_르노삼성QMX" xfId="1575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1_RSM_SM7_10월 미디어믹스 제안_최종" xfId="1576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004_RSM_SM7_10월 미디어믹스 제안" xfId="1577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2_RSM_QMX_11월 미디어믹스 제안" xfId="1578"/>
    <cellStyle name="_060213_현대해상하이카_이노션_060214_현대해상하이카_믹스 및 플랜_060721_하나커피카드_Media Mix_070125_르노삼성(SM5)_Media Mix_NAS(작업전)_070201_르노삼성(SM5)_Media Mix_NAS(최종)_070403_르노삼성QMX_Media Mix_NAS_071106_RSM_QMX_11월 미디어믹스 제안(수정)" xfId="1579"/>
    <cellStyle name="_060213_현대해상하이카_이노션_060214_현대해상하이카_믹스 및 플랜_060721_하나커피카드_Media Mix_070125_르노삼성(SM5)_Media Mix_NAS(작업전)_070322_르노삼성H45_4월 캠페인_Media Mix_NAS" xfId="1580"/>
    <cellStyle name="_060213_현대해상하이카_이노션_060214_현대해상하이카_믹스 및 플랜_060721_하나커피카드_Media Mix_070125_르노삼성(SM5)_Media Mix_NAS(작업전)_070322_르노삼성H45_4월 캠페인_Media Mix_NAS_070912_르노삼성QMX" xfId="1581"/>
    <cellStyle name="_060213_현대해상하이카_이노션_060214_현대해상하이카_믹스 및 플랜_060721_하나커피카드_Media Mix_070125_르노삼성(SM5)_Media Mix_NAS(작업전)_070322_르노삼성H45_4월 캠페인_Media Mix_NAS_071001_RSM_SM7_10월 미디어믹스 제안_최종" xfId="1582"/>
    <cellStyle name="_060213_현대해상하이카_이노션_060214_현대해상하이카_믹스 및 플랜_060721_하나커피카드_Media Mix_070125_르노삼성(SM5)_Media Mix_NAS(작업전)_070322_르노삼성H45_4월 캠페인_Media Mix_NAS_071004_RSM_SM7_10월 미디어믹스 제안" xfId="1583"/>
    <cellStyle name="_060213_현대해상하이카_이노션_060214_현대해상하이카_믹스 및 플랜_060721_하나커피카드_Media Mix_070125_르노삼성(SM5)_Media Mix_NAS(작업전)_070322_르노삼성H45_4월 캠페인_Media Mix_NAS_071102_RSM_QMX_11월 미디어믹스 제안" xfId="1584"/>
    <cellStyle name="_060213_현대해상하이카_이노션_060214_현대해상하이카_믹스 및 플랜_060721_하나커피카드_Media Mix_070125_르노삼성(SM5)_Media Mix_NAS(작업전)_070322_르노삼성H45_4월 캠페인_Media Mix_NAS_071106_RSM_QMX_11월 미디어믹스 제안(수정)" xfId="1585"/>
    <cellStyle name="_060213_현대해상하이카_이노션_060214_현대해상하이카_믹스 및 플랜_060721_하나커피카드_Media Mix_070125_르노삼성(SM5)_Media Mix_NAS(작업전)_070326_르노삼성H45_4월 캠페인_Media Mix_NAS" xfId="1586"/>
    <cellStyle name="_060213_현대해상하이카_이노션_060214_현대해상하이카_믹스 및 플랜_060721_하나커피카드_Media Mix_070125_르노삼성(SM5)_Media Mix_NAS(작업전)_070326_르노삼성H45_4월 캠페인_Media Mix_NAS_070912_르노삼성QMX" xfId="1587"/>
    <cellStyle name="_060213_현대해상하이카_이노션_060214_현대해상하이카_믹스 및 플랜_060721_하나커피카드_Media Mix_070125_르노삼성(SM5)_Media Mix_NAS(작업전)_070326_르노삼성H45_4월 캠페인_Media Mix_NAS_071001_RSM_SM7_10월 미디어믹스 제안_최종" xfId="1588"/>
    <cellStyle name="_060213_현대해상하이카_이노션_060214_현대해상하이카_믹스 및 플랜_060721_하나커피카드_Media Mix_070125_르노삼성(SM5)_Media Mix_NAS(작업전)_070326_르노삼성H45_4월 캠페인_Media Mix_NAS_071004_RSM_SM7_10월 미디어믹스 제안" xfId="1589"/>
    <cellStyle name="_060213_현대해상하이카_이노션_060214_현대해상하이카_믹스 및 플랜_060721_하나커피카드_Media Mix_070125_르노삼성(SM5)_Media Mix_NAS(작업전)_070326_르노삼성H45_4월 캠페인_Media Mix_NAS_071102_RSM_QMX_11월 미디어믹스 제안" xfId="1590"/>
    <cellStyle name="_060213_현대해상하이카_이노션_060214_현대해상하이카_믹스 및 플랜_060721_하나커피카드_Media Mix_070125_르노삼성(SM5)_Media Mix_NAS(작업전)_070326_르노삼성H45_4월 캠페인_Media Mix_NAS_071106_RSM_QMX_11월 미디어믹스 제안(수정)" xfId="1591"/>
    <cellStyle name="_060213_현대해상하이카_이노션_060214_현대해상하이카_믹스 및 플랜_060721_하나커피카드_Media Mix_070125_르노삼성(SM5)_Media Mix_NAS(작업전)_070327_르노삼성H45_4월 캠페인_Media Mix_NAS" xfId="1592"/>
    <cellStyle name="_060213_현대해상하이카_이노션_060214_현대해상하이카_믹스 및 플랜_060721_하나커피카드_Media Mix_070125_르노삼성(SM5)_Media Mix_NAS(작업전)_070327_르노삼성H45_4월 캠페인_Media Mix_NAS_070912_르노삼성QMX" xfId="1593"/>
    <cellStyle name="_060213_현대해상하이카_이노션_060214_현대해상하이카_믹스 및 플랜_060721_하나커피카드_Media Mix_070125_르노삼성(SM5)_Media Mix_NAS(작업전)_070327_르노삼성H45_4월 캠페인_Media Mix_NAS_071001_RSM_SM7_10월 미디어믹스 제안_최종" xfId="1594"/>
    <cellStyle name="_060213_현대해상하이카_이노션_060214_현대해상하이카_믹스 및 플랜_060721_하나커피카드_Media Mix_070125_르노삼성(SM5)_Media Mix_NAS(작업전)_070327_르노삼성H45_4월 캠페인_Media Mix_NAS_071004_RSM_SM7_10월 미디어믹스 제안" xfId="1595"/>
    <cellStyle name="_060213_현대해상하이카_이노션_060214_현대해상하이카_믹스 및 플랜_060721_하나커피카드_Media Mix_070125_르노삼성(SM5)_Media Mix_NAS(작업전)_070327_르노삼성H45_4월 캠페인_Media Mix_NAS_071102_RSM_QMX_11월 미디어믹스 제안" xfId="1596"/>
    <cellStyle name="_060213_현대해상하이카_이노션_060214_현대해상하이카_믹스 및 플랜_060721_하나커피카드_Media Mix_070125_르노삼성(SM5)_Media Mix_NAS(작업전)_070327_르노삼성H45_4월 캠페인_Media Mix_NAS_071106_RSM_QMX_11월 미디어믹스 제안(수정)" xfId="1597"/>
    <cellStyle name="_060213_현대해상하이카_이노션_060214_현대해상하이카_믹스 및 플랜_060721_하나커피카드_Media Mix_070125_르노삼성(SM5)_Media Mix_NAS(작업전)_070328_르노삼성H45_4월 캠페인_Media Mix_NAS" xfId="1598"/>
    <cellStyle name="_060213_현대해상하이카_이노션_060214_현대해상하이카_믹스 및 플랜_060721_하나커피카드_Media Mix_070125_르노삼성(SM5)_Media Mix_NAS(작업전)_070328_르노삼성H45_4월 캠페인_Media Mix_NAS_070912_르노삼성QMX" xfId="1599"/>
    <cellStyle name="_060213_현대해상하이카_이노션_060214_현대해상하이카_믹스 및 플랜_060721_하나커피카드_Media Mix_070125_르노삼성(SM5)_Media Mix_NAS(작업전)_070328_르노삼성H45_4월 캠페인_Media Mix_NAS_071001_RSM_SM7_10월 미디어믹스 제안_최종" xfId="1600"/>
    <cellStyle name="_060213_현대해상하이카_이노션_060214_현대해상하이카_믹스 및 플랜_060721_하나커피카드_Media Mix_070125_르노삼성(SM5)_Media Mix_NAS(작업전)_070328_르노삼성H45_4월 캠페인_Media Mix_NAS_071004_RSM_SM7_10월 미디어믹스 제안" xfId="1601"/>
    <cellStyle name="_060213_현대해상하이카_이노션_060214_현대해상하이카_믹스 및 플랜_060721_하나커피카드_Media Mix_070125_르노삼성(SM5)_Media Mix_NAS(작업전)_070328_르노삼성H45_4월 캠페인_Media Mix_NAS_071102_RSM_QMX_11월 미디어믹스 제안" xfId="1602"/>
    <cellStyle name="_060213_현대해상하이카_이노션_060214_현대해상하이카_믹스 및 플랜_060721_하나커피카드_Media Mix_070125_르노삼성(SM5)_Media Mix_NAS(작업전)_070328_르노삼성H45_4월 캠페인_Media Mix_NAS_071106_RSM_QMX_11월 미디어믹스 제안(수정)" xfId="1603"/>
    <cellStyle name="_060213_현대해상하이카_이노션_060214_현대해상하이카_믹스 및 플랜_060721_하나커피카드_Media Mix_070125_르노삼성(SM5)_Media Mix_NAS(작업전)_070403_르노삼성QMX_Media Mix_NAS" xfId="1604"/>
    <cellStyle name="_060213_현대해상하이카_이노션_060214_현대해상하이카_믹스 및 플랜_060721_하나커피카드_Media Mix_070125_르노삼성(SM5)_Media Mix_NAS(작업전)_070403_르노삼성QMX_Media Mix_NAS_070912_르노삼성QMX" xfId="1605"/>
    <cellStyle name="_060213_현대해상하이카_이노션_060214_현대해상하이카_믹스 및 플랜_060721_하나커피카드_Media Mix_070125_르노삼성(SM5)_Media Mix_NAS(작업전)_070403_르노삼성QMX_Media Mix_NAS_071001_RSM_SM7_10월 미디어믹스 제안_최종" xfId="1606"/>
    <cellStyle name="_060213_현대해상하이카_이노션_060214_현대해상하이카_믹스 및 플랜_060721_하나커피카드_Media Mix_070125_르노삼성(SM5)_Media Mix_NAS(작업전)_070403_르노삼성QMX_Media Mix_NAS_071004_RSM_SM7_10월 미디어믹스 제안" xfId="1607"/>
    <cellStyle name="_060213_현대해상하이카_이노션_060214_현대해상하이카_믹스 및 플랜_060721_하나커피카드_Media Mix_070125_르노삼성(SM5)_Media Mix_NAS(작업전)_070403_르노삼성QMX_Media Mix_NAS_071102_RSM_QMX_11월 미디어믹스 제안" xfId="1608"/>
    <cellStyle name="_060213_현대해상하이카_이노션_060214_현대해상하이카_믹스 및 플랜_060721_하나커피카드_Media Mix_070125_르노삼성(SM5)_Media Mix_NAS(작업전)_070403_르노삼성QMX_Media Mix_NAS_071106_RSM_QMX_11월 미디어믹스 제안(수정)" xfId="1609"/>
    <cellStyle name="_060213_현대해상하이카_이노션_060214_현대해상하이카_믹스 및 플랜_060721_하나커피카드_Media Mix_070125_르노삼성(SM5)_Media Mix_NAS(작업전)_르노삼성 믹스종합_070214" xfId="1610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" xfId="1611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0912_르노삼성QMX" xfId="1612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1_RSM_SM7_10월 미디어믹스 제안_최종" xfId="1613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004_RSM_SM7_10월 미디어믹스 제안" xfId="1614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2_RSM_QMX_11월 미디어믹스 제안" xfId="1615"/>
    <cellStyle name="_060213_현대해상하이카_이노션_060214_현대해상하이카_믹스 및 플랜_060721_하나커피카드_Media Mix_070125_르노삼성(SM5)_Media Mix_NAS(작업전)_르노삼성 믹스종합_070214_070322_르노삼성H45_4월 캠페인_Media Mix_NAS_071106_RSM_QMX_11월 미디어믹스 제안(수정)" xfId="1616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" xfId="1617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0912_르노삼성QMX" xfId="1618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1_RSM_SM7_10월 미디어믹스 제안_최종" xfId="1619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004_RSM_SM7_10월 미디어믹스 제안" xfId="1620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2_RSM_QMX_11월 미디어믹스 제안" xfId="1621"/>
    <cellStyle name="_060213_현대해상하이카_이노션_060214_현대해상하이카_믹스 및 플랜_060721_하나커피카드_Media Mix_070125_르노삼성(SM5)_Media Mix_NAS(작업전)_르노삼성 믹스종합_070214_070326_르노삼성H45_4월 캠페인_Media Mix_NAS_071106_RSM_QMX_11월 미디어믹스 제안(수정)" xfId="1622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" xfId="1623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0912_르노삼성QMX" xfId="1624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1_RSM_SM7_10월 미디어믹스 제안_최종" xfId="1625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004_RSM_SM7_10월 미디어믹스 제안" xfId="1626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2_RSM_QMX_11월 미디어믹스 제안" xfId="1627"/>
    <cellStyle name="_060213_현대해상하이카_이노션_060214_현대해상하이카_믹스 및 플랜_060721_하나커피카드_Media Mix_070125_르노삼성(SM5)_Media Mix_NAS(작업전)_르노삼성 믹스종합_070214_070327_르노삼성H45_4월 캠페인_Media Mix_NAS_071106_RSM_QMX_11월 미디어믹스 제안(수정)" xfId="1628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" xfId="1629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0912_르노삼성QMX" xfId="1630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1_RSM_SM7_10월 미디어믹스 제안_최종" xfId="1631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004_RSM_SM7_10월 미디어믹스 제안" xfId="1632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2_RSM_QMX_11월 미디어믹스 제안" xfId="1633"/>
    <cellStyle name="_060213_현대해상하이카_이노션_060214_현대해상하이카_믹스 및 플랜_060721_하나커피카드_Media Mix_070125_르노삼성(SM5)_Media Mix_NAS(작업전)_르노삼성 믹스종합_070214_070328_르노삼성H45_4월 캠페인_Media Mix_NAS_071106_RSM_QMX_11월 미디어믹스 제안(수정)" xfId="1634"/>
    <cellStyle name="_060213_현대해상하이카_이노션_060214_현대해상하이카_믹스 및 플랜_060721_하나커피카드_Media Mix_070125_르노삼성(SM5)_Media Mix_NAS(작업전)_르노삼성 믹스종합_070214_070403_르노삼성QMX_Media Mix_NAS" xfId="1635"/>
    <cellStyle name="_060213_현대해상하이카_이노션_060214_현대해상하이카_믹스 및 플랜_060721_하나커피카드_Media Mix_070125_르노삼성(SM5)_Media Mix_NAS(작업전)_르노삼성 믹스종합_070214_070403_르노삼성QMX_Media Mix_NAS_070912_르노삼성QMX" xfId="1636"/>
    <cellStyle name="_060213_현대해상하이카_이노션_060214_현대해상하이카_믹스 및 플랜_060721_하나커피카드_Media Mix_070125_르노삼성(SM5)_Media Mix_NAS(작업전)_르노삼성 믹스종합_070214_070403_르노삼성QMX_Media Mix_NAS_071001_RSM_SM7_10월 미디어믹스 제안_최종" xfId="1637"/>
    <cellStyle name="_060213_현대해상하이카_이노션_060214_현대해상하이카_믹스 및 플랜_060721_하나커피카드_Media Mix_070125_르노삼성(SM5)_Media Mix_NAS(작업전)_르노삼성 믹스종합_070214_070403_르노삼성QMX_Media Mix_NAS_071004_RSM_SM7_10월 미디어믹스 제안" xfId="1638"/>
    <cellStyle name="_060213_현대해상하이카_이노션_060214_현대해상하이카_믹스 및 플랜_060721_하나커피카드_Media Mix_070125_르노삼성(SM5)_Media Mix_NAS(작업전)_르노삼성 믹스종합_070214_070403_르노삼성QMX_Media Mix_NAS_071102_RSM_QMX_11월 미디어믹스 제안" xfId="1639"/>
    <cellStyle name="_060213_현대해상하이카_이노션_060214_현대해상하이카_믹스 및 플랜_060721_하나커피카드_Media Mix_070125_르노삼성(SM5)_Media Mix_NAS(작업전)_르노삼성 믹스종합_070214_070403_르노삼성QMX_Media Mix_NAS_071106_RSM_QMX_11월 미디어믹스 제안(수정)" xfId="1640"/>
    <cellStyle name="_060213_현대해상하이카_이노션_060214_현대해상하이카_믹스 및 플랜_060721_하나커피카드_Media Mix_070202_르노삼성(SM5)_Media Mix_NAS(최종)_스케쥴표 포함" xfId="1641"/>
    <cellStyle name="_060213_현대해상하이카_이노션_060214_현대해상하이카_믹스 및 플랜_060721_하나커피카드_Media Mix_070202_르노삼성(SM5)_Media Mix_NAS(최종)_스케쥴표 포함_070322_르노삼성H45_4월 캠페인_Media Mix_NAS" xfId="1642"/>
    <cellStyle name="_060213_현대해상하이카_이노션_060214_현대해상하이카_믹스 및 플랜_060721_하나커피카드_Media Mix_070202_르노삼성(SM5)_Media Mix_NAS(최종)_스케쥴표 포함_070322_르노삼성H45_4월 캠페인_Media Mix_NAS_070912_르노삼성QMX" xfId="1643"/>
    <cellStyle name="_060213_현대해상하이카_이노션_060214_현대해상하이카_믹스 및 플랜_060721_하나커피카드_Media Mix_070202_르노삼성(SM5)_Media Mix_NAS(최종)_스케쥴표 포함_070322_르노삼성H45_4월 캠페인_Media Mix_NAS_071001_RSM_SM7_10월 미디어믹스 제안_최종" xfId="1644"/>
    <cellStyle name="_060213_현대해상하이카_이노션_060214_현대해상하이카_믹스 및 플랜_060721_하나커피카드_Media Mix_070202_르노삼성(SM5)_Media Mix_NAS(최종)_스케쥴표 포함_070322_르노삼성H45_4월 캠페인_Media Mix_NAS_071004_RSM_SM7_10월 미디어믹스 제안" xfId="1645"/>
    <cellStyle name="_060213_현대해상하이카_이노션_060214_현대해상하이카_믹스 및 플랜_060721_하나커피카드_Media Mix_070202_르노삼성(SM5)_Media Mix_NAS(최종)_스케쥴표 포함_070322_르노삼성H45_4월 캠페인_Media Mix_NAS_071102_RSM_QMX_11월 미디어믹스 제안" xfId="1646"/>
    <cellStyle name="_060213_현대해상하이카_이노션_060214_현대해상하이카_믹스 및 플랜_060721_하나커피카드_Media Mix_070202_르노삼성(SM5)_Media Mix_NAS(최종)_스케쥴표 포함_070322_르노삼성H45_4월 캠페인_Media Mix_NAS_071106_RSM_QMX_11월 미디어믹스 제안(수정)" xfId="1647"/>
    <cellStyle name="_060213_현대해상하이카_이노션_060214_현대해상하이카_믹스 및 플랜_060721_하나커피카드_Media Mix_070202_르노삼성(SM5)_Media Mix_NAS(최종)_스케쥴표 포함_070326_르노삼성H45_4월 캠페인_Media Mix_NAS" xfId="1648"/>
    <cellStyle name="_060213_현대해상하이카_이노션_060214_현대해상하이카_믹스 및 플랜_060721_하나커피카드_Media Mix_070202_르노삼성(SM5)_Media Mix_NAS(최종)_스케쥴표 포함_070326_르노삼성H45_4월 캠페인_Media Mix_NAS_070912_르노삼성QMX" xfId="1649"/>
    <cellStyle name="_060213_현대해상하이카_이노션_060214_현대해상하이카_믹스 및 플랜_060721_하나커피카드_Media Mix_070202_르노삼성(SM5)_Media Mix_NAS(최종)_스케쥴표 포함_070326_르노삼성H45_4월 캠페인_Media Mix_NAS_071001_RSM_SM7_10월 미디어믹스 제안_최종" xfId="1650"/>
    <cellStyle name="_060213_현대해상하이카_이노션_060214_현대해상하이카_믹스 및 플랜_060721_하나커피카드_Media Mix_070202_르노삼성(SM5)_Media Mix_NAS(최종)_스케쥴표 포함_070326_르노삼성H45_4월 캠페인_Media Mix_NAS_071004_RSM_SM7_10월 미디어믹스 제안" xfId="1651"/>
    <cellStyle name="_060213_현대해상하이카_이노션_060214_현대해상하이카_믹스 및 플랜_060721_하나커피카드_Media Mix_070202_르노삼성(SM5)_Media Mix_NAS(최종)_스케쥴표 포함_070326_르노삼성H45_4월 캠페인_Media Mix_NAS_071102_RSM_QMX_11월 미디어믹스 제안" xfId="1652"/>
    <cellStyle name="_060213_현대해상하이카_이노션_060214_현대해상하이카_믹스 및 플랜_060721_하나커피카드_Media Mix_070202_르노삼성(SM5)_Media Mix_NAS(최종)_스케쥴표 포함_070326_르노삼성H45_4월 캠페인_Media Mix_NAS_071106_RSM_QMX_11월 미디어믹스 제안(수정)" xfId="1653"/>
    <cellStyle name="_060213_현대해상하이카_이노션_060214_현대해상하이카_믹스 및 플랜_060721_하나커피카드_Media Mix_070202_르노삼성(SM5)_Media Mix_NAS(최종)_스케쥴표 포함_070327_르노삼성H45_4월 캠페인_Media Mix_NAS" xfId="1654"/>
    <cellStyle name="_060213_현대해상하이카_이노션_060214_현대해상하이카_믹스 및 플랜_060721_하나커피카드_Media Mix_070202_르노삼성(SM5)_Media Mix_NAS(최종)_스케쥴표 포함_070327_르노삼성H45_4월 캠페인_Media Mix_NAS_070912_르노삼성QMX" xfId="1655"/>
    <cellStyle name="_060213_현대해상하이카_이노션_060214_현대해상하이카_믹스 및 플랜_060721_하나커피카드_Media Mix_070202_르노삼성(SM5)_Media Mix_NAS(최종)_스케쥴표 포함_070327_르노삼성H45_4월 캠페인_Media Mix_NAS_071001_RSM_SM7_10월 미디어믹스 제안_최종" xfId="1656"/>
    <cellStyle name="_060213_현대해상하이카_이노션_060214_현대해상하이카_믹스 및 플랜_060721_하나커피카드_Media Mix_070202_르노삼성(SM5)_Media Mix_NAS(최종)_스케쥴표 포함_070327_르노삼성H45_4월 캠페인_Media Mix_NAS_071004_RSM_SM7_10월 미디어믹스 제안" xfId="1657"/>
    <cellStyle name="_060213_현대해상하이카_이노션_060214_현대해상하이카_믹스 및 플랜_060721_하나커피카드_Media Mix_070202_르노삼성(SM5)_Media Mix_NAS(최종)_스케쥴표 포함_070327_르노삼성H45_4월 캠페인_Media Mix_NAS_071102_RSM_QMX_11월 미디어믹스 제안" xfId="1658"/>
    <cellStyle name="_060213_현대해상하이카_이노션_060214_현대해상하이카_믹스 및 플랜_060721_하나커피카드_Media Mix_070202_르노삼성(SM5)_Media Mix_NAS(최종)_스케쥴표 포함_070327_르노삼성H45_4월 캠페인_Media Mix_NAS_071106_RSM_QMX_11월 미디어믹스 제안(수정)" xfId="1659"/>
    <cellStyle name="_060213_현대해상하이카_이노션_060214_현대해상하이카_믹스 및 플랜_060721_하나커피카드_Media Mix_070202_르노삼성(SM5)_Media Mix_NAS(최종)_스케쥴표 포함_070328_르노삼성H45_4월 캠페인_Media Mix_NAS" xfId="1660"/>
    <cellStyle name="_060213_현대해상하이카_이노션_060214_현대해상하이카_믹스 및 플랜_060721_하나커피카드_Media Mix_070202_르노삼성(SM5)_Media Mix_NAS(최종)_스케쥴표 포함_070328_르노삼성H45_4월 캠페인_Media Mix_NAS_070912_르노삼성QMX" xfId="1661"/>
    <cellStyle name="_060213_현대해상하이카_이노션_060214_현대해상하이카_믹스 및 플랜_060721_하나커피카드_Media Mix_070202_르노삼성(SM5)_Media Mix_NAS(최종)_스케쥴표 포함_070328_르노삼성H45_4월 캠페인_Media Mix_NAS_071001_RSM_SM7_10월 미디어믹스 제안_최종" xfId="1662"/>
    <cellStyle name="_060213_현대해상하이카_이노션_060214_현대해상하이카_믹스 및 플랜_060721_하나커피카드_Media Mix_070202_르노삼성(SM5)_Media Mix_NAS(최종)_스케쥴표 포함_070328_르노삼성H45_4월 캠페인_Media Mix_NAS_071004_RSM_SM7_10월 미디어믹스 제안" xfId="1663"/>
    <cellStyle name="_060213_현대해상하이카_이노션_060214_현대해상하이카_믹스 및 플랜_060721_하나커피카드_Media Mix_070202_르노삼성(SM5)_Media Mix_NAS(최종)_스케쥴표 포함_070328_르노삼성H45_4월 캠페인_Media Mix_NAS_071102_RSM_QMX_11월 미디어믹스 제안" xfId="1664"/>
    <cellStyle name="_060213_현대해상하이카_이노션_060214_현대해상하이카_믹스 및 플랜_060721_하나커피카드_Media Mix_070202_르노삼성(SM5)_Media Mix_NAS(최종)_스케쥴표 포함_070328_르노삼성H45_4월 캠페인_Media Mix_NAS_071106_RSM_QMX_11월 미디어믹스 제안(수정)" xfId="1665"/>
    <cellStyle name="_060213_현대해상하이카_이노션_060214_현대해상하이카_믹스 및 플랜_060721_하나커피카드_Media Mix_070202_르노삼성(SM5)_Media Mix_NAS(최종)_스케쥴표 포함_070403_르노삼성QMX_Media Mix_NAS" xfId="1666"/>
    <cellStyle name="_060213_현대해상하이카_이노션_060214_현대해상하이카_믹스 및 플랜_060721_하나커피카드_Media Mix_070202_르노삼성(SM5)_Media Mix_NAS(최종)_스케쥴표 포함_070403_르노삼성QMX_Media Mix_NAS_070912_르노삼성QMX" xfId="1667"/>
    <cellStyle name="_060213_현대해상하이카_이노션_060214_현대해상하이카_믹스 및 플랜_060721_하나커피카드_Media Mix_070202_르노삼성(SM5)_Media Mix_NAS(최종)_스케쥴표 포함_070403_르노삼성QMX_Media Mix_NAS_071001_RSM_SM7_10월 미디어믹스 제안_최종" xfId="1668"/>
    <cellStyle name="_060213_현대해상하이카_이노션_060214_현대해상하이카_믹스 및 플랜_060721_하나커피카드_Media Mix_070202_르노삼성(SM5)_Media Mix_NAS(최종)_스케쥴표 포함_070403_르노삼성QMX_Media Mix_NAS_071004_RSM_SM7_10월 미디어믹스 제안" xfId="1669"/>
    <cellStyle name="_060213_현대해상하이카_이노션_060214_현대해상하이카_믹스 및 플랜_060721_하나커피카드_Media Mix_070202_르노삼성(SM5)_Media Mix_NAS(최종)_스케쥴표 포함_070403_르노삼성QMX_Media Mix_NAS_071102_RSM_QMX_11월 미디어믹스 제안" xfId="1670"/>
    <cellStyle name="_060213_현대해상하이카_이노션_060214_현대해상하이카_믹스 및 플랜_060721_하나커피카드_Media Mix_070202_르노삼성(SM5)_Media Mix_NAS(최종)_스케쥴표 포함_070403_르노삼성QMX_Media Mix_NAS_071106_RSM_QMX_11월 미디어믹스 제안(수정)" xfId="1671"/>
    <cellStyle name="_060213_현대해상하이카_이노션_060214_현대해상하이카_믹스 및 플랜_060721_하나커피카드_Media Mix_070202_르노삼성(SM5)_Media Mix_NAS(최종)_스케쥴표 포함_르노삼성 믹스종합_070214" xfId="1672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" xfId="1673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0912_르노삼성QMX" xfId="1674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1_RSM_SM7_10월 미디어믹스 제안_최종" xfId="1675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004_RSM_SM7_10월 미디어믹스 제안" xfId="1676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2_RSM_QMX_11월 미디어믹스 제안" xfId="1677"/>
    <cellStyle name="_060213_현대해상하이카_이노션_060214_현대해상하이카_믹스 및 플랜_060721_하나커피카드_Media Mix_070202_르노삼성(SM5)_Media Mix_NAS(최종)_스케쥴표 포함_르노삼성 믹스종합_070214_070322_르노삼성H45_4월 캠페인_Media Mix_NAS_071106_RSM_QMX_11월 미디어믹스 제안(수정)" xfId="1678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" xfId="1679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0912_르노삼성QMX" xfId="1680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1_RSM_SM7_10월 미디어믹스 제안_최종" xfId="1681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004_RSM_SM7_10월 미디어믹스 제안" xfId="1682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2_RSM_QMX_11월 미디어믹스 제안" xfId="1683"/>
    <cellStyle name="_060213_현대해상하이카_이노션_060214_현대해상하이카_믹스 및 플랜_060721_하나커피카드_Media Mix_070202_르노삼성(SM5)_Media Mix_NAS(최종)_스케쥴표 포함_르노삼성 믹스종합_070214_070326_르노삼성H45_4월 캠페인_Media Mix_NAS_071106_RSM_QMX_11월 미디어믹스 제안(수정)" xfId="1684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" xfId="1685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0912_르노삼성QMX" xfId="1686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1_RSM_SM7_10월 미디어믹스 제안_최종" xfId="1687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004_RSM_SM7_10월 미디어믹스 제안" xfId="1688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2_RSM_QMX_11월 미디어믹스 제안" xfId="1689"/>
    <cellStyle name="_060213_현대해상하이카_이노션_060214_현대해상하이카_믹스 및 플랜_060721_하나커피카드_Media Mix_070202_르노삼성(SM5)_Media Mix_NAS(최종)_스케쥴표 포함_르노삼성 믹스종합_070214_070327_르노삼성H45_4월 캠페인_Media Mix_NAS_071106_RSM_QMX_11월 미디어믹스 제안(수정)" xfId="1690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" xfId="1691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0912_르노삼성QMX" xfId="1692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1_RSM_SM7_10월 미디어믹스 제안_최종" xfId="1693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004_RSM_SM7_10월 미디어믹스 제안" xfId="1694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2_RSM_QMX_11월 미디어믹스 제안" xfId="1695"/>
    <cellStyle name="_060213_현대해상하이카_이노션_060214_현대해상하이카_믹스 및 플랜_060721_하나커피카드_Media Mix_070202_르노삼성(SM5)_Media Mix_NAS(최종)_스케쥴표 포함_르노삼성 믹스종합_070214_070328_르노삼성H45_4월 캠페인_Media Mix_NAS_071106_RSM_QMX_11월 미디어믹스 제안(수정)" xfId="1696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" xfId="1697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0912_르노삼성QMX" xfId="1698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1_RSM_SM7_10월 미디어믹스 제안_최종" xfId="1699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004_RSM_SM7_10월 미디어믹스 제안" xfId="1700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2_RSM_QMX_11월 미디어믹스 제안" xfId="1701"/>
    <cellStyle name="_060213_현대해상하이카_이노션_060214_현대해상하이카_믹스 및 플랜_060721_하나커피카드_Media Mix_070202_르노삼성(SM5)_Media Mix_NAS(최종)_스케쥴표 포함_르노삼성 믹스종합_070214_070403_르노삼성QMX_Media Mix_NAS_071106_RSM_QMX_11월 미디어믹스 제안(수정)" xfId="1702"/>
    <cellStyle name="_060213_현대해상하이카_이노션_060214_현대해상하이카_믹스 및 플랜_060721_하나커피카드_Media Mix_070214_KT_Media Mix_NAS_지나" xfId="1703"/>
    <cellStyle name="_060213_현대해상하이카_이노션_060214_현대해상하이카_믹스 및 플랜_060721_하나커피카드_Media Mix_070322_르노삼성H45_4월 캠페인_Media Mix_NAS" xfId="1704"/>
    <cellStyle name="_060213_현대해상하이카_이노션_060214_현대해상하이카_믹스 및 플랜_060721_하나커피카드_Media Mix_070322_르노삼성H45_4월 캠페인_Media Mix_NAS_070912_르노삼성QMX" xfId="1705"/>
    <cellStyle name="_060213_현대해상하이카_이노션_060214_현대해상하이카_믹스 및 플랜_060721_하나커피카드_Media Mix_070322_르노삼성H45_4월 캠페인_Media Mix_NAS_071001_RSM_SM7_10월 미디어믹스 제안_최종" xfId="1706"/>
    <cellStyle name="_060213_현대해상하이카_이노션_060214_현대해상하이카_믹스 및 플랜_060721_하나커피카드_Media Mix_070322_르노삼성H45_4월 캠페인_Media Mix_NAS_071004_RSM_SM7_10월 미디어믹스 제안" xfId="1707"/>
    <cellStyle name="_060213_현대해상하이카_이노션_060214_현대해상하이카_믹스 및 플랜_060721_하나커피카드_Media Mix_070322_르노삼성H45_4월 캠페인_Media Mix_NAS_071102_RSM_QMX_11월 미디어믹스 제안" xfId="1708"/>
    <cellStyle name="_060213_현대해상하이카_이노션_060214_현대해상하이카_믹스 및 플랜_060721_하나커피카드_Media Mix_070322_르노삼성H45_4월 캠페인_Media Mix_NAS_071106_RSM_QMX_11월 미디어믹스 제안(수정)" xfId="1709"/>
    <cellStyle name="_060213_현대해상하이카_이노션_060214_현대해상하이카_믹스 및 플랜_060721_하나커피카드_Media Mix_070326_르노삼성H45_4월 캠페인_Media Mix_NAS" xfId="1710"/>
    <cellStyle name="_060213_현대해상하이카_이노션_060214_현대해상하이카_믹스 및 플랜_060721_하나커피카드_Media Mix_070326_르노삼성H45_4월 캠페인_Media Mix_NAS_070912_르노삼성QMX" xfId="1711"/>
    <cellStyle name="_060213_현대해상하이카_이노션_060214_현대해상하이카_믹스 및 플랜_060721_하나커피카드_Media Mix_070326_르노삼성H45_4월 캠페인_Media Mix_NAS_071001_RSM_SM7_10월 미디어믹스 제안_최종" xfId="1712"/>
    <cellStyle name="_060213_현대해상하이카_이노션_060214_현대해상하이카_믹스 및 플랜_060721_하나커피카드_Media Mix_070326_르노삼성H45_4월 캠페인_Media Mix_NAS_071004_RSM_SM7_10월 미디어믹스 제안" xfId="1713"/>
    <cellStyle name="_060213_현대해상하이카_이노션_060214_현대해상하이카_믹스 및 플랜_060721_하나커피카드_Media Mix_070326_르노삼성H45_4월 캠페인_Media Mix_NAS_071102_RSM_QMX_11월 미디어믹스 제안" xfId="1714"/>
    <cellStyle name="_060213_현대해상하이카_이노션_060214_현대해상하이카_믹스 및 플랜_060721_하나커피카드_Media Mix_070326_르노삼성H45_4월 캠페인_Media Mix_NAS_071106_RSM_QMX_11월 미디어믹스 제안(수정)" xfId="1715"/>
    <cellStyle name="_060213_현대해상하이카_이노션_060214_현대해상하이카_믹스 및 플랜_060721_하나커피카드_Media Mix_070327_르노삼성H45_4월 캠페인_Media Mix_NAS" xfId="1716"/>
    <cellStyle name="_060213_현대해상하이카_이노션_060214_현대해상하이카_믹스 및 플랜_060721_하나커피카드_Media Mix_070327_르노삼성H45_4월 캠페인_Media Mix_NAS_070912_르노삼성QMX" xfId="1717"/>
    <cellStyle name="_060213_현대해상하이카_이노션_060214_현대해상하이카_믹스 및 플랜_060721_하나커피카드_Media Mix_070327_르노삼성H45_4월 캠페인_Media Mix_NAS_071001_RSM_SM7_10월 미디어믹스 제안_최종" xfId="1718"/>
    <cellStyle name="_060213_현대해상하이카_이노션_060214_현대해상하이카_믹스 및 플랜_060721_하나커피카드_Media Mix_070327_르노삼성H45_4월 캠페인_Media Mix_NAS_071004_RSM_SM7_10월 미디어믹스 제안" xfId="1719"/>
    <cellStyle name="_060213_현대해상하이카_이노션_060214_현대해상하이카_믹스 및 플랜_060721_하나커피카드_Media Mix_070327_르노삼성H45_4월 캠페인_Media Mix_NAS_071102_RSM_QMX_11월 미디어믹스 제안" xfId="1720"/>
    <cellStyle name="_060213_현대해상하이카_이노션_060214_현대해상하이카_믹스 및 플랜_060721_하나커피카드_Media Mix_070327_르노삼성H45_4월 캠페인_Media Mix_NAS_071106_RSM_QMX_11월 미디어믹스 제안(수정)" xfId="1721"/>
    <cellStyle name="_060213_현대해상하이카_이노션_060214_현대해상하이카_믹스 및 플랜_060721_하나커피카드_Media Mix_070328_르노삼성H45_4월 캠페인_Media Mix_NAS" xfId="1722"/>
    <cellStyle name="_060213_현대해상하이카_이노션_060214_현대해상하이카_믹스 및 플랜_060721_하나커피카드_Media Mix_070328_르노삼성H45_4월 캠페인_Media Mix_NAS_070912_르노삼성QMX" xfId="1723"/>
    <cellStyle name="_060213_현대해상하이카_이노션_060214_현대해상하이카_믹스 및 플랜_060721_하나커피카드_Media Mix_070328_르노삼성H45_4월 캠페인_Media Mix_NAS_071001_RSM_SM7_10월 미디어믹스 제안_최종" xfId="1724"/>
    <cellStyle name="_060213_현대해상하이카_이노션_060214_현대해상하이카_믹스 및 플랜_060721_하나커피카드_Media Mix_070328_르노삼성H45_4월 캠페인_Media Mix_NAS_071004_RSM_SM7_10월 미디어믹스 제안" xfId="1725"/>
    <cellStyle name="_060213_현대해상하이카_이노션_060214_현대해상하이카_믹스 및 플랜_060721_하나커피카드_Media Mix_070328_르노삼성H45_4월 캠페인_Media Mix_NAS_071102_RSM_QMX_11월 미디어믹스 제안" xfId="1726"/>
    <cellStyle name="_060213_현대해상하이카_이노션_060214_현대해상하이카_믹스 및 플랜_060721_하나커피카드_Media Mix_070328_르노삼성H45_4월 캠페인_Media Mix_NAS_071106_RSM_QMX_11월 미디어믹스 제안(수정)" xfId="1727"/>
    <cellStyle name="_060213_현대해상하이카_이노션_060214_현대해상하이카_믹스 및 플랜_060721_하나커피카드_Media Mix_070403_르노삼성QMX_Media Mix_NAS" xfId="1728"/>
    <cellStyle name="_060213_현대해상하이카_이노션_060214_현대해상하이카_믹스 및 플랜_060721_하나커피카드_Media Mix_070403_르노삼성QMX_Media Mix_NAS_070912_르노삼성QMX" xfId="1729"/>
    <cellStyle name="_060213_현대해상하이카_이노션_060214_현대해상하이카_믹스 및 플랜_060721_하나커피카드_Media Mix_070403_르노삼성QMX_Media Mix_NAS_071001_RSM_SM7_10월 미디어믹스 제안_최종" xfId="1730"/>
    <cellStyle name="_060213_현대해상하이카_이노션_060214_현대해상하이카_믹스 및 플랜_060721_하나커피카드_Media Mix_070403_르노삼성QMX_Media Mix_NAS_071004_RSM_SM7_10월 미디어믹스 제안" xfId="1731"/>
    <cellStyle name="_060213_현대해상하이카_이노션_060214_현대해상하이카_믹스 및 플랜_060721_하나커피카드_Media Mix_070403_르노삼성QMX_Media Mix_NAS_071102_RSM_QMX_11월 미디어믹스 제안" xfId="1732"/>
    <cellStyle name="_060213_현대해상하이카_이노션_060214_현대해상하이카_믹스 및 플랜_060721_하나커피카드_Media Mix_070403_르노삼성QMX_Media Mix_NAS_071106_RSM_QMX_11월 미디어믹스 제안(수정)" xfId="1733"/>
    <cellStyle name="_060213_현대해상하이카_이노션_060214_현대해상하이카_믹스 및 플랜_070131_르노삼성(SM3)_Media Mix_NAS" xfId="1734"/>
    <cellStyle name="_060213_현대해상하이카_이노션_060214_현대해상하이카_믹스 및 플랜_070131_르노삼성(SM3)_Media Mix_NAS_070214_KT_Media Mix_NAS_지나" xfId="1735"/>
    <cellStyle name="_060213_현대해상하이카_이노션_060214_현대해상하이카_믹스 및 플랜_070131_르노삼성(SM5)_Media Mix_NAS(ver5)" xfId="1736"/>
    <cellStyle name="_060213_현대해상하이카_이노션_060214_현대해상하이카_믹스 및 플랜_070131_르노삼성(SM5)_Media Mix_NAS(ver5)_070202_르노삼성(SM5)_Media Mix_NAS(최종)_스케쥴표 포함" xfId="1737"/>
    <cellStyle name="_060213_현대해상하이카_이노션_060214_현대해상하이카_믹스 및 플랜_070131_르노삼성(SM5)_Media Mix_NAS(ver5)_070202_르노삼성(SM5)_Media Mix_NAS(최종)_스케쥴표 포함_070322_르노삼성H45_4월 캠페인_Media Mix_NAS" xfId="1738"/>
    <cellStyle name="_060213_현대해상하이카_이노션_060214_현대해상하이카_믹스 및 플랜_070131_르노삼성(SM5)_Media Mix_NAS(ver5)_070202_르노삼성(SM5)_Media Mix_NAS(최종)_스케쥴표 포함_070322_르노삼성H45_4월 캠페인_Media Mix_NAS_070912_르노삼성QMX" xfId="1739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1_RSM_SM7_10월 미디어믹스 제안_최종" xfId="1740"/>
    <cellStyle name="_060213_현대해상하이카_이노션_060214_현대해상하이카_믹스 및 플랜_070131_르노삼성(SM5)_Media Mix_NAS(ver5)_070202_르노삼성(SM5)_Media Mix_NAS(최종)_스케쥴표 포함_070322_르노삼성H45_4월 캠페인_Media Mix_NAS_071004_RSM_SM7_10월 미디어믹스 제안" xfId="1741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2_RSM_QMX_11월 미디어믹스 제안" xfId="1742"/>
    <cellStyle name="_060213_현대해상하이카_이노션_060214_현대해상하이카_믹스 및 플랜_070131_르노삼성(SM5)_Media Mix_NAS(ver5)_070202_르노삼성(SM5)_Media Mix_NAS(최종)_스케쥴표 포함_070322_르노삼성H45_4월 캠페인_Media Mix_NAS_071106_RSM_QMX_11월 미디어믹스 제안(수정)" xfId="1743"/>
    <cellStyle name="_060213_현대해상하이카_이노션_060214_현대해상하이카_믹스 및 플랜_070131_르노삼성(SM5)_Media Mix_NAS(ver5)_070202_르노삼성(SM5)_Media Mix_NAS(최종)_스케쥴표 포함_070326_르노삼성H45_4월 캠페인_Media Mix_NAS" xfId="1744"/>
    <cellStyle name="_060213_현대해상하이카_이노션_060214_현대해상하이카_믹스 및 플랜_070131_르노삼성(SM5)_Media Mix_NAS(ver5)_070202_르노삼성(SM5)_Media Mix_NAS(최종)_스케쥴표 포함_070326_르노삼성H45_4월 캠페인_Media Mix_NAS_070912_르노삼성QMX" xfId="1745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1_RSM_SM7_10월 미디어믹스 제안_최종" xfId="1746"/>
    <cellStyle name="_060213_현대해상하이카_이노션_060214_현대해상하이카_믹스 및 플랜_070131_르노삼성(SM5)_Media Mix_NAS(ver5)_070202_르노삼성(SM5)_Media Mix_NAS(최종)_스케쥴표 포함_070326_르노삼성H45_4월 캠페인_Media Mix_NAS_071004_RSM_SM7_10월 미디어믹스 제안" xfId="1747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2_RSM_QMX_11월 미디어믹스 제안" xfId="1748"/>
    <cellStyle name="_060213_현대해상하이카_이노션_060214_현대해상하이카_믹스 및 플랜_070131_르노삼성(SM5)_Media Mix_NAS(ver5)_070202_르노삼성(SM5)_Media Mix_NAS(최종)_스케쥴표 포함_070326_르노삼성H45_4월 캠페인_Media Mix_NAS_071106_RSM_QMX_11월 미디어믹스 제안(수정)" xfId="1749"/>
    <cellStyle name="_060213_현대해상하이카_이노션_060214_현대해상하이카_믹스 및 플랜_070131_르노삼성(SM5)_Media Mix_NAS(ver5)_070202_르노삼성(SM5)_Media Mix_NAS(최종)_스케쥴표 포함_070327_르노삼성H45_4월 캠페인_Media Mix_NAS" xfId="1750"/>
    <cellStyle name="_060213_현대해상하이카_이노션_060214_현대해상하이카_믹스 및 플랜_070131_르노삼성(SM5)_Media Mix_NAS(ver5)_070202_르노삼성(SM5)_Media Mix_NAS(최종)_스케쥴표 포함_070327_르노삼성H45_4월 캠페인_Media Mix_NAS_070912_르노삼성QMX" xfId="1751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1_RSM_SM7_10월 미디어믹스 제안_최종" xfId="1752"/>
    <cellStyle name="_060213_현대해상하이카_이노션_060214_현대해상하이카_믹스 및 플랜_070131_르노삼성(SM5)_Media Mix_NAS(ver5)_070202_르노삼성(SM5)_Media Mix_NAS(최종)_스케쥴표 포함_070327_르노삼성H45_4월 캠페인_Media Mix_NAS_071004_RSM_SM7_10월 미디어믹스 제안" xfId="1753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2_RSM_QMX_11월 미디어믹스 제안" xfId="1754"/>
    <cellStyle name="_060213_현대해상하이카_이노션_060214_현대해상하이카_믹스 및 플랜_070131_르노삼성(SM5)_Media Mix_NAS(ver5)_070202_르노삼성(SM5)_Media Mix_NAS(최종)_스케쥴표 포함_070327_르노삼성H45_4월 캠페인_Media Mix_NAS_071106_RSM_QMX_11월 미디어믹스 제안(수정)" xfId="1755"/>
    <cellStyle name="_060213_현대해상하이카_이노션_060214_현대해상하이카_믹스 및 플랜_070131_르노삼성(SM5)_Media Mix_NAS(ver5)_070202_르노삼성(SM5)_Media Mix_NAS(최종)_스케쥴표 포함_070328_르노삼성H45_4월 캠페인_Media Mix_NAS" xfId="1756"/>
    <cellStyle name="_060213_현대해상하이카_이노션_060214_현대해상하이카_믹스 및 플랜_070131_르노삼성(SM5)_Media Mix_NAS(ver5)_070202_르노삼성(SM5)_Media Mix_NAS(최종)_스케쥴표 포함_070328_르노삼성H45_4월 캠페인_Media Mix_NAS_070912_르노삼성QMX" xfId="1757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1_RSM_SM7_10월 미디어믹스 제안_최종" xfId="1758"/>
    <cellStyle name="_060213_현대해상하이카_이노션_060214_현대해상하이카_믹스 및 플랜_070131_르노삼성(SM5)_Media Mix_NAS(ver5)_070202_르노삼성(SM5)_Media Mix_NAS(최종)_스케쥴표 포함_070328_르노삼성H45_4월 캠페인_Media Mix_NAS_071004_RSM_SM7_10월 미디어믹스 제안" xfId="1759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2_RSM_QMX_11월 미디어믹스 제안" xfId="1760"/>
    <cellStyle name="_060213_현대해상하이카_이노션_060214_현대해상하이카_믹스 및 플랜_070131_르노삼성(SM5)_Media Mix_NAS(ver5)_070202_르노삼성(SM5)_Media Mix_NAS(최종)_스케쥴표 포함_070328_르노삼성H45_4월 캠페인_Media Mix_NAS_071106_RSM_QMX_11월 미디어믹스 제안(수정)" xfId="1761"/>
    <cellStyle name="_060213_현대해상하이카_이노션_060214_현대해상하이카_믹스 및 플랜_070131_르노삼성(SM5)_Media Mix_NAS(ver5)_070202_르노삼성(SM5)_Media Mix_NAS(최종)_스케쥴표 포함_070403_르노삼성QMX_Media Mix_NAS" xfId="1762"/>
    <cellStyle name="_060213_현대해상하이카_이노션_060214_현대해상하이카_믹스 및 플랜_070131_르노삼성(SM5)_Media Mix_NAS(ver5)_070202_르노삼성(SM5)_Media Mix_NAS(최종)_스케쥴표 포함_070403_르노삼성QMX_Media Mix_NAS_070912_르노삼성QMX" xfId="1763"/>
    <cellStyle name="_060213_현대해상하이카_이노션_060214_현대해상하이카_믹스 및 플랜_070131_르노삼성(SM5)_Media Mix_NAS(ver5)_070202_르노삼성(SM5)_Media Mix_NAS(최종)_스케쥴표 포함_070403_르노삼성QMX_Media Mix_NAS_071001_RSM_SM7_10월 미디어믹스 제안_최종" xfId="1764"/>
    <cellStyle name="_060213_현대해상하이카_이노션_060214_현대해상하이카_믹스 및 플랜_070131_르노삼성(SM5)_Media Mix_NAS(ver5)_070202_르노삼성(SM5)_Media Mix_NAS(최종)_스케쥴표 포함_070403_르노삼성QMX_Media Mix_NAS_071004_RSM_SM7_10월 미디어믹스 제안" xfId="1765"/>
    <cellStyle name="_060213_현대해상하이카_이노션_060214_현대해상하이카_믹스 및 플랜_070131_르노삼성(SM5)_Media Mix_NAS(ver5)_070202_르노삼성(SM5)_Media Mix_NAS(최종)_스케쥴표 포함_070403_르노삼성QMX_Media Mix_NAS_071102_RSM_QMX_11월 미디어믹스 제안" xfId="1766"/>
    <cellStyle name="_060213_현대해상하이카_이노션_060214_현대해상하이카_믹스 및 플랜_070131_르노삼성(SM5)_Media Mix_NAS(ver5)_070202_르노삼성(SM5)_Media Mix_NAS(최종)_스케쥴표 포함_070403_르노삼성QMX_Media Mix_NAS_071106_RSM_QMX_11월 미디어믹스 제안(수정)" xfId="1767"/>
    <cellStyle name="_060213_현대해상하이카_이노션_060214_현대해상하이카_믹스 및 플랜_070131_르노삼성(SM5)_Media Mix_NAS(ver5)_070202_르노삼성(SM5)_Media Mix_NAS(최종)_스케쥴표 포함_르노삼성 믹스종합_070214" xfId="1768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" xfId="1769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0912_르노삼성QMX" xfId="1770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1_RSM_SM7_10월 미디어믹스 제안_최종" xfId="1771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004_RSM_SM7_10월 미디어믹스 제안" xfId="1772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2_RSM_QMX_11월 미디어믹스 제안" xfId="1773"/>
    <cellStyle name="_060213_현대해상하이카_이노션_060214_현대해상하이카_믹스 및 플랜_070131_르노삼성(SM5)_Media Mix_NAS(ver5)_070202_르노삼성(SM5)_Media Mix_NAS(최종)_스케쥴표 포함_르노삼성 믹스종합_070214_070322_르노삼성H45_4월 캠페인_Media Mix_NAS_071106_RSM_QMX_11월 미디어믹스 제안(수정)" xfId="1774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" xfId="1775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0912_르노삼성QMX" xfId="1776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1_RSM_SM7_10월 미디어믹스 제안_최종" xfId="1777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004_RSM_SM7_10월 미디어믹스 제안" xfId="1778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2_RSM_QMX_11월 미디어믹스 제안" xfId="1779"/>
    <cellStyle name="_060213_현대해상하이카_이노션_060214_현대해상하이카_믹스 및 플랜_070131_르노삼성(SM5)_Media Mix_NAS(ver5)_070202_르노삼성(SM5)_Media Mix_NAS(최종)_스케쥴표 포함_르노삼성 믹스종합_070214_070326_르노삼성H45_4월 캠페인_Media Mix_NAS_071106_RSM_QMX_11월 미디어믹스 제안(수정)" xfId="1780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" xfId="1781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0912_르노삼성QMX" xfId="1782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1_RSM_SM7_10월 미디어믹스 제안_최종" xfId="1783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004_RSM_SM7_10월 미디어믹스 제안" xfId="1784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2_RSM_QMX_11월 미디어믹스 제안" xfId="1785"/>
    <cellStyle name="_060213_현대해상하이카_이노션_060214_현대해상하이카_믹스 및 플랜_070131_르노삼성(SM5)_Media Mix_NAS(ver5)_070202_르노삼성(SM5)_Media Mix_NAS(최종)_스케쥴표 포함_르노삼성 믹스종합_070214_070327_르노삼성H45_4월 캠페인_Media Mix_NAS_071106_RSM_QMX_11월 미디어믹스 제안(수정)" xfId="1786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" xfId="1787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0912_르노삼성QMX" xfId="1788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1_RSM_SM7_10월 미디어믹스 제안_최종" xfId="1789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004_RSM_SM7_10월 미디어믹스 제안" xfId="1790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2_RSM_QMX_11월 미디어믹스 제안" xfId="1791"/>
    <cellStyle name="_060213_현대해상하이카_이노션_060214_현대해상하이카_믹스 및 플랜_070131_르노삼성(SM5)_Media Mix_NAS(ver5)_070202_르노삼성(SM5)_Media Mix_NAS(최종)_스케쥴표 포함_르노삼성 믹스종합_070214_070328_르노삼성H45_4월 캠페인_Media Mix_NAS_071106_RSM_QMX_11월 미디어믹스 제안(수정)" xfId="1792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" xfId="1793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0912_르노삼성QMX" xfId="1794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1_RSM_SM7_10월 미디어믹스 제안_최종" xfId="1795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004_RSM_SM7_10월 미디어믹스 제안" xfId="1796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2_RSM_QMX_11월 미디어믹스 제안" xfId="1797"/>
    <cellStyle name="_060213_현대해상하이카_이노션_060214_현대해상하이카_믹스 및 플랜_070131_르노삼성(SM5)_Media Mix_NAS(ver5)_070202_르노삼성(SM5)_Media Mix_NAS(최종)_스케쥴표 포함_르노삼성 믹스종합_070214_070403_르노삼성QMX_Media Mix_NAS_071106_RSM_QMX_11월 미디어믹스 제안(수정)" xfId="1798"/>
    <cellStyle name="_060213_현대해상하이카_이노션_060214_현대해상하이카_믹스 및 플랜_070131_르노삼성(SM5)_Media Mix_NAS(ver5)_070322_르노삼성H45_4월 캠페인_Media Mix_NAS" xfId="1799"/>
    <cellStyle name="_060213_현대해상하이카_이노션_060214_현대해상하이카_믹스 및 플랜_070131_르노삼성(SM5)_Media Mix_NAS(ver5)_070322_르노삼성H45_4월 캠페인_Media Mix_NAS_070912_르노삼성QMX" xfId="1800"/>
    <cellStyle name="_060213_현대해상하이카_이노션_060214_현대해상하이카_믹스 및 플랜_070131_르노삼성(SM5)_Media Mix_NAS(ver5)_070322_르노삼성H45_4월 캠페인_Media Mix_NAS_071001_RSM_SM7_10월 미디어믹스 제안_최종" xfId="1801"/>
    <cellStyle name="_060213_현대해상하이카_이노션_060214_현대해상하이카_믹스 및 플랜_070131_르노삼성(SM5)_Media Mix_NAS(ver5)_070322_르노삼성H45_4월 캠페인_Media Mix_NAS_071004_RSM_SM7_10월 미디어믹스 제안" xfId="1802"/>
    <cellStyle name="_060213_현대해상하이카_이노션_060214_현대해상하이카_믹스 및 플랜_070131_르노삼성(SM5)_Media Mix_NAS(ver5)_070322_르노삼성H45_4월 캠페인_Media Mix_NAS_071102_RSM_QMX_11월 미디어믹스 제안" xfId="1803"/>
    <cellStyle name="_060213_현대해상하이카_이노션_060214_현대해상하이카_믹스 및 플랜_070131_르노삼성(SM5)_Media Mix_NAS(ver5)_070322_르노삼성H45_4월 캠페인_Media Mix_NAS_071106_RSM_QMX_11월 미디어믹스 제안(수정)" xfId="1804"/>
    <cellStyle name="_060213_현대해상하이카_이노션_060214_현대해상하이카_믹스 및 플랜_070131_르노삼성(SM5)_Media Mix_NAS(ver5)_070326_르노삼성H45_4월 캠페인_Media Mix_NAS" xfId="1805"/>
    <cellStyle name="_060213_현대해상하이카_이노션_060214_현대해상하이카_믹스 및 플랜_070131_르노삼성(SM5)_Media Mix_NAS(ver5)_070326_르노삼성H45_4월 캠페인_Media Mix_NAS_070912_르노삼성QMX" xfId="1806"/>
    <cellStyle name="_060213_현대해상하이카_이노션_060214_현대해상하이카_믹스 및 플랜_070131_르노삼성(SM5)_Media Mix_NAS(ver5)_070326_르노삼성H45_4월 캠페인_Media Mix_NAS_071001_RSM_SM7_10월 미디어믹스 제안_최종" xfId="1807"/>
    <cellStyle name="_060213_현대해상하이카_이노션_060214_현대해상하이카_믹스 및 플랜_070131_르노삼성(SM5)_Media Mix_NAS(ver5)_070326_르노삼성H45_4월 캠페인_Media Mix_NAS_071004_RSM_SM7_10월 미디어믹스 제안" xfId="1808"/>
    <cellStyle name="_060213_현대해상하이카_이노션_060214_현대해상하이카_믹스 및 플랜_070131_르노삼성(SM5)_Media Mix_NAS(ver5)_070326_르노삼성H45_4월 캠페인_Media Mix_NAS_071102_RSM_QMX_11월 미디어믹스 제안" xfId="1809"/>
    <cellStyle name="_060213_현대해상하이카_이노션_060214_현대해상하이카_믹스 및 플랜_070131_르노삼성(SM5)_Media Mix_NAS(ver5)_070326_르노삼성H45_4월 캠페인_Media Mix_NAS_071106_RSM_QMX_11월 미디어믹스 제안(수정)" xfId="1810"/>
    <cellStyle name="_060213_현대해상하이카_이노션_060214_현대해상하이카_믹스 및 플랜_070131_르노삼성(SM5)_Media Mix_NAS(ver5)_070327_르노삼성H45_4월 캠페인_Media Mix_NAS" xfId="1811"/>
    <cellStyle name="_060213_현대해상하이카_이노션_060214_현대해상하이카_믹스 및 플랜_070131_르노삼성(SM5)_Media Mix_NAS(ver5)_070327_르노삼성H45_4월 캠페인_Media Mix_NAS_070912_르노삼성QMX" xfId="1812"/>
    <cellStyle name="_060213_현대해상하이카_이노션_060214_현대해상하이카_믹스 및 플랜_070131_르노삼성(SM5)_Media Mix_NAS(ver5)_070327_르노삼성H45_4월 캠페인_Media Mix_NAS_071001_RSM_SM7_10월 미디어믹스 제안_최종" xfId="1813"/>
    <cellStyle name="_060213_현대해상하이카_이노션_060214_현대해상하이카_믹스 및 플랜_070131_르노삼성(SM5)_Media Mix_NAS(ver5)_070327_르노삼성H45_4월 캠페인_Media Mix_NAS_071004_RSM_SM7_10월 미디어믹스 제안" xfId="1814"/>
    <cellStyle name="_060213_현대해상하이카_이노션_060214_현대해상하이카_믹스 및 플랜_070131_르노삼성(SM5)_Media Mix_NAS(ver5)_070327_르노삼성H45_4월 캠페인_Media Mix_NAS_071102_RSM_QMX_11월 미디어믹스 제안" xfId="1815"/>
    <cellStyle name="_060213_현대해상하이카_이노션_060214_현대해상하이카_믹스 및 플랜_070131_르노삼성(SM5)_Media Mix_NAS(ver5)_070327_르노삼성H45_4월 캠페인_Media Mix_NAS_071106_RSM_QMX_11월 미디어믹스 제안(수정)" xfId="1816"/>
    <cellStyle name="_060213_현대해상하이카_이노션_060214_현대해상하이카_믹스 및 플랜_070131_르노삼성(SM5)_Media Mix_NAS(ver5)_070328_르노삼성H45_4월 캠페인_Media Mix_NAS" xfId="1817"/>
    <cellStyle name="_060213_현대해상하이카_이노션_060214_현대해상하이카_믹스 및 플랜_070131_르노삼성(SM5)_Media Mix_NAS(ver5)_070328_르노삼성H45_4월 캠페인_Media Mix_NAS_070912_르노삼성QMX" xfId="1818"/>
    <cellStyle name="_060213_현대해상하이카_이노션_060214_현대해상하이카_믹스 및 플랜_070131_르노삼성(SM5)_Media Mix_NAS(ver5)_070328_르노삼성H45_4월 캠페인_Media Mix_NAS_071001_RSM_SM7_10월 미디어믹스 제안_최종" xfId="1819"/>
    <cellStyle name="_060213_현대해상하이카_이노션_060214_현대해상하이카_믹스 및 플랜_070131_르노삼성(SM5)_Media Mix_NAS(ver5)_070328_르노삼성H45_4월 캠페인_Media Mix_NAS_071004_RSM_SM7_10월 미디어믹스 제안" xfId="1820"/>
    <cellStyle name="_060213_현대해상하이카_이노션_060214_현대해상하이카_믹스 및 플랜_070131_르노삼성(SM5)_Media Mix_NAS(ver5)_070328_르노삼성H45_4월 캠페인_Media Mix_NAS_071102_RSM_QMX_11월 미디어믹스 제안" xfId="1821"/>
    <cellStyle name="_060213_현대해상하이카_이노션_060214_현대해상하이카_믹스 및 플랜_070131_르노삼성(SM5)_Media Mix_NAS(ver5)_070328_르노삼성H45_4월 캠페인_Media Mix_NAS_071106_RSM_QMX_11월 미디어믹스 제안(수정)" xfId="1822"/>
    <cellStyle name="_060213_현대해상하이카_이노션_060214_현대해상하이카_믹스 및 플랜_070131_르노삼성(SM5)_Media Mix_NAS(ver5)_070403_르노삼성QMX_Media Mix_NAS" xfId="1823"/>
    <cellStyle name="_060213_현대해상하이카_이노션_060214_현대해상하이카_믹스 및 플랜_070131_르노삼성(SM5)_Media Mix_NAS(ver5)_070403_르노삼성QMX_Media Mix_NAS_070912_르노삼성QMX" xfId="1824"/>
    <cellStyle name="_060213_현대해상하이카_이노션_060214_현대해상하이카_믹스 및 플랜_070131_르노삼성(SM5)_Media Mix_NAS(ver5)_070403_르노삼성QMX_Media Mix_NAS_071001_RSM_SM7_10월 미디어믹스 제안_최종" xfId="1825"/>
    <cellStyle name="_060213_현대해상하이카_이노션_060214_현대해상하이카_믹스 및 플랜_070131_르노삼성(SM5)_Media Mix_NAS(ver5)_070403_르노삼성QMX_Media Mix_NAS_071004_RSM_SM7_10월 미디어믹스 제안" xfId="1826"/>
    <cellStyle name="_060213_현대해상하이카_이노션_060214_현대해상하이카_믹스 및 플랜_070131_르노삼성(SM5)_Media Mix_NAS(ver5)_070403_르노삼성QMX_Media Mix_NAS_071102_RSM_QMX_11월 미디어믹스 제안" xfId="1827"/>
    <cellStyle name="_060213_현대해상하이카_이노션_060214_현대해상하이카_믹스 및 플랜_070131_르노삼성(SM5)_Media Mix_NAS(ver5)_070403_르노삼성QMX_Media Mix_NAS_071106_RSM_QMX_11월 미디어믹스 제안(수정)" xfId="1828"/>
    <cellStyle name="_060213_현대해상하이카_이노션_060214_현대해상하이카_믹스 및 플랜_070201_르노삼성(SM5)_Media Mix_NAS(최종)" xfId="1829"/>
    <cellStyle name="_060213_현대해상하이카_이노션_060214_현대해상하이카_믹스 및 플랜_070201_르노삼성(SM5)_Media Mix_NAS(최종)_070202_르노삼성(SM5)_Media Mix_NAS(최종)_스케쥴표 포함" xfId="1830"/>
    <cellStyle name="_060213_현대해상하이카_이노션_060214_현대해상하이카_믹스 및 플랜_070201_르노삼성(SM5)_Media Mix_NAS(최종)_070202_르노삼성(SM5)_Media Mix_NAS(최종)_스케쥴표 포함_070322_르노삼성H45_4월 캠페인_Media Mix_NAS" xfId="1831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0912_르노삼성QMX" xfId="1832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1_RSM_SM7_10월 미디어믹스 제안_최종" xfId="1833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004_RSM_SM7_10월 미디어믹스 제안" xfId="1834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2_RSM_QMX_11월 미디어믹스 제안" xfId="1835"/>
    <cellStyle name="_060213_현대해상하이카_이노션_060214_현대해상하이카_믹스 및 플랜_070201_르노삼성(SM5)_Media Mix_NAS(최종)_070202_르노삼성(SM5)_Media Mix_NAS(최종)_스케쥴표 포함_070322_르노삼성H45_4월 캠페인_Media Mix_NAS_071106_RSM_QMX_11월 미디어믹스 제안(수정)" xfId="1836"/>
    <cellStyle name="_060213_현대해상하이카_이노션_060214_현대해상하이카_믹스 및 플랜_070201_르노삼성(SM5)_Media Mix_NAS(최종)_070202_르노삼성(SM5)_Media Mix_NAS(최종)_스케쥴표 포함_070326_르노삼성H45_4월 캠페인_Media Mix_NAS" xfId="1837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0912_르노삼성QMX" xfId="1838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1_RSM_SM7_10월 미디어믹스 제안_최종" xfId="1839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004_RSM_SM7_10월 미디어믹스 제안" xfId="1840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2_RSM_QMX_11월 미디어믹스 제안" xfId="1841"/>
    <cellStyle name="_060213_현대해상하이카_이노션_060214_현대해상하이카_믹스 및 플랜_070201_르노삼성(SM5)_Media Mix_NAS(최종)_070202_르노삼성(SM5)_Media Mix_NAS(최종)_스케쥴표 포함_070326_르노삼성H45_4월 캠페인_Media Mix_NAS_071106_RSM_QMX_11월 미디어믹스 제안(수정)" xfId="1842"/>
    <cellStyle name="_060213_현대해상하이카_이노션_060214_현대해상하이카_믹스 및 플랜_070201_르노삼성(SM5)_Media Mix_NAS(최종)_070202_르노삼성(SM5)_Media Mix_NAS(최종)_스케쥴표 포함_070327_르노삼성H45_4월 캠페인_Media Mix_NAS" xfId="1843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0912_르노삼성QMX" xfId="1844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1_RSM_SM7_10월 미디어믹스 제안_최종" xfId="1845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004_RSM_SM7_10월 미디어믹스 제안" xfId="1846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2_RSM_QMX_11월 미디어믹스 제안" xfId="1847"/>
    <cellStyle name="_060213_현대해상하이카_이노션_060214_현대해상하이카_믹스 및 플랜_070201_르노삼성(SM5)_Media Mix_NAS(최종)_070202_르노삼성(SM5)_Media Mix_NAS(최종)_스케쥴표 포함_070327_르노삼성H45_4월 캠페인_Media Mix_NAS_071106_RSM_QMX_11월 미디어믹스 제안(수정)" xfId="1848"/>
    <cellStyle name="_060213_현대해상하이카_이노션_060214_현대해상하이카_믹스 및 플랜_070201_르노삼성(SM5)_Media Mix_NAS(최종)_070202_르노삼성(SM5)_Media Mix_NAS(최종)_스케쥴표 포함_070328_르노삼성H45_4월 캠페인_Media Mix_NAS" xfId="1849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0912_르노삼성QMX" xfId="1850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1_RSM_SM7_10월 미디어믹스 제안_최종" xfId="1851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004_RSM_SM7_10월 미디어믹스 제안" xfId="1852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2_RSM_QMX_11월 미디어믹스 제안" xfId="1853"/>
    <cellStyle name="_060213_현대해상하이카_이노션_060214_현대해상하이카_믹스 및 플랜_070201_르노삼성(SM5)_Media Mix_NAS(최종)_070202_르노삼성(SM5)_Media Mix_NAS(최종)_스케쥴표 포함_070328_르노삼성H45_4월 캠페인_Media Mix_NAS_071106_RSM_QMX_11월 미디어믹스 제안(수정)" xfId="1854"/>
    <cellStyle name="_060213_현대해상하이카_이노션_060214_현대해상하이카_믹스 및 플랜_070201_르노삼성(SM5)_Media Mix_NAS(최종)_070202_르노삼성(SM5)_Media Mix_NAS(최종)_스케쥴표 포함_070403_르노삼성QMX_Media Mix_NAS" xfId="1855"/>
    <cellStyle name="_060213_현대해상하이카_이노션_060214_현대해상하이카_믹스 및 플랜_070201_르노삼성(SM5)_Media Mix_NAS(최종)_070202_르노삼성(SM5)_Media Mix_NAS(최종)_스케쥴표 포함_070403_르노삼성QMX_Media Mix_NAS_070912_르노삼성QMX" xfId="1856"/>
    <cellStyle name="_060213_현대해상하이카_이노션_060214_현대해상하이카_믹스 및 플랜_070201_르노삼성(SM5)_Media Mix_NAS(최종)_070202_르노삼성(SM5)_Media Mix_NAS(최종)_스케쥴표 포함_070403_르노삼성QMX_Media Mix_NAS_071001_RSM_SM7_10월 미디어믹스 제안_최종" xfId="1857"/>
    <cellStyle name="_060213_현대해상하이카_이노션_060214_현대해상하이카_믹스 및 플랜_070201_르노삼성(SM5)_Media Mix_NAS(최종)_070202_르노삼성(SM5)_Media Mix_NAS(최종)_스케쥴표 포함_070403_르노삼성QMX_Media Mix_NAS_071004_RSM_SM7_10월 미디어믹스 제안" xfId="1858"/>
    <cellStyle name="_060213_현대해상하이카_이노션_060214_현대해상하이카_믹스 및 플랜_070201_르노삼성(SM5)_Media Mix_NAS(최종)_070202_르노삼성(SM5)_Media Mix_NAS(최종)_스케쥴표 포함_070403_르노삼성QMX_Media Mix_NAS_071102_RSM_QMX_11월 미디어믹스 제안" xfId="1859"/>
    <cellStyle name="_060213_현대해상하이카_이노션_060214_현대해상하이카_믹스 및 플랜_070201_르노삼성(SM5)_Media Mix_NAS(최종)_070202_르노삼성(SM5)_Media Mix_NAS(최종)_스케쥴표 포함_070403_르노삼성QMX_Media Mix_NAS_071106_RSM_QMX_11월 미디어믹스 제안(수정)" xfId="1860"/>
    <cellStyle name="_060213_현대해상하이카_이노션_060214_현대해상하이카_믹스 및 플랜_070201_르노삼성(SM5)_Media Mix_NAS(최종)_070202_르노삼성(SM5)_Media Mix_NAS(최종)_스케쥴표 포함_르노삼성 믹스종합_070214" xfId="1861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" xfId="1862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0912_르노삼성QMX" xfId="1863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1_RSM_SM7_10월 미디어믹스 제안_최종" xfId="1864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004_RSM_SM7_10월 미디어믹스 제안" xfId="1865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2_RSM_QMX_11월 미디어믹스 제안" xfId="1866"/>
    <cellStyle name="_060213_현대해상하이카_이노션_060214_현대해상하이카_믹스 및 플랜_070201_르노삼성(SM5)_Media Mix_NAS(최종)_070202_르노삼성(SM5)_Media Mix_NAS(최종)_스케쥴표 포함_르노삼성 믹스종합_070214_070322_르노삼성H45_4월 캠페인_Media Mix_NAS_071106_RSM_QMX_11월 미디어믹스 제안(수정)" xfId="1867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" xfId="1868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0912_르노삼성QMX" xfId="1869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1_RSM_SM7_10월 미디어믹스 제안_최종" xfId="1870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004_RSM_SM7_10월 미디어믹스 제안" xfId="1871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2_RSM_QMX_11월 미디어믹스 제안" xfId="1872"/>
    <cellStyle name="_060213_현대해상하이카_이노션_060214_현대해상하이카_믹스 및 플랜_070201_르노삼성(SM5)_Media Mix_NAS(최종)_070202_르노삼성(SM5)_Media Mix_NAS(최종)_스케쥴표 포함_르노삼성 믹스종합_070214_070326_르노삼성H45_4월 캠페인_Media Mix_NAS_071106_RSM_QMX_11월 미디어믹스 제안(수정)" xfId="1873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" xfId="1874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0912_르노삼성QMX" xfId="1875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1_RSM_SM7_10월 미디어믹스 제안_최종" xfId="1876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004_RSM_SM7_10월 미디어믹스 제안" xfId="1877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2_RSM_QMX_11월 미디어믹스 제안" xfId="1878"/>
    <cellStyle name="_060213_현대해상하이카_이노션_060214_현대해상하이카_믹스 및 플랜_070201_르노삼성(SM5)_Media Mix_NAS(최종)_070202_르노삼성(SM5)_Media Mix_NAS(최종)_스케쥴표 포함_르노삼성 믹스종합_070214_070327_르노삼성H45_4월 캠페인_Media Mix_NAS_071106_RSM_QMX_11월 미디어믹스 제안(수정)" xfId="1879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" xfId="1880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0912_르노삼성QMX" xfId="1881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1_RSM_SM7_10월 미디어믹스 제안_최종" xfId="1882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004_RSM_SM7_10월 미디어믹스 제안" xfId="1883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2_RSM_QMX_11월 미디어믹스 제안" xfId="1884"/>
    <cellStyle name="_060213_현대해상하이카_이노션_060214_현대해상하이카_믹스 및 플랜_070201_르노삼성(SM5)_Media Mix_NAS(최종)_070202_르노삼성(SM5)_Media Mix_NAS(최종)_스케쥴표 포함_르노삼성 믹스종합_070214_070328_르노삼성H45_4월 캠페인_Media Mix_NAS_071106_RSM_QMX_11월 미디어믹스 제안(수정)" xfId="1885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" xfId="1886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0912_르노삼성QMX" xfId="1887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1_RSM_SM7_10월 미디어믹스 제안_최종" xfId="1888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004_RSM_SM7_10월 미디어믹스 제안" xfId="1889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2_RSM_QMX_11월 미디어믹스 제안" xfId="1890"/>
    <cellStyle name="_060213_현대해상하이카_이노션_060214_현대해상하이카_믹스 및 플랜_070201_르노삼성(SM5)_Media Mix_NAS(최종)_070202_르노삼성(SM5)_Media Mix_NAS(최종)_스케쥴표 포함_르노삼성 믹스종합_070214_070403_르노삼성QMX_Media Mix_NAS_071106_RSM_QMX_11월 미디어믹스 제안(수정)" xfId="1891"/>
    <cellStyle name="_060213_현대해상하이카_이노션_060214_현대해상하이카_믹스 및 플랜_070201_르노삼성(SM5)_Media Mix_NAS(최종)_070322_르노삼성H45_4월 캠페인_Media Mix_NAS" xfId="1892"/>
    <cellStyle name="_060213_현대해상하이카_이노션_060214_현대해상하이카_믹스 및 플랜_070201_르노삼성(SM5)_Media Mix_NAS(최종)_070322_르노삼성H45_4월 캠페인_Media Mix_NAS_070912_르노삼성QMX" xfId="1893"/>
    <cellStyle name="_060213_현대해상하이카_이노션_060214_현대해상하이카_믹스 및 플랜_070201_르노삼성(SM5)_Media Mix_NAS(최종)_070322_르노삼성H45_4월 캠페인_Media Mix_NAS_071001_RSM_SM7_10월 미디어믹스 제안_최종" xfId="1894"/>
    <cellStyle name="_060213_현대해상하이카_이노션_060214_현대해상하이카_믹스 및 플랜_070201_르노삼성(SM5)_Media Mix_NAS(최종)_070322_르노삼성H45_4월 캠페인_Media Mix_NAS_071004_RSM_SM7_10월 미디어믹스 제안" xfId="1895"/>
    <cellStyle name="_060213_현대해상하이카_이노션_060214_현대해상하이카_믹스 및 플랜_070201_르노삼성(SM5)_Media Mix_NAS(최종)_070322_르노삼성H45_4월 캠페인_Media Mix_NAS_071102_RSM_QMX_11월 미디어믹스 제안" xfId="1896"/>
    <cellStyle name="_060213_현대해상하이카_이노션_060214_현대해상하이카_믹스 및 플랜_070201_르노삼성(SM5)_Media Mix_NAS(최종)_070322_르노삼성H45_4월 캠페인_Media Mix_NAS_071106_RSM_QMX_11월 미디어믹스 제안(수정)" xfId="1897"/>
    <cellStyle name="_060213_현대해상하이카_이노션_060214_현대해상하이카_믹스 및 플랜_070201_르노삼성(SM5)_Media Mix_NAS(최종)_070326_르노삼성H45_4월 캠페인_Media Mix_NAS" xfId="1898"/>
    <cellStyle name="_060213_현대해상하이카_이노션_060214_현대해상하이카_믹스 및 플랜_070201_르노삼성(SM5)_Media Mix_NAS(최종)_070326_르노삼성H45_4월 캠페인_Media Mix_NAS_070912_르노삼성QMX" xfId="1899"/>
    <cellStyle name="_060213_현대해상하이카_이노션_060214_현대해상하이카_믹스 및 플랜_070201_르노삼성(SM5)_Media Mix_NAS(최종)_070326_르노삼성H45_4월 캠페인_Media Mix_NAS_071001_RSM_SM7_10월 미디어믹스 제안_최종" xfId="1900"/>
    <cellStyle name="_060213_현대해상하이카_이노션_060214_현대해상하이카_믹스 및 플랜_070201_르노삼성(SM5)_Media Mix_NAS(최종)_070326_르노삼성H45_4월 캠페인_Media Mix_NAS_071004_RSM_SM7_10월 미디어믹스 제안" xfId="1901"/>
    <cellStyle name="_060213_현대해상하이카_이노션_060214_현대해상하이카_믹스 및 플랜_070201_르노삼성(SM5)_Media Mix_NAS(최종)_070326_르노삼성H45_4월 캠페인_Media Mix_NAS_071102_RSM_QMX_11월 미디어믹스 제안" xfId="1902"/>
    <cellStyle name="_060213_현대해상하이카_이노션_060214_현대해상하이카_믹스 및 플랜_070201_르노삼성(SM5)_Media Mix_NAS(최종)_070326_르노삼성H45_4월 캠페인_Media Mix_NAS_071106_RSM_QMX_11월 미디어믹스 제안(수정)" xfId="1903"/>
    <cellStyle name="_060213_현대해상하이카_이노션_060214_현대해상하이카_믹스 및 플랜_070201_르노삼성(SM5)_Media Mix_NAS(최종)_070327_르노삼성H45_4월 캠페인_Media Mix_NAS" xfId="1904"/>
    <cellStyle name="_060213_현대해상하이카_이노션_060214_현대해상하이카_믹스 및 플랜_070201_르노삼성(SM5)_Media Mix_NAS(최종)_070327_르노삼성H45_4월 캠페인_Media Mix_NAS_070912_르노삼성QMX" xfId="1905"/>
    <cellStyle name="_060213_현대해상하이카_이노션_060214_현대해상하이카_믹스 및 플랜_070201_르노삼성(SM5)_Media Mix_NAS(최종)_070327_르노삼성H45_4월 캠페인_Media Mix_NAS_071001_RSM_SM7_10월 미디어믹스 제안_최종" xfId="1906"/>
    <cellStyle name="_060213_현대해상하이카_이노션_060214_현대해상하이카_믹스 및 플랜_070201_르노삼성(SM5)_Media Mix_NAS(최종)_070327_르노삼성H45_4월 캠페인_Media Mix_NAS_071004_RSM_SM7_10월 미디어믹스 제안" xfId="1907"/>
    <cellStyle name="_060213_현대해상하이카_이노션_060214_현대해상하이카_믹스 및 플랜_070201_르노삼성(SM5)_Media Mix_NAS(최종)_070327_르노삼성H45_4월 캠페인_Media Mix_NAS_071102_RSM_QMX_11월 미디어믹스 제안" xfId="1908"/>
    <cellStyle name="_060213_현대해상하이카_이노션_060214_현대해상하이카_믹스 및 플랜_070201_르노삼성(SM5)_Media Mix_NAS(최종)_070327_르노삼성H45_4월 캠페인_Media Mix_NAS_071106_RSM_QMX_11월 미디어믹스 제안(수정)" xfId="1909"/>
    <cellStyle name="_060213_현대해상하이카_이노션_060214_현대해상하이카_믹스 및 플랜_070201_르노삼성(SM5)_Media Mix_NAS(최종)_070328_르노삼성H45_4월 캠페인_Media Mix_NAS" xfId="1910"/>
    <cellStyle name="_060213_현대해상하이카_이노션_060214_현대해상하이카_믹스 및 플랜_070201_르노삼성(SM5)_Media Mix_NAS(최종)_070328_르노삼성H45_4월 캠페인_Media Mix_NAS_070912_르노삼성QMX" xfId="1911"/>
    <cellStyle name="_060213_현대해상하이카_이노션_060214_현대해상하이카_믹스 및 플랜_070201_르노삼성(SM5)_Media Mix_NAS(최종)_070328_르노삼성H45_4월 캠페인_Media Mix_NAS_071001_RSM_SM7_10월 미디어믹스 제안_최종" xfId="1912"/>
    <cellStyle name="_060213_현대해상하이카_이노션_060214_현대해상하이카_믹스 및 플랜_070201_르노삼성(SM5)_Media Mix_NAS(최종)_070328_르노삼성H45_4월 캠페인_Media Mix_NAS_071004_RSM_SM7_10월 미디어믹스 제안" xfId="1913"/>
    <cellStyle name="_060213_현대해상하이카_이노션_060214_현대해상하이카_믹스 및 플랜_070201_르노삼성(SM5)_Media Mix_NAS(최종)_070328_르노삼성H45_4월 캠페인_Media Mix_NAS_071102_RSM_QMX_11월 미디어믹스 제안" xfId="1914"/>
    <cellStyle name="_060213_현대해상하이카_이노션_060214_현대해상하이카_믹스 및 플랜_070201_르노삼성(SM5)_Media Mix_NAS(최종)_070328_르노삼성H45_4월 캠페인_Media Mix_NAS_071106_RSM_QMX_11월 미디어믹스 제안(수정)" xfId="1915"/>
    <cellStyle name="_060213_현대해상하이카_이노션_060214_현대해상하이카_믹스 및 플랜_070201_르노삼성(SM5)_Media Mix_NAS(최종)_070403_르노삼성QMX_Media Mix_NAS" xfId="1916"/>
    <cellStyle name="_060213_현대해상하이카_이노션_060214_현대해상하이카_믹스 및 플랜_070201_르노삼성(SM5)_Media Mix_NAS(최종)_070403_르노삼성QMX_Media Mix_NAS_070912_르노삼성QMX" xfId="1917"/>
    <cellStyle name="_060213_현대해상하이카_이노션_060214_현대해상하이카_믹스 및 플랜_070201_르노삼성(SM5)_Media Mix_NAS(최종)_070403_르노삼성QMX_Media Mix_NAS_071001_RSM_SM7_10월 미디어믹스 제안_최종" xfId="1918"/>
    <cellStyle name="_060213_현대해상하이카_이노션_060214_현대해상하이카_믹스 및 플랜_070201_르노삼성(SM5)_Media Mix_NAS(최종)_070403_르노삼성QMX_Media Mix_NAS_071004_RSM_SM7_10월 미디어믹스 제안" xfId="1919"/>
    <cellStyle name="_060213_현대해상하이카_이노션_060214_현대해상하이카_믹스 및 플랜_070201_르노삼성(SM5)_Media Mix_NAS(최종)_070403_르노삼성QMX_Media Mix_NAS_071102_RSM_QMX_11월 미디어믹스 제안" xfId="1920"/>
    <cellStyle name="_060213_현대해상하이카_이노션_060214_현대해상하이카_믹스 및 플랜_070201_르노삼성(SM5)_Media Mix_NAS(최종)_070403_르노삼성QMX_Media Mix_NAS_071106_RSM_QMX_11월 미디어믹스 제안(수정)" xfId="1921"/>
    <cellStyle name="_060213_현대해상하이카_이노션_060214_현대해상하이카_믹스 및 플랜_070322_르노삼성H45_4월 캠페인_Media Mix_NAS" xfId="1922"/>
    <cellStyle name="_060213_현대해상하이카_이노션_060214_현대해상하이카_믹스 및 플랜_070322_르노삼성H45_4월 캠페인_Media Mix_NAS_070912_르노삼성QMX" xfId="1923"/>
    <cellStyle name="_060213_현대해상하이카_이노션_060214_현대해상하이카_믹스 및 플랜_070322_르노삼성H45_4월 캠페인_Media Mix_NAS_071001_RSM_SM7_10월 미디어믹스 제안_최종" xfId="1924"/>
    <cellStyle name="_060213_현대해상하이카_이노션_060214_현대해상하이카_믹스 및 플랜_070322_르노삼성H45_4월 캠페인_Media Mix_NAS_071004_RSM_SM7_10월 미디어믹스 제안" xfId="1925"/>
    <cellStyle name="_060213_현대해상하이카_이노션_060214_현대해상하이카_믹스 및 플랜_070322_르노삼성H45_4월 캠페인_Media Mix_NAS_071102_RSM_QMX_11월 미디어믹스 제안" xfId="1926"/>
    <cellStyle name="_060213_현대해상하이카_이노션_060214_현대해상하이카_믹스 및 플랜_070322_르노삼성H45_4월 캠페인_Media Mix_NAS_071106_RSM_QMX_11월 미디어믹스 제안(수정)" xfId="1927"/>
    <cellStyle name="_060213_현대해상하이카_이노션_060214_현대해상하이카_믹스 및 플랜_070326_르노삼성H45_4월 캠페인_Media Mix_NAS" xfId="1928"/>
    <cellStyle name="_060213_현대해상하이카_이노션_060214_현대해상하이카_믹스 및 플랜_070326_르노삼성H45_4월 캠페인_Media Mix_NAS_070912_르노삼성QMX" xfId="1929"/>
    <cellStyle name="_060213_현대해상하이카_이노션_060214_현대해상하이카_믹스 및 플랜_070326_르노삼성H45_4월 캠페인_Media Mix_NAS_071001_RSM_SM7_10월 미디어믹스 제안_최종" xfId="1930"/>
    <cellStyle name="_060213_현대해상하이카_이노션_060214_현대해상하이카_믹스 및 플랜_070326_르노삼성H45_4월 캠페인_Media Mix_NAS_071004_RSM_SM7_10월 미디어믹스 제안" xfId="1931"/>
    <cellStyle name="_060213_현대해상하이카_이노션_060214_현대해상하이카_믹스 및 플랜_070326_르노삼성H45_4월 캠페인_Media Mix_NAS_071102_RSM_QMX_11월 미디어믹스 제안" xfId="1932"/>
    <cellStyle name="_060213_현대해상하이카_이노션_060214_현대해상하이카_믹스 및 플랜_070326_르노삼성H45_4월 캠페인_Media Mix_NAS_071106_RSM_QMX_11월 미디어믹스 제안(수정)" xfId="1933"/>
    <cellStyle name="_060213_현대해상하이카_이노션_060214_현대해상하이카_믹스 및 플랜_070327_르노삼성H45_4월 캠페인_Media Mix_NAS" xfId="1934"/>
    <cellStyle name="_060213_현대해상하이카_이노션_060214_현대해상하이카_믹스 및 플랜_070327_르노삼성H45_4월 캠페인_Media Mix_NAS_070912_르노삼성QMX" xfId="1935"/>
    <cellStyle name="_060213_현대해상하이카_이노션_060214_현대해상하이카_믹스 및 플랜_070327_르노삼성H45_4월 캠페인_Media Mix_NAS_071001_RSM_SM7_10월 미디어믹스 제안_최종" xfId="1936"/>
    <cellStyle name="_060213_현대해상하이카_이노션_060214_현대해상하이카_믹스 및 플랜_070327_르노삼성H45_4월 캠페인_Media Mix_NAS_071004_RSM_SM7_10월 미디어믹스 제안" xfId="1937"/>
    <cellStyle name="_060213_현대해상하이카_이노션_060214_현대해상하이카_믹스 및 플랜_070327_르노삼성H45_4월 캠페인_Media Mix_NAS_071102_RSM_QMX_11월 미디어믹스 제안" xfId="1938"/>
    <cellStyle name="_060213_현대해상하이카_이노션_060214_현대해상하이카_믹스 및 플랜_070327_르노삼성H45_4월 캠페인_Media Mix_NAS_071106_RSM_QMX_11월 미디어믹스 제안(수정)" xfId="1939"/>
    <cellStyle name="_060213_현대해상하이카_이노션_060214_현대해상하이카_믹스 및 플랜_070328_르노삼성H45_4월 캠페인_Media Mix_NAS" xfId="1940"/>
    <cellStyle name="_060213_현대해상하이카_이노션_060214_현대해상하이카_믹스 및 플랜_070328_르노삼성H45_4월 캠페인_Media Mix_NAS_070912_르노삼성QMX" xfId="1941"/>
    <cellStyle name="_060213_현대해상하이카_이노션_060214_현대해상하이카_믹스 및 플랜_070328_르노삼성H45_4월 캠페인_Media Mix_NAS_071001_RSM_SM7_10월 미디어믹스 제안_최종" xfId="1942"/>
    <cellStyle name="_060213_현대해상하이카_이노션_060214_현대해상하이카_믹스 및 플랜_070328_르노삼성H45_4월 캠페인_Media Mix_NAS_071004_RSM_SM7_10월 미디어믹스 제안" xfId="1943"/>
    <cellStyle name="_060213_현대해상하이카_이노션_060214_현대해상하이카_믹스 및 플랜_070328_르노삼성H45_4월 캠페인_Media Mix_NAS_071102_RSM_QMX_11월 미디어믹스 제안" xfId="1944"/>
    <cellStyle name="_060213_현대해상하이카_이노션_060214_현대해상하이카_믹스 및 플랜_070328_르노삼성H45_4월 캠페인_Media Mix_NAS_071106_RSM_QMX_11월 미디어믹스 제안(수정)" xfId="1945"/>
    <cellStyle name="_060213_현대해상하이카_이노션_060214_현대해상하이카_믹스 및 플랜_070403_르노삼성QMX_Media Mix_NAS" xfId="1946"/>
    <cellStyle name="_060213_현대해상하이카_이노션_060214_현대해상하이카_믹스 및 플랜_070403_르노삼성QMX_Media Mix_NAS_070912_르노삼성QMX" xfId="1947"/>
    <cellStyle name="_060213_현대해상하이카_이노션_060214_현대해상하이카_믹스 및 플랜_070403_르노삼성QMX_Media Mix_NAS_071001_RSM_SM7_10월 미디어믹스 제안_최종" xfId="1948"/>
    <cellStyle name="_060213_현대해상하이카_이노션_060214_현대해상하이카_믹스 및 플랜_070403_르노삼성QMX_Media Mix_NAS_071004_RSM_SM7_10월 미디어믹스 제안" xfId="1949"/>
    <cellStyle name="_060213_현대해상하이카_이노션_060214_현대해상하이카_믹스 및 플랜_070403_르노삼성QMX_Media Mix_NAS_071102_RSM_QMX_11월 미디어믹스 제안" xfId="1950"/>
    <cellStyle name="_060213_현대해상하이카_이노션_060214_현대해상하이카_믹스 및 플랜_070403_르노삼성QMX_Media Mix_NAS_071106_RSM_QMX_11월 미디어믹스 제안(수정)" xfId="1951"/>
    <cellStyle name="_060213_현대해상하이카_이노션_060214_현대해상하이카_믹스 및 플랜_르노삼성 믹스종합_070214" xfId="1952"/>
    <cellStyle name="_060213_현대해상하이카_이노션_060214_현대해상하이카_믹스 및 플랜_르노삼성 믹스종합_070214_070322_르노삼성H45_4월 캠페인_Media Mix_NAS" xfId="1953"/>
    <cellStyle name="_060213_현대해상하이카_이노션_060214_현대해상하이카_믹스 및 플랜_르노삼성 믹스종합_070214_070322_르노삼성H45_4월 캠페인_Media Mix_NAS_070912_르노삼성QMX" xfId="1954"/>
    <cellStyle name="_060213_현대해상하이카_이노션_060214_현대해상하이카_믹스 및 플랜_르노삼성 믹스종합_070214_070322_르노삼성H45_4월 캠페인_Media Mix_NAS_071001_RSM_SM7_10월 미디어믹스 제안_최종" xfId="1955"/>
    <cellStyle name="_060213_현대해상하이카_이노션_060214_현대해상하이카_믹스 및 플랜_르노삼성 믹스종합_070214_070322_르노삼성H45_4월 캠페인_Media Mix_NAS_071004_RSM_SM7_10월 미디어믹스 제안" xfId="1956"/>
    <cellStyle name="_060213_현대해상하이카_이노션_060214_현대해상하이카_믹스 및 플랜_르노삼성 믹스종합_070214_070322_르노삼성H45_4월 캠페인_Media Mix_NAS_071102_RSM_QMX_11월 미디어믹스 제안" xfId="1957"/>
    <cellStyle name="_060213_현대해상하이카_이노션_060214_현대해상하이카_믹스 및 플랜_르노삼성 믹스종합_070214_070322_르노삼성H45_4월 캠페인_Media Mix_NAS_071106_RSM_QMX_11월 미디어믹스 제안(수정)" xfId="1958"/>
    <cellStyle name="_060213_현대해상하이카_이노션_060214_현대해상하이카_믹스 및 플랜_르노삼성 믹스종합_070214_070326_르노삼성H45_4월 캠페인_Media Mix_NAS" xfId="1959"/>
    <cellStyle name="_060213_현대해상하이카_이노션_060214_현대해상하이카_믹스 및 플랜_르노삼성 믹스종합_070214_070326_르노삼성H45_4월 캠페인_Media Mix_NAS_070912_르노삼성QMX" xfId="1960"/>
    <cellStyle name="_060213_현대해상하이카_이노션_060214_현대해상하이카_믹스 및 플랜_르노삼성 믹스종합_070214_070326_르노삼성H45_4월 캠페인_Media Mix_NAS_071001_RSM_SM7_10월 미디어믹스 제안_최종" xfId="1961"/>
    <cellStyle name="_060213_현대해상하이카_이노션_060214_현대해상하이카_믹스 및 플랜_르노삼성 믹스종합_070214_070326_르노삼성H45_4월 캠페인_Media Mix_NAS_071004_RSM_SM7_10월 미디어믹스 제안" xfId="1962"/>
    <cellStyle name="_060213_현대해상하이카_이노션_060214_현대해상하이카_믹스 및 플랜_르노삼성 믹스종합_070214_070326_르노삼성H45_4월 캠페인_Media Mix_NAS_071102_RSM_QMX_11월 미디어믹스 제안" xfId="1963"/>
    <cellStyle name="_060213_현대해상하이카_이노션_060214_현대해상하이카_믹스 및 플랜_르노삼성 믹스종합_070214_070326_르노삼성H45_4월 캠페인_Media Mix_NAS_071106_RSM_QMX_11월 미디어믹스 제안(수정)" xfId="1964"/>
    <cellStyle name="_060213_현대해상하이카_이노션_060214_현대해상하이카_믹스 및 플랜_르노삼성 믹스종합_070214_070327_르노삼성H45_4월 캠페인_Media Mix_NAS" xfId="1965"/>
    <cellStyle name="_060213_현대해상하이카_이노션_060214_현대해상하이카_믹스 및 플랜_르노삼성 믹스종합_070214_070327_르노삼성H45_4월 캠페인_Media Mix_NAS_070912_르노삼성QMX" xfId="1966"/>
    <cellStyle name="_060213_현대해상하이카_이노션_060214_현대해상하이카_믹스 및 플랜_르노삼성 믹스종합_070214_070327_르노삼성H45_4월 캠페인_Media Mix_NAS_071001_RSM_SM7_10월 미디어믹스 제안_최종" xfId="1967"/>
    <cellStyle name="_060213_현대해상하이카_이노션_060214_현대해상하이카_믹스 및 플랜_르노삼성 믹스종합_070214_070327_르노삼성H45_4월 캠페인_Media Mix_NAS_071004_RSM_SM7_10월 미디어믹스 제안" xfId="1968"/>
    <cellStyle name="_060213_현대해상하이카_이노션_060214_현대해상하이카_믹스 및 플랜_르노삼성 믹스종합_070214_070327_르노삼성H45_4월 캠페인_Media Mix_NAS_071102_RSM_QMX_11월 미디어믹스 제안" xfId="1969"/>
    <cellStyle name="_060213_현대해상하이카_이노션_060214_현대해상하이카_믹스 및 플랜_르노삼성 믹스종합_070214_070327_르노삼성H45_4월 캠페인_Media Mix_NAS_071106_RSM_QMX_11월 미디어믹스 제안(수정)" xfId="1970"/>
    <cellStyle name="_060213_현대해상하이카_이노션_060214_현대해상하이카_믹스 및 플랜_르노삼성 믹스종합_070214_070328_르노삼성H45_4월 캠페인_Media Mix_NAS" xfId="1971"/>
    <cellStyle name="_060213_현대해상하이카_이노션_060214_현대해상하이카_믹스 및 플랜_르노삼성 믹스종합_070214_070328_르노삼성H45_4월 캠페인_Media Mix_NAS_070912_르노삼성QMX" xfId="1972"/>
    <cellStyle name="_060213_현대해상하이카_이노션_060214_현대해상하이카_믹스 및 플랜_르노삼성 믹스종합_070214_070328_르노삼성H45_4월 캠페인_Media Mix_NAS_071001_RSM_SM7_10월 미디어믹스 제안_최종" xfId="1973"/>
    <cellStyle name="_060213_현대해상하이카_이노션_060214_현대해상하이카_믹스 및 플랜_르노삼성 믹스종합_070214_070328_르노삼성H45_4월 캠페인_Media Mix_NAS_071004_RSM_SM7_10월 미디어믹스 제안" xfId="1974"/>
    <cellStyle name="_060213_현대해상하이카_이노션_060214_현대해상하이카_믹스 및 플랜_르노삼성 믹스종합_070214_070328_르노삼성H45_4월 캠페인_Media Mix_NAS_071102_RSM_QMX_11월 미디어믹스 제안" xfId="1975"/>
    <cellStyle name="_060213_현대해상하이카_이노션_060214_현대해상하이카_믹스 및 플랜_르노삼성 믹스종합_070214_070328_르노삼성H45_4월 캠페인_Media Mix_NAS_071106_RSM_QMX_11월 미디어믹스 제안(수정)" xfId="1976"/>
    <cellStyle name="_060213_현대해상하이카_이노션_060214_현대해상하이카_믹스 및 플랜_르노삼성 믹스종합_070214_070403_르노삼성QMX_Media Mix_NAS" xfId="1977"/>
    <cellStyle name="_060213_현대해상하이카_이노션_060214_현대해상하이카_믹스 및 플랜_르노삼성 믹스종합_070214_070403_르노삼성QMX_Media Mix_NAS_070912_르노삼성QMX" xfId="1978"/>
    <cellStyle name="_060213_현대해상하이카_이노션_060214_현대해상하이카_믹스 및 플랜_르노삼성 믹스종합_070214_070403_르노삼성QMX_Media Mix_NAS_071001_RSM_SM7_10월 미디어믹스 제안_최종" xfId="1979"/>
    <cellStyle name="_060213_현대해상하이카_이노션_060214_현대해상하이카_믹스 및 플랜_르노삼성 믹스종합_070214_070403_르노삼성QMX_Media Mix_NAS_071004_RSM_SM7_10월 미디어믹스 제안" xfId="1980"/>
    <cellStyle name="_060213_현대해상하이카_이노션_060214_현대해상하이카_믹스 및 플랜_르노삼성 믹스종합_070214_070403_르노삼성QMX_Media Mix_NAS_071102_RSM_QMX_11월 미디어믹스 제안" xfId="1981"/>
    <cellStyle name="_060213_현대해상하이카_이노션_060214_현대해상하이카_믹스 및 플랜_르노삼성 믹스종합_070214_070403_르노삼성QMX_Media Mix_NAS_071106_RSM_QMX_11월 미디어믹스 제안(수정)" xfId="1982"/>
    <cellStyle name="_060213_현대해상하이카_이노션_070125_르노삼성(SM5)_Media Mix_NAS(작업전)" xfId="1983"/>
    <cellStyle name="_060213_현대해상하이카_이노션_070125_르노삼성(SM5)_Media Mix_NAS(작업전)_070131_르노삼성(SM3)_Media Mix_NAS" xfId="1984"/>
    <cellStyle name="_060213_현대해상하이카_이노션_070125_르노삼성(SM5)_Media Mix_NAS(작업전)_070131_르노삼성(SM3)_Media Mix_NAS_070214_KT_Media Mix_NAS_지나" xfId="1985"/>
    <cellStyle name="_060213_현대해상하이카_이노션_070125_르노삼성(SM5)_Media Mix_NAS(작업전)_070131_르노삼성(SM5)_Media Mix_NAS(ver5)" xfId="1986"/>
    <cellStyle name="_060213_현대해상하이카_이노션_070125_르노삼성(SM5)_Media Mix_NAS(작업전)_070131_르노삼성(SM5)_Media Mix_NAS(ver5)_070202_르노삼성(SM5)_Media Mix_NAS(최종)_스케쥴표 포함" xfId="1987"/>
    <cellStyle name="_060213_현대해상하이카_이노션_070125_르노삼성(SM5)_Media Mix_NAS(작업전)_070131_르노삼성(SM5)_Media Mix_NAS(ver5)_070202_르노삼성(SM5)_Media Mix_NAS(최종)_스케쥴표 포함_070322_르노삼성H45_4월 캠페인_Media Mix_NAS" xfId="1988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0912_르노삼성QMX" xfId="1989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1_RSM_SM7_10월 미디어믹스 제안_최종" xfId="1990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004_RSM_SM7_10월 미디어믹스 제안" xfId="1991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2_RSM_QMX_11월 미디어믹스 제안" xfId="1992"/>
    <cellStyle name="_060213_현대해상하이카_이노션_070125_르노삼성(SM5)_Media Mix_NAS(작업전)_070131_르노삼성(SM5)_Media Mix_NAS(ver5)_070202_르노삼성(SM5)_Media Mix_NAS(최종)_스케쥴표 포함_070322_르노삼성H45_4월 캠페인_Media Mix_NAS_071106_RSM_QMX_11월 미디어믹스 제안(수정)" xfId="1993"/>
    <cellStyle name="_060213_현대해상하이카_이노션_070125_르노삼성(SM5)_Media Mix_NAS(작업전)_070131_르노삼성(SM5)_Media Mix_NAS(ver5)_070202_르노삼성(SM5)_Media Mix_NAS(최종)_스케쥴표 포함_070326_르노삼성H45_4월 캠페인_Media Mix_NAS" xfId="1994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0912_르노삼성QMX" xfId="1995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1_RSM_SM7_10월 미디어믹스 제안_최종" xfId="1996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004_RSM_SM7_10월 미디어믹스 제안" xfId="1997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2_RSM_QMX_11월 미디어믹스 제안" xfId="1998"/>
    <cellStyle name="_060213_현대해상하이카_이노션_070125_르노삼성(SM5)_Media Mix_NAS(작업전)_070131_르노삼성(SM5)_Media Mix_NAS(ver5)_070202_르노삼성(SM5)_Media Mix_NAS(최종)_스케쥴표 포함_070326_르노삼성H45_4월 캠페인_Media Mix_NAS_071106_RSM_QMX_11월 미디어믹스 제안(수정)" xfId="1999"/>
    <cellStyle name="_060213_현대해상하이카_이노션_070125_르노삼성(SM5)_Media Mix_NAS(작업전)_070131_르노삼성(SM5)_Media Mix_NAS(ver5)_070202_르노삼성(SM5)_Media Mix_NAS(최종)_스케쥴표 포함_070327_르노삼성H45_4월 캠페인_Media Mix_NAS" xfId="2000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0912_르노삼성QMX" xfId="2001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1_RSM_SM7_10월 미디어믹스 제안_최종" xfId="2002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004_RSM_SM7_10월 미디어믹스 제안" xfId="2003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2_RSM_QMX_11월 미디어믹스 제안" xfId="2004"/>
    <cellStyle name="_060213_현대해상하이카_이노션_070125_르노삼성(SM5)_Media Mix_NAS(작업전)_070131_르노삼성(SM5)_Media Mix_NAS(ver5)_070202_르노삼성(SM5)_Media Mix_NAS(최종)_스케쥴표 포함_070327_르노삼성H45_4월 캠페인_Media Mix_NAS_071106_RSM_QMX_11월 미디어믹스 제안(수정)" xfId="2005"/>
    <cellStyle name="_060213_현대해상하이카_이노션_070125_르노삼성(SM5)_Media Mix_NAS(작업전)_070131_르노삼성(SM5)_Media Mix_NAS(ver5)_070202_르노삼성(SM5)_Media Mix_NAS(최종)_스케쥴표 포함_070328_르노삼성H45_4월 캠페인_Media Mix_NAS" xfId="2006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0912_르노삼성QMX" xfId="2007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1_RSM_SM7_10월 미디어믹스 제안_최종" xfId="2008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004_RSM_SM7_10월 미디어믹스 제안" xfId="2009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2_RSM_QMX_11월 미디어믹스 제안" xfId="2010"/>
    <cellStyle name="_060213_현대해상하이카_이노션_070125_르노삼성(SM5)_Media Mix_NAS(작업전)_070131_르노삼성(SM5)_Media Mix_NAS(ver5)_070202_르노삼성(SM5)_Media Mix_NAS(최종)_스케쥴표 포함_070328_르노삼성H45_4월 캠페인_Media Mix_NAS_071106_RSM_QMX_11월 미디어믹스 제안(수정)" xfId="2011"/>
    <cellStyle name="_060213_현대해상하이카_이노션_070125_르노삼성(SM5)_Media Mix_NAS(작업전)_070131_르노삼성(SM5)_Media Mix_NAS(ver5)_070202_르노삼성(SM5)_Media Mix_NAS(최종)_스케쥴표 포함_070403_르노삼성QMX_Media Mix_NAS" xfId="2012"/>
    <cellStyle name="_060213_현대해상하이카_이노션_070125_르노삼성(SM5)_Media Mix_NAS(작업전)_070131_르노삼성(SM5)_Media Mix_NAS(ver5)_070202_르노삼성(SM5)_Media Mix_NAS(최종)_스케쥴표 포함_070403_르노삼성QMX_Media Mix_NAS_070912_르노삼성QMX" xfId="2013"/>
    <cellStyle name="_060213_현대해상하이카_이노션_070125_르노삼성(SM5)_Media Mix_NAS(작업전)_070131_르노삼성(SM5)_Media Mix_NAS(ver5)_070202_르노삼성(SM5)_Media Mix_NAS(최종)_스케쥴표 포함_070403_르노삼성QMX_Media Mix_NAS_071001_RSM_SM7_10월 미디어믹스 제안_최종" xfId="2014"/>
    <cellStyle name="_060213_현대해상하이카_이노션_070125_르노삼성(SM5)_Media Mix_NAS(작업전)_070131_르노삼성(SM5)_Media Mix_NAS(ver5)_070202_르노삼성(SM5)_Media Mix_NAS(최종)_스케쥴표 포함_070403_르노삼성QMX_Media Mix_NAS_071004_RSM_SM7_10월 미디어믹스 제안" xfId="2015"/>
    <cellStyle name="_060213_현대해상하이카_이노션_070125_르노삼성(SM5)_Media Mix_NAS(작업전)_070131_르노삼성(SM5)_Media Mix_NAS(ver5)_070202_르노삼성(SM5)_Media Mix_NAS(최종)_스케쥴표 포함_070403_르노삼성QMX_Media Mix_NAS_071102_RSM_QMX_11월 미디어믹스 제안" xfId="2016"/>
    <cellStyle name="_060213_현대해상하이카_이노션_070125_르노삼성(SM5)_Media Mix_NAS(작업전)_070131_르노삼성(SM5)_Media Mix_NAS(ver5)_070202_르노삼성(SM5)_Media Mix_NAS(최종)_스케쥴표 포함_070403_르노삼성QMX_Media Mix_NAS_071106_RSM_QMX_11월 미디어믹스 제안(수정)" xfId="2017"/>
    <cellStyle name="_060213_현대해상하이카_이노션_070125_르노삼성(SM5)_Media Mix_NAS(작업전)_070131_르노삼성(SM5)_Media Mix_NAS(ver5)_070202_르노삼성(SM5)_Media Mix_NAS(최종)_스케쥴표 포함_르노삼성 믹스종합_070214" xfId="2018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" xfId="2019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0912_르노삼성QMX" xfId="2020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021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022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023"/>
    <cellStyle name="_060213_현대해상하이카_이노션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024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" xfId="2025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0912_르노삼성QMX" xfId="2026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027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028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029"/>
    <cellStyle name="_060213_현대해상하이카_이노션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030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" xfId="2031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0912_르노삼성QMX" xfId="2032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033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034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035"/>
    <cellStyle name="_060213_현대해상하이카_이노션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036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" xfId="2037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0912_르노삼성QMX" xfId="2038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039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040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041"/>
    <cellStyle name="_060213_현대해상하이카_이노션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042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" xfId="2043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0912_르노삼성QMX" xfId="2044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045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046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047"/>
    <cellStyle name="_060213_현대해상하이카_이노션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048"/>
    <cellStyle name="_060213_현대해상하이카_이노션_070125_르노삼성(SM5)_Media Mix_NAS(작업전)_070131_르노삼성(SM5)_Media Mix_NAS(ver5)_070322_르노삼성H45_4월 캠페인_Media Mix_NAS" xfId="2049"/>
    <cellStyle name="_060213_현대해상하이카_이노션_070125_르노삼성(SM5)_Media Mix_NAS(작업전)_070131_르노삼성(SM5)_Media Mix_NAS(ver5)_070322_르노삼성H45_4월 캠페인_Media Mix_NAS_070912_르노삼성QMX" xfId="2050"/>
    <cellStyle name="_060213_현대해상하이카_이노션_070125_르노삼성(SM5)_Media Mix_NAS(작업전)_070131_르노삼성(SM5)_Media Mix_NAS(ver5)_070322_르노삼성H45_4월 캠페인_Media Mix_NAS_071001_RSM_SM7_10월 미디어믹스 제안_최종" xfId="2051"/>
    <cellStyle name="_060213_현대해상하이카_이노션_070125_르노삼성(SM5)_Media Mix_NAS(작업전)_070131_르노삼성(SM5)_Media Mix_NAS(ver5)_070322_르노삼성H45_4월 캠페인_Media Mix_NAS_071004_RSM_SM7_10월 미디어믹스 제안" xfId="2052"/>
    <cellStyle name="_060213_현대해상하이카_이노션_070125_르노삼성(SM5)_Media Mix_NAS(작업전)_070131_르노삼성(SM5)_Media Mix_NAS(ver5)_070322_르노삼성H45_4월 캠페인_Media Mix_NAS_071102_RSM_QMX_11월 미디어믹스 제안" xfId="2053"/>
    <cellStyle name="_060213_현대해상하이카_이노션_070125_르노삼성(SM5)_Media Mix_NAS(작업전)_070131_르노삼성(SM5)_Media Mix_NAS(ver5)_070322_르노삼성H45_4월 캠페인_Media Mix_NAS_071106_RSM_QMX_11월 미디어믹스 제안(수정)" xfId="2054"/>
    <cellStyle name="_060213_현대해상하이카_이노션_070125_르노삼성(SM5)_Media Mix_NAS(작업전)_070131_르노삼성(SM5)_Media Mix_NAS(ver5)_070326_르노삼성H45_4월 캠페인_Media Mix_NAS" xfId="2055"/>
    <cellStyle name="_060213_현대해상하이카_이노션_070125_르노삼성(SM5)_Media Mix_NAS(작업전)_070131_르노삼성(SM5)_Media Mix_NAS(ver5)_070326_르노삼성H45_4월 캠페인_Media Mix_NAS_070912_르노삼성QMX" xfId="2056"/>
    <cellStyle name="_060213_현대해상하이카_이노션_070125_르노삼성(SM5)_Media Mix_NAS(작업전)_070131_르노삼성(SM5)_Media Mix_NAS(ver5)_070326_르노삼성H45_4월 캠페인_Media Mix_NAS_071001_RSM_SM7_10월 미디어믹스 제안_최종" xfId="2057"/>
    <cellStyle name="_060213_현대해상하이카_이노션_070125_르노삼성(SM5)_Media Mix_NAS(작업전)_070131_르노삼성(SM5)_Media Mix_NAS(ver5)_070326_르노삼성H45_4월 캠페인_Media Mix_NAS_071004_RSM_SM7_10월 미디어믹스 제안" xfId="2058"/>
    <cellStyle name="_060213_현대해상하이카_이노션_070125_르노삼성(SM5)_Media Mix_NAS(작업전)_070131_르노삼성(SM5)_Media Mix_NAS(ver5)_070326_르노삼성H45_4월 캠페인_Media Mix_NAS_071102_RSM_QMX_11월 미디어믹스 제안" xfId="2059"/>
    <cellStyle name="_060213_현대해상하이카_이노션_070125_르노삼성(SM5)_Media Mix_NAS(작업전)_070131_르노삼성(SM5)_Media Mix_NAS(ver5)_070326_르노삼성H45_4월 캠페인_Media Mix_NAS_071106_RSM_QMX_11월 미디어믹스 제안(수정)" xfId="2060"/>
    <cellStyle name="_060213_현대해상하이카_이노션_070125_르노삼성(SM5)_Media Mix_NAS(작업전)_070131_르노삼성(SM5)_Media Mix_NAS(ver5)_070327_르노삼성H45_4월 캠페인_Media Mix_NAS" xfId="2061"/>
    <cellStyle name="_060213_현대해상하이카_이노션_070125_르노삼성(SM5)_Media Mix_NAS(작업전)_070131_르노삼성(SM5)_Media Mix_NAS(ver5)_070327_르노삼성H45_4월 캠페인_Media Mix_NAS_070912_르노삼성QMX" xfId="2062"/>
    <cellStyle name="_060213_현대해상하이카_이노션_070125_르노삼성(SM5)_Media Mix_NAS(작업전)_070131_르노삼성(SM5)_Media Mix_NAS(ver5)_070327_르노삼성H45_4월 캠페인_Media Mix_NAS_071001_RSM_SM7_10월 미디어믹스 제안_최종" xfId="2063"/>
    <cellStyle name="_060213_현대해상하이카_이노션_070125_르노삼성(SM5)_Media Mix_NAS(작업전)_070131_르노삼성(SM5)_Media Mix_NAS(ver5)_070327_르노삼성H45_4월 캠페인_Media Mix_NAS_071004_RSM_SM7_10월 미디어믹스 제안" xfId="2064"/>
    <cellStyle name="_060213_현대해상하이카_이노션_070125_르노삼성(SM5)_Media Mix_NAS(작업전)_070131_르노삼성(SM5)_Media Mix_NAS(ver5)_070327_르노삼성H45_4월 캠페인_Media Mix_NAS_071102_RSM_QMX_11월 미디어믹스 제안" xfId="2065"/>
    <cellStyle name="_060213_현대해상하이카_이노션_070125_르노삼성(SM5)_Media Mix_NAS(작업전)_070131_르노삼성(SM5)_Media Mix_NAS(ver5)_070327_르노삼성H45_4월 캠페인_Media Mix_NAS_071106_RSM_QMX_11월 미디어믹스 제안(수정)" xfId="2066"/>
    <cellStyle name="_060213_현대해상하이카_이노션_070125_르노삼성(SM5)_Media Mix_NAS(작업전)_070131_르노삼성(SM5)_Media Mix_NAS(ver5)_070328_르노삼성H45_4월 캠페인_Media Mix_NAS" xfId="2067"/>
    <cellStyle name="_060213_현대해상하이카_이노션_070125_르노삼성(SM5)_Media Mix_NAS(작업전)_070131_르노삼성(SM5)_Media Mix_NAS(ver5)_070328_르노삼성H45_4월 캠페인_Media Mix_NAS_070912_르노삼성QMX" xfId="2068"/>
    <cellStyle name="_060213_현대해상하이카_이노션_070125_르노삼성(SM5)_Media Mix_NAS(작업전)_070131_르노삼성(SM5)_Media Mix_NAS(ver5)_070328_르노삼성H45_4월 캠페인_Media Mix_NAS_071001_RSM_SM7_10월 미디어믹스 제안_최종" xfId="2069"/>
    <cellStyle name="_060213_현대해상하이카_이노션_070125_르노삼성(SM5)_Media Mix_NAS(작업전)_070131_르노삼성(SM5)_Media Mix_NAS(ver5)_070328_르노삼성H45_4월 캠페인_Media Mix_NAS_071004_RSM_SM7_10월 미디어믹스 제안" xfId="2070"/>
    <cellStyle name="_060213_현대해상하이카_이노션_070125_르노삼성(SM5)_Media Mix_NAS(작업전)_070131_르노삼성(SM5)_Media Mix_NAS(ver5)_070328_르노삼성H45_4월 캠페인_Media Mix_NAS_071102_RSM_QMX_11월 미디어믹스 제안" xfId="2071"/>
    <cellStyle name="_060213_현대해상하이카_이노션_070125_르노삼성(SM5)_Media Mix_NAS(작업전)_070131_르노삼성(SM5)_Media Mix_NAS(ver5)_070328_르노삼성H45_4월 캠페인_Media Mix_NAS_071106_RSM_QMX_11월 미디어믹스 제안(수정)" xfId="2072"/>
    <cellStyle name="_060213_현대해상하이카_이노션_070125_르노삼성(SM5)_Media Mix_NAS(작업전)_070131_르노삼성(SM5)_Media Mix_NAS(ver5)_070403_르노삼성QMX_Media Mix_NAS" xfId="2073"/>
    <cellStyle name="_060213_현대해상하이카_이노션_070125_르노삼성(SM5)_Media Mix_NAS(작업전)_070131_르노삼성(SM5)_Media Mix_NAS(ver5)_070403_르노삼성QMX_Media Mix_NAS_070912_르노삼성QMX" xfId="2074"/>
    <cellStyle name="_060213_현대해상하이카_이노션_070125_르노삼성(SM5)_Media Mix_NAS(작업전)_070131_르노삼성(SM5)_Media Mix_NAS(ver5)_070403_르노삼성QMX_Media Mix_NAS_071001_RSM_SM7_10월 미디어믹스 제안_최종" xfId="2075"/>
    <cellStyle name="_060213_현대해상하이카_이노션_070125_르노삼성(SM5)_Media Mix_NAS(작업전)_070131_르노삼성(SM5)_Media Mix_NAS(ver5)_070403_르노삼성QMX_Media Mix_NAS_071004_RSM_SM7_10월 미디어믹스 제안" xfId="2076"/>
    <cellStyle name="_060213_현대해상하이카_이노션_070125_르노삼성(SM5)_Media Mix_NAS(작업전)_070131_르노삼성(SM5)_Media Mix_NAS(ver5)_070403_르노삼성QMX_Media Mix_NAS_071102_RSM_QMX_11월 미디어믹스 제안" xfId="2077"/>
    <cellStyle name="_060213_현대해상하이카_이노션_070125_르노삼성(SM5)_Media Mix_NAS(작업전)_070131_르노삼성(SM5)_Media Mix_NAS(ver5)_070403_르노삼성QMX_Media Mix_NAS_071106_RSM_QMX_11월 미디어믹스 제안(수정)" xfId="2078"/>
    <cellStyle name="_060213_현대해상하이카_이노션_070125_르노삼성(SM5)_Media Mix_NAS(작업전)_070201_르노삼성(SM5)_Media Mix_NAS(최종)" xfId="2079"/>
    <cellStyle name="_060213_현대해상하이카_이노션_070125_르노삼성(SM5)_Media Mix_NAS(작업전)_070201_르노삼성(SM5)_Media Mix_NAS(최종)_070202_르노삼성(SM5)_Media Mix_NAS(최종)_스케쥴표 포함" xfId="2080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" xfId="2081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0912_르노삼성QMX" xfId="2082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1_RSM_SM7_10월 미디어믹스 제안_최종" xfId="2083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004_RSM_SM7_10월 미디어믹스 제안" xfId="2084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2_RSM_QMX_11월 미디어믹스 제안" xfId="2085"/>
    <cellStyle name="_060213_현대해상하이카_이노션_070125_르노삼성(SM5)_Media Mix_NAS(작업전)_070201_르노삼성(SM5)_Media Mix_NAS(최종)_070202_르노삼성(SM5)_Media Mix_NAS(최종)_스케쥴표 포함_070322_르노삼성H45_4월 캠페인_Media Mix_NAS_071106_RSM_QMX_11월 미디어믹스 제안(수정)" xfId="2086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" xfId="2087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0912_르노삼성QMX" xfId="2088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1_RSM_SM7_10월 미디어믹스 제안_최종" xfId="2089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004_RSM_SM7_10월 미디어믹스 제안" xfId="2090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2_RSM_QMX_11월 미디어믹스 제안" xfId="2091"/>
    <cellStyle name="_060213_현대해상하이카_이노션_070125_르노삼성(SM5)_Media Mix_NAS(작업전)_070201_르노삼성(SM5)_Media Mix_NAS(최종)_070202_르노삼성(SM5)_Media Mix_NAS(최종)_스케쥴표 포함_070326_르노삼성H45_4월 캠페인_Media Mix_NAS_071106_RSM_QMX_11월 미디어믹스 제안(수정)" xfId="2092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" xfId="2093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0912_르노삼성QMX" xfId="2094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1_RSM_SM7_10월 미디어믹스 제안_최종" xfId="2095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004_RSM_SM7_10월 미디어믹스 제안" xfId="2096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2_RSM_QMX_11월 미디어믹스 제안" xfId="2097"/>
    <cellStyle name="_060213_현대해상하이카_이노션_070125_르노삼성(SM5)_Media Mix_NAS(작업전)_070201_르노삼성(SM5)_Media Mix_NAS(최종)_070202_르노삼성(SM5)_Media Mix_NAS(최종)_스케쥴표 포함_070327_르노삼성H45_4월 캠페인_Media Mix_NAS_071106_RSM_QMX_11월 미디어믹스 제안(수정)" xfId="2098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" xfId="2099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0912_르노삼성QMX" xfId="2100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1_RSM_SM7_10월 미디어믹스 제안_최종" xfId="2101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004_RSM_SM7_10월 미디어믹스 제안" xfId="2102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2_RSM_QMX_11월 미디어믹스 제안" xfId="2103"/>
    <cellStyle name="_060213_현대해상하이카_이노션_070125_르노삼성(SM5)_Media Mix_NAS(작업전)_070201_르노삼성(SM5)_Media Mix_NAS(최종)_070202_르노삼성(SM5)_Media Mix_NAS(최종)_스케쥴표 포함_070328_르노삼성H45_4월 캠페인_Media Mix_NAS_071106_RSM_QMX_11월 미디어믹스 제안(수정)" xfId="2104"/>
    <cellStyle name="_060213_현대해상하이카_이노션_070125_르노삼성(SM5)_Media Mix_NAS(작업전)_070201_르노삼성(SM5)_Media Mix_NAS(최종)_070202_르노삼성(SM5)_Media Mix_NAS(최종)_스케쥴표 포함_070403_르노삼성QMX_Media Mix_NAS" xfId="2105"/>
    <cellStyle name="_060213_현대해상하이카_이노션_070125_르노삼성(SM5)_Media Mix_NAS(작업전)_070201_르노삼성(SM5)_Media Mix_NAS(최종)_070202_르노삼성(SM5)_Media Mix_NAS(최종)_스케쥴표 포함_070403_르노삼성QMX_Media Mix_NAS_070912_르노삼성QMX" xfId="2106"/>
    <cellStyle name="_060213_현대해상하이카_이노션_070125_르노삼성(SM5)_Media Mix_NAS(작업전)_070201_르노삼성(SM5)_Media Mix_NAS(최종)_070202_르노삼성(SM5)_Media Mix_NAS(최종)_스케쥴표 포함_070403_르노삼성QMX_Media Mix_NAS_071001_RSM_SM7_10월 미디어믹스 제안_최종" xfId="2107"/>
    <cellStyle name="_060213_현대해상하이카_이노션_070125_르노삼성(SM5)_Media Mix_NAS(작업전)_070201_르노삼성(SM5)_Media Mix_NAS(최종)_070202_르노삼성(SM5)_Media Mix_NAS(최종)_스케쥴표 포함_070403_르노삼성QMX_Media Mix_NAS_071004_RSM_SM7_10월 미디어믹스 제안" xfId="2108"/>
    <cellStyle name="_060213_현대해상하이카_이노션_070125_르노삼성(SM5)_Media Mix_NAS(작업전)_070201_르노삼성(SM5)_Media Mix_NAS(최종)_070202_르노삼성(SM5)_Media Mix_NAS(최종)_스케쥴표 포함_070403_르노삼성QMX_Media Mix_NAS_071102_RSM_QMX_11월 미디어믹스 제안" xfId="2109"/>
    <cellStyle name="_060213_현대해상하이카_이노션_070125_르노삼성(SM5)_Media Mix_NAS(작업전)_070201_르노삼성(SM5)_Media Mix_NAS(최종)_070202_르노삼성(SM5)_Media Mix_NAS(최종)_스케쥴표 포함_070403_르노삼성QMX_Media Mix_NAS_071106_RSM_QMX_11월 미디어믹스 제안(수정)" xfId="2110"/>
    <cellStyle name="_060213_현대해상하이카_이노션_070125_르노삼성(SM5)_Media Mix_NAS(작업전)_070201_르노삼성(SM5)_Media Mix_NAS(최종)_070202_르노삼성(SM5)_Media Mix_NAS(최종)_스케쥴표 포함_르노삼성 믹스종합_070214" xfId="2111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" xfId="2112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113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114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115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116"/>
    <cellStyle name="_060213_현대해상하이카_이노션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117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" xfId="2118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119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120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121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122"/>
    <cellStyle name="_060213_현대해상하이카_이노션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123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" xfId="2124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125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126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127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128"/>
    <cellStyle name="_060213_현대해상하이카_이노션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129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" xfId="2130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131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132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133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134"/>
    <cellStyle name="_060213_현대해상하이카_이노션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135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" xfId="2136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0912_르노삼성QMX" xfId="2137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138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139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140"/>
    <cellStyle name="_060213_현대해상하이카_이노션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141"/>
    <cellStyle name="_060213_현대해상하이카_이노션_070125_르노삼성(SM5)_Media Mix_NAS(작업전)_070201_르노삼성(SM5)_Media Mix_NAS(최종)_070322_르노삼성H45_4월 캠페인_Media Mix_NAS" xfId="2142"/>
    <cellStyle name="_060213_현대해상하이카_이노션_070125_르노삼성(SM5)_Media Mix_NAS(작업전)_070201_르노삼성(SM5)_Media Mix_NAS(최종)_070322_르노삼성H45_4월 캠페인_Media Mix_NAS_070912_르노삼성QMX" xfId="2143"/>
    <cellStyle name="_060213_현대해상하이카_이노션_070125_르노삼성(SM5)_Media Mix_NAS(작업전)_070201_르노삼성(SM5)_Media Mix_NAS(최종)_070322_르노삼성H45_4월 캠페인_Media Mix_NAS_071001_RSM_SM7_10월 미디어믹스 제안_최종" xfId="2144"/>
    <cellStyle name="_060213_현대해상하이카_이노션_070125_르노삼성(SM5)_Media Mix_NAS(작업전)_070201_르노삼성(SM5)_Media Mix_NAS(최종)_070322_르노삼성H45_4월 캠페인_Media Mix_NAS_071004_RSM_SM7_10월 미디어믹스 제안" xfId="2145"/>
    <cellStyle name="_060213_현대해상하이카_이노션_070125_르노삼성(SM5)_Media Mix_NAS(작업전)_070201_르노삼성(SM5)_Media Mix_NAS(최종)_070322_르노삼성H45_4월 캠페인_Media Mix_NAS_071102_RSM_QMX_11월 미디어믹스 제안" xfId="2146"/>
    <cellStyle name="_060213_현대해상하이카_이노션_070125_르노삼성(SM5)_Media Mix_NAS(작업전)_070201_르노삼성(SM5)_Media Mix_NAS(최종)_070322_르노삼성H45_4월 캠페인_Media Mix_NAS_071106_RSM_QMX_11월 미디어믹스 제안(수정)" xfId="2147"/>
    <cellStyle name="_060213_현대해상하이카_이노션_070125_르노삼성(SM5)_Media Mix_NAS(작업전)_070201_르노삼성(SM5)_Media Mix_NAS(최종)_070326_르노삼성H45_4월 캠페인_Media Mix_NAS" xfId="2148"/>
    <cellStyle name="_060213_현대해상하이카_이노션_070125_르노삼성(SM5)_Media Mix_NAS(작업전)_070201_르노삼성(SM5)_Media Mix_NAS(최종)_070326_르노삼성H45_4월 캠페인_Media Mix_NAS_070912_르노삼성QMX" xfId="2149"/>
    <cellStyle name="_060213_현대해상하이카_이노션_070125_르노삼성(SM5)_Media Mix_NAS(작업전)_070201_르노삼성(SM5)_Media Mix_NAS(최종)_070326_르노삼성H45_4월 캠페인_Media Mix_NAS_071001_RSM_SM7_10월 미디어믹스 제안_최종" xfId="2150"/>
    <cellStyle name="_060213_현대해상하이카_이노션_070125_르노삼성(SM5)_Media Mix_NAS(작업전)_070201_르노삼성(SM5)_Media Mix_NAS(최종)_070326_르노삼성H45_4월 캠페인_Media Mix_NAS_071004_RSM_SM7_10월 미디어믹스 제안" xfId="2151"/>
    <cellStyle name="_060213_현대해상하이카_이노션_070125_르노삼성(SM5)_Media Mix_NAS(작업전)_070201_르노삼성(SM5)_Media Mix_NAS(최종)_070326_르노삼성H45_4월 캠페인_Media Mix_NAS_071102_RSM_QMX_11월 미디어믹스 제안" xfId="2152"/>
    <cellStyle name="_060213_현대해상하이카_이노션_070125_르노삼성(SM5)_Media Mix_NAS(작업전)_070201_르노삼성(SM5)_Media Mix_NAS(최종)_070326_르노삼성H45_4월 캠페인_Media Mix_NAS_071106_RSM_QMX_11월 미디어믹스 제안(수정)" xfId="2153"/>
    <cellStyle name="_060213_현대해상하이카_이노션_070125_르노삼성(SM5)_Media Mix_NAS(작업전)_070201_르노삼성(SM5)_Media Mix_NAS(최종)_070327_르노삼성H45_4월 캠페인_Media Mix_NAS" xfId="2154"/>
    <cellStyle name="_060213_현대해상하이카_이노션_070125_르노삼성(SM5)_Media Mix_NAS(작업전)_070201_르노삼성(SM5)_Media Mix_NAS(최종)_070327_르노삼성H45_4월 캠페인_Media Mix_NAS_070912_르노삼성QMX" xfId="2155"/>
    <cellStyle name="_060213_현대해상하이카_이노션_070125_르노삼성(SM5)_Media Mix_NAS(작업전)_070201_르노삼성(SM5)_Media Mix_NAS(최종)_070327_르노삼성H45_4월 캠페인_Media Mix_NAS_071001_RSM_SM7_10월 미디어믹스 제안_최종" xfId="2156"/>
    <cellStyle name="_060213_현대해상하이카_이노션_070125_르노삼성(SM5)_Media Mix_NAS(작업전)_070201_르노삼성(SM5)_Media Mix_NAS(최종)_070327_르노삼성H45_4월 캠페인_Media Mix_NAS_071004_RSM_SM7_10월 미디어믹스 제안" xfId="2157"/>
    <cellStyle name="_060213_현대해상하이카_이노션_070125_르노삼성(SM5)_Media Mix_NAS(작업전)_070201_르노삼성(SM5)_Media Mix_NAS(최종)_070327_르노삼성H45_4월 캠페인_Media Mix_NAS_071102_RSM_QMX_11월 미디어믹스 제안" xfId="2158"/>
    <cellStyle name="_060213_현대해상하이카_이노션_070125_르노삼성(SM5)_Media Mix_NAS(작업전)_070201_르노삼성(SM5)_Media Mix_NAS(최종)_070327_르노삼성H45_4월 캠페인_Media Mix_NAS_071106_RSM_QMX_11월 미디어믹스 제안(수정)" xfId="2159"/>
    <cellStyle name="_060213_현대해상하이카_이노션_070125_르노삼성(SM5)_Media Mix_NAS(작업전)_070201_르노삼성(SM5)_Media Mix_NAS(최종)_070328_르노삼성H45_4월 캠페인_Media Mix_NAS" xfId="2160"/>
    <cellStyle name="_060213_현대해상하이카_이노션_070125_르노삼성(SM5)_Media Mix_NAS(작업전)_070201_르노삼성(SM5)_Media Mix_NAS(최종)_070328_르노삼성H45_4월 캠페인_Media Mix_NAS_070912_르노삼성QMX" xfId="2161"/>
    <cellStyle name="_060213_현대해상하이카_이노션_070125_르노삼성(SM5)_Media Mix_NAS(작업전)_070201_르노삼성(SM5)_Media Mix_NAS(최종)_070328_르노삼성H45_4월 캠페인_Media Mix_NAS_071001_RSM_SM7_10월 미디어믹스 제안_최종" xfId="2162"/>
    <cellStyle name="_060213_현대해상하이카_이노션_070125_르노삼성(SM5)_Media Mix_NAS(작업전)_070201_르노삼성(SM5)_Media Mix_NAS(최종)_070328_르노삼성H45_4월 캠페인_Media Mix_NAS_071004_RSM_SM7_10월 미디어믹스 제안" xfId="2163"/>
    <cellStyle name="_060213_현대해상하이카_이노션_070125_르노삼성(SM5)_Media Mix_NAS(작업전)_070201_르노삼성(SM5)_Media Mix_NAS(최종)_070328_르노삼성H45_4월 캠페인_Media Mix_NAS_071102_RSM_QMX_11월 미디어믹스 제안" xfId="2164"/>
    <cellStyle name="_060213_현대해상하이카_이노션_070125_르노삼성(SM5)_Media Mix_NAS(작업전)_070201_르노삼성(SM5)_Media Mix_NAS(최종)_070328_르노삼성H45_4월 캠페인_Media Mix_NAS_071106_RSM_QMX_11월 미디어믹스 제안(수정)" xfId="2165"/>
    <cellStyle name="_060213_현대해상하이카_이노션_070125_르노삼성(SM5)_Media Mix_NAS(작업전)_070201_르노삼성(SM5)_Media Mix_NAS(최종)_070403_르노삼성QMX_Media Mix_NAS" xfId="2166"/>
    <cellStyle name="_060213_현대해상하이카_이노션_070125_르노삼성(SM5)_Media Mix_NAS(작업전)_070201_르노삼성(SM5)_Media Mix_NAS(최종)_070403_르노삼성QMX_Media Mix_NAS_070912_르노삼성QMX" xfId="2167"/>
    <cellStyle name="_060213_현대해상하이카_이노션_070125_르노삼성(SM5)_Media Mix_NAS(작업전)_070201_르노삼성(SM5)_Media Mix_NAS(최종)_070403_르노삼성QMX_Media Mix_NAS_071001_RSM_SM7_10월 미디어믹스 제안_최종" xfId="2168"/>
    <cellStyle name="_060213_현대해상하이카_이노션_070125_르노삼성(SM5)_Media Mix_NAS(작업전)_070201_르노삼성(SM5)_Media Mix_NAS(최종)_070403_르노삼성QMX_Media Mix_NAS_071004_RSM_SM7_10월 미디어믹스 제안" xfId="2169"/>
    <cellStyle name="_060213_현대해상하이카_이노션_070125_르노삼성(SM5)_Media Mix_NAS(작업전)_070201_르노삼성(SM5)_Media Mix_NAS(최종)_070403_르노삼성QMX_Media Mix_NAS_071102_RSM_QMX_11월 미디어믹스 제안" xfId="2170"/>
    <cellStyle name="_060213_현대해상하이카_이노션_070125_르노삼성(SM5)_Media Mix_NAS(작업전)_070201_르노삼성(SM5)_Media Mix_NAS(최종)_070403_르노삼성QMX_Media Mix_NAS_071106_RSM_QMX_11월 미디어믹스 제안(수정)" xfId="2171"/>
    <cellStyle name="_060213_현대해상하이카_이노션_070125_르노삼성(SM5)_Media Mix_NAS(작업전)_070322_르노삼성H45_4월 캠페인_Media Mix_NAS" xfId="2172"/>
    <cellStyle name="_060213_현대해상하이카_이노션_070125_르노삼성(SM5)_Media Mix_NAS(작업전)_070322_르노삼성H45_4월 캠페인_Media Mix_NAS_070912_르노삼성QMX" xfId="2173"/>
    <cellStyle name="_060213_현대해상하이카_이노션_070125_르노삼성(SM5)_Media Mix_NAS(작업전)_070322_르노삼성H45_4월 캠페인_Media Mix_NAS_071001_RSM_SM7_10월 미디어믹스 제안_최종" xfId="2174"/>
    <cellStyle name="_060213_현대해상하이카_이노션_070125_르노삼성(SM5)_Media Mix_NAS(작업전)_070322_르노삼성H45_4월 캠페인_Media Mix_NAS_071004_RSM_SM7_10월 미디어믹스 제안" xfId="2175"/>
    <cellStyle name="_060213_현대해상하이카_이노션_070125_르노삼성(SM5)_Media Mix_NAS(작업전)_070322_르노삼성H45_4월 캠페인_Media Mix_NAS_071102_RSM_QMX_11월 미디어믹스 제안" xfId="2176"/>
    <cellStyle name="_060213_현대해상하이카_이노션_070125_르노삼성(SM5)_Media Mix_NAS(작업전)_070322_르노삼성H45_4월 캠페인_Media Mix_NAS_071106_RSM_QMX_11월 미디어믹스 제안(수정)" xfId="2177"/>
    <cellStyle name="_060213_현대해상하이카_이노션_070125_르노삼성(SM5)_Media Mix_NAS(작업전)_070326_르노삼성H45_4월 캠페인_Media Mix_NAS" xfId="2178"/>
    <cellStyle name="_060213_현대해상하이카_이노션_070125_르노삼성(SM5)_Media Mix_NAS(작업전)_070326_르노삼성H45_4월 캠페인_Media Mix_NAS_070912_르노삼성QMX" xfId="2179"/>
    <cellStyle name="_060213_현대해상하이카_이노션_070125_르노삼성(SM5)_Media Mix_NAS(작업전)_070326_르노삼성H45_4월 캠페인_Media Mix_NAS_071001_RSM_SM7_10월 미디어믹스 제안_최종" xfId="2180"/>
    <cellStyle name="_060213_현대해상하이카_이노션_070125_르노삼성(SM5)_Media Mix_NAS(작업전)_070326_르노삼성H45_4월 캠페인_Media Mix_NAS_071004_RSM_SM7_10월 미디어믹스 제안" xfId="2181"/>
    <cellStyle name="_060213_현대해상하이카_이노션_070125_르노삼성(SM5)_Media Mix_NAS(작업전)_070326_르노삼성H45_4월 캠페인_Media Mix_NAS_071102_RSM_QMX_11월 미디어믹스 제안" xfId="2182"/>
    <cellStyle name="_060213_현대해상하이카_이노션_070125_르노삼성(SM5)_Media Mix_NAS(작업전)_070326_르노삼성H45_4월 캠페인_Media Mix_NAS_071106_RSM_QMX_11월 미디어믹스 제안(수정)" xfId="2183"/>
    <cellStyle name="_060213_현대해상하이카_이노션_070125_르노삼성(SM5)_Media Mix_NAS(작업전)_070327_르노삼성H45_4월 캠페인_Media Mix_NAS" xfId="2184"/>
    <cellStyle name="_060213_현대해상하이카_이노션_070125_르노삼성(SM5)_Media Mix_NAS(작업전)_070327_르노삼성H45_4월 캠페인_Media Mix_NAS_070912_르노삼성QMX" xfId="2185"/>
    <cellStyle name="_060213_현대해상하이카_이노션_070125_르노삼성(SM5)_Media Mix_NAS(작업전)_070327_르노삼성H45_4월 캠페인_Media Mix_NAS_071001_RSM_SM7_10월 미디어믹스 제안_최종" xfId="2186"/>
    <cellStyle name="_060213_현대해상하이카_이노션_070125_르노삼성(SM5)_Media Mix_NAS(작업전)_070327_르노삼성H45_4월 캠페인_Media Mix_NAS_071004_RSM_SM7_10월 미디어믹스 제안" xfId="2187"/>
    <cellStyle name="_060213_현대해상하이카_이노션_070125_르노삼성(SM5)_Media Mix_NAS(작업전)_070327_르노삼성H45_4월 캠페인_Media Mix_NAS_071102_RSM_QMX_11월 미디어믹스 제안" xfId="2188"/>
    <cellStyle name="_060213_현대해상하이카_이노션_070125_르노삼성(SM5)_Media Mix_NAS(작업전)_070327_르노삼성H45_4월 캠페인_Media Mix_NAS_071106_RSM_QMX_11월 미디어믹스 제안(수정)" xfId="2189"/>
    <cellStyle name="_060213_현대해상하이카_이노션_070125_르노삼성(SM5)_Media Mix_NAS(작업전)_070328_르노삼성H45_4월 캠페인_Media Mix_NAS" xfId="2190"/>
    <cellStyle name="_060213_현대해상하이카_이노션_070125_르노삼성(SM5)_Media Mix_NAS(작업전)_070328_르노삼성H45_4월 캠페인_Media Mix_NAS_070912_르노삼성QMX" xfId="2191"/>
    <cellStyle name="_060213_현대해상하이카_이노션_070125_르노삼성(SM5)_Media Mix_NAS(작업전)_070328_르노삼성H45_4월 캠페인_Media Mix_NAS_071001_RSM_SM7_10월 미디어믹스 제안_최종" xfId="2192"/>
    <cellStyle name="_060213_현대해상하이카_이노션_070125_르노삼성(SM5)_Media Mix_NAS(작업전)_070328_르노삼성H45_4월 캠페인_Media Mix_NAS_071004_RSM_SM7_10월 미디어믹스 제안" xfId="2193"/>
    <cellStyle name="_060213_현대해상하이카_이노션_070125_르노삼성(SM5)_Media Mix_NAS(작업전)_070328_르노삼성H45_4월 캠페인_Media Mix_NAS_071102_RSM_QMX_11월 미디어믹스 제안" xfId="2194"/>
    <cellStyle name="_060213_현대해상하이카_이노션_070125_르노삼성(SM5)_Media Mix_NAS(작업전)_070328_르노삼성H45_4월 캠페인_Media Mix_NAS_071106_RSM_QMX_11월 미디어믹스 제안(수정)" xfId="2195"/>
    <cellStyle name="_060213_현대해상하이카_이노션_070125_르노삼성(SM5)_Media Mix_NAS(작업전)_070403_르노삼성QMX_Media Mix_NAS" xfId="2196"/>
    <cellStyle name="_060213_현대해상하이카_이노션_070125_르노삼성(SM5)_Media Mix_NAS(작업전)_070403_르노삼성QMX_Media Mix_NAS_070912_르노삼성QMX" xfId="2197"/>
    <cellStyle name="_060213_현대해상하이카_이노션_070125_르노삼성(SM5)_Media Mix_NAS(작업전)_070403_르노삼성QMX_Media Mix_NAS_071001_RSM_SM7_10월 미디어믹스 제안_최종" xfId="2198"/>
    <cellStyle name="_060213_현대해상하이카_이노션_070125_르노삼성(SM5)_Media Mix_NAS(작업전)_070403_르노삼성QMX_Media Mix_NAS_071004_RSM_SM7_10월 미디어믹스 제안" xfId="2199"/>
    <cellStyle name="_060213_현대해상하이카_이노션_070125_르노삼성(SM5)_Media Mix_NAS(작업전)_070403_르노삼성QMX_Media Mix_NAS_071102_RSM_QMX_11월 미디어믹스 제안" xfId="2200"/>
    <cellStyle name="_060213_현대해상하이카_이노션_070125_르노삼성(SM5)_Media Mix_NAS(작업전)_070403_르노삼성QMX_Media Mix_NAS_071106_RSM_QMX_11월 미디어믹스 제안(수정)" xfId="2201"/>
    <cellStyle name="_060213_현대해상하이카_이노션_070125_르노삼성(SM5)_Media Mix_NAS(작업전)_르노삼성 믹스종합_070214" xfId="2202"/>
    <cellStyle name="_060213_현대해상하이카_이노션_070125_르노삼성(SM5)_Media Mix_NAS(작업전)_르노삼성 믹스종합_070214_070322_르노삼성H45_4월 캠페인_Media Mix_NAS" xfId="2203"/>
    <cellStyle name="_060213_현대해상하이카_이노션_070125_르노삼성(SM5)_Media Mix_NAS(작업전)_르노삼성 믹스종합_070214_070322_르노삼성H45_4월 캠페인_Media Mix_NAS_070912_르노삼성QMX" xfId="2204"/>
    <cellStyle name="_060213_현대해상하이카_이노션_070125_르노삼성(SM5)_Media Mix_NAS(작업전)_르노삼성 믹스종합_070214_070322_르노삼성H45_4월 캠페인_Media Mix_NAS_071001_RSM_SM7_10월 미디어믹스 제안_최종" xfId="2205"/>
    <cellStyle name="_060213_현대해상하이카_이노션_070125_르노삼성(SM5)_Media Mix_NAS(작업전)_르노삼성 믹스종합_070214_070322_르노삼성H45_4월 캠페인_Media Mix_NAS_071004_RSM_SM7_10월 미디어믹스 제안" xfId="2206"/>
    <cellStyle name="_060213_현대해상하이카_이노션_070125_르노삼성(SM5)_Media Mix_NAS(작업전)_르노삼성 믹스종합_070214_070322_르노삼성H45_4월 캠페인_Media Mix_NAS_071102_RSM_QMX_11월 미디어믹스 제안" xfId="2207"/>
    <cellStyle name="_060213_현대해상하이카_이노션_070125_르노삼성(SM5)_Media Mix_NAS(작업전)_르노삼성 믹스종합_070214_070322_르노삼성H45_4월 캠페인_Media Mix_NAS_071106_RSM_QMX_11월 미디어믹스 제안(수정)" xfId="2208"/>
    <cellStyle name="_060213_현대해상하이카_이노션_070125_르노삼성(SM5)_Media Mix_NAS(작업전)_르노삼성 믹스종합_070214_070326_르노삼성H45_4월 캠페인_Media Mix_NAS" xfId="2209"/>
    <cellStyle name="_060213_현대해상하이카_이노션_070125_르노삼성(SM5)_Media Mix_NAS(작업전)_르노삼성 믹스종합_070214_070326_르노삼성H45_4월 캠페인_Media Mix_NAS_070912_르노삼성QMX" xfId="2210"/>
    <cellStyle name="_060213_현대해상하이카_이노션_070125_르노삼성(SM5)_Media Mix_NAS(작업전)_르노삼성 믹스종합_070214_070326_르노삼성H45_4월 캠페인_Media Mix_NAS_071001_RSM_SM7_10월 미디어믹스 제안_최종" xfId="2211"/>
    <cellStyle name="_060213_현대해상하이카_이노션_070125_르노삼성(SM5)_Media Mix_NAS(작업전)_르노삼성 믹스종합_070214_070326_르노삼성H45_4월 캠페인_Media Mix_NAS_071004_RSM_SM7_10월 미디어믹스 제안" xfId="2212"/>
    <cellStyle name="_060213_현대해상하이카_이노션_070125_르노삼성(SM5)_Media Mix_NAS(작업전)_르노삼성 믹스종합_070214_070326_르노삼성H45_4월 캠페인_Media Mix_NAS_071102_RSM_QMX_11월 미디어믹스 제안" xfId="2213"/>
    <cellStyle name="_060213_현대해상하이카_이노션_070125_르노삼성(SM5)_Media Mix_NAS(작업전)_르노삼성 믹스종합_070214_070326_르노삼성H45_4월 캠페인_Media Mix_NAS_071106_RSM_QMX_11월 미디어믹스 제안(수정)" xfId="2214"/>
    <cellStyle name="_060213_현대해상하이카_이노션_070125_르노삼성(SM5)_Media Mix_NAS(작업전)_르노삼성 믹스종합_070214_070327_르노삼성H45_4월 캠페인_Media Mix_NAS" xfId="2215"/>
    <cellStyle name="_060213_현대해상하이카_이노션_070125_르노삼성(SM5)_Media Mix_NAS(작업전)_르노삼성 믹스종합_070214_070327_르노삼성H45_4월 캠페인_Media Mix_NAS_070912_르노삼성QMX" xfId="2216"/>
    <cellStyle name="_060213_현대해상하이카_이노션_070125_르노삼성(SM5)_Media Mix_NAS(작업전)_르노삼성 믹스종합_070214_070327_르노삼성H45_4월 캠페인_Media Mix_NAS_071001_RSM_SM7_10월 미디어믹스 제안_최종" xfId="2217"/>
    <cellStyle name="_060213_현대해상하이카_이노션_070125_르노삼성(SM5)_Media Mix_NAS(작업전)_르노삼성 믹스종합_070214_070327_르노삼성H45_4월 캠페인_Media Mix_NAS_071004_RSM_SM7_10월 미디어믹스 제안" xfId="2218"/>
    <cellStyle name="_060213_현대해상하이카_이노션_070125_르노삼성(SM5)_Media Mix_NAS(작업전)_르노삼성 믹스종합_070214_070327_르노삼성H45_4월 캠페인_Media Mix_NAS_071102_RSM_QMX_11월 미디어믹스 제안" xfId="2219"/>
    <cellStyle name="_060213_현대해상하이카_이노션_070125_르노삼성(SM5)_Media Mix_NAS(작업전)_르노삼성 믹스종합_070214_070327_르노삼성H45_4월 캠페인_Media Mix_NAS_071106_RSM_QMX_11월 미디어믹스 제안(수정)" xfId="2220"/>
    <cellStyle name="_060213_현대해상하이카_이노션_070125_르노삼성(SM5)_Media Mix_NAS(작업전)_르노삼성 믹스종합_070214_070328_르노삼성H45_4월 캠페인_Media Mix_NAS" xfId="2221"/>
    <cellStyle name="_060213_현대해상하이카_이노션_070125_르노삼성(SM5)_Media Mix_NAS(작업전)_르노삼성 믹스종합_070214_070328_르노삼성H45_4월 캠페인_Media Mix_NAS_070912_르노삼성QMX" xfId="2222"/>
    <cellStyle name="_060213_현대해상하이카_이노션_070125_르노삼성(SM5)_Media Mix_NAS(작업전)_르노삼성 믹스종합_070214_070328_르노삼성H45_4월 캠페인_Media Mix_NAS_071001_RSM_SM7_10월 미디어믹스 제안_최종" xfId="2223"/>
    <cellStyle name="_060213_현대해상하이카_이노션_070125_르노삼성(SM5)_Media Mix_NAS(작업전)_르노삼성 믹스종합_070214_070328_르노삼성H45_4월 캠페인_Media Mix_NAS_071004_RSM_SM7_10월 미디어믹스 제안" xfId="2224"/>
    <cellStyle name="_060213_현대해상하이카_이노션_070125_르노삼성(SM5)_Media Mix_NAS(작업전)_르노삼성 믹스종합_070214_070328_르노삼성H45_4월 캠페인_Media Mix_NAS_071102_RSM_QMX_11월 미디어믹스 제안" xfId="2225"/>
    <cellStyle name="_060213_현대해상하이카_이노션_070125_르노삼성(SM5)_Media Mix_NAS(작업전)_르노삼성 믹스종합_070214_070328_르노삼성H45_4월 캠페인_Media Mix_NAS_071106_RSM_QMX_11월 미디어믹스 제안(수정)" xfId="2226"/>
    <cellStyle name="_060213_현대해상하이카_이노션_070125_르노삼성(SM5)_Media Mix_NAS(작업전)_르노삼성 믹스종합_070214_070403_르노삼성QMX_Media Mix_NAS" xfId="2227"/>
    <cellStyle name="_060213_현대해상하이카_이노션_070125_르노삼성(SM5)_Media Mix_NAS(작업전)_르노삼성 믹스종합_070214_070403_르노삼성QMX_Media Mix_NAS_070912_르노삼성QMX" xfId="2228"/>
    <cellStyle name="_060213_현대해상하이카_이노션_070125_르노삼성(SM5)_Media Mix_NAS(작업전)_르노삼성 믹스종합_070214_070403_르노삼성QMX_Media Mix_NAS_071001_RSM_SM7_10월 미디어믹스 제안_최종" xfId="2229"/>
    <cellStyle name="_060213_현대해상하이카_이노션_070125_르노삼성(SM5)_Media Mix_NAS(작업전)_르노삼성 믹스종합_070214_070403_르노삼성QMX_Media Mix_NAS_071004_RSM_SM7_10월 미디어믹스 제안" xfId="2230"/>
    <cellStyle name="_060213_현대해상하이카_이노션_070125_르노삼성(SM5)_Media Mix_NAS(작업전)_르노삼성 믹스종합_070214_070403_르노삼성QMX_Media Mix_NAS_071102_RSM_QMX_11월 미디어믹스 제안" xfId="2231"/>
    <cellStyle name="_060213_현대해상하이카_이노션_070125_르노삼성(SM5)_Media Mix_NAS(작업전)_르노삼성 믹스종합_070214_070403_르노삼성QMX_Media Mix_NAS_071106_RSM_QMX_11월 미디어믹스 제안(수정)" xfId="2232"/>
    <cellStyle name="_060213_현대해상하이카_이노션_070202_르노삼성(SM5)_Media Mix_NAS(최종)_스케쥴표 포함" xfId="2233"/>
    <cellStyle name="_060213_현대해상하이카_이노션_070202_르노삼성(SM5)_Media Mix_NAS(최종)_스케쥴표 포함_070322_르노삼성H45_4월 캠페인_Media Mix_NAS" xfId="2234"/>
    <cellStyle name="_060213_현대해상하이카_이노션_070202_르노삼성(SM5)_Media Mix_NAS(최종)_스케쥴표 포함_070322_르노삼성H45_4월 캠페인_Media Mix_NAS_070912_르노삼성QMX" xfId="2235"/>
    <cellStyle name="_060213_현대해상하이카_이노션_070202_르노삼성(SM5)_Media Mix_NAS(최종)_스케쥴표 포함_070322_르노삼성H45_4월 캠페인_Media Mix_NAS_071001_RSM_SM7_10월 미디어믹스 제안_최종" xfId="2236"/>
    <cellStyle name="_060213_현대해상하이카_이노션_070202_르노삼성(SM5)_Media Mix_NAS(최종)_스케쥴표 포함_070322_르노삼성H45_4월 캠페인_Media Mix_NAS_071004_RSM_SM7_10월 미디어믹스 제안" xfId="2237"/>
    <cellStyle name="_060213_현대해상하이카_이노션_070202_르노삼성(SM5)_Media Mix_NAS(최종)_스케쥴표 포함_070322_르노삼성H45_4월 캠페인_Media Mix_NAS_071102_RSM_QMX_11월 미디어믹스 제안" xfId="2238"/>
    <cellStyle name="_060213_현대해상하이카_이노션_070202_르노삼성(SM5)_Media Mix_NAS(최종)_스케쥴표 포함_070322_르노삼성H45_4월 캠페인_Media Mix_NAS_071106_RSM_QMX_11월 미디어믹스 제안(수정)" xfId="2239"/>
    <cellStyle name="_060213_현대해상하이카_이노션_070202_르노삼성(SM5)_Media Mix_NAS(최종)_스케쥴표 포함_070326_르노삼성H45_4월 캠페인_Media Mix_NAS" xfId="2240"/>
    <cellStyle name="_060213_현대해상하이카_이노션_070202_르노삼성(SM5)_Media Mix_NAS(최종)_스케쥴표 포함_070326_르노삼성H45_4월 캠페인_Media Mix_NAS_070912_르노삼성QMX" xfId="2241"/>
    <cellStyle name="_060213_현대해상하이카_이노션_070202_르노삼성(SM5)_Media Mix_NAS(최종)_스케쥴표 포함_070326_르노삼성H45_4월 캠페인_Media Mix_NAS_071001_RSM_SM7_10월 미디어믹스 제안_최종" xfId="2242"/>
    <cellStyle name="_060213_현대해상하이카_이노션_070202_르노삼성(SM5)_Media Mix_NAS(최종)_스케쥴표 포함_070326_르노삼성H45_4월 캠페인_Media Mix_NAS_071004_RSM_SM7_10월 미디어믹스 제안" xfId="2243"/>
    <cellStyle name="_060213_현대해상하이카_이노션_070202_르노삼성(SM5)_Media Mix_NAS(최종)_스케쥴표 포함_070326_르노삼성H45_4월 캠페인_Media Mix_NAS_071102_RSM_QMX_11월 미디어믹스 제안" xfId="2244"/>
    <cellStyle name="_060213_현대해상하이카_이노션_070202_르노삼성(SM5)_Media Mix_NAS(최종)_스케쥴표 포함_070326_르노삼성H45_4월 캠페인_Media Mix_NAS_071106_RSM_QMX_11월 미디어믹스 제안(수정)" xfId="2245"/>
    <cellStyle name="_060213_현대해상하이카_이노션_070202_르노삼성(SM5)_Media Mix_NAS(최종)_스케쥴표 포함_070327_르노삼성H45_4월 캠페인_Media Mix_NAS" xfId="2246"/>
    <cellStyle name="_060213_현대해상하이카_이노션_070202_르노삼성(SM5)_Media Mix_NAS(최종)_스케쥴표 포함_070327_르노삼성H45_4월 캠페인_Media Mix_NAS_070912_르노삼성QMX" xfId="2247"/>
    <cellStyle name="_060213_현대해상하이카_이노션_070202_르노삼성(SM5)_Media Mix_NAS(최종)_스케쥴표 포함_070327_르노삼성H45_4월 캠페인_Media Mix_NAS_071001_RSM_SM7_10월 미디어믹스 제안_최종" xfId="2248"/>
    <cellStyle name="_060213_현대해상하이카_이노션_070202_르노삼성(SM5)_Media Mix_NAS(최종)_스케쥴표 포함_070327_르노삼성H45_4월 캠페인_Media Mix_NAS_071004_RSM_SM7_10월 미디어믹스 제안" xfId="2249"/>
    <cellStyle name="_060213_현대해상하이카_이노션_070202_르노삼성(SM5)_Media Mix_NAS(최종)_스케쥴표 포함_070327_르노삼성H45_4월 캠페인_Media Mix_NAS_071102_RSM_QMX_11월 미디어믹스 제안" xfId="2250"/>
    <cellStyle name="_060213_현대해상하이카_이노션_070202_르노삼성(SM5)_Media Mix_NAS(최종)_스케쥴표 포함_070327_르노삼성H45_4월 캠페인_Media Mix_NAS_071106_RSM_QMX_11월 미디어믹스 제안(수정)" xfId="2251"/>
    <cellStyle name="_060213_현대해상하이카_이노션_070202_르노삼성(SM5)_Media Mix_NAS(최종)_스케쥴표 포함_070328_르노삼성H45_4월 캠페인_Media Mix_NAS" xfId="2252"/>
    <cellStyle name="_060213_현대해상하이카_이노션_070202_르노삼성(SM5)_Media Mix_NAS(최종)_스케쥴표 포함_070328_르노삼성H45_4월 캠페인_Media Mix_NAS_070912_르노삼성QMX" xfId="2253"/>
    <cellStyle name="_060213_현대해상하이카_이노션_070202_르노삼성(SM5)_Media Mix_NAS(최종)_스케쥴표 포함_070328_르노삼성H45_4월 캠페인_Media Mix_NAS_071001_RSM_SM7_10월 미디어믹스 제안_최종" xfId="2254"/>
    <cellStyle name="_060213_현대해상하이카_이노션_070202_르노삼성(SM5)_Media Mix_NAS(최종)_스케쥴표 포함_070328_르노삼성H45_4월 캠페인_Media Mix_NAS_071004_RSM_SM7_10월 미디어믹스 제안" xfId="2255"/>
    <cellStyle name="_060213_현대해상하이카_이노션_070202_르노삼성(SM5)_Media Mix_NAS(최종)_스케쥴표 포함_070328_르노삼성H45_4월 캠페인_Media Mix_NAS_071102_RSM_QMX_11월 미디어믹스 제안" xfId="2256"/>
    <cellStyle name="_060213_현대해상하이카_이노션_070202_르노삼성(SM5)_Media Mix_NAS(최종)_스케쥴표 포함_070328_르노삼성H45_4월 캠페인_Media Mix_NAS_071106_RSM_QMX_11월 미디어믹스 제안(수정)" xfId="2257"/>
    <cellStyle name="_060213_현대해상하이카_이노션_070202_르노삼성(SM5)_Media Mix_NAS(최종)_스케쥴표 포함_070403_르노삼성QMX_Media Mix_NAS" xfId="2258"/>
    <cellStyle name="_060213_현대해상하이카_이노션_070202_르노삼성(SM5)_Media Mix_NAS(최종)_스케쥴표 포함_070403_르노삼성QMX_Media Mix_NAS_070912_르노삼성QMX" xfId="2259"/>
    <cellStyle name="_060213_현대해상하이카_이노션_070202_르노삼성(SM5)_Media Mix_NAS(최종)_스케쥴표 포함_070403_르노삼성QMX_Media Mix_NAS_071001_RSM_SM7_10월 미디어믹스 제안_최종" xfId="2260"/>
    <cellStyle name="_060213_현대해상하이카_이노션_070202_르노삼성(SM5)_Media Mix_NAS(최종)_스케쥴표 포함_070403_르노삼성QMX_Media Mix_NAS_071004_RSM_SM7_10월 미디어믹스 제안" xfId="2261"/>
    <cellStyle name="_060213_현대해상하이카_이노션_070202_르노삼성(SM5)_Media Mix_NAS(최종)_스케쥴표 포함_070403_르노삼성QMX_Media Mix_NAS_071102_RSM_QMX_11월 미디어믹스 제안" xfId="2262"/>
    <cellStyle name="_060213_현대해상하이카_이노션_070202_르노삼성(SM5)_Media Mix_NAS(최종)_스케쥴표 포함_070403_르노삼성QMX_Media Mix_NAS_071106_RSM_QMX_11월 미디어믹스 제안(수정)" xfId="2263"/>
    <cellStyle name="_060213_현대해상하이카_이노션_070202_르노삼성(SM5)_Media Mix_NAS(최종)_스케쥴표 포함_르노삼성 믹스종합_070214" xfId="2264"/>
    <cellStyle name="_060213_현대해상하이카_이노션_070202_르노삼성(SM5)_Media Mix_NAS(최종)_스케쥴표 포함_르노삼성 믹스종합_070214_070322_르노삼성H45_4월 캠페인_Media Mix_NAS" xfId="2265"/>
    <cellStyle name="_060213_현대해상하이카_이노션_070202_르노삼성(SM5)_Media Mix_NAS(최종)_스케쥴표 포함_르노삼성 믹스종합_070214_070322_르노삼성H45_4월 캠페인_Media Mix_NAS_070912_르노삼성QMX" xfId="2266"/>
    <cellStyle name="_060213_현대해상하이카_이노션_070202_르노삼성(SM5)_Media Mix_NAS(최종)_스케쥴표 포함_르노삼성 믹스종합_070214_070322_르노삼성H45_4월 캠페인_Media Mix_NAS_071001_RSM_SM7_10월 미디어믹스 제안_최종" xfId="2267"/>
    <cellStyle name="_060213_현대해상하이카_이노션_070202_르노삼성(SM5)_Media Mix_NAS(최종)_스케쥴표 포함_르노삼성 믹스종합_070214_070322_르노삼성H45_4월 캠페인_Media Mix_NAS_071004_RSM_SM7_10월 미디어믹스 제안" xfId="2268"/>
    <cellStyle name="_060213_현대해상하이카_이노션_070202_르노삼성(SM5)_Media Mix_NAS(최종)_스케쥴표 포함_르노삼성 믹스종합_070214_070322_르노삼성H45_4월 캠페인_Media Mix_NAS_071102_RSM_QMX_11월 미디어믹스 제안" xfId="2269"/>
    <cellStyle name="_060213_현대해상하이카_이노션_070202_르노삼성(SM5)_Media Mix_NAS(최종)_스케쥴표 포함_르노삼성 믹스종합_070214_070322_르노삼성H45_4월 캠페인_Media Mix_NAS_071106_RSM_QMX_11월 미디어믹스 제안(수정)" xfId="2270"/>
    <cellStyle name="_060213_현대해상하이카_이노션_070202_르노삼성(SM5)_Media Mix_NAS(최종)_스케쥴표 포함_르노삼성 믹스종합_070214_070326_르노삼성H45_4월 캠페인_Media Mix_NAS" xfId="2271"/>
    <cellStyle name="_060213_현대해상하이카_이노션_070202_르노삼성(SM5)_Media Mix_NAS(최종)_스케쥴표 포함_르노삼성 믹스종합_070214_070326_르노삼성H45_4월 캠페인_Media Mix_NAS_070912_르노삼성QMX" xfId="2272"/>
    <cellStyle name="_060213_현대해상하이카_이노션_070202_르노삼성(SM5)_Media Mix_NAS(최종)_스케쥴표 포함_르노삼성 믹스종합_070214_070326_르노삼성H45_4월 캠페인_Media Mix_NAS_071001_RSM_SM7_10월 미디어믹스 제안_최종" xfId="2273"/>
    <cellStyle name="_060213_현대해상하이카_이노션_070202_르노삼성(SM5)_Media Mix_NAS(최종)_스케쥴표 포함_르노삼성 믹스종합_070214_070326_르노삼성H45_4월 캠페인_Media Mix_NAS_071004_RSM_SM7_10월 미디어믹스 제안" xfId="2274"/>
    <cellStyle name="_060213_현대해상하이카_이노션_070202_르노삼성(SM5)_Media Mix_NAS(최종)_스케쥴표 포함_르노삼성 믹스종합_070214_070326_르노삼성H45_4월 캠페인_Media Mix_NAS_071102_RSM_QMX_11월 미디어믹스 제안" xfId="2275"/>
    <cellStyle name="_060213_현대해상하이카_이노션_070202_르노삼성(SM5)_Media Mix_NAS(최종)_스케쥴표 포함_르노삼성 믹스종합_070214_070326_르노삼성H45_4월 캠페인_Media Mix_NAS_071106_RSM_QMX_11월 미디어믹스 제안(수정)" xfId="2276"/>
    <cellStyle name="_060213_현대해상하이카_이노션_070202_르노삼성(SM5)_Media Mix_NAS(최종)_스케쥴표 포함_르노삼성 믹스종합_070214_070327_르노삼성H45_4월 캠페인_Media Mix_NAS" xfId="2277"/>
    <cellStyle name="_060213_현대해상하이카_이노션_070202_르노삼성(SM5)_Media Mix_NAS(최종)_스케쥴표 포함_르노삼성 믹스종합_070214_070327_르노삼성H45_4월 캠페인_Media Mix_NAS_070912_르노삼성QMX" xfId="2278"/>
    <cellStyle name="_060213_현대해상하이카_이노션_070202_르노삼성(SM5)_Media Mix_NAS(최종)_스케쥴표 포함_르노삼성 믹스종합_070214_070327_르노삼성H45_4월 캠페인_Media Mix_NAS_071001_RSM_SM7_10월 미디어믹스 제안_최종" xfId="2279"/>
    <cellStyle name="_060213_현대해상하이카_이노션_070202_르노삼성(SM5)_Media Mix_NAS(최종)_스케쥴표 포함_르노삼성 믹스종합_070214_070327_르노삼성H45_4월 캠페인_Media Mix_NAS_071004_RSM_SM7_10월 미디어믹스 제안" xfId="2280"/>
    <cellStyle name="_060213_현대해상하이카_이노션_070202_르노삼성(SM5)_Media Mix_NAS(최종)_스케쥴표 포함_르노삼성 믹스종합_070214_070327_르노삼성H45_4월 캠페인_Media Mix_NAS_071102_RSM_QMX_11월 미디어믹스 제안" xfId="2281"/>
    <cellStyle name="_060213_현대해상하이카_이노션_070202_르노삼성(SM5)_Media Mix_NAS(최종)_스케쥴표 포함_르노삼성 믹스종합_070214_070327_르노삼성H45_4월 캠페인_Media Mix_NAS_071106_RSM_QMX_11월 미디어믹스 제안(수정)" xfId="2282"/>
    <cellStyle name="_060213_현대해상하이카_이노션_070202_르노삼성(SM5)_Media Mix_NAS(최종)_스케쥴표 포함_르노삼성 믹스종합_070214_070328_르노삼성H45_4월 캠페인_Media Mix_NAS" xfId="2283"/>
    <cellStyle name="_060213_현대해상하이카_이노션_070202_르노삼성(SM5)_Media Mix_NAS(최종)_스케쥴표 포함_르노삼성 믹스종합_070214_070328_르노삼성H45_4월 캠페인_Media Mix_NAS_070912_르노삼성QMX" xfId="2284"/>
    <cellStyle name="_060213_현대해상하이카_이노션_070202_르노삼성(SM5)_Media Mix_NAS(최종)_스케쥴표 포함_르노삼성 믹스종합_070214_070328_르노삼성H45_4월 캠페인_Media Mix_NAS_071001_RSM_SM7_10월 미디어믹스 제안_최종" xfId="2285"/>
    <cellStyle name="_060213_현대해상하이카_이노션_070202_르노삼성(SM5)_Media Mix_NAS(최종)_스케쥴표 포함_르노삼성 믹스종합_070214_070328_르노삼성H45_4월 캠페인_Media Mix_NAS_071004_RSM_SM7_10월 미디어믹스 제안" xfId="2286"/>
    <cellStyle name="_060213_현대해상하이카_이노션_070202_르노삼성(SM5)_Media Mix_NAS(최종)_스케쥴표 포함_르노삼성 믹스종합_070214_070328_르노삼성H45_4월 캠페인_Media Mix_NAS_071102_RSM_QMX_11월 미디어믹스 제안" xfId="2287"/>
    <cellStyle name="_060213_현대해상하이카_이노션_070202_르노삼성(SM5)_Media Mix_NAS(최종)_스케쥴표 포함_르노삼성 믹스종합_070214_070328_르노삼성H45_4월 캠페인_Media Mix_NAS_071106_RSM_QMX_11월 미디어믹스 제안(수정)" xfId="2288"/>
    <cellStyle name="_060213_현대해상하이카_이노션_070202_르노삼성(SM5)_Media Mix_NAS(최종)_스케쥴표 포함_르노삼성 믹스종합_070214_070403_르노삼성QMX_Media Mix_NAS" xfId="2289"/>
    <cellStyle name="_060213_현대해상하이카_이노션_070202_르노삼성(SM5)_Media Mix_NAS(최종)_스케쥴표 포함_르노삼성 믹스종합_070214_070403_르노삼성QMX_Media Mix_NAS_070912_르노삼성QMX" xfId="2290"/>
    <cellStyle name="_060213_현대해상하이카_이노션_070202_르노삼성(SM5)_Media Mix_NAS(최종)_스케쥴표 포함_르노삼성 믹스종합_070214_070403_르노삼성QMX_Media Mix_NAS_071001_RSM_SM7_10월 미디어믹스 제안_최종" xfId="2291"/>
    <cellStyle name="_060213_현대해상하이카_이노션_070202_르노삼성(SM5)_Media Mix_NAS(최종)_스케쥴표 포함_르노삼성 믹스종합_070214_070403_르노삼성QMX_Media Mix_NAS_071004_RSM_SM7_10월 미디어믹스 제안" xfId="2292"/>
    <cellStyle name="_060213_현대해상하이카_이노션_070202_르노삼성(SM5)_Media Mix_NAS(최종)_스케쥴표 포함_르노삼성 믹스종합_070214_070403_르노삼성QMX_Media Mix_NAS_071102_RSM_QMX_11월 미디어믹스 제안" xfId="2293"/>
    <cellStyle name="_060213_현대해상하이카_이노션_070202_르노삼성(SM5)_Media Mix_NAS(최종)_스케쥴표 포함_르노삼성 믹스종합_070214_070403_르노삼성QMX_Media Mix_NAS_071106_RSM_QMX_11월 미디어믹스 제안(수정)" xfId="2294"/>
    <cellStyle name="_060213_현대해상하이카_이노션_070214_KT_Media Mix_NAS_지나" xfId="2295"/>
    <cellStyle name="_060213_현대해상하이카_이노션_070322_르노삼성H45_4월 캠페인_Media Mix_NAS" xfId="2296"/>
    <cellStyle name="_060213_현대해상하이카_이노션_070322_르노삼성H45_4월 캠페인_Media Mix_NAS_070912_르노삼성QMX" xfId="2297"/>
    <cellStyle name="_060213_현대해상하이카_이노션_070322_르노삼성H45_4월 캠페인_Media Mix_NAS_071001_RSM_SM7_10월 미디어믹스 제안_최종" xfId="2298"/>
    <cellStyle name="_060213_현대해상하이카_이노션_070322_르노삼성H45_4월 캠페인_Media Mix_NAS_071004_RSM_SM7_10월 미디어믹스 제안" xfId="2299"/>
    <cellStyle name="_060213_현대해상하이카_이노션_070322_르노삼성H45_4월 캠페인_Media Mix_NAS_071102_RSM_QMX_11월 미디어믹스 제안" xfId="2300"/>
    <cellStyle name="_060213_현대해상하이카_이노션_070322_르노삼성H45_4월 캠페인_Media Mix_NAS_071106_RSM_QMX_11월 미디어믹스 제안(수정)" xfId="2301"/>
    <cellStyle name="_060213_현대해상하이카_이노션_070326_르노삼성H45_4월 캠페인_Media Mix_NAS" xfId="2302"/>
    <cellStyle name="_060213_현대해상하이카_이노션_070326_르노삼성H45_4월 캠페인_Media Mix_NAS_070912_르노삼성QMX" xfId="2303"/>
    <cellStyle name="_060213_현대해상하이카_이노션_070326_르노삼성H45_4월 캠페인_Media Mix_NAS_071001_RSM_SM7_10월 미디어믹스 제안_최종" xfId="2304"/>
    <cellStyle name="_060213_현대해상하이카_이노션_070326_르노삼성H45_4월 캠페인_Media Mix_NAS_071004_RSM_SM7_10월 미디어믹스 제안" xfId="2305"/>
    <cellStyle name="_060213_현대해상하이카_이노션_070326_르노삼성H45_4월 캠페인_Media Mix_NAS_071102_RSM_QMX_11월 미디어믹스 제안" xfId="2306"/>
    <cellStyle name="_060213_현대해상하이카_이노션_070326_르노삼성H45_4월 캠페인_Media Mix_NAS_071106_RSM_QMX_11월 미디어믹스 제안(수정)" xfId="2307"/>
    <cellStyle name="_060213_현대해상하이카_이노션_070327_르노삼성H45_4월 캠페인_Media Mix_NAS" xfId="2308"/>
    <cellStyle name="_060213_현대해상하이카_이노션_070327_르노삼성H45_4월 캠페인_Media Mix_NAS_070912_르노삼성QMX" xfId="2309"/>
    <cellStyle name="_060213_현대해상하이카_이노션_070327_르노삼성H45_4월 캠페인_Media Mix_NAS_071001_RSM_SM7_10월 미디어믹스 제안_최종" xfId="2310"/>
    <cellStyle name="_060213_현대해상하이카_이노션_070327_르노삼성H45_4월 캠페인_Media Mix_NAS_071004_RSM_SM7_10월 미디어믹스 제안" xfId="2311"/>
    <cellStyle name="_060213_현대해상하이카_이노션_070327_르노삼성H45_4월 캠페인_Media Mix_NAS_071102_RSM_QMX_11월 미디어믹스 제안" xfId="2312"/>
    <cellStyle name="_060213_현대해상하이카_이노션_070327_르노삼성H45_4월 캠페인_Media Mix_NAS_071106_RSM_QMX_11월 미디어믹스 제안(수정)" xfId="2313"/>
    <cellStyle name="_060213_현대해상하이카_이노션_070328_르노삼성H45_4월 캠페인_Media Mix_NAS" xfId="2314"/>
    <cellStyle name="_060213_현대해상하이카_이노션_070328_르노삼성H45_4월 캠페인_Media Mix_NAS_070912_르노삼성QMX" xfId="2315"/>
    <cellStyle name="_060213_현대해상하이카_이노션_070328_르노삼성H45_4월 캠페인_Media Mix_NAS_071001_RSM_SM7_10월 미디어믹스 제안_최종" xfId="2316"/>
    <cellStyle name="_060213_현대해상하이카_이노션_070328_르노삼성H45_4월 캠페인_Media Mix_NAS_071004_RSM_SM7_10월 미디어믹스 제안" xfId="2317"/>
    <cellStyle name="_060213_현대해상하이카_이노션_070328_르노삼성H45_4월 캠페인_Media Mix_NAS_071102_RSM_QMX_11월 미디어믹스 제안" xfId="2318"/>
    <cellStyle name="_060213_현대해상하이카_이노션_070328_르노삼성H45_4월 캠페인_Media Mix_NAS_071106_RSM_QMX_11월 미디어믹스 제안(수정)" xfId="2319"/>
    <cellStyle name="_060213_현대해상하이카_이노션_070403_르노삼성QMX_Media Mix_NAS" xfId="2320"/>
    <cellStyle name="_060213_현대해상하이카_이노션_070403_르노삼성QMX_Media Mix_NAS_070912_르노삼성QMX" xfId="2321"/>
    <cellStyle name="_060213_현대해상하이카_이노션_070403_르노삼성QMX_Media Mix_NAS_071001_RSM_SM7_10월 미디어믹스 제안_최종" xfId="2322"/>
    <cellStyle name="_060213_현대해상하이카_이노션_070403_르노삼성QMX_Media Mix_NAS_071004_RSM_SM7_10월 미디어믹스 제안" xfId="2323"/>
    <cellStyle name="_060213_현대해상하이카_이노션_070403_르노삼성QMX_Media Mix_NAS_071102_RSM_QMX_11월 미디어믹스 제안" xfId="2324"/>
    <cellStyle name="_060213_현대해상하이카_이노션_070403_르노삼성QMX_Media Mix_NAS_071106_RSM_QMX_11월 미디어믹스 제안(수정)" xfId="2325"/>
    <cellStyle name="_060213_현대해상하이카_이노션_현대카드" xfId="2326"/>
    <cellStyle name="_060213_현대해상하이카_이노션_현대카드_060721_하나커피카드_Media Mix" xfId="2327"/>
    <cellStyle name="_060213_현대해상하이카_이노션_현대카드_060721_하나커피카드_Media Mix_070125_르노삼성(SM5)_Media Mix_NAS(작업전)" xfId="2328"/>
    <cellStyle name="_060213_현대해상하이카_이노션_현대카드_060721_하나커피카드_Media Mix_070125_르노삼성(SM5)_Media Mix_NAS(작업전)_070131_르노삼성(SM3)_Media Mix_NAS" xfId="2329"/>
    <cellStyle name="_060213_현대해상하이카_이노션_현대카드_060721_하나커피카드_Media Mix_070125_르노삼성(SM5)_Media Mix_NAS(작업전)_070131_르노삼성(SM3)_Media Mix_NAS_070214_KT_Media Mix_NAS_지나" xfId="2330"/>
    <cellStyle name="_060213_현대해상하이카_이노션_현대카드_060721_하나커피카드_Media Mix_070125_르노삼성(SM5)_Media Mix_NAS(작업전)_070131_르노삼성(SM5)_Media Mix_NAS(ver5)" xfId="2331"/>
    <cellStyle name="_060213_현대해상하이카_이노션_현대카드_060721_하나커피카드_Media Mix_070125_르노삼성(SM5)_Media Mix_NAS(작업전)_070131_르노삼성(SM5)_Media Mix_NAS(ver5)_070202_르노삼성(SM5)_Media Mix_NAS(최종)_스케쥴표 포함" xfId="233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" xfId="233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33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33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33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33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33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" xfId="233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34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34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34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34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34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" xfId="234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34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34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34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34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35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" xfId="235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352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353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354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355"/>
    <cellStyle name="_060213_현대해상하이카_이노션_현대카드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356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" xfId="2357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0912_르노삼성QMX" xfId="2358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359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360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361"/>
    <cellStyle name="_060213_현대해상하이카_이노션_현대카드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36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" xfId="236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36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36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36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36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36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36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37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37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37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37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37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37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37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37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37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37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38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38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38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383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384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385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386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387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" xfId="2388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389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390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391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392"/>
    <cellStyle name="_060213_현대해상하이카_이노션_현대카드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393"/>
    <cellStyle name="_060213_현대해상하이카_이노션_현대카드_060721_하나커피카드_Media Mix_070125_르노삼성(SM5)_Media Mix_NAS(작업전)_070131_르노삼성(SM5)_Media Mix_NAS(ver5)_070322_르노삼성H45_4월 캠페인_Media Mix_NAS" xfId="2394"/>
    <cellStyle name="_060213_현대해상하이카_이노션_현대카드_060721_하나커피카드_Media Mix_070125_르노삼성(SM5)_Media Mix_NAS(작업전)_070131_르노삼성(SM5)_Media Mix_NAS(ver5)_070322_르노삼성H45_4월 캠페인_Media Mix_NAS_070912_르노삼성QMX" xfId="2395"/>
    <cellStyle name="_060213_현대해상하이카_이노션_현대카드_060721_하나커피카드_Media Mix_070125_르노삼성(SM5)_Media Mix_NAS(작업전)_070131_르노삼성(SM5)_Media Mix_NAS(ver5)_070322_르노삼성H45_4월 캠페인_Media Mix_NAS_071001_RSM_SM7_10월 미디어믹스 제안_최종" xfId="2396"/>
    <cellStyle name="_060213_현대해상하이카_이노션_현대카드_060721_하나커피카드_Media Mix_070125_르노삼성(SM5)_Media Mix_NAS(작업전)_070131_르노삼성(SM5)_Media Mix_NAS(ver5)_070322_르노삼성H45_4월 캠페인_Media Mix_NAS_071004_RSM_SM7_10월 미디어믹스 제안" xfId="2397"/>
    <cellStyle name="_060213_현대해상하이카_이노션_현대카드_060721_하나커피카드_Media Mix_070125_르노삼성(SM5)_Media Mix_NAS(작업전)_070131_르노삼성(SM5)_Media Mix_NAS(ver5)_070322_르노삼성H45_4월 캠페인_Media Mix_NAS_071102_RSM_QMX_11월 미디어믹스 제안" xfId="2398"/>
    <cellStyle name="_060213_현대해상하이카_이노션_현대카드_060721_하나커피카드_Media Mix_070125_르노삼성(SM5)_Media Mix_NAS(작업전)_070131_르노삼성(SM5)_Media Mix_NAS(ver5)_070322_르노삼성H45_4월 캠페인_Media Mix_NAS_071106_RSM_QMX_11월 미디어믹스 제안(수정)" xfId="2399"/>
    <cellStyle name="_060213_현대해상하이카_이노션_현대카드_060721_하나커피카드_Media Mix_070125_르노삼성(SM5)_Media Mix_NAS(작업전)_070131_르노삼성(SM5)_Media Mix_NAS(ver5)_070326_르노삼성H45_4월 캠페인_Media Mix_NAS" xfId="2400"/>
    <cellStyle name="_060213_현대해상하이카_이노션_현대카드_060721_하나커피카드_Media Mix_070125_르노삼성(SM5)_Media Mix_NAS(작업전)_070131_르노삼성(SM5)_Media Mix_NAS(ver5)_070326_르노삼성H45_4월 캠페인_Media Mix_NAS_070912_르노삼성QMX" xfId="2401"/>
    <cellStyle name="_060213_현대해상하이카_이노션_현대카드_060721_하나커피카드_Media Mix_070125_르노삼성(SM5)_Media Mix_NAS(작업전)_070131_르노삼성(SM5)_Media Mix_NAS(ver5)_070326_르노삼성H45_4월 캠페인_Media Mix_NAS_071001_RSM_SM7_10월 미디어믹스 제안_최종" xfId="2402"/>
    <cellStyle name="_060213_현대해상하이카_이노션_현대카드_060721_하나커피카드_Media Mix_070125_르노삼성(SM5)_Media Mix_NAS(작업전)_070131_르노삼성(SM5)_Media Mix_NAS(ver5)_070326_르노삼성H45_4월 캠페인_Media Mix_NAS_071004_RSM_SM7_10월 미디어믹스 제안" xfId="2403"/>
    <cellStyle name="_060213_현대해상하이카_이노션_현대카드_060721_하나커피카드_Media Mix_070125_르노삼성(SM5)_Media Mix_NAS(작업전)_070131_르노삼성(SM5)_Media Mix_NAS(ver5)_070326_르노삼성H45_4월 캠페인_Media Mix_NAS_071102_RSM_QMX_11월 미디어믹스 제안" xfId="2404"/>
    <cellStyle name="_060213_현대해상하이카_이노션_현대카드_060721_하나커피카드_Media Mix_070125_르노삼성(SM5)_Media Mix_NAS(작업전)_070131_르노삼성(SM5)_Media Mix_NAS(ver5)_070326_르노삼성H45_4월 캠페인_Media Mix_NAS_071106_RSM_QMX_11월 미디어믹스 제안(수정)" xfId="2405"/>
    <cellStyle name="_060213_현대해상하이카_이노션_현대카드_060721_하나커피카드_Media Mix_070125_르노삼성(SM5)_Media Mix_NAS(작업전)_070131_르노삼성(SM5)_Media Mix_NAS(ver5)_070327_르노삼성H45_4월 캠페인_Media Mix_NAS" xfId="2406"/>
    <cellStyle name="_060213_현대해상하이카_이노션_현대카드_060721_하나커피카드_Media Mix_070125_르노삼성(SM5)_Media Mix_NAS(작업전)_070131_르노삼성(SM5)_Media Mix_NAS(ver5)_070327_르노삼성H45_4월 캠페인_Media Mix_NAS_070912_르노삼성QMX" xfId="2407"/>
    <cellStyle name="_060213_현대해상하이카_이노션_현대카드_060721_하나커피카드_Media Mix_070125_르노삼성(SM5)_Media Mix_NAS(작업전)_070131_르노삼성(SM5)_Media Mix_NAS(ver5)_070327_르노삼성H45_4월 캠페인_Media Mix_NAS_071001_RSM_SM7_10월 미디어믹스 제안_최종" xfId="2408"/>
    <cellStyle name="_060213_현대해상하이카_이노션_현대카드_060721_하나커피카드_Media Mix_070125_르노삼성(SM5)_Media Mix_NAS(작업전)_070131_르노삼성(SM5)_Media Mix_NAS(ver5)_070327_르노삼성H45_4월 캠페인_Media Mix_NAS_071004_RSM_SM7_10월 미디어믹스 제안" xfId="2409"/>
    <cellStyle name="_060213_현대해상하이카_이노션_현대카드_060721_하나커피카드_Media Mix_070125_르노삼성(SM5)_Media Mix_NAS(작업전)_070131_르노삼성(SM5)_Media Mix_NAS(ver5)_070327_르노삼성H45_4월 캠페인_Media Mix_NAS_071102_RSM_QMX_11월 미디어믹스 제안" xfId="2410"/>
    <cellStyle name="_060213_현대해상하이카_이노션_현대카드_060721_하나커피카드_Media Mix_070125_르노삼성(SM5)_Media Mix_NAS(작업전)_070131_르노삼성(SM5)_Media Mix_NAS(ver5)_070327_르노삼성H45_4월 캠페인_Media Mix_NAS_071106_RSM_QMX_11월 미디어믹스 제안(수정)" xfId="2411"/>
    <cellStyle name="_060213_현대해상하이카_이노션_현대카드_060721_하나커피카드_Media Mix_070125_르노삼성(SM5)_Media Mix_NAS(작업전)_070131_르노삼성(SM5)_Media Mix_NAS(ver5)_070328_르노삼성H45_4월 캠페인_Media Mix_NAS" xfId="2412"/>
    <cellStyle name="_060213_현대해상하이카_이노션_현대카드_060721_하나커피카드_Media Mix_070125_르노삼성(SM5)_Media Mix_NAS(작업전)_070131_르노삼성(SM5)_Media Mix_NAS(ver5)_070328_르노삼성H45_4월 캠페인_Media Mix_NAS_070912_르노삼성QMX" xfId="2413"/>
    <cellStyle name="_060213_현대해상하이카_이노션_현대카드_060721_하나커피카드_Media Mix_070125_르노삼성(SM5)_Media Mix_NAS(작업전)_070131_르노삼성(SM5)_Media Mix_NAS(ver5)_070328_르노삼성H45_4월 캠페인_Media Mix_NAS_071001_RSM_SM7_10월 미디어믹스 제안_최종" xfId="2414"/>
    <cellStyle name="_060213_현대해상하이카_이노션_현대카드_060721_하나커피카드_Media Mix_070125_르노삼성(SM5)_Media Mix_NAS(작업전)_070131_르노삼성(SM5)_Media Mix_NAS(ver5)_070328_르노삼성H45_4월 캠페인_Media Mix_NAS_071004_RSM_SM7_10월 미디어믹스 제안" xfId="2415"/>
    <cellStyle name="_060213_현대해상하이카_이노션_현대카드_060721_하나커피카드_Media Mix_070125_르노삼성(SM5)_Media Mix_NAS(작업전)_070131_르노삼성(SM5)_Media Mix_NAS(ver5)_070328_르노삼성H45_4월 캠페인_Media Mix_NAS_071102_RSM_QMX_11월 미디어믹스 제안" xfId="2416"/>
    <cellStyle name="_060213_현대해상하이카_이노션_현대카드_060721_하나커피카드_Media Mix_070125_르노삼성(SM5)_Media Mix_NAS(작업전)_070131_르노삼성(SM5)_Media Mix_NAS(ver5)_070328_르노삼성H45_4월 캠페인_Media Mix_NAS_071106_RSM_QMX_11월 미디어믹스 제안(수정)" xfId="2417"/>
    <cellStyle name="_060213_현대해상하이카_이노션_현대카드_060721_하나커피카드_Media Mix_070125_르노삼성(SM5)_Media Mix_NAS(작업전)_070131_르노삼성(SM5)_Media Mix_NAS(ver5)_070403_르노삼성QMX_Media Mix_NAS" xfId="2418"/>
    <cellStyle name="_060213_현대해상하이카_이노션_현대카드_060721_하나커피카드_Media Mix_070125_르노삼성(SM5)_Media Mix_NAS(작업전)_070131_르노삼성(SM5)_Media Mix_NAS(ver5)_070403_르노삼성QMX_Media Mix_NAS_070912_르노삼성QMX" xfId="2419"/>
    <cellStyle name="_060213_현대해상하이카_이노션_현대카드_060721_하나커피카드_Media Mix_070125_르노삼성(SM5)_Media Mix_NAS(작업전)_070131_르노삼성(SM5)_Media Mix_NAS(ver5)_070403_르노삼성QMX_Media Mix_NAS_071001_RSM_SM7_10월 미디어믹스 제안_최종" xfId="2420"/>
    <cellStyle name="_060213_현대해상하이카_이노션_현대카드_060721_하나커피카드_Media Mix_070125_르노삼성(SM5)_Media Mix_NAS(작업전)_070131_르노삼성(SM5)_Media Mix_NAS(ver5)_070403_르노삼성QMX_Media Mix_NAS_071004_RSM_SM7_10월 미디어믹스 제안" xfId="2421"/>
    <cellStyle name="_060213_현대해상하이카_이노션_현대카드_060721_하나커피카드_Media Mix_070125_르노삼성(SM5)_Media Mix_NAS(작업전)_070131_르노삼성(SM5)_Media Mix_NAS(ver5)_070403_르노삼성QMX_Media Mix_NAS_071102_RSM_QMX_11월 미디어믹스 제안" xfId="2422"/>
    <cellStyle name="_060213_현대해상하이카_이노션_현대카드_060721_하나커피카드_Media Mix_070125_르노삼성(SM5)_Media Mix_NAS(작업전)_070131_르노삼성(SM5)_Media Mix_NAS(ver5)_070403_르노삼성QMX_Media Mix_NAS_071106_RSM_QMX_11월 미디어믹스 제안(수정)" xfId="2423"/>
    <cellStyle name="_060213_현대해상하이카_이노션_현대카드_060721_하나커피카드_Media Mix_070125_르노삼성(SM5)_Media Mix_NAS(작업전)_070201_르노삼성(SM5)_Media Mix_NAS(최종)" xfId="2424"/>
    <cellStyle name="_060213_현대해상하이카_이노션_현대카드_060721_하나커피카드_Media Mix_070125_르노삼성(SM5)_Media Mix_NAS(작업전)_070201_르노삼성(SM5)_Media Mix_NAS(최종)_070202_르노삼성(SM5)_Media Mix_NAS(최종)_스케쥴표 포함" xfId="242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" xfId="242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242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242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242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243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243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" xfId="243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243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243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243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243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243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" xfId="243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243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244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244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244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244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" xfId="244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2445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2446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2447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2448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2449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" xfId="2450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0912_르노삼성QMX" xfId="2451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2452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2453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2454"/>
    <cellStyle name="_060213_현대해상하이카_이노션_현대카드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245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" xfId="245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245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245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245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246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246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246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246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246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246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246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246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246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246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247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247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247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247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247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247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2476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2477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2478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2479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2480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" xfId="2481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2482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2483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2484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2485"/>
    <cellStyle name="_060213_현대해상하이카_이노션_현대카드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2486"/>
    <cellStyle name="_060213_현대해상하이카_이노션_현대카드_060721_하나커피카드_Media Mix_070125_르노삼성(SM5)_Media Mix_NAS(작업전)_070201_르노삼성(SM5)_Media Mix_NAS(최종)_070322_르노삼성H45_4월 캠페인_Media Mix_NAS" xfId="2487"/>
    <cellStyle name="_060213_현대해상하이카_이노션_현대카드_060721_하나커피카드_Media Mix_070125_르노삼성(SM5)_Media Mix_NAS(작업전)_070201_르노삼성(SM5)_Media Mix_NAS(최종)_070322_르노삼성H45_4월 캠페인_Media Mix_NAS_070912_르노삼성QMX" xfId="2488"/>
    <cellStyle name="_060213_현대해상하이카_이노션_현대카드_060721_하나커피카드_Media Mix_070125_르노삼성(SM5)_Media Mix_NAS(작업전)_070201_르노삼성(SM5)_Media Mix_NAS(최종)_070322_르노삼성H45_4월 캠페인_Media Mix_NAS_071001_RSM_SM7_10월 미디어믹스 제안_최종" xfId="2489"/>
    <cellStyle name="_060213_현대해상하이카_이노션_현대카드_060721_하나커피카드_Media Mix_070125_르노삼성(SM5)_Media Mix_NAS(작업전)_070201_르노삼성(SM5)_Media Mix_NAS(최종)_070322_르노삼성H45_4월 캠페인_Media Mix_NAS_071004_RSM_SM7_10월 미디어믹스 제안" xfId="2490"/>
    <cellStyle name="_060213_현대해상하이카_이노션_현대카드_060721_하나커피카드_Media Mix_070125_르노삼성(SM5)_Media Mix_NAS(작업전)_070201_르노삼성(SM5)_Media Mix_NAS(최종)_070322_르노삼성H45_4월 캠페인_Media Mix_NAS_071102_RSM_QMX_11월 미디어믹스 제안" xfId="2491"/>
    <cellStyle name="_060213_현대해상하이카_이노션_현대카드_060721_하나커피카드_Media Mix_070125_르노삼성(SM5)_Media Mix_NAS(작업전)_070201_르노삼성(SM5)_Media Mix_NAS(최종)_070322_르노삼성H45_4월 캠페인_Media Mix_NAS_071106_RSM_QMX_11월 미디어믹스 제안(수정)" xfId="2492"/>
    <cellStyle name="_060213_현대해상하이카_이노션_현대카드_060721_하나커피카드_Media Mix_070125_르노삼성(SM5)_Media Mix_NAS(작업전)_070201_르노삼성(SM5)_Media Mix_NAS(최종)_070326_르노삼성H45_4월 캠페인_Media Mix_NAS" xfId="2493"/>
    <cellStyle name="_060213_현대해상하이카_이노션_현대카드_060721_하나커피카드_Media Mix_070125_르노삼성(SM5)_Media Mix_NAS(작업전)_070201_르노삼성(SM5)_Media Mix_NAS(최종)_070326_르노삼성H45_4월 캠페인_Media Mix_NAS_070912_르노삼성QMX" xfId="2494"/>
    <cellStyle name="_060213_현대해상하이카_이노션_현대카드_060721_하나커피카드_Media Mix_070125_르노삼성(SM5)_Media Mix_NAS(작업전)_070201_르노삼성(SM5)_Media Mix_NAS(최종)_070326_르노삼성H45_4월 캠페인_Media Mix_NAS_071001_RSM_SM7_10월 미디어믹스 제안_최종" xfId="2495"/>
    <cellStyle name="_060213_현대해상하이카_이노션_현대카드_060721_하나커피카드_Media Mix_070125_르노삼성(SM5)_Media Mix_NAS(작업전)_070201_르노삼성(SM5)_Media Mix_NAS(최종)_070326_르노삼성H45_4월 캠페인_Media Mix_NAS_071004_RSM_SM7_10월 미디어믹스 제안" xfId="2496"/>
    <cellStyle name="_060213_현대해상하이카_이노션_현대카드_060721_하나커피카드_Media Mix_070125_르노삼성(SM5)_Media Mix_NAS(작업전)_070201_르노삼성(SM5)_Media Mix_NAS(최종)_070326_르노삼성H45_4월 캠페인_Media Mix_NAS_071102_RSM_QMX_11월 미디어믹스 제안" xfId="2497"/>
    <cellStyle name="_060213_현대해상하이카_이노션_현대카드_060721_하나커피카드_Media Mix_070125_르노삼성(SM5)_Media Mix_NAS(작업전)_070201_르노삼성(SM5)_Media Mix_NAS(최종)_070326_르노삼성H45_4월 캠페인_Media Mix_NAS_071106_RSM_QMX_11월 미디어믹스 제안(수정)" xfId="2498"/>
    <cellStyle name="_060213_현대해상하이카_이노션_현대카드_060721_하나커피카드_Media Mix_070125_르노삼성(SM5)_Media Mix_NAS(작업전)_070201_르노삼성(SM5)_Media Mix_NAS(최종)_070327_르노삼성H45_4월 캠페인_Media Mix_NAS" xfId="2499"/>
    <cellStyle name="_060213_현대해상하이카_이노션_현대카드_060721_하나커피카드_Media Mix_070125_르노삼성(SM5)_Media Mix_NAS(작업전)_070201_르노삼성(SM5)_Media Mix_NAS(최종)_070327_르노삼성H45_4월 캠페인_Media Mix_NAS_070912_르노삼성QMX" xfId="2500"/>
    <cellStyle name="_060213_현대해상하이카_이노션_현대카드_060721_하나커피카드_Media Mix_070125_르노삼성(SM5)_Media Mix_NAS(작업전)_070201_르노삼성(SM5)_Media Mix_NAS(최종)_070327_르노삼성H45_4월 캠페인_Media Mix_NAS_071001_RSM_SM7_10월 미디어믹스 제안_최종" xfId="2501"/>
    <cellStyle name="_060213_현대해상하이카_이노션_현대카드_060721_하나커피카드_Media Mix_070125_르노삼성(SM5)_Media Mix_NAS(작업전)_070201_르노삼성(SM5)_Media Mix_NAS(최종)_070327_르노삼성H45_4월 캠페인_Media Mix_NAS_071004_RSM_SM7_10월 미디어믹스 제안" xfId="2502"/>
    <cellStyle name="_060213_현대해상하이카_이노션_현대카드_060721_하나커피카드_Media Mix_070125_르노삼성(SM5)_Media Mix_NAS(작업전)_070201_르노삼성(SM5)_Media Mix_NAS(최종)_070327_르노삼성H45_4월 캠페인_Media Mix_NAS_071102_RSM_QMX_11월 미디어믹스 제안" xfId="2503"/>
    <cellStyle name="_060213_현대해상하이카_이노션_현대카드_060721_하나커피카드_Media Mix_070125_르노삼성(SM5)_Media Mix_NAS(작업전)_070201_르노삼성(SM5)_Media Mix_NAS(최종)_070327_르노삼성H45_4월 캠페인_Media Mix_NAS_071106_RSM_QMX_11월 미디어믹스 제안(수정)" xfId="2504"/>
    <cellStyle name="_060213_현대해상하이카_이노션_현대카드_060721_하나커피카드_Media Mix_070125_르노삼성(SM5)_Media Mix_NAS(작업전)_070201_르노삼성(SM5)_Media Mix_NAS(최종)_070328_르노삼성H45_4월 캠페인_Media Mix_NAS" xfId="2505"/>
    <cellStyle name="_060213_현대해상하이카_이노션_현대카드_060721_하나커피카드_Media Mix_070125_르노삼성(SM5)_Media Mix_NAS(작업전)_070201_르노삼성(SM5)_Media Mix_NAS(최종)_070328_르노삼성H45_4월 캠페인_Media Mix_NAS_070912_르노삼성QMX" xfId="2506"/>
    <cellStyle name="_060213_현대해상하이카_이노션_현대카드_060721_하나커피카드_Media Mix_070125_르노삼성(SM5)_Media Mix_NAS(작업전)_070201_르노삼성(SM5)_Media Mix_NAS(최종)_070328_르노삼성H45_4월 캠페인_Media Mix_NAS_071001_RSM_SM7_10월 미디어믹스 제안_최종" xfId="2507"/>
    <cellStyle name="_060213_현대해상하이카_이노션_현대카드_060721_하나커피카드_Media Mix_070125_르노삼성(SM5)_Media Mix_NAS(작업전)_070201_르노삼성(SM5)_Media Mix_NAS(최종)_070328_르노삼성H45_4월 캠페인_Media Mix_NAS_071004_RSM_SM7_10월 미디어믹스 제안" xfId="2508"/>
    <cellStyle name="_060213_현대해상하이카_이노션_현대카드_060721_하나커피카드_Media Mix_070125_르노삼성(SM5)_Media Mix_NAS(작업전)_070201_르노삼성(SM5)_Media Mix_NAS(최종)_070328_르노삼성H45_4월 캠페인_Media Mix_NAS_071102_RSM_QMX_11월 미디어믹스 제안" xfId="2509"/>
    <cellStyle name="_060213_현대해상하이카_이노션_현대카드_060721_하나커피카드_Media Mix_070125_르노삼성(SM5)_Media Mix_NAS(작업전)_070201_르노삼성(SM5)_Media Mix_NAS(최종)_070328_르노삼성H45_4월 캠페인_Media Mix_NAS_071106_RSM_QMX_11월 미디어믹스 제안(수정)" xfId="2510"/>
    <cellStyle name="_060213_현대해상하이카_이노션_현대카드_060721_하나커피카드_Media Mix_070125_르노삼성(SM5)_Media Mix_NAS(작업전)_070201_르노삼성(SM5)_Media Mix_NAS(최종)_070403_르노삼성QMX_Media Mix_NAS" xfId="2511"/>
    <cellStyle name="_060213_현대해상하이카_이노션_현대카드_060721_하나커피카드_Media Mix_070125_르노삼성(SM5)_Media Mix_NAS(작업전)_070201_르노삼성(SM5)_Media Mix_NAS(최종)_070403_르노삼성QMX_Media Mix_NAS_070912_르노삼성QMX" xfId="2512"/>
    <cellStyle name="_060213_현대해상하이카_이노션_현대카드_060721_하나커피카드_Media Mix_070125_르노삼성(SM5)_Media Mix_NAS(작업전)_070201_르노삼성(SM5)_Media Mix_NAS(최종)_070403_르노삼성QMX_Media Mix_NAS_071001_RSM_SM7_10월 미디어믹스 제안_최종" xfId="2513"/>
    <cellStyle name="_060213_현대해상하이카_이노션_현대카드_060721_하나커피카드_Media Mix_070125_르노삼성(SM5)_Media Mix_NAS(작업전)_070201_르노삼성(SM5)_Media Mix_NAS(최종)_070403_르노삼성QMX_Media Mix_NAS_071004_RSM_SM7_10월 미디어믹스 제안" xfId="2514"/>
    <cellStyle name="_060213_현대해상하이카_이노션_현대카드_060721_하나커피카드_Media Mix_070125_르노삼성(SM5)_Media Mix_NAS(작업전)_070201_르노삼성(SM5)_Media Mix_NAS(최종)_070403_르노삼성QMX_Media Mix_NAS_071102_RSM_QMX_11월 미디어믹스 제안" xfId="2515"/>
    <cellStyle name="_060213_현대해상하이카_이노션_현대카드_060721_하나커피카드_Media Mix_070125_르노삼성(SM5)_Media Mix_NAS(작업전)_070201_르노삼성(SM5)_Media Mix_NAS(최종)_070403_르노삼성QMX_Media Mix_NAS_071106_RSM_QMX_11월 미디어믹스 제안(수정)" xfId="2516"/>
    <cellStyle name="_060213_현대해상하이카_이노션_현대카드_060721_하나커피카드_Media Mix_070125_르노삼성(SM5)_Media Mix_NAS(작업전)_070322_르노삼성H45_4월 캠페인_Media Mix_NAS" xfId="2517"/>
    <cellStyle name="_060213_현대해상하이카_이노션_현대카드_060721_하나커피카드_Media Mix_070125_르노삼성(SM5)_Media Mix_NAS(작업전)_070322_르노삼성H45_4월 캠페인_Media Mix_NAS_070912_르노삼성QMX" xfId="2518"/>
    <cellStyle name="_060213_현대해상하이카_이노션_현대카드_060721_하나커피카드_Media Mix_070125_르노삼성(SM5)_Media Mix_NAS(작업전)_070322_르노삼성H45_4월 캠페인_Media Mix_NAS_071001_RSM_SM7_10월 미디어믹스 제안_최종" xfId="2519"/>
    <cellStyle name="_060213_현대해상하이카_이노션_현대카드_060721_하나커피카드_Media Mix_070125_르노삼성(SM5)_Media Mix_NAS(작업전)_070322_르노삼성H45_4월 캠페인_Media Mix_NAS_071004_RSM_SM7_10월 미디어믹스 제안" xfId="2520"/>
    <cellStyle name="_060213_현대해상하이카_이노션_현대카드_060721_하나커피카드_Media Mix_070125_르노삼성(SM5)_Media Mix_NAS(작업전)_070322_르노삼성H45_4월 캠페인_Media Mix_NAS_071102_RSM_QMX_11월 미디어믹스 제안" xfId="2521"/>
    <cellStyle name="_060213_현대해상하이카_이노션_현대카드_060721_하나커피카드_Media Mix_070125_르노삼성(SM5)_Media Mix_NAS(작업전)_070322_르노삼성H45_4월 캠페인_Media Mix_NAS_071106_RSM_QMX_11월 미디어믹스 제안(수정)" xfId="2522"/>
    <cellStyle name="_060213_현대해상하이카_이노션_현대카드_060721_하나커피카드_Media Mix_070125_르노삼성(SM5)_Media Mix_NAS(작업전)_070326_르노삼성H45_4월 캠페인_Media Mix_NAS" xfId="2523"/>
    <cellStyle name="_060213_현대해상하이카_이노션_현대카드_060721_하나커피카드_Media Mix_070125_르노삼성(SM5)_Media Mix_NAS(작업전)_070326_르노삼성H45_4월 캠페인_Media Mix_NAS_070912_르노삼성QMX" xfId="2524"/>
    <cellStyle name="_060213_현대해상하이카_이노션_현대카드_060721_하나커피카드_Media Mix_070125_르노삼성(SM5)_Media Mix_NAS(작업전)_070326_르노삼성H45_4월 캠페인_Media Mix_NAS_071001_RSM_SM7_10월 미디어믹스 제안_최종" xfId="2525"/>
    <cellStyle name="_060213_현대해상하이카_이노션_현대카드_060721_하나커피카드_Media Mix_070125_르노삼성(SM5)_Media Mix_NAS(작업전)_070326_르노삼성H45_4월 캠페인_Media Mix_NAS_071004_RSM_SM7_10월 미디어믹스 제안" xfId="2526"/>
    <cellStyle name="_060213_현대해상하이카_이노션_현대카드_060721_하나커피카드_Media Mix_070125_르노삼성(SM5)_Media Mix_NAS(작업전)_070326_르노삼성H45_4월 캠페인_Media Mix_NAS_071102_RSM_QMX_11월 미디어믹스 제안" xfId="2527"/>
    <cellStyle name="_060213_현대해상하이카_이노션_현대카드_060721_하나커피카드_Media Mix_070125_르노삼성(SM5)_Media Mix_NAS(작업전)_070326_르노삼성H45_4월 캠페인_Media Mix_NAS_071106_RSM_QMX_11월 미디어믹스 제안(수정)" xfId="2528"/>
    <cellStyle name="_060213_현대해상하이카_이노션_현대카드_060721_하나커피카드_Media Mix_070125_르노삼성(SM5)_Media Mix_NAS(작업전)_070327_르노삼성H45_4월 캠페인_Media Mix_NAS" xfId="2529"/>
    <cellStyle name="_060213_현대해상하이카_이노션_현대카드_060721_하나커피카드_Media Mix_070125_르노삼성(SM5)_Media Mix_NAS(작업전)_070327_르노삼성H45_4월 캠페인_Media Mix_NAS_070912_르노삼성QMX" xfId="2530"/>
    <cellStyle name="_060213_현대해상하이카_이노션_현대카드_060721_하나커피카드_Media Mix_070125_르노삼성(SM5)_Media Mix_NAS(작업전)_070327_르노삼성H45_4월 캠페인_Media Mix_NAS_071001_RSM_SM7_10월 미디어믹스 제안_최종" xfId="2531"/>
    <cellStyle name="_060213_현대해상하이카_이노션_현대카드_060721_하나커피카드_Media Mix_070125_르노삼성(SM5)_Media Mix_NAS(작업전)_070327_르노삼성H45_4월 캠페인_Media Mix_NAS_071004_RSM_SM7_10월 미디어믹스 제안" xfId="2532"/>
    <cellStyle name="_060213_현대해상하이카_이노션_현대카드_060721_하나커피카드_Media Mix_070125_르노삼성(SM5)_Media Mix_NAS(작업전)_070327_르노삼성H45_4월 캠페인_Media Mix_NAS_071102_RSM_QMX_11월 미디어믹스 제안" xfId="2533"/>
    <cellStyle name="_060213_현대해상하이카_이노션_현대카드_060721_하나커피카드_Media Mix_070125_르노삼성(SM5)_Media Mix_NAS(작업전)_070327_르노삼성H45_4월 캠페인_Media Mix_NAS_071106_RSM_QMX_11월 미디어믹스 제안(수정)" xfId="2534"/>
    <cellStyle name="_060213_현대해상하이카_이노션_현대카드_060721_하나커피카드_Media Mix_070125_르노삼성(SM5)_Media Mix_NAS(작업전)_070328_르노삼성H45_4월 캠페인_Media Mix_NAS" xfId="2535"/>
    <cellStyle name="_060213_현대해상하이카_이노션_현대카드_060721_하나커피카드_Media Mix_070125_르노삼성(SM5)_Media Mix_NAS(작업전)_070328_르노삼성H45_4월 캠페인_Media Mix_NAS_070912_르노삼성QMX" xfId="2536"/>
    <cellStyle name="_060213_현대해상하이카_이노션_현대카드_060721_하나커피카드_Media Mix_070125_르노삼성(SM5)_Media Mix_NAS(작업전)_070328_르노삼성H45_4월 캠페인_Media Mix_NAS_071001_RSM_SM7_10월 미디어믹스 제안_최종" xfId="2537"/>
    <cellStyle name="_060213_현대해상하이카_이노션_현대카드_060721_하나커피카드_Media Mix_070125_르노삼성(SM5)_Media Mix_NAS(작업전)_070328_르노삼성H45_4월 캠페인_Media Mix_NAS_071004_RSM_SM7_10월 미디어믹스 제안" xfId="2538"/>
    <cellStyle name="_060213_현대해상하이카_이노션_현대카드_060721_하나커피카드_Media Mix_070125_르노삼성(SM5)_Media Mix_NAS(작업전)_070328_르노삼성H45_4월 캠페인_Media Mix_NAS_071102_RSM_QMX_11월 미디어믹스 제안" xfId="2539"/>
    <cellStyle name="_060213_현대해상하이카_이노션_현대카드_060721_하나커피카드_Media Mix_070125_르노삼성(SM5)_Media Mix_NAS(작업전)_070328_르노삼성H45_4월 캠페인_Media Mix_NAS_071106_RSM_QMX_11월 미디어믹스 제안(수정)" xfId="2540"/>
    <cellStyle name="_060213_현대해상하이카_이노션_현대카드_060721_하나커피카드_Media Mix_070125_르노삼성(SM5)_Media Mix_NAS(작업전)_070403_르노삼성QMX_Media Mix_NAS" xfId="2541"/>
    <cellStyle name="_060213_현대해상하이카_이노션_현대카드_060721_하나커피카드_Media Mix_070125_르노삼성(SM5)_Media Mix_NAS(작업전)_070403_르노삼성QMX_Media Mix_NAS_070912_르노삼성QMX" xfId="2542"/>
    <cellStyle name="_060213_현대해상하이카_이노션_현대카드_060721_하나커피카드_Media Mix_070125_르노삼성(SM5)_Media Mix_NAS(작업전)_070403_르노삼성QMX_Media Mix_NAS_071001_RSM_SM7_10월 미디어믹스 제안_최종" xfId="2543"/>
    <cellStyle name="_060213_현대해상하이카_이노션_현대카드_060721_하나커피카드_Media Mix_070125_르노삼성(SM5)_Media Mix_NAS(작업전)_070403_르노삼성QMX_Media Mix_NAS_071004_RSM_SM7_10월 미디어믹스 제안" xfId="2544"/>
    <cellStyle name="_060213_현대해상하이카_이노션_현대카드_060721_하나커피카드_Media Mix_070125_르노삼성(SM5)_Media Mix_NAS(작업전)_070403_르노삼성QMX_Media Mix_NAS_071102_RSM_QMX_11월 미디어믹스 제안" xfId="2545"/>
    <cellStyle name="_060213_현대해상하이카_이노션_현대카드_060721_하나커피카드_Media Mix_070125_르노삼성(SM5)_Media Mix_NAS(작업전)_070403_르노삼성QMX_Media Mix_NAS_071106_RSM_QMX_11월 미디어믹스 제안(수정)" xfId="2546"/>
    <cellStyle name="_060213_현대해상하이카_이노션_현대카드_060721_하나커피카드_Media Mix_070125_르노삼성(SM5)_Media Mix_NAS(작업전)_르노삼성 믹스종합_070214" xfId="2547"/>
    <cellStyle name="_060213_현대해상하이카_이노션_현대카드_060721_하나커피카드_Media Mix_070125_르노삼성(SM5)_Media Mix_NAS(작업전)_르노삼성 믹스종합_070214_070322_르노삼성H45_4월 캠페인_Media Mix_NAS" xfId="2548"/>
    <cellStyle name="_060213_현대해상하이카_이노션_현대카드_060721_하나커피카드_Media Mix_070125_르노삼성(SM5)_Media Mix_NAS(작업전)_르노삼성 믹스종합_070214_070322_르노삼성H45_4월 캠페인_Media Mix_NAS_070912_르노삼성QMX" xfId="2549"/>
    <cellStyle name="_060213_현대해상하이카_이노션_현대카드_060721_하나커피카드_Media Mix_070125_르노삼성(SM5)_Media Mix_NAS(작업전)_르노삼성 믹스종합_070214_070322_르노삼성H45_4월 캠페인_Media Mix_NAS_071001_RSM_SM7_10월 미디어믹스 제안_최종" xfId="2550"/>
    <cellStyle name="_060213_현대해상하이카_이노션_현대카드_060721_하나커피카드_Media Mix_070125_르노삼성(SM5)_Media Mix_NAS(작업전)_르노삼성 믹스종합_070214_070322_르노삼성H45_4월 캠페인_Media Mix_NAS_071004_RSM_SM7_10월 미디어믹스 제안" xfId="2551"/>
    <cellStyle name="_060213_현대해상하이카_이노션_현대카드_060721_하나커피카드_Media Mix_070125_르노삼성(SM5)_Media Mix_NAS(작업전)_르노삼성 믹스종합_070214_070322_르노삼성H45_4월 캠페인_Media Mix_NAS_071102_RSM_QMX_11월 미디어믹스 제안" xfId="2552"/>
    <cellStyle name="_060213_현대해상하이카_이노션_현대카드_060721_하나커피카드_Media Mix_070125_르노삼성(SM5)_Media Mix_NAS(작업전)_르노삼성 믹스종합_070214_070322_르노삼성H45_4월 캠페인_Media Mix_NAS_071106_RSM_QMX_11월 미디어믹스 제안(수정)" xfId="2553"/>
    <cellStyle name="_060213_현대해상하이카_이노션_현대카드_060721_하나커피카드_Media Mix_070125_르노삼성(SM5)_Media Mix_NAS(작업전)_르노삼성 믹스종합_070214_070326_르노삼성H45_4월 캠페인_Media Mix_NAS" xfId="2554"/>
    <cellStyle name="_060213_현대해상하이카_이노션_현대카드_060721_하나커피카드_Media Mix_070125_르노삼성(SM5)_Media Mix_NAS(작업전)_르노삼성 믹스종합_070214_070326_르노삼성H45_4월 캠페인_Media Mix_NAS_070912_르노삼성QMX" xfId="2555"/>
    <cellStyle name="_060213_현대해상하이카_이노션_현대카드_060721_하나커피카드_Media Mix_070125_르노삼성(SM5)_Media Mix_NAS(작업전)_르노삼성 믹스종합_070214_070326_르노삼성H45_4월 캠페인_Media Mix_NAS_071001_RSM_SM7_10월 미디어믹스 제안_최종" xfId="2556"/>
    <cellStyle name="_060213_현대해상하이카_이노션_현대카드_060721_하나커피카드_Media Mix_070125_르노삼성(SM5)_Media Mix_NAS(작업전)_르노삼성 믹스종합_070214_070326_르노삼성H45_4월 캠페인_Media Mix_NAS_071004_RSM_SM7_10월 미디어믹스 제안" xfId="2557"/>
    <cellStyle name="_060213_현대해상하이카_이노션_현대카드_060721_하나커피카드_Media Mix_070125_르노삼성(SM5)_Media Mix_NAS(작업전)_르노삼성 믹스종합_070214_070326_르노삼성H45_4월 캠페인_Media Mix_NAS_071102_RSM_QMX_11월 미디어믹스 제안" xfId="2558"/>
    <cellStyle name="_060213_현대해상하이카_이노션_현대카드_060721_하나커피카드_Media Mix_070125_르노삼성(SM5)_Media Mix_NAS(작업전)_르노삼성 믹스종합_070214_070326_르노삼성H45_4월 캠페인_Media Mix_NAS_071106_RSM_QMX_11월 미디어믹스 제안(수정)" xfId="2559"/>
    <cellStyle name="_060213_현대해상하이카_이노션_현대카드_060721_하나커피카드_Media Mix_070125_르노삼성(SM5)_Media Mix_NAS(작업전)_르노삼성 믹스종합_070214_070327_르노삼성H45_4월 캠페인_Media Mix_NAS" xfId="2560"/>
    <cellStyle name="_060213_현대해상하이카_이노션_현대카드_060721_하나커피카드_Media Mix_070125_르노삼성(SM5)_Media Mix_NAS(작업전)_르노삼성 믹스종합_070214_070327_르노삼성H45_4월 캠페인_Media Mix_NAS_070912_르노삼성QMX" xfId="2561"/>
    <cellStyle name="_060213_현대해상하이카_이노션_현대카드_060721_하나커피카드_Media Mix_070125_르노삼성(SM5)_Media Mix_NAS(작업전)_르노삼성 믹스종합_070214_070327_르노삼성H45_4월 캠페인_Media Mix_NAS_071001_RSM_SM7_10월 미디어믹스 제안_최종" xfId="2562"/>
    <cellStyle name="_060213_현대해상하이카_이노션_현대카드_060721_하나커피카드_Media Mix_070125_르노삼성(SM5)_Media Mix_NAS(작업전)_르노삼성 믹스종합_070214_070327_르노삼성H45_4월 캠페인_Media Mix_NAS_071004_RSM_SM7_10월 미디어믹스 제안" xfId="2563"/>
    <cellStyle name="_060213_현대해상하이카_이노션_현대카드_060721_하나커피카드_Media Mix_070125_르노삼성(SM5)_Media Mix_NAS(작업전)_르노삼성 믹스종합_070214_070327_르노삼성H45_4월 캠페인_Media Mix_NAS_071102_RSM_QMX_11월 미디어믹스 제안" xfId="2564"/>
    <cellStyle name="_060213_현대해상하이카_이노션_현대카드_060721_하나커피카드_Media Mix_070125_르노삼성(SM5)_Media Mix_NAS(작업전)_르노삼성 믹스종합_070214_070327_르노삼성H45_4월 캠페인_Media Mix_NAS_071106_RSM_QMX_11월 미디어믹스 제안(수정)" xfId="2565"/>
    <cellStyle name="_060213_현대해상하이카_이노션_현대카드_060721_하나커피카드_Media Mix_070125_르노삼성(SM5)_Media Mix_NAS(작업전)_르노삼성 믹스종합_070214_070328_르노삼성H45_4월 캠페인_Media Mix_NAS" xfId="2566"/>
    <cellStyle name="_060213_현대해상하이카_이노션_현대카드_060721_하나커피카드_Media Mix_070125_르노삼성(SM5)_Media Mix_NAS(작업전)_르노삼성 믹스종합_070214_070328_르노삼성H45_4월 캠페인_Media Mix_NAS_070912_르노삼성QMX" xfId="2567"/>
    <cellStyle name="_060213_현대해상하이카_이노션_현대카드_060721_하나커피카드_Media Mix_070125_르노삼성(SM5)_Media Mix_NAS(작업전)_르노삼성 믹스종합_070214_070328_르노삼성H45_4월 캠페인_Media Mix_NAS_071001_RSM_SM7_10월 미디어믹스 제안_최종" xfId="2568"/>
    <cellStyle name="_060213_현대해상하이카_이노션_현대카드_060721_하나커피카드_Media Mix_070125_르노삼성(SM5)_Media Mix_NAS(작업전)_르노삼성 믹스종합_070214_070328_르노삼성H45_4월 캠페인_Media Mix_NAS_071004_RSM_SM7_10월 미디어믹스 제안" xfId="2569"/>
    <cellStyle name="_060213_현대해상하이카_이노션_현대카드_060721_하나커피카드_Media Mix_070125_르노삼성(SM5)_Media Mix_NAS(작업전)_르노삼성 믹스종합_070214_070328_르노삼성H45_4월 캠페인_Media Mix_NAS_071102_RSM_QMX_11월 미디어믹스 제안" xfId="2570"/>
    <cellStyle name="_060213_현대해상하이카_이노션_현대카드_060721_하나커피카드_Media Mix_070125_르노삼성(SM5)_Media Mix_NAS(작업전)_르노삼성 믹스종합_070214_070328_르노삼성H45_4월 캠페인_Media Mix_NAS_071106_RSM_QMX_11월 미디어믹스 제안(수정)" xfId="2571"/>
    <cellStyle name="_060213_현대해상하이카_이노션_현대카드_060721_하나커피카드_Media Mix_070125_르노삼성(SM5)_Media Mix_NAS(작업전)_르노삼성 믹스종합_070214_070403_르노삼성QMX_Media Mix_NAS" xfId="2572"/>
    <cellStyle name="_060213_현대해상하이카_이노션_현대카드_060721_하나커피카드_Media Mix_070125_르노삼성(SM5)_Media Mix_NAS(작업전)_르노삼성 믹스종합_070214_070403_르노삼성QMX_Media Mix_NAS_070912_르노삼성QMX" xfId="2573"/>
    <cellStyle name="_060213_현대해상하이카_이노션_현대카드_060721_하나커피카드_Media Mix_070125_르노삼성(SM5)_Media Mix_NAS(작업전)_르노삼성 믹스종합_070214_070403_르노삼성QMX_Media Mix_NAS_071001_RSM_SM7_10월 미디어믹스 제안_최종" xfId="2574"/>
    <cellStyle name="_060213_현대해상하이카_이노션_현대카드_060721_하나커피카드_Media Mix_070125_르노삼성(SM5)_Media Mix_NAS(작업전)_르노삼성 믹스종합_070214_070403_르노삼성QMX_Media Mix_NAS_071004_RSM_SM7_10월 미디어믹스 제안" xfId="2575"/>
    <cellStyle name="_060213_현대해상하이카_이노션_현대카드_060721_하나커피카드_Media Mix_070125_르노삼성(SM5)_Media Mix_NAS(작업전)_르노삼성 믹스종합_070214_070403_르노삼성QMX_Media Mix_NAS_071102_RSM_QMX_11월 미디어믹스 제안" xfId="2576"/>
    <cellStyle name="_060213_현대해상하이카_이노션_현대카드_060721_하나커피카드_Media Mix_070125_르노삼성(SM5)_Media Mix_NAS(작업전)_르노삼성 믹스종합_070214_070403_르노삼성QMX_Media Mix_NAS_071106_RSM_QMX_11월 미디어믹스 제안(수정)" xfId="2577"/>
    <cellStyle name="_060213_현대해상하이카_이노션_현대카드_060721_하나커피카드_Media Mix_070202_르노삼성(SM5)_Media Mix_NAS(최종)_스케쥴표 포함" xfId="2578"/>
    <cellStyle name="_060213_현대해상하이카_이노션_현대카드_060721_하나커피카드_Media Mix_070202_르노삼성(SM5)_Media Mix_NAS(최종)_스케쥴표 포함_070322_르노삼성H45_4월 캠페인_Media Mix_NAS" xfId="2579"/>
    <cellStyle name="_060213_현대해상하이카_이노션_현대카드_060721_하나커피카드_Media Mix_070202_르노삼성(SM5)_Media Mix_NAS(최종)_스케쥴표 포함_070322_르노삼성H45_4월 캠페인_Media Mix_NAS_070912_르노삼성QMX" xfId="2580"/>
    <cellStyle name="_060213_현대해상하이카_이노션_현대카드_060721_하나커피카드_Media Mix_070202_르노삼성(SM5)_Media Mix_NAS(최종)_스케쥴표 포함_070322_르노삼성H45_4월 캠페인_Media Mix_NAS_071001_RSM_SM7_10월 미디어믹스 제안_최종" xfId="2581"/>
    <cellStyle name="_060213_현대해상하이카_이노션_현대카드_060721_하나커피카드_Media Mix_070202_르노삼성(SM5)_Media Mix_NAS(최종)_스케쥴표 포함_070322_르노삼성H45_4월 캠페인_Media Mix_NAS_071004_RSM_SM7_10월 미디어믹스 제안" xfId="2582"/>
    <cellStyle name="_060213_현대해상하이카_이노션_현대카드_060721_하나커피카드_Media Mix_070202_르노삼성(SM5)_Media Mix_NAS(최종)_스케쥴표 포함_070322_르노삼성H45_4월 캠페인_Media Mix_NAS_071102_RSM_QMX_11월 미디어믹스 제안" xfId="2583"/>
    <cellStyle name="_060213_현대해상하이카_이노션_현대카드_060721_하나커피카드_Media Mix_070202_르노삼성(SM5)_Media Mix_NAS(최종)_스케쥴표 포함_070322_르노삼성H45_4월 캠페인_Media Mix_NAS_071106_RSM_QMX_11월 미디어믹스 제안(수정)" xfId="2584"/>
    <cellStyle name="_060213_현대해상하이카_이노션_현대카드_060721_하나커피카드_Media Mix_070202_르노삼성(SM5)_Media Mix_NAS(최종)_스케쥴표 포함_070326_르노삼성H45_4월 캠페인_Media Mix_NAS" xfId="2585"/>
    <cellStyle name="_060213_현대해상하이카_이노션_현대카드_060721_하나커피카드_Media Mix_070202_르노삼성(SM5)_Media Mix_NAS(최종)_스케쥴표 포함_070326_르노삼성H45_4월 캠페인_Media Mix_NAS_070912_르노삼성QMX" xfId="2586"/>
    <cellStyle name="_060213_현대해상하이카_이노션_현대카드_060721_하나커피카드_Media Mix_070202_르노삼성(SM5)_Media Mix_NAS(최종)_스케쥴표 포함_070326_르노삼성H45_4월 캠페인_Media Mix_NAS_071001_RSM_SM7_10월 미디어믹스 제안_최종" xfId="2587"/>
    <cellStyle name="_060213_현대해상하이카_이노션_현대카드_060721_하나커피카드_Media Mix_070202_르노삼성(SM5)_Media Mix_NAS(최종)_스케쥴표 포함_070326_르노삼성H45_4월 캠페인_Media Mix_NAS_071004_RSM_SM7_10월 미디어믹스 제안" xfId="2588"/>
    <cellStyle name="_060213_현대해상하이카_이노션_현대카드_060721_하나커피카드_Media Mix_070202_르노삼성(SM5)_Media Mix_NAS(최종)_스케쥴표 포함_070326_르노삼성H45_4월 캠페인_Media Mix_NAS_071102_RSM_QMX_11월 미디어믹스 제안" xfId="2589"/>
    <cellStyle name="_060213_현대해상하이카_이노션_현대카드_060721_하나커피카드_Media Mix_070202_르노삼성(SM5)_Media Mix_NAS(최종)_스케쥴표 포함_070326_르노삼성H45_4월 캠페인_Media Mix_NAS_071106_RSM_QMX_11월 미디어믹스 제안(수정)" xfId="2590"/>
    <cellStyle name="_060213_현대해상하이카_이노션_현대카드_060721_하나커피카드_Media Mix_070202_르노삼성(SM5)_Media Mix_NAS(최종)_스케쥴표 포함_070327_르노삼성H45_4월 캠페인_Media Mix_NAS" xfId="2591"/>
    <cellStyle name="_060213_현대해상하이카_이노션_현대카드_060721_하나커피카드_Media Mix_070202_르노삼성(SM5)_Media Mix_NAS(최종)_스케쥴표 포함_070327_르노삼성H45_4월 캠페인_Media Mix_NAS_070912_르노삼성QMX" xfId="2592"/>
    <cellStyle name="_060213_현대해상하이카_이노션_현대카드_060721_하나커피카드_Media Mix_070202_르노삼성(SM5)_Media Mix_NAS(최종)_스케쥴표 포함_070327_르노삼성H45_4월 캠페인_Media Mix_NAS_071001_RSM_SM7_10월 미디어믹스 제안_최종" xfId="2593"/>
    <cellStyle name="_060213_현대해상하이카_이노션_현대카드_060721_하나커피카드_Media Mix_070202_르노삼성(SM5)_Media Mix_NAS(최종)_스케쥴표 포함_070327_르노삼성H45_4월 캠페인_Media Mix_NAS_071004_RSM_SM7_10월 미디어믹스 제안" xfId="2594"/>
    <cellStyle name="_060213_현대해상하이카_이노션_현대카드_060721_하나커피카드_Media Mix_070202_르노삼성(SM5)_Media Mix_NAS(최종)_스케쥴표 포함_070327_르노삼성H45_4월 캠페인_Media Mix_NAS_071102_RSM_QMX_11월 미디어믹스 제안" xfId="2595"/>
    <cellStyle name="_060213_현대해상하이카_이노션_현대카드_060721_하나커피카드_Media Mix_070202_르노삼성(SM5)_Media Mix_NAS(최종)_스케쥴표 포함_070327_르노삼성H45_4월 캠페인_Media Mix_NAS_071106_RSM_QMX_11월 미디어믹스 제안(수정)" xfId="2596"/>
    <cellStyle name="_060213_현대해상하이카_이노션_현대카드_060721_하나커피카드_Media Mix_070202_르노삼성(SM5)_Media Mix_NAS(최종)_스케쥴표 포함_070328_르노삼성H45_4월 캠페인_Media Mix_NAS" xfId="2597"/>
    <cellStyle name="_060213_현대해상하이카_이노션_현대카드_060721_하나커피카드_Media Mix_070202_르노삼성(SM5)_Media Mix_NAS(최종)_스케쥴표 포함_070328_르노삼성H45_4월 캠페인_Media Mix_NAS_070912_르노삼성QMX" xfId="2598"/>
    <cellStyle name="_060213_현대해상하이카_이노션_현대카드_060721_하나커피카드_Media Mix_070202_르노삼성(SM5)_Media Mix_NAS(최종)_스케쥴표 포함_070328_르노삼성H45_4월 캠페인_Media Mix_NAS_071001_RSM_SM7_10월 미디어믹스 제안_최종" xfId="2599"/>
    <cellStyle name="_060213_현대해상하이카_이노션_현대카드_060721_하나커피카드_Media Mix_070202_르노삼성(SM5)_Media Mix_NAS(최종)_스케쥴표 포함_070328_르노삼성H45_4월 캠페인_Media Mix_NAS_071004_RSM_SM7_10월 미디어믹스 제안" xfId="2600"/>
    <cellStyle name="_060213_현대해상하이카_이노션_현대카드_060721_하나커피카드_Media Mix_070202_르노삼성(SM5)_Media Mix_NAS(최종)_스케쥴표 포함_070328_르노삼성H45_4월 캠페인_Media Mix_NAS_071102_RSM_QMX_11월 미디어믹스 제안" xfId="2601"/>
    <cellStyle name="_060213_현대해상하이카_이노션_현대카드_060721_하나커피카드_Media Mix_070202_르노삼성(SM5)_Media Mix_NAS(최종)_스케쥴표 포함_070328_르노삼성H45_4월 캠페인_Media Mix_NAS_071106_RSM_QMX_11월 미디어믹스 제안(수정)" xfId="2602"/>
    <cellStyle name="_060213_현대해상하이카_이노션_현대카드_060721_하나커피카드_Media Mix_070202_르노삼성(SM5)_Media Mix_NAS(최종)_스케쥴표 포함_070403_르노삼성QMX_Media Mix_NAS" xfId="2603"/>
    <cellStyle name="_060213_현대해상하이카_이노션_현대카드_060721_하나커피카드_Media Mix_070202_르노삼성(SM5)_Media Mix_NAS(최종)_스케쥴표 포함_070403_르노삼성QMX_Media Mix_NAS_070912_르노삼성QMX" xfId="2604"/>
    <cellStyle name="_060213_현대해상하이카_이노션_현대카드_060721_하나커피카드_Media Mix_070202_르노삼성(SM5)_Media Mix_NAS(최종)_스케쥴표 포함_070403_르노삼성QMX_Media Mix_NAS_071001_RSM_SM7_10월 미디어믹스 제안_최종" xfId="2605"/>
    <cellStyle name="_060213_현대해상하이카_이노션_현대카드_060721_하나커피카드_Media Mix_070202_르노삼성(SM5)_Media Mix_NAS(최종)_스케쥴표 포함_070403_르노삼성QMX_Media Mix_NAS_071004_RSM_SM7_10월 미디어믹스 제안" xfId="2606"/>
    <cellStyle name="_060213_현대해상하이카_이노션_현대카드_060721_하나커피카드_Media Mix_070202_르노삼성(SM5)_Media Mix_NAS(최종)_스케쥴표 포함_070403_르노삼성QMX_Media Mix_NAS_071102_RSM_QMX_11월 미디어믹스 제안" xfId="2607"/>
    <cellStyle name="_060213_현대해상하이카_이노션_현대카드_060721_하나커피카드_Media Mix_070202_르노삼성(SM5)_Media Mix_NAS(최종)_스케쥴표 포함_070403_르노삼성QMX_Media Mix_NAS_071106_RSM_QMX_11월 미디어믹스 제안(수정)" xfId="2608"/>
    <cellStyle name="_060213_현대해상하이카_이노션_현대카드_060721_하나커피카드_Media Mix_070202_르노삼성(SM5)_Media Mix_NAS(최종)_스케쥴표 포함_르노삼성 믹스종합_070214" xfId="2609"/>
    <cellStyle name="_060213_현대해상하이카_이노션_현대카드_060721_하나커피카드_Media Mix_070202_르노삼성(SM5)_Media Mix_NAS(최종)_스케쥴표 포함_르노삼성 믹스종합_070214_070322_르노삼성H45_4월 캠페인_Media Mix_NAS" xfId="2610"/>
    <cellStyle name="_060213_현대해상하이카_이노션_현대카드_060721_하나커피카드_Media Mix_070202_르노삼성(SM5)_Media Mix_NAS(최종)_스케쥴표 포함_르노삼성 믹스종합_070214_070322_르노삼성H45_4월 캠페인_Media Mix_NAS_070912_르노삼성QMX" xfId="2611"/>
    <cellStyle name="_060213_현대해상하이카_이노션_현대카드_060721_하나커피카드_Media Mix_070202_르노삼성(SM5)_Media Mix_NAS(최종)_스케쥴표 포함_르노삼성 믹스종합_070214_070322_르노삼성H45_4월 캠페인_Media Mix_NAS_071001_RSM_SM7_10월 미디어믹스 제안_최종" xfId="2612"/>
    <cellStyle name="_060213_현대해상하이카_이노션_현대카드_060721_하나커피카드_Media Mix_070202_르노삼성(SM5)_Media Mix_NAS(최종)_스케쥴표 포함_르노삼성 믹스종합_070214_070322_르노삼성H45_4월 캠페인_Media Mix_NAS_071004_RSM_SM7_10월 미디어믹스 제안" xfId="2613"/>
    <cellStyle name="_060213_현대해상하이카_이노션_현대카드_060721_하나커피카드_Media Mix_070202_르노삼성(SM5)_Media Mix_NAS(최종)_스케쥴표 포함_르노삼성 믹스종합_070214_070322_르노삼성H45_4월 캠페인_Media Mix_NAS_071102_RSM_QMX_11월 미디어믹스 제안" xfId="2614"/>
    <cellStyle name="_060213_현대해상하이카_이노션_현대카드_060721_하나커피카드_Media Mix_070202_르노삼성(SM5)_Media Mix_NAS(최종)_스케쥴표 포함_르노삼성 믹스종합_070214_070322_르노삼성H45_4월 캠페인_Media Mix_NAS_071106_RSM_QMX_11월 미디어믹스 제안(수정)" xfId="2615"/>
    <cellStyle name="_060213_현대해상하이카_이노션_현대카드_060721_하나커피카드_Media Mix_070202_르노삼성(SM5)_Media Mix_NAS(최종)_스케쥴표 포함_르노삼성 믹스종합_070214_070326_르노삼성H45_4월 캠페인_Media Mix_NAS" xfId="2616"/>
    <cellStyle name="_060213_현대해상하이카_이노션_현대카드_060721_하나커피카드_Media Mix_070202_르노삼성(SM5)_Media Mix_NAS(최종)_스케쥴표 포함_르노삼성 믹스종합_070214_070326_르노삼성H45_4월 캠페인_Media Mix_NAS_070912_르노삼성QMX" xfId="2617"/>
    <cellStyle name="_060213_현대해상하이카_이노션_현대카드_060721_하나커피카드_Media Mix_070202_르노삼성(SM5)_Media Mix_NAS(최종)_스케쥴표 포함_르노삼성 믹스종합_070214_070326_르노삼성H45_4월 캠페인_Media Mix_NAS_071001_RSM_SM7_10월 미디어믹스 제안_최종" xfId="2618"/>
    <cellStyle name="_060213_현대해상하이카_이노션_현대카드_060721_하나커피카드_Media Mix_070202_르노삼성(SM5)_Media Mix_NAS(최종)_스케쥴표 포함_르노삼성 믹스종합_070214_070326_르노삼성H45_4월 캠페인_Media Mix_NAS_071004_RSM_SM7_10월 미디어믹스 제안" xfId="2619"/>
    <cellStyle name="_060213_현대해상하이카_이노션_현대카드_060721_하나커피카드_Media Mix_070202_르노삼성(SM5)_Media Mix_NAS(최종)_스케쥴표 포함_르노삼성 믹스종합_070214_070326_르노삼성H45_4월 캠페인_Media Mix_NAS_071102_RSM_QMX_11월 미디어믹스 제안" xfId="2620"/>
    <cellStyle name="_060213_현대해상하이카_이노션_현대카드_060721_하나커피카드_Media Mix_070202_르노삼성(SM5)_Media Mix_NAS(최종)_스케쥴표 포함_르노삼성 믹스종합_070214_070326_르노삼성H45_4월 캠페인_Media Mix_NAS_071106_RSM_QMX_11월 미디어믹스 제안(수정)" xfId="2621"/>
    <cellStyle name="_060213_현대해상하이카_이노션_현대카드_060721_하나커피카드_Media Mix_070202_르노삼성(SM5)_Media Mix_NAS(최종)_스케쥴표 포함_르노삼성 믹스종합_070214_070327_르노삼성H45_4월 캠페인_Media Mix_NAS" xfId="2622"/>
    <cellStyle name="_060213_현대해상하이카_이노션_현대카드_060721_하나커피카드_Media Mix_070202_르노삼성(SM5)_Media Mix_NAS(최종)_스케쥴표 포함_르노삼성 믹스종합_070214_070327_르노삼성H45_4월 캠페인_Media Mix_NAS_070912_르노삼성QMX" xfId="2623"/>
    <cellStyle name="_060213_현대해상하이카_이노션_현대카드_060721_하나커피카드_Media Mix_070202_르노삼성(SM5)_Media Mix_NAS(최종)_스케쥴표 포함_르노삼성 믹스종합_070214_070327_르노삼성H45_4월 캠페인_Media Mix_NAS_071001_RSM_SM7_10월 미디어믹스 제안_최종" xfId="2624"/>
    <cellStyle name="_060213_현대해상하이카_이노션_현대카드_060721_하나커피카드_Media Mix_070202_르노삼성(SM5)_Media Mix_NAS(최종)_스케쥴표 포함_르노삼성 믹스종합_070214_070327_르노삼성H45_4월 캠페인_Media Mix_NAS_071004_RSM_SM7_10월 미디어믹스 제안" xfId="2625"/>
    <cellStyle name="_060213_현대해상하이카_이노션_현대카드_060721_하나커피카드_Media Mix_070202_르노삼성(SM5)_Media Mix_NAS(최종)_스케쥴표 포함_르노삼성 믹스종합_070214_070327_르노삼성H45_4월 캠페인_Media Mix_NAS_071102_RSM_QMX_11월 미디어믹스 제안" xfId="2626"/>
    <cellStyle name="_060213_현대해상하이카_이노션_현대카드_060721_하나커피카드_Media Mix_070202_르노삼성(SM5)_Media Mix_NAS(최종)_스케쥴표 포함_르노삼성 믹스종합_070214_070327_르노삼성H45_4월 캠페인_Media Mix_NAS_071106_RSM_QMX_11월 미디어믹스 제안(수정)" xfId="2627"/>
    <cellStyle name="_060213_현대해상하이카_이노션_현대카드_060721_하나커피카드_Media Mix_070202_르노삼성(SM5)_Media Mix_NAS(최종)_스케쥴표 포함_르노삼성 믹스종합_070214_070328_르노삼성H45_4월 캠페인_Media Mix_NAS" xfId="2628"/>
    <cellStyle name="_060213_현대해상하이카_이노션_현대카드_060721_하나커피카드_Media Mix_070202_르노삼성(SM5)_Media Mix_NAS(최종)_스케쥴표 포함_르노삼성 믹스종합_070214_070328_르노삼성H45_4월 캠페인_Media Mix_NAS_070912_르노삼성QMX" xfId="2629"/>
    <cellStyle name="_060213_현대해상하이카_이노션_현대카드_060721_하나커피카드_Media Mix_070202_르노삼성(SM5)_Media Mix_NAS(최종)_스케쥴표 포함_르노삼성 믹스종합_070214_070328_르노삼성H45_4월 캠페인_Media Mix_NAS_071001_RSM_SM7_10월 미디어믹스 제안_최종" xfId="2630"/>
    <cellStyle name="_060213_현대해상하이카_이노션_현대카드_060721_하나커피카드_Media Mix_070202_르노삼성(SM5)_Media Mix_NAS(최종)_스케쥴표 포함_르노삼성 믹스종합_070214_070328_르노삼성H45_4월 캠페인_Media Mix_NAS_071004_RSM_SM7_10월 미디어믹스 제안" xfId="2631"/>
    <cellStyle name="_060213_현대해상하이카_이노션_현대카드_060721_하나커피카드_Media Mix_070202_르노삼성(SM5)_Media Mix_NAS(최종)_스케쥴표 포함_르노삼성 믹스종합_070214_070328_르노삼성H45_4월 캠페인_Media Mix_NAS_071102_RSM_QMX_11월 미디어믹스 제안" xfId="2632"/>
    <cellStyle name="_060213_현대해상하이카_이노션_현대카드_060721_하나커피카드_Media Mix_070202_르노삼성(SM5)_Media Mix_NAS(최종)_스케쥴표 포함_르노삼성 믹스종합_070214_070328_르노삼성H45_4월 캠페인_Media Mix_NAS_071106_RSM_QMX_11월 미디어믹스 제안(수정)" xfId="2633"/>
    <cellStyle name="_060213_현대해상하이카_이노션_현대카드_060721_하나커피카드_Media Mix_070202_르노삼성(SM5)_Media Mix_NAS(최종)_스케쥴표 포함_르노삼성 믹스종합_070214_070403_르노삼성QMX_Media Mix_NAS" xfId="2634"/>
    <cellStyle name="_060213_현대해상하이카_이노션_현대카드_060721_하나커피카드_Media Mix_070202_르노삼성(SM5)_Media Mix_NAS(최종)_스케쥴표 포함_르노삼성 믹스종합_070214_070403_르노삼성QMX_Media Mix_NAS_070912_르노삼성QMX" xfId="2635"/>
    <cellStyle name="_060213_현대해상하이카_이노션_현대카드_060721_하나커피카드_Media Mix_070202_르노삼성(SM5)_Media Mix_NAS(최종)_스케쥴표 포함_르노삼성 믹스종합_070214_070403_르노삼성QMX_Media Mix_NAS_071001_RSM_SM7_10월 미디어믹스 제안_최종" xfId="2636"/>
    <cellStyle name="_060213_현대해상하이카_이노션_현대카드_060721_하나커피카드_Media Mix_070202_르노삼성(SM5)_Media Mix_NAS(최종)_스케쥴표 포함_르노삼성 믹스종합_070214_070403_르노삼성QMX_Media Mix_NAS_071004_RSM_SM7_10월 미디어믹스 제안" xfId="2637"/>
    <cellStyle name="_060213_현대해상하이카_이노션_현대카드_060721_하나커피카드_Media Mix_070202_르노삼성(SM5)_Media Mix_NAS(최종)_스케쥴표 포함_르노삼성 믹스종합_070214_070403_르노삼성QMX_Media Mix_NAS_071102_RSM_QMX_11월 미디어믹스 제안" xfId="2638"/>
    <cellStyle name="_060213_현대해상하이카_이노션_현대카드_060721_하나커피카드_Media Mix_070202_르노삼성(SM5)_Media Mix_NAS(최종)_스케쥴표 포함_르노삼성 믹스종합_070214_070403_르노삼성QMX_Media Mix_NAS_071106_RSM_QMX_11월 미디어믹스 제안(수정)" xfId="2639"/>
    <cellStyle name="_060213_현대해상하이카_이노션_현대카드_060721_하나커피카드_Media Mix_070214_KT_Media Mix_NAS_지나" xfId="2640"/>
    <cellStyle name="_060213_현대해상하이카_이노션_현대카드_060721_하나커피카드_Media Mix_070322_르노삼성H45_4월 캠페인_Media Mix_NAS" xfId="2641"/>
    <cellStyle name="_060213_현대해상하이카_이노션_현대카드_060721_하나커피카드_Media Mix_070322_르노삼성H45_4월 캠페인_Media Mix_NAS_070912_르노삼성QMX" xfId="2642"/>
    <cellStyle name="_060213_현대해상하이카_이노션_현대카드_060721_하나커피카드_Media Mix_070322_르노삼성H45_4월 캠페인_Media Mix_NAS_071001_RSM_SM7_10월 미디어믹스 제안_최종" xfId="2643"/>
    <cellStyle name="_060213_현대해상하이카_이노션_현대카드_060721_하나커피카드_Media Mix_070322_르노삼성H45_4월 캠페인_Media Mix_NAS_071004_RSM_SM7_10월 미디어믹스 제안" xfId="2644"/>
    <cellStyle name="_060213_현대해상하이카_이노션_현대카드_060721_하나커피카드_Media Mix_070322_르노삼성H45_4월 캠페인_Media Mix_NAS_071102_RSM_QMX_11월 미디어믹스 제안" xfId="2645"/>
    <cellStyle name="_060213_현대해상하이카_이노션_현대카드_060721_하나커피카드_Media Mix_070322_르노삼성H45_4월 캠페인_Media Mix_NAS_071106_RSM_QMX_11월 미디어믹스 제안(수정)" xfId="2646"/>
    <cellStyle name="_060213_현대해상하이카_이노션_현대카드_060721_하나커피카드_Media Mix_070326_르노삼성H45_4월 캠페인_Media Mix_NAS" xfId="2647"/>
    <cellStyle name="_060213_현대해상하이카_이노션_현대카드_060721_하나커피카드_Media Mix_070326_르노삼성H45_4월 캠페인_Media Mix_NAS_070912_르노삼성QMX" xfId="2648"/>
    <cellStyle name="_060213_현대해상하이카_이노션_현대카드_060721_하나커피카드_Media Mix_070326_르노삼성H45_4월 캠페인_Media Mix_NAS_071001_RSM_SM7_10월 미디어믹스 제안_최종" xfId="2649"/>
    <cellStyle name="_060213_현대해상하이카_이노션_현대카드_060721_하나커피카드_Media Mix_070326_르노삼성H45_4월 캠페인_Media Mix_NAS_071004_RSM_SM7_10월 미디어믹스 제안" xfId="2650"/>
    <cellStyle name="_060213_현대해상하이카_이노션_현대카드_060721_하나커피카드_Media Mix_070326_르노삼성H45_4월 캠페인_Media Mix_NAS_071102_RSM_QMX_11월 미디어믹스 제안" xfId="2651"/>
    <cellStyle name="_060213_현대해상하이카_이노션_현대카드_060721_하나커피카드_Media Mix_070326_르노삼성H45_4월 캠페인_Media Mix_NAS_071106_RSM_QMX_11월 미디어믹스 제안(수정)" xfId="2652"/>
    <cellStyle name="_060213_현대해상하이카_이노션_현대카드_060721_하나커피카드_Media Mix_070327_르노삼성H45_4월 캠페인_Media Mix_NAS" xfId="2653"/>
    <cellStyle name="_060213_현대해상하이카_이노션_현대카드_060721_하나커피카드_Media Mix_070327_르노삼성H45_4월 캠페인_Media Mix_NAS_070912_르노삼성QMX" xfId="2654"/>
    <cellStyle name="_060213_현대해상하이카_이노션_현대카드_060721_하나커피카드_Media Mix_070327_르노삼성H45_4월 캠페인_Media Mix_NAS_071001_RSM_SM7_10월 미디어믹스 제안_최종" xfId="2655"/>
    <cellStyle name="_060213_현대해상하이카_이노션_현대카드_060721_하나커피카드_Media Mix_070327_르노삼성H45_4월 캠페인_Media Mix_NAS_071004_RSM_SM7_10월 미디어믹스 제안" xfId="2656"/>
    <cellStyle name="_060213_현대해상하이카_이노션_현대카드_060721_하나커피카드_Media Mix_070327_르노삼성H45_4월 캠페인_Media Mix_NAS_071102_RSM_QMX_11월 미디어믹스 제안" xfId="2657"/>
    <cellStyle name="_060213_현대해상하이카_이노션_현대카드_060721_하나커피카드_Media Mix_070327_르노삼성H45_4월 캠페인_Media Mix_NAS_071106_RSM_QMX_11월 미디어믹스 제안(수정)" xfId="2658"/>
    <cellStyle name="_060213_현대해상하이카_이노션_현대카드_060721_하나커피카드_Media Mix_070328_르노삼성H45_4월 캠페인_Media Mix_NAS" xfId="2659"/>
    <cellStyle name="_060213_현대해상하이카_이노션_현대카드_060721_하나커피카드_Media Mix_070328_르노삼성H45_4월 캠페인_Media Mix_NAS_070912_르노삼성QMX" xfId="2660"/>
    <cellStyle name="_060213_현대해상하이카_이노션_현대카드_060721_하나커피카드_Media Mix_070328_르노삼성H45_4월 캠페인_Media Mix_NAS_071001_RSM_SM7_10월 미디어믹스 제안_최종" xfId="2661"/>
    <cellStyle name="_060213_현대해상하이카_이노션_현대카드_060721_하나커피카드_Media Mix_070328_르노삼성H45_4월 캠페인_Media Mix_NAS_071004_RSM_SM7_10월 미디어믹스 제안" xfId="2662"/>
    <cellStyle name="_060213_현대해상하이카_이노션_현대카드_060721_하나커피카드_Media Mix_070328_르노삼성H45_4월 캠페인_Media Mix_NAS_071102_RSM_QMX_11월 미디어믹스 제안" xfId="2663"/>
    <cellStyle name="_060213_현대해상하이카_이노션_현대카드_060721_하나커피카드_Media Mix_070328_르노삼성H45_4월 캠페인_Media Mix_NAS_071106_RSM_QMX_11월 미디어믹스 제안(수정)" xfId="2664"/>
    <cellStyle name="_060213_현대해상하이카_이노션_현대카드_060721_하나커피카드_Media Mix_070403_르노삼성QMX_Media Mix_NAS" xfId="2665"/>
    <cellStyle name="_060213_현대해상하이카_이노션_현대카드_060721_하나커피카드_Media Mix_070403_르노삼성QMX_Media Mix_NAS_070912_르노삼성QMX" xfId="2666"/>
    <cellStyle name="_060213_현대해상하이카_이노션_현대카드_060721_하나커피카드_Media Mix_070403_르노삼성QMX_Media Mix_NAS_071001_RSM_SM7_10월 미디어믹스 제안_최종" xfId="2667"/>
    <cellStyle name="_060213_현대해상하이카_이노션_현대카드_060721_하나커피카드_Media Mix_070403_르노삼성QMX_Media Mix_NAS_071004_RSM_SM7_10월 미디어믹스 제안" xfId="2668"/>
    <cellStyle name="_060213_현대해상하이카_이노션_현대카드_060721_하나커피카드_Media Mix_070403_르노삼성QMX_Media Mix_NAS_071102_RSM_QMX_11월 미디어믹스 제안" xfId="2669"/>
    <cellStyle name="_060213_현대해상하이카_이노션_현대카드_060721_하나커피카드_Media Mix_070403_르노삼성QMX_Media Mix_NAS_071106_RSM_QMX_11월 미디어믹스 제안(수정)" xfId="2670"/>
    <cellStyle name="_060213_현대해상하이카_이노션_현대카드_070131_르노삼성(SM3)_Media Mix_NAS" xfId="2671"/>
    <cellStyle name="_060213_현대해상하이카_이노션_현대카드_070131_르노삼성(SM3)_Media Mix_NAS_070214_KT_Media Mix_NAS_지나" xfId="2672"/>
    <cellStyle name="_060213_현대해상하이카_이노션_현대카드_070131_르노삼성(SM5)_Media Mix_NAS(ver5)" xfId="2673"/>
    <cellStyle name="_060213_현대해상하이카_이노션_현대카드_070131_르노삼성(SM5)_Media Mix_NAS(ver5)_070202_르노삼성(SM5)_Media Mix_NAS(최종)_스케쥴표 포함" xfId="2674"/>
    <cellStyle name="_060213_현대해상하이카_이노션_현대카드_070131_르노삼성(SM5)_Media Mix_NAS(ver5)_070202_르노삼성(SM5)_Media Mix_NAS(최종)_스케쥴표 포함_070322_르노삼성H45_4월 캠페인_Media Mix_NAS" xfId="2675"/>
    <cellStyle name="_060213_현대해상하이카_이노션_현대카드_070131_르노삼성(SM5)_Media Mix_NAS(ver5)_070202_르노삼성(SM5)_Media Mix_NAS(최종)_스케쥴표 포함_070322_르노삼성H45_4월 캠페인_Media Mix_NAS_070912_르노삼성QMX" xfId="2676"/>
    <cellStyle name="_060213_현대해상하이카_이노션_현대카드_070131_르노삼성(SM5)_Media Mix_NAS(ver5)_070202_르노삼성(SM5)_Media Mix_NAS(최종)_스케쥴표 포함_070322_르노삼성H45_4월 캠페인_Media Mix_NAS_071001_RSM_SM7_10월 미디어믹스 제안_최종" xfId="2677"/>
    <cellStyle name="_060213_현대해상하이카_이노션_현대카드_070131_르노삼성(SM5)_Media Mix_NAS(ver5)_070202_르노삼성(SM5)_Media Mix_NAS(최종)_스케쥴표 포함_070322_르노삼성H45_4월 캠페인_Media Mix_NAS_071004_RSM_SM7_10월 미디어믹스 제안" xfId="2678"/>
    <cellStyle name="_060213_현대해상하이카_이노션_현대카드_070131_르노삼성(SM5)_Media Mix_NAS(ver5)_070202_르노삼성(SM5)_Media Mix_NAS(최종)_스케쥴표 포함_070322_르노삼성H45_4월 캠페인_Media Mix_NAS_071102_RSM_QMX_11월 미디어믹스 제안" xfId="2679"/>
    <cellStyle name="_060213_현대해상하이카_이노션_현대카드_070131_르노삼성(SM5)_Media Mix_NAS(ver5)_070202_르노삼성(SM5)_Media Mix_NAS(최종)_스케쥴표 포함_070322_르노삼성H45_4월 캠페인_Media Mix_NAS_071106_RSM_QMX_11월 미디어믹스 제안(수정)" xfId="2680"/>
    <cellStyle name="_060213_현대해상하이카_이노션_현대카드_070131_르노삼성(SM5)_Media Mix_NAS(ver5)_070202_르노삼성(SM5)_Media Mix_NAS(최종)_스케쥴표 포함_070326_르노삼성H45_4월 캠페인_Media Mix_NAS" xfId="2681"/>
    <cellStyle name="_060213_현대해상하이카_이노션_현대카드_070131_르노삼성(SM5)_Media Mix_NAS(ver5)_070202_르노삼성(SM5)_Media Mix_NAS(최종)_스케쥴표 포함_070326_르노삼성H45_4월 캠페인_Media Mix_NAS_070912_르노삼성QMX" xfId="2682"/>
    <cellStyle name="_060213_현대해상하이카_이노션_현대카드_070131_르노삼성(SM5)_Media Mix_NAS(ver5)_070202_르노삼성(SM5)_Media Mix_NAS(최종)_스케쥴표 포함_070326_르노삼성H45_4월 캠페인_Media Mix_NAS_071001_RSM_SM7_10월 미디어믹스 제안_최종" xfId="2683"/>
    <cellStyle name="_060213_현대해상하이카_이노션_현대카드_070131_르노삼성(SM5)_Media Mix_NAS(ver5)_070202_르노삼성(SM5)_Media Mix_NAS(최종)_스케쥴표 포함_070326_르노삼성H45_4월 캠페인_Media Mix_NAS_071004_RSM_SM7_10월 미디어믹스 제안" xfId="2684"/>
    <cellStyle name="_060213_현대해상하이카_이노션_현대카드_070131_르노삼성(SM5)_Media Mix_NAS(ver5)_070202_르노삼성(SM5)_Media Mix_NAS(최종)_스케쥴표 포함_070326_르노삼성H45_4월 캠페인_Media Mix_NAS_071102_RSM_QMX_11월 미디어믹스 제안" xfId="2685"/>
    <cellStyle name="_060213_현대해상하이카_이노션_현대카드_070131_르노삼성(SM5)_Media Mix_NAS(ver5)_070202_르노삼성(SM5)_Media Mix_NAS(최종)_스케쥴표 포함_070326_르노삼성H45_4월 캠페인_Media Mix_NAS_071106_RSM_QMX_11월 미디어믹스 제안(수정)" xfId="2686"/>
    <cellStyle name="_060213_현대해상하이카_이노션_현대카드_070131_르노삼성(SM5)_Media Mix_NAS(ver5)_070202_르노삼성(SM5)_Media Mix_NAS(최종)_스케쥴표 포함_070327_르노삼성H45_4월 캠페인_Media Mix_NAS" xfId="2687"/>
    <cellStyle name="_060213_현대해상하이카_이노션_현대카드_070131_르노삼성(SM5)_Media Mix_NAS(ver5)_070202_르노삼성(SM5)_Media Mix_NAS(최종)_스케쥴표 포함_070327_르노삼성H45_4월 캠페인_Media Mix_NAS_070912_르노삼성QMX" xfId="2688"/>
    <cellStyle name="_060213_현대해상하이카_이노션_현대카드_070131_르노삼성(SM5)_Media Mix_NAS(ver5)_070202_르노삼성(SM5)_Media Mix_NAS(최종)_스케쥴표 포함_070327_르노삼성H45_4월 캠페인_Media Mix_NAS_071001_RSM_SM7_10월 미디어믹스 제안_최종" xfId="2689"/>
    <cellStyle name="_060213_현대해상하이카_이노션_현대카드_070131_르노삼성(SM5)_Media Mix_NAS(ver5)_070202_르노삼성(SM5)_Media Mix_NAS(최종)_스케쥴표 포함_070327_르노삼성H45_4월 캠페인_Media Mix_NAS_071004_RSM_SM7_10월 미디어믹스 제안" xfId="2690"/>
    <cellStyle name="_060213_현대해상하이카_이노션_현대카드_070131_르노삼성(SM5)_Media Mix_NAS(ver5)_070202_르노삼성(SM5)_Media Mix_NAS(최종)_스케쥴표 포함_070327_르노삼성H45_4월 캠페인_Media Mix_NAS_071102_RSM_QMX_11월 미디어믹스 제안" xfId="2691"/>
    <cellStyle name="_060213_현대해상하이카_이노션_현대카드_070131_르노삼성(SM5)_Media Mix_NAS(ver5)_070202_르노삼성(SM5)_Media Mix_NAS(최종)_스케쥴표 포함_070327_르노삼성H45_4월 캠페인_Media Mix_NAS_071106_RSM_QMX_11월 미디어믹스 제안(수정)" xfId="2692"/>
    <cellStyle name="_060213_현대해상하이카_이노션_현대카드_070131_르노삼성(SM5)_Media Mix_NAS(ver5)_070202_르노삼성(SM5)_Media Mix_NAS(최종)_스케쥴표 포함_070328_르노삼성H45_4월 캠페인_Media Mix_NAS" xfId="2693"/>
    <cellStyle name="_060213_현대해상하이카_이노션_현대카드_070131_르노삼성(SM5)_Media Mix_NAS(ver5)_070202_르노삼성(SM5)_Media Mix_NAS(최종)_스케쥴표 포함_070328_르노삼성H45_4월 캠페인_Media Mix_NAS_070912_르노삼성QMX" xfId="2694"/>
    <cellStyle name="_060213_현대해상하이카_이노션_현대카드_070131_르노삼성(SM5)_Media Mix_NAS(ver5)_070202_르노삼성(SM5)_Media Mix_NAS(최종)_스케쥴표 포함_070328_르노삼성H45_4월 캠페인_Media Mix_NAS_071001_RSM_SM7_10월 미디어믹스 제안_최종" xfId="2695"/>
    <cellStyle name="_060213_현대해상하이카_이노션_현대카드_070131_르노삼성(SM5)_Media Mix_NAS(ver5)_070202_르노삼성(SM5)_Media Mix_NAS(최종)_스케쥴표 포함_070328_르노삼성H45_4월 캠페인_Media Mix_NAS_071004_RSM_SM7_10월 미디어믹스 제안" xfId="2696"/>
    <cellStyle name="_060213_현대해상하이카_이노션_현대카드_070131_르노삼성(SM5)_Media Mix_NAS(ver5)_070202_르노삼성(SM5)_Media Mix_NAS(최종)_스케쥴표 포함_070328_르노삼성H45_4월 캠페인_Media Mix_NAS_071102_RSM_QMX_11월 미디어믹스 제안" xfId="2697"/>
    <cellStyle name="_060213_현대해상하이카_이노션_현대카드_070131_르노삼성(SM5)_Media Mix_NAS(ver5)_070202_르노삼성(SM5)_Media Mix_NAS(최종)_스케쥴표 포함_070328_르노삼성H45_4월 캠페인_Media Mix_NAS_071106_RSM_QMX_11월 미디어믹스 제안(수정)" xfId="2698"/>
    <cellStyle name="_060213_현대해상하이카_이노션_현대카드_070131_르노삼성(SM5)_Media Mix_NAS(ver5)_070202_르노삼성(SM5)_Media Mix_NAS(최종)_스케쥴표 포함_070403_르노삼성QMX_Media Mix_NAS" xfId="2699"/>
    <cellStyle name="_060213_현대해상하이카_이노션_현대카드_070131_르노삼성(SM5)_Media Mix_NAS(ver5)_070202_르노삼성(SM5)_Media Mix_NAS(최종)_스케쥴표 포함_070403_르노삼성QMX_Media Mix_NAS_070912_르노삼성QMX" xfId="2700"/>
    <cellStyle name="_060213_현대해상하이카_이노션_현대카드_070131_르노삼성(SM5)_Media Mix_NAS(ver5)_070202_르노삼성(SM5)_Media Mix_NAS(최종)_스케쥴표 포함_070403_르노삼성QMX_Media Mix_NAS_071001_RSM_SM7_10월 미디어믹스 제안_최종" xfId="2701"/>
    <cellStyle name="_060213_현대해상하이카_이노션_현대카드_070131_르노삼성(SM5)_Media Mix_NAS(ver5)_070202_르노삼성(SM5)_Media Mix_NAS(최종)_스케쥴표 포함_070403_르노삼성QMX_Media Mix_NAS_071004_RSM_SM7_10월 미디어믹스 제안" xfId="2702"/>
    <cellStyle name="_060213_현대해상하이카_이노션_현대카드_070131_르노삼성(SM5)_Media Mix_NAS(ver5)_070202_르노삼성(SM5)_Media Mix_NAS(최종)_스케쥴표 포함_070403_르노삼성QMX_Media Mix_NAS_071102_RSM_QMX_11월 미디어믹스 제안" xfId="2703"/>
    <cellStyle name="_060213_현대해상하이카_이노션_현대카드_070131_르노삼성(SM5)_Media Mix_NAS(ver5)_070202_르노삼성(SM5)_Media Mix_NAS(최종)_스케쥴표 포함_070403_르노삼성QMX_Media Mix_NAS_071106_RSM_QMX_11월 미디어믹스 제안(수정)" xfId="2704"/>
    <cellStyle name="_060213_현대해상하이카_이노션_현대카드_070131_르노삼성(SM5)_Media Mix_NAS(ver5)_070202_르노삼성(SM5)_Media Mix_NAS(최종)_스케쥴표 포함_르노삼성 믹스종합_070214" xfId="2705"/>
    <cellStyle name="_060213_현대해상하이카_이노션_현대카드_070131_르노삼성(SM5)_Media Mix_NAS(ver5)_070202_르노삼성(SM5)_Media Mix_NAS(최종)_스케쥴표 포함_르노삼성 믹스종합_070214_070322_르노삼성H45_4월 캠페인_Media Mix_NAS" xfId="2706"/>
    <cellStyle name="_060213_현대해상하이카_이노션_현대카드_070131_르노삼성(SM5)_Media Mix_NAS(ver5)_070202_르노삼성(SM5)_Media Mix_NAS(최종)_스케쥴표 포함_르노삼성 믹스종합_070214_070322_르노삼성H45_4월 캠페인_Media Mix_NAS_070912_르노삼성QMX" xfId="2707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1_RSM_SM7_10월 미디어믹스 제안_최종" xfId="2708"/>
    <cellStyle name="_060213_현대해상하이카_이노션_현대카드_070131_르노삼성(SM5)_Media Mix_NAS(ver5)_070202_르노삼성(SM5)_Media Mix_NAS(최종)_스케쥴표 포함_르노삼성 믹스종합_070214_070322_르노삼성H45_4월 캠페인_Media Mix_NAS_071004_RSM_SM7_10월 미디어믹스 제안" xfId="2709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2_RSM_QMX_11월 미디어믹스 제안" xfId="2710"/>
    <cellStyle name="_060213_현대해상하이카_이노션_현대카드_070131_르노삼성(SM5)_Media Mix_NAS(ver5)_070202_르노삼성(SM5)_Media Mix_NAS(최종)_스케쥴표 포함_르노삼성 믹스종합_070214_070322_르노삼성H45_4월 캠페인_Media Mix_NAS_071106_RSM_QMX_11월 미디어믹스 제안(수정)" xfId="2711"/>
    <cellStyle name="_060213_현대해상하이카_이노션_현대카드_070131_르노삼성(SM5)_Media Mix_NAS(ver5)_070202_르노삼성(SM5)_Media Mix_NAS(최종)_스케쥴표 포함_르노삼성 믹스종합_070214_070326_르노삼성H45_4월 캠페인_Media Mix_NAS" xfId="2712"/>
    <cellStyle name="_060213_현대해상하이카_이노션_현대카드_070131_르노삼성(SM5)_Media Mix_NAS(ver5)_070202_르노삼성(SM5)_Media Mix_NAS(최종)_스케쥴표 포함_르노삼성 믹스종합_070214_070326_르노삼성H45_4월 캠페인_Media Mix_NAS_070912_르노삼성QMX" xfId="2713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1_RSM_SM7_10월 미디어믹스 제안_최종" xfId="2714"/>
    <cellStyle name="_060213_현대해상하이카_이노션_현대카드_070131_르노삼성(SM5)_Media Mix_NAS(ver5)_070202_르노삼성(SM5)_Media Mix_NAS(최종)_스케쥴표 포함_르노삼성 믹스종합_070214_070326_르노삼성H45_4월 캠페인_Media Mix_NAS_071004_RSM_SM7_10월 미디어믹스 제안" xfId="2715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2_RSM_QMX_11월 미디어믹스 제안" xfId="2716"/>
    <cellStyle name="_060213_현대해상하이카_이노션_현대카드_070131_르노삼성(SM5)_Media Mix_NAS(ver5)_070202_르노삼성(SM5)_Media Mix_NAS(최종)_스케쥴표 포함_르노삼성 믹스종합_070214_070326_르노삼성H45_4월 캠페인_Media Mix_NAS_071106_RSM_QMX_11월 미디어믹스 제안(수정)" xfId="2717"/>
    <cellStyle name="_060213_현대해상하이카_이노션_현대카드_070131_르노삼성(SM5)_Media Mix_NAS(ver5)_070202_르노삼성(SM5)_Media Mix_NAS(최종)_스케쥴표 포함_르노삼성 믹스종합_070214_070327_르노삼성H45_4월 캠페인_Media Mix_NAS" xfId="2718"/>
    <cellStyle name="_060213_현대해상하이카_이노션_현대카드_070131_르노삼성(SM5)_Media Mix_NAS(ver5)_070202_르노삼성(SM5)_Media Mix_NAS(최종)_스케쥴표 포함_르노삼성 믹스종합_070214_070327_르노삼성H45_4월 캠페인_Media Mix_NAS_070912_르노삼성QMX" xfId="2719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1_RSM_SM7_10월 미디어믹스 제안_최종" xfId="2720"/>
    <cellStyle name="_060213_현대해상하이카_이노션_현대카드_070131_르노삼성(SM5)_Media Mix_NAS(ver5)_070202_르노삼성(SM5)_Media Mix_NAS(최종)_스케쥴표 포함_르노삼성 믹스종합_070214_070327_르노삼성H45_4월 캠페인_Media Mix_NAS_071004_RSM_SM7_10월 미디어믹스 제안" xfId="2721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2_RSM_QMX_11월 미디어믹스 제안" xfId="2722"/>
    <cellStyle name="_060213_현대해상하이카_이노션_현대카드_070131_르노삼성(SM5)_Media Mix_NAS(ver5)_070202_르노삼성(SM5)_Media Mix_NAS(최종)_스케쥴표 포함_르노삼성 믹스종합_070214_070327_르노삼성H45_4월 캠페인_Media Mix_NAS_071106_RSM_QMX_11월 미디어믹스 제안(수정)" xfId="2723"/>
    <cellStyle name="_060213_현대해상하이카_이노션_현대카드_070131_르노삼성(SM5)_Media Mix_NAS(ver5)_070202_르노삼성(SM5)_Media Mix_NAS(최종)_스케쥴표 포함_르노삼성 믹스종합_070214_070328_르노삼성H45_4월 캠페인_Media Mix_NAS" xfId="2724"/>
    <cellStyle name="_060213_현대해상하이카_이노션_현대카드_070131_르노삼성(SM5)_Media Mix_NAS(ver5)_070202_르노삼성(SM5)_Media Mix_NAS(최종)_스케쥴표 포함_르노삼성 믹스종합_070214_070328_르노삼성H45_4월 캠페인_Media Mix_NAS_070912_르노삼성QMX" xfId="2725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1_RSM_SM7_10월 미디어믹스 제안_최종" xfId="2726"/>
    <cellStyle name="_060213_현대해상하이카_이노션_현대카드_070131_르노삼성(SM5)_Media Mix_NAS(ver5)_070202_르노삼성(SM5)_Media Mix_NAS(최종)_스케쥴표 포함_르노삼성 믹스종합_070214_070328_르노삼성H45_4월 캠페인_Media Mix_NAS_071004_RSM_SM7_10월 미디어믹스 제안" xfId="2727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2_RSM_QMX_11월 미디어믹스 제안" xfId="2728"/>
    <cellStyle name="_060213_현대해상하이카_이노션_현대카드_070131_르노삼성(SM5)_Media Mix_NAS(ver5)_070202_르노삼성(SM5)_Media Mix_NAS(최종)_스케쥴표 포함_르노삼성 믹스종합_070214_070328_르노삼성H45_4월 캠페인_Media Mix_NAS_071106_RSM_QMX_11월 미디어믹스 제안(수정)" xfId="2729"/>
    <cellStyle name="_060213_현대해상하이카_이노션_현대카드_070131_르노삼성(SM5)_Media Mix_NAS(ver5)_070202_르노삼성(SM5)_Media Mix_NAS(최종)_스케쥴표 포함_르노삼성 믹스종합_070214_070403_르노삼성QMX_Media Mix_NAS" xfId="2730"/>
    <cellStyle name="_060213_현대해상하이카_이노션_현대카드_070131_르노삼성(SM5)_Media Mix_NAS(ver5)_070202_르노삼성(SM5)_Media Mix_NAS(최종)_스케쥴표 포함_르노삼성 믹스종합_070214_070403_르노삼성QMX_Media Mix_NAS_070912_르노삼성QMX" xfId="2731"/>
    <cellStyle name="_060213_현대해상하이카_이노션_현대카드_070131_르노삼성(SM5)_Media Mix_NAS(ver5)_070202_르노삼성(SM5)_Media Mix_NAS(최종)_스케쥴표 포함_르노삼성 믹스종합_070214_070403_르노삼성QMX_Media Mix_NAS_071001_RSM_SM7_10월 미디어믹스 제안_최종" xfId="2732"/>
    <cellStyle name="_060213_현대해상하이카_이노션_현대카드_070131_르노삼성(SM5)_Media Mix_NAS(ver5)_070202_르노삼성(SM5)_Media Mix_NAS(최종)_스케쥴표 포함_르노삼성 믹스종합_070214_070403_르노삼성QMX_Media Mix_NAS_071004_RSM_SM7_10월 미디어믹스 제안" xfId="2733"/>
    <cellStyle name="_060213_현대해상하이카_이노션_현대카드_070131_르노삼성(SM5)_Media Mix_NAS(ver5)_070202_르노삼성(SM5)_Media Mix_NAS(최종)_스케쥴표 포함_르노삼성 믹스종합_070214_070403_르노삼성QMX_Media Mix_NAS_071102_RSM_QMX_11월 미디어믹스 제안" xfId="2734"/>
    <cellStyle name="_060213_현대해상하이카_이노션_현대카드_070131_르노삼성(SM5)_Media Mix_NAS(ver5)_070202_르노삼성(SM5)_Media Mix_NAS(최종)_스케쥴표 포함_르노삼성 믹스종합_070214_070403_르노삼성QMX_Media Mix_NAS_071106_RSM_QMX_11월 미디어믹스 제안(수정)" xfId="2735"/>
    <cellStyle name="_060213_현대해상하이카_이노션_현대카드_070131_르노삼성(SM5)_Media Mix_NAS(ver5)_070322_르노삼성H45_4월 캠페인_Media Mix_NAS" xfId="2736"/>
    <cellStyle name="_060213_현대해상하이카_이노션_현대카드_070131_르노삼성(SM5)_Media Mix_NAS(ver5)_070322_르노삼성H45_4월 캠페인_Media Mix_NAS_070912_르노삼성QMX" xfId="2737"/>
    <cellStyle name="_060213_현대해상하이카_이노션_현대카드_070131_르노삼성(SM5)_Media Mix_NAS(ver5)_070322_르노삼성H45_4월 캠페인_Media Mix_NAS_071001_RSM_SM7_10월 미디어믹스 제안_최종" xfId="2738"/>
    <cellStyle name="_060213_현대해상하이카_이노션_현대카드_070131_르노삼성(SM5)_Media Mix_NAS(ver5)_070322_르노삼성H45_4월 캠페인_Media Mix_NAS_071004_RSM_SM7_10월 미디어믹스 제안" xfId="2739"/>
    <cellStyle name="_060213_현대해상하이카_이노션_현대카드_070131_르노삼성(SM5)_Media Mix_NAS(ver5)_070322_르노삼성H45_4월 캠페인_Media Mix_NAS_071102_RSM_QMX_11월 미디어믹스 제안" xfId="2740"/>
    <cellStyle name="_060213_현대해상하이카_이노션_현대카드_070131_르노삼성(SM5)_Media Mix_NAS(ver5)_070322_르노삼성H45_4월 캠페인_Media Mix_NAS_071106_RSM_QMX_11월 미디어믹스 제안(수정)" xfId="2741"/>
    <cellStyle name="_060213_현대해상하이카_이노션_현대카드_070131_르노삼성(SM5)_Media Mix_NAS(ver5)_070326_르노삼성H45_4월 캠페인_Media Mix_NAS" xfId="2742"/>
    <cellStyle name="_060213_현대해상하이카_이노션_현대카드_070131_르노삼성(SM5)_Media Mix_NAS(ver5)_070326_르노삼성H45_4월 캠페인_Media Mix_NAS_070912_르노삼성QMX" xfId="2743"/>
    <cellStyle name="_060213_현대해상하이카_이노션_현대카드_070131_르노삼성(SM5)_Media Mix_NAS(ver5)_070326_르노삼성H45_4월 캠페인_Media Mix_NAS_071001_RSM_SM7_10월 미디어믹스 제안_최종" xfId="2744"/>
    <cellStyle name="_060213_현대해상하이카_이노션_현대카드_070131_르노삼성(SM5)_Media Mix_NAS(ver5)_070326_르노삼성H45_4월 캠페인_Media Mix_NAS_071004_RSM_SM7_10월 미디어믹스 제안" xfId="2745"/>
    <cellStyle name="_060213_현대해상하이카_이노션_현대카드_070131_르노삼성(SM5)_Media Mix_NAS(ver5)_070326_르노삼성H45_4월 캠페인_Media Mix_NAS_071102_RSM_QMX_11월 미디어믹스 제안" xfId="2746"/>
    <cellStyle name="_060213_현대해상하이카_이노션_현대카드_070131_르노삼성(SM5)_Media Mix_NAS(ver5)_070326_르노삼성H45_4월 캠페인_Media Mix_NAS_071106_RSM_QMX_11월 미디어믹스 제안(수정)" xfId="2747"/>
    <cellStyle name="_060213_현대해상하이카_이노션_현대카드_070131_르노삼성(SM5)_Media Mix_NAS(ver5)_070327_르노삼성H45_4월 캠페인_Media Mix_NAS" xfId="2748"/>
    <cellStyle name="_060213_현대해상하이카_이노션_현대카드_070131_르노삼성(SM5)_Media Mix_NAS(ver5)_070327_르노삼성H45_4월 캠페인_Media Mix_NAS_070912_르노삼성QMX" xfId="2749"/>
    <cellStyle name="_060213_현대해상하이카_이노션_현대카드_070131_르노삼성(SM5)_Media Mix_NAS(ver5)_070327_르노삼성H45_4월 캠페인_Media Mix_NAS_071001_RSM_SM7_10월 미디어믹스 제안_최종" xfId="2750"/>
    <cellStyle name="_060213_현대해상하이카_이노션_현대카드_070131_르노삼성(SM5)_Media Mix_NAS(ver5)_070327_르노삼성H45_4월 캠페인_Media Mix_NAS_071004_RSM_SM7_10월 미디어믹스 제안" xfId="2751"/>
    <cellStyle name="_060213_현대해상하이카_이노션_현대카드_070131_르노삼성(SM5)_Media Mix_NAS(ver5)_070327_르노삼성H45_4월 캠페인_Media Mix_NAS_071102_RSM_QMX_11월 미디어믹스 제안" xfId="2752"/>
    <cellStyle name="_060213_현대해상하이카_이노션_현대카드_070131_르노삼성(SM5)_Media Mix_NAS(ver5)_070327_르노삼성H45_4월 캠페인_Media Mix_NAS_071106_RSM_QMX_11월 미디어믹스 제안(수정)" xfId="2753"/>
    <cellStyle name="_060213_현대해상하이카_이노션_현대카드_070131_르노삼성(SM5)_Media Mix_NAS(ver5)_070328_르노삼성H45_4월 캠페인_Media Mix_NAS" xfId="2754"/>
    <cellStyle name="_060213_현대해상하이카_이노션_현대카드_070131_르노삼성(SM5)_Media Mix_NAS(ver5)_070328_르노삼성H45_4월 캠페인_Media Mix_NAS_070912_르노삼성QMX" xfId="2755"/>
    <cellStyle name="_060213_현대해상하이카_이노션_현대카드_070131_르노삼성(SM5)_Media Mix_NAS(ver5)_070328_르노삼성H45_4월 캠페인_Media Mix_NAS_071001_RSM_SM7_10월 미디어믹스 제안_최종" xfId="2756"/>
    <cellStyle name="_060213_현대해상하이카_이노션_현대카드_070131_르노삼성(SM5)_Media Mix_NAS(ver5)_070328_르노삼성H45_4월 캠페인_Media Mix_NAS_071004_RSM_SM7_10월 미디어믹스 제안" xfId="2757"/>
    <cellStyle name="_060213_현대해상하이카_이노션_현대카드_070131_르노삼성(SM5)_Media Mix_NAS(ver5)_070328_르노삼성H45_4월 캠페인_Media Mix_NAS_071102_RSM_QMX_11월 미디어믹스 제안" xfId="2758"/>
    <cellStyle name="_060213_현대해상하이카_이노션_현대카드_070131_르노삼성(SM5)_Media Mix_NAS(ver5)_070328_르노삼성H45_4월 캠페인_Media Mix_NAS_071106_RSM_QMX_11월 미디어믹스 제안(수정)" xfId="2759"/>
    <cellStyle name="_060213_현대해상하이카_이노션_현대카드_070131_르노삼성(SM5)_Media Mix_NAS(ver5)_070403_르노삼성QMX_Media Mix_NAS" xfId="2760"/>
    <cellStyle name="_060213_현대해상하이카_이노션_현대카드_070131_르노삼성(SM5)_Media Mix_NAS(ver5)_070403_르노삼성QMX_Media Mix_NAS_070912_르노삼성QMX" xfId="2761"/>
    <cellStyle name="_060213_현대해상하이카_이노션_현대카드_070131_르노삼성(SM5)_Media Mix_NAS(ver5)_070403_르노삼성QMX_Media Mix_NAS_071001_RSM_SM7_10월 미디어믹스 제안_최종" xfId="2762"/>
    <cellStyle name="_060213_현대해상하이카_이노션_현대카드_070131_르노삼성(SM5)_Media Mix_NAS(ver5)_070403_르노삼성QMX_Media Mix_NAS_071004_RSM_SM7_10월 미디어믹스 제안" xfId="2763"/>
    <cellStyle name="_060213_현대해상하이카_이노션_현대카드_070131_르노삼성(SM5)_Media Mix_NAS(ver5)_070403_르노삼성QMX_Media Mix_NAS_071102_RSM_QMX_11월 미디어믹스 제안" xfId="2764"/>
    <cellStyle name="_060213_현대해상하이카_이노션_현대카드_070131_르노삼성(SM5)_Media Mix_NAS(ver5)_070403_르노삼성QMX_Media Mix_NAS_071106_RSM_QMX_11월 미디어믹스 제안(수정)" xfId="2765"/>
    <cellStyle name="_060213_현대해상하이카_이노션_현대카드_070201_르노삼성(SM5)_Media Mix_NAS(최종)" xfId="2766"/>
    <cellStyle name="_060213_현대해상하이카_이노션_현대카드_070201_르노삼성(SM5)_Media Mix_NAS(최종)_070202_르노삼성(SM5)_Media Mix_NAS(최종)_스케쥴표 포함" xfId="2767"/>
    <cellStyle name="_060213_현대해상하이카_이노션_현대카드_070201_르노삼성(SM5)_Media Mix_NAS(최종)_070202_르노삼성(SM5)_Media Mix_NAS(최종)_스케쥴표 포함_070322_르노삼성H45_4월 캠페인_Media Mix_NAS" xfId="2768"/>
    <cellStyle name="_060213_현대해상하이카_이노션_현대카드_070201_르노삼성(SM5)_Media Mix_NAS(최종)_070202_르노삼성(SM5)_Media Mix_NAS(최종)_스케쥴표 포함_070322_르노삼성H45_4월 캠페인_Media Mix_NAS_070912_르노삼성QMX" xfId="2769"/>
    <cellStyle name="_060213_현대해상하이카_이노션_현대카드_070201_르노삼성(SM5)_Media Mix_NAS(최종)_070202_르노삼성(SM5)_Media Mix_NAS(최종)_스케쥴표 포함_070322_르노삼성H45_4월 캠페인_Media Mix_NAS_071001_RSM_SM7_10월 미디어믹스 제안_최종" xfId="2770"/>
    <cellStyle name="_060213_현대해상하이카_이노션_현대카드_070201_르노삼성(SM5)_Media Mix_NAS(최종)_070202_르노삼성(SM5)_Media Mix_NAS(최종)_스케쥴표 포함_070322_르노삼성H45_4월 캠페인_Media Mix_NAS_071004_RSM_SM7_10월 미디어믹스 제안" xfId="2771"/>
    <cellStyle name="_060213_현대해상하이카_이노션_현대카드_070201_르노삼성(SM5)_Media Mix_NAS(최종)_070202_르노삼성(SM5)_Media Mix_NAS(최종)_스케쥴표 포함_070322_르노삼성H45_4월 캠페인_Media Mix_NAS_071102_RSM_QMX_11월 미디어믹스 제안" xfId="2772"/>
    <cellStyle name="_060213_현대해상하이카_이노션_현대카드_070201_르노삼성(SM5)_Media Mix_NAS(최종)_070202_르노삼성(SM5)_Media Mix_NAS(최종)_스케쥴표 포함_070322_르노삼성H45_4월 캠페인_Media Mix_NAS_071106_RSM_QMX_11월 미디어믹스 제안(수정)" xfId="2773"/>
    <cellStyle name="_060213_현대해상하이카_이노션_현대카드_070201_르노삼성(SM5)_Media Mix_NAS(최종)_070202_르노삼성(SM5)_Media Mix_NAS(최종)_스케쥴표 포함_070326_르노삼성H45_4월 캠페인_Media Mix_NAS" xfId="2774"/>
    <cellStyle name="_060213_현대해상하이카_이노션_현대카드_070201_르노삼성(SM5)_Media Mix_NAS(최종)_070202_르노삼성(SM5)_Media Mix_NAS(최종)_스케쥴표 포함_070326_르노삼성H45_4월 캠페인_Media Mix_NAS_070912_르노삼성QMX" xfId="2775"/>
    <cellStyle name="_060213_현대해상하이카_이노션_현대카드_070201_르노삼성(SM5)_Media Mix_NAS(최종)_070202_르노삼성(SM5)_Media Mix_NAS(최종)_스케쥴표 포함_070326_르노삼성H45_4월 캠페인_Media Mix_NAS_071001_RSM_SM7_10월 미디어믹스 제안_최종" xfId="2776"/>
    <cellStyle name="_060213_현대해상하이카_이노션_현대카드_070201_르노삼성(SM5)_Media Mix_NAS(최종)_070202_르노삼성(SM5)_Media Mix_NAS(최종)_스케쥴표 포함_070326_르노삼성H45_4월 캠페인_Media Mix_NAS_071004_RSM_SM7_10월 미디어믹스 제안" xfId="2777"/>
    <cellStyle name="_060213_현대해상하이카_이노션_현대카드_070201_르노삼성(SM5)_Media Mix_NAS(최종)_070202_르노삼성(SM5)_Media Mix_NAS(최종)_스케쥴표 포함_070326_르노삼성H45_4월 캠페인_Media Mix_NAS_071102_RSM_QMX_11월 미디어믹스 제안" xfId="2778"/>
    <cellStyle name="_060213_현대해상하이카_이노션_현대카드_070201_르노삼성(SM5)_Media Mix_NAS(최종)_070202_르노삼성(SM5)_Media Mix_NAS(최종)_스케쥴표 포함_070326_르노삼성H45_4월 캠페인_Media Mix_NAS_071106_RSM_QMX_11월 미디어믹스 제안(수정)" xfId="2779"/>
    <cellStyle name="_060213_현대해상하이카_이노션_현대카드_070201_르노삼성(SM5)_Media Mix_NAS(최종)_070202_르노삼성(SM5)_Media Mix_NAS(최종)_스케쥴표 포함_070327_르노삼성H45_4월 캠페인_Media Mix_NAS" xfId="2780"/>
    <cellStyle name="_060213_현대해상하이카_이노션_현대카드_070201_르노삼성(SM5)_Media Mix_NAS(최종)_070202_르노삼성(SM5)_Media Mix_NAS(최종)_스케쥴표 포함_070327_르노삼성H45_4월 캠페인_Media Mix_NAS_070912_르노삼성QMX" xfId="2781"/>
    <cellStyle name="_060213_현대해상하이카_이노션_현대카드_070201_르노삼성(SM5)_Media Mix_NAS(최종)_070202_르노삼성(SM5)_Media Mix_NAS(최종)_스케쥴표 포함_070327_르노삼성H45_4월 캠페인_Media Mix_NAS_071001_RSM_SM7_10월 미디어믹스 제안_최종" xfId="2782"/>
    <cellStyle name="_060213_현대해상하이카_이노션_현대카드_070201_르노삼성(SM5)_Media Mix_NAS(최종)_070202_르노삼성(SM5)_Media Mix_NAS(최종)_스케쥴표 포함_070327_르노삼성H45_4월 캠페인_Media Mix_NAS_071004_RSM_SM7_10월 미디어믹스 제안" xfId="2783"/>
    <cellStyle name="_060213_현대해상하이카_이노션_현대카드_070201_르노삼성(SM5)_Media Mix_NAS(최종)_070202_르노삼성(SM5)_Media Mix_NAS(최종)_스케쥴표 포함_070327_르노삼성H45_4월 캠페인_Media Mix_NAS_071102_RSM_QMX_11월 미디어믹스 제안" xfId="2784"/>
    <cellStyle name="_060213_현대해상하이카_이노션_현대카드_070201_르노삼성(SM5)_Media Mix_NAS(최종)_070202_르노삼성(SM5)_Media Mix_NAS(최종)_스케쥴표 포함_070327_르노삼성H45_4월 캠페인_Media Mix_NAS_071106_RSM_QMX_11월 미디어믹스 제안(수정)" xfId="2785"/>
    <cellStyle name="_060213_현대해상하이카_이노션_현대카드_070201_르노삼성(SM5)_Media Mix_NAS(최종)_070202_르노삼성(SM5)_Media Mix_NAS(최종)_스케쥴표 포함_070328_르노삼성H45_4월 캠페인_Media Mix_NAS" xfId="2786"/>
    <cellStyle name="_060213_현대해상하이카_이노션_현대카드_070201_르노삼성(SM5)_Media Mix_NAS(최종)_070202_르노삼성(SM5)_Media Mix_NAS(최종)_스케쥴표 포함_070328_르노삼성H45_4월 캠페인_Media Mix_NAS_070912_르노삼성QMX" xfId="2787"/>
    <cellStyle name="_060213_현대해상하이카_이노션_현대카드_070201_르노삼성(SM5)_Media Mix_NAS(최종)_070202_르노삼성(SM5)_Media Mix_NAS(최종)_스케쥴표 포함_070328_르노삼성H45_4월 캠페인_Media Mix_NAS_071001_RSM_SM7_10월 미디어믹스 제안_최종" xfId="2788"/>
    <cellStyle name="_060213_현대해상하이카_이노션_현대카드_070201_르노삼성(SM5)_Media Mix_NAS(최종)_070202_르노삼성(SM5)_Media Mix_NAS(최종)_스케쥴표 포함_070328_르노삼성H45_4월 캠페인_Media Mix_NAS_071004_RSM_SM7_10월 미디어믹스 제안" xfId="2789"/>
    <cellStyle name="_060213_현대해상하이카_이노션_현대카드_070201_르노삼성(SM5)_Media Mix_NAS(최종)_070202_르노삼성(SM5)_Media Mix_NAS(최종)_스케쥴표 포함_070328_르노삼성H45_4월 캠페인_Media Mix_NAS_071102_RSM_QMX_11월 미디어믹스 제안" xfId="2790"/>
    <cellStyle name="_060213_현대해상하이카_이노션_현대카드_070201_르노삼성(SM5)_Media Mix_NAS(최종)_070202_르노삼성(SM5)_Media Mix_NAS(최종)_스케쥴표 포함_070328_르노삼성H45_4월 캠페인_Media Mix_NAS_071106_RSM_QMX_11월 미디어믹스 제안(수정)" xfId="2791"/>
    <cellStyle name="_060213_현대해상하이카_이노션_현대카드_070201_르노삼성(SM5)_Media Mix_NAS(최종)_070202_르노삼성(SM5)_Media Mix_NAS(최종)_스케쥴표 포함_070403_르노삼성QMX_Media Mix_NAS" xfId="2792"/>
    <cellStyle name="_060213_현대해상하이카_이노션_현대카드_070201_르노삼성(SM5)_Media Mix_NAS(최종)_070202_르노삼성(SM5)_Media Mix_NAS(최종)_스케쥴표 포함_070403_르노삼성QMX_Media Mix_NAS_070912_르노삼성QMX" xfId="2793"/>
    <cellStyle name="_060213_현대해상하이카_이노션_현대카드_070201_르노삼성(SM5)_Media Mix_NAS(최종)_070202_르노삼성(SM5)_Media Mix_NAS(최종)_스케쥴표 포함_070403_르노삼성QMX_Media Mix_NAS_071001_RSM_SM7_10월 미디어믹스 제안_최종" xfId="2794"/>
    <cellStyle name="_060213_현대해상하이카_이노션_현대카드_070201_르노삼성(SM5)_Media Mix_NAS(최종)_070202_르노삼성(SM5)_Media Mix_NAS(최종)_스케쥴표 포함_070403_르노삼성QMX_Media Mix_NAS_071004_RSM_SM7_10월 미디어믹스 제안" xfId="2795"/>
    <cellStyle name="_060213_현대해상하이카_이노션_현대카드_070201_르노삼성(SM5)_Media Mix_NAS(최종)_070202_르노삼성(SM5)_Media Mix_NAS(최종)_스케쥴표 포함_070403_르노삼성QMX_Media Mix_NAS_071102_RSM_QMX_11월 미디어믹스 제안" xfId="2796"/>
    <cellStyle name="_060213_현대해상하이카_이노션_현대카드_070201_르노삼성(SM5)_Media Mix_NAS(최종)_070202_르노삼성(SM5)_Media Mix_NAS(최종)_스케쥴표 포함_070403_르노삼성QMX_Media Mix_NAS_071106_RSM_QMX_11월 미디어믹스 제안(수정)" xfId="2797"/>
    <cellStyle name="_060213_현대해상하이카_이노션_현대카드_070201_르노삼성(SM5)_Media Mix_NAS(최종)_070202_르노삼성(SM5)_Media Mix_NAS(최종)_스케쥴표 포함_르노삼성 믹스종합_070214" xfId="2798"/>
    <cellStyle name="_060213_현대해상하이카_이노션_현대카드_070201_르노삼성(SM5)_Media Mix_NAS(최종)_070202_르노삼성(SM5)_Media Mix_NAS(최종)_스케쥴표 포함_르노삼성 믹스종합_070214_070322_르노삼성H45_4월 캠페인_Media Mix_NAS" xfId="2799"/>
    <cellStyle name="_060213_현대해상하이카_이노션_현대카드_070201_르노삼성(SM5)_Media Mix_NAS(최종)_070202_르노삼성(SM5)_Media Mix_NAS(최종)_스케쥴표 포함_르노삼성 믹스종합_070214_070322_르노삼성H45_4월 캠페인_Media Mix_NAS_070912_르노삼성QMX" xfId="2800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1_RSM_SM7_10월 미디어믹스 제안_최종" xfId="2801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004_RSM_SM7_10월 미디어믹스 제안" xfId="2802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2_RSM_QMX_11월 미디어믹스 제안" xfId="2803"/>
    <cellStyle name="_060213_현대해상하이카_이노션_현대카드_070201_르노삼성(SM5)_Media Mix_NAS(최종)_070202_르노삼성(SM5)_Media Mix_NAS(최종)_스케쥴표 포함_르노삼성 믹스종합_070214_070322_르노삼성H45_4월 캠페인_Media Mix_NAS_071106_RSM_QMX_11월 미디어믹스 제안(수정)" xfId="2804"/>
    <cellStyle name="_060213_현대해상하이카_이노션_현대카드_070201_르노삼성(SM5)_Media Mix_NAS(최종)_070202_르노삼성(SM5)_Media Mix_NAS(최종)_스케쥴표 포함_르노삼성 믹스종합_070214_070326_르노삼성H45_4월 캠페인_Media Mix_NAS" xfId="2805"/>
    <cellStyle name="_060213_현대해상하이카_이노션_현대카드_070201_르노삼성(SM5)_Media Mix_NAS(최종)_070202_르노삼성(SM5)_Media Mix_NAS(최종)_스케쥴표 포함_르노삼성 믹스종합_070214_070326_르노삼성H45_4월 캠페인_Media Mix_NAS_070912_르노삼성QMX" xfId="2806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1_RSM_SM7_10월 미디어믹스 제안_최종" xfId="2807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004_RSM_SM7_10월 미디어믹스 제안" xfId="2808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2_RSM_QMX_11월 미디어믹스 제안" xfId="2809"/>
    <cellStyle name="_060213_현대해상하이카_이노션_현대카드_070201_르노삼성(SM5)_Media Mix_NAS(최종)_070202_르노삼성(SM5)_Media Mix_NAS(최종)_스케쥴표 포함_르노삼성 믹스종합_070214_070326_르노삼성H45_4월 캠페인_Media Mix_NAS_071106_RSM_QMX_11월 미디어믹스 제안(수정)" xfId="2810"/>
    <cellStyle name="_060213_현대해상하이카_이노션_현대카드_070201_르노삼성(SM5)_Media Mix_NAS(최종)_070202_르노삼성(SM5)_Media Mix_NAS(최종)_스케쥴표 포함_르노삼성 믹스종합_070214_070327_르노삼성H45_4월 캠페인_Media Mix_NAS" xfId="2811"/>
    <cellStyle name="_060213_현대해상하이카_이노션_현대카드_070201_르노삼성(SM5)_Media Mix_NAS(최종)_070202_르노삼성(SM5)_Media Mix_NAS(최종)_스케쥴표 포함_르노삼성 믹스종합_070214_070327_르노삼성H45_4월 캠페인_Media Mix_NAS_070912_르노삼성QMX" xfId="2812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1_RSM_SM7_10월 미디어믹스 제안_최종" xfId="2813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004_RSM_SM7_10월 미디어믹스 제안" xfId="2814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2_RSM_QMX_11월 미디어믹스 제안" xfId="2815"/>
    <cellStyle name="_060213_현대해상하이카_이노션_현대카드_070201_르노삼성(SM5)_Media Mix_NAS(최종)_070202_르노삼성(SM5)_Media Mix_NAS(최종)_스케쥴표 포함_르노삼성 믹스종합_070214_070327_르노삼성H45_4월 캠페인_Media Mix_NAS_071106_RSM_QMX_11월 미디어믹스 제안(수정)" xfId="2816"/>
    <cellStyle name="_060213_현대해상하이카_이노션_현대카드_070201_르노삼성(SM5)_Media Mix_NAS(최종)_070202_르노삼성(SM5)_Media Mix_NAS(최종)_스케쥴표 포함_르노삼성 믹스종합_070214_070328_르노삼성H45_4월 캠페인_Media Mix_NAS" xfId="2817"/>
    <cellStyle name="_060213_현대해상하이카_이노션_현대카드_070201_르노삼성(SM5)_Media Mix_NAS(최종)_070202_르노삼성(SM5)_Media Mix_NAS(최종)_스케쥴표 포함_르노삼성 믹스종합_070214_070328_르노삼성H45_4월 캠페인_Media Mix_NAS_070912_르노삼성QMX" xfId="2818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1_RSM_SM7_10월 미디어믹스 제안_최종" xfId="2819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004_RSM_SM7_10월 미디어믹스 제안" xfId="2820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2_RSM_QMX_11월 미디어믹스 제안" xfId="2821"/>
    <cellStyle name="_060213_현대해상하이카_이노션_현대카드_070201_르노삼성(SM5)_Media Mix_NAS(최종)_070202_르노삼성(SM5)_Media Mix_NAS(최종)_스케쥴표 포함_르노삼성 믹스종합_070214_070328_르노삼성H45_4월 캠페인_Media Mix_NAS_071106_RSM_QMX_11월 미디어믹스 제안(수정)" xfId="2822"/>
    <cellStyle name="_060213_현대해상하이카_이노션_현대카드_070201_르노삼성(SM5)_Media Mix_NAS(최종)_070202_르노삼성(SM5)_Media Mix_NAS(최종)_스케쥴표 포함_르노삼성 믹스종합_070214_070403_르노삼성QMX_Media Mix_NAS" xfId="2823"/>
    <cellStyle name="_060213_현대해상하이카_이노션_현대카드_070201_르노삼성(SM5)_Media Mix_NAS(최종)_070202_르노삼성(SM5)_Media Mix_NAS(최종)_스케쥴표 포함_르노삼성 믹스종합_070214_070403_르노삼성QMX_Media Mix_NAS_070912_르노삼성QMX" xfId="2824"/>
    <cellStyle name="_060213_현대해상하이카_이노션_현대카드_070201_르노삼성(SM5)_Media Mix_NAS(최종)_070202_르노삼성(SM5)_Media Mix_NAS(최종)_스케쥴표 포함_르노삼성 믹스종합_070214_070403_르노삼성QMX_Media Mix_NAS_071001_RSM_SM7_10월 미디어믹스 제안_최종" xfId="2825"/>
    <cellStyle name="_060213_현대해상하이카_이노션_현대카드_070201_르노삼성(SM5)_Media Mix_NAS(최종)_070202_르노삼성(SM5)_Media Mix_NAS(최종)_스케쥴표 포함_르노삼성 믹스종합_070214_070403_르노삼성QMX_Media Mix_NAS_071004_RSM_SM7_10월 미디어믹스 제안" xfId="2826"/>
    <cellStyle name="_060213_현대해상하이카_이노션_현대카드_070201_르노삼성(SM5)_Media Mix_NAS(최종)_070202_르노삼성(SM5)_Media Mix_NAS(최종)_스케쥴표 포함_르노삼성 믹스종합_070214_070403_르노삼성QMX_Media Mix_NAS_071102_RSM_QMX_11월 미디어믹스 제안" xfId="2827"/>
    <cellStyle name="_060213_현대해상하이카_이노션_현대카드_070201_르노삼성(SM5)_Media Mix_NAS(최종)_070202_르노삼성(SM5)_Media Mix_NAS(최종)_스케쥴표 포함_르노삼성 믹스종합_070214_070403_르노삼성QMX_Media Mix_NAS_071106_RSM_QMX_11월 미디어믹스 제안(수정)" xfId="2828"/>
    <cellStyle name="_060213_현대해상하이카_이노션_현대카드_070201_르노삼성(SM5)_Media Mix_NAS(최종)_070322_르노삼성H45_4월 캠페인_Media Mix_NAS" xfId="2829"/>
    <cellStyle name="_060213_현대해상하이카_이노션_현대카드_070201_르노삼성(SM5)_Media Mix_NAS(최종)_070322_르노삼성H45_4월 캠페인_Media Mix_NAS_070912_르노삼성QMX" xfId="2830"/>
    <cellStyle name="_060213_현대해상하이카_이노션_현대카드_070201_르노삼성(SM5)_Media Mix_NAS(최종)_070322_르노삼성H45_4월 캠페인_Media Mix_NAS_071001_RSM_SM7_10월 미디어믹스 제안_최종" xfId="2831"/>
    <cellStyle name="_060213_현대해상하이카_이노션_현대카드_070201_르노삼성(SM5)_Media Mix_NAS(최종)_070322_르노삼성H45_4월 캠페인_Media Mix_NAS_071004_RSM_SM7_10월 미디어믹스 제안" xfId="2832"/>
    <cellStyle name="_060213_현대해상하이카_이노션_현대카드_070201_르노삼성(SM5)_Media Mix_NAS(최종)_070322_르노삼성H45_4월 캠페인_Media Mix_NAS_071102_RSM_QMX_11월 미디어믹스 제안" xfId="2833"/>
    <cellStyle name="_060213_현대해상하이카_이노션_현대카드_070201_르노삼성(SM5)_Media Mix_NAS(최종)_070322_르노삼성H45_4월 캠페인_Media Mix_NAS_071106_RSM_QMX_11월 미디어믹스 제안(수정)" xfId="2834"/>
    <cellStyle name="_060213_현대해상하이카_이노션_현대카드_070201_르노삼성(SM5)_Media Mix_NAS(최종)_070326_르노삼성H45_4월 캠페인_Media Mix_NAS" xfId="2835"/>
    <cellStyle name="_060213_현대해상하이카_이노션_현대카드_070201_르노삼성(SM5)_Media Mix_NAS(최종)_070326_르노삼성H45_4월 캠페인_Media Mix_NAS_070912_르노삼성QMX" xfId="2836"/>
    <cellStyle name="_060213_현대해상하이카_이노션_현대카드_070201_르노삼성(SM5)_Media Mix_NAS(최종)_070326_르노삼성H45_4월 캠페인_Media Mix_NAS_071001_RSM_SM7_10월 미디어믹스 제안_최종" xfId="2837"/>
    <cellStyle name="_060213_현대해상하이카_이노션_현대카드_070201_르노삼성(SM5)_Media Mix_NAS(최종)_070326_르노삼성H45_4월 캠페인_Media Mix_NAS_071004_RSM_SM7_10월 미디어믹스 제안" xfId="2838"/>
    <cellStyle name="_060213_현대해상하이카_이노션_현대카드_070201_르노삼성(SM5)_Media Mix_NAS(최종)_070326_르노삼성H45_4월 캠페인_Media Mix_NAS_071102_RSM_QMX_11월 미디어믹스 제안" xfId="2839"/>
    <cellStyle name="_060213_현대해상하이카_이노션_현대카드_070201_르노삼성(SM5)_Media Mix_NAS(최종)_070326_르노삼성H45_4월 캠페인_Media Mix_NAS_071106_RSM_QMX_11월 미디어믹스 제안(수정)" xfId="2840"/>
    <cellStyle name="_060213_현대해상하이카_이노션_현대카드_070201_르노삼성(SM5)_Media Mix_NAS(최종)_070327_르노삼성H45_4월 캠페인_Media Mix_NAS" xfId="2841"/>
    <cellStyle name="_060213_현대해상하이카_이노션_현대카드_070201_르노삼성(SM5)_Media Mix_NAS(최종)_070327_르노삼성H45_4월 캠페인_Media Mix_NAS_070912_르노삼성QMX" xfId="2842"/>
    <cellStyle name="_060213_현대해상하이카_이노션_현대카드_070201_르노삼성(SM5)_Media Mix_NAS(최종)_070327_르노삼성H45_4월 캠페인_Media Mix_NAS_071001_RSM_SM7_10월 미디어믹스 제안_최종" xfId="2843"/>
    <cellStyle name="_060213_현대해상하이카_이노션_현대카드_070201_르노삼성(SM5)_Media Mix_NAS(최종)_070327_르노삼성H45_4월 캠페인_Media Mix_NAS_071004_RSM_SM7_10월 미디어믹스 제안" xfId="2844"/>
    <cellStyle name="_060213_현대해상하이카_이노션_현대카드_070201_르노삼성(SM5)_Media Mix_NAS(최종)_070327_르노삼성H45_4월 캠페인_Media Mix_NAS_071102_RSM_QMX_11월 미디어믹스 제안" xfId="2845"/>
    <cellStyle name="_060213_현대해상하이카_이노션_현대카드_070201_르노삼성(SM5)_Media Mix_NAS(최종)_070327_르노삼성H45_4월 캠페인_Media Mix_NAS_071106_RSM_QMX_11월 미디어믹스 제안(수정)" xfId="2846"/>
    <cellStyle name="_060213_현대해상하이카_이노션_현대카드_070201_르노삼성(SM5)_Media Mix_NAS(최종)_070328_르노삼성H45_4월 캠페인_Media Mix_NAS" xfId="2847"/>
    <cellStyle name="_060213_현대해상하이카_이노션_현대카드_070201_르노삼성(SM5)_Media Mix_NAS(최종)_070328_르노삼성H45_4월 캠페인_Media Mix_NAS_070912_르노삼성QMX" xfId="2848"/>
    <cellStyle name="_060213_현대해상하이카_이노션_현대카드_070201_르노삼성(SM5)_Media Mix_NAS(최종)_070328_르노삼성H45_4월 캠페인_Media Mix_NAS_071001_RSM_SM7_10월 미디어믹스 제안_최종" xfId="2849"/>
    <cellStyle name="_060213_현대해상하이카_이노션_현대카드_070201_르노삼성(SM5)_Media Mix_NAS(최종)_070328_르노삼성H45_4월 캠페인_Media Mix_NAS_071004_RSM_SM7_10월 미디어믹스 제안" xfId="2850"/>
    <cellStyle name="_060213_현대해상하이카_이노션_현대카드_070201_르노삼성(SM5)_Media Mix_NAS(최종)_070328_르노삼성H45_4월 캠페인_Media Mix_NAS_071102_RSM_QMX_11월 미디어믹스 제안" xfId="2851"/>
    <cellStyle name="_060213_현대해상하이카_이노션_현대카드_070201_르노삼성(SM5)_Media Mix_NAS(최종)_070328_르노삼성H45_4월 캠페인_Media Mix_NAS_071106_RSM_QMX_11월 미디어믹스 제안(수정)" xfId="2852"/>
    <cellStyle name="_060213_현대해상하이카_이노션_현대카드_070201_르노삼성(SM5)_Media Mix_NAS(최종)_070403_르노삼성QMX_Media Mix_NAS" xfId="2853"/>
    <cellStyle name="_060213_현대해상하이카_이노션_현대카드_070201_르노삼성(SM5)_Media Mix_NAS(최종)_070403_르노삼성QMX_Media Mix_NAS_070912_르노삼성QMX" xfId="2854"/>
    <cellStyle name="_060213_현대해상하이카_이노션_현대카드_070201_르노삼성(SM5)_Media Mix_NAS(최종)_070403_르노삼성QMX_Media Mix_NAS_071001_RSM_SM7_10월 미디어믹스 제안_최종" xfId="2855"/>
    <cellStyle name="_060213_현대해상하이카_이노션_현대카드_070201_르노삼성(SM5)_Media Mix_NAS(최종)_070403_르노삼성QMX_Media Mix_NAS_071004_RSM_SM7_10월 미디어믹스 제안" xfId="2856"/>
    <cellStyle name="_060213_현대해상하이카_이노션_현대카드_070201_르노삼성(SM5)_Media Mix_NAS(최종)_070403_르노삼성QMX_Media Mix_NAS_071102_RSM_QMX_11월 미디어믹스 제안" xfId="2857"/>
    <cellStyle name="_060213_현대해상하이카_이노션_현대카드_070201_르노삼성(SM5)_Media Mix_NAS(최종)_070403_르노삼성QMX_Media Mix_NAS_071106_RSM_QMX_11월 미디어믹스 제안(수정)" xfId="2858"/>
    <cellStyle name="_060213_현대해상하이카_이노션_현대카드_070322_르노삼성H45_4월 캠페인_Media Mix_NAS" xfId="2859"/>
    <cellStyle name="_060213_현대해상하이카_이노션_현대카드_070322_르노삼성H45_4월 캠페인_Media Mix_NAS_070912_르노삼성QMX" xfId="2860"/>
    <cellStyle name="_060213_현대해상하이카_이노션_현대카드_070322_르노삼성H45_4월 캠페인_Media Mix_NAS_071001_RSM_SM7_10월 미디어믹스 제안_최종" xfId="2861"/>
    <cellStyle name="_060213_현대해상하이카_이노션_현대카드_070322_르노삼성H45_4월 캠페인_Media Mix_NAS_071004_RSM_SM7_10월 미디어믹스 제안" xfId="2862"/>
    <cellStyle name="_060213_현대해상하이카_이노션_현대카드_070322_르노삼성H45_4월 캠페인_Media Mix_NAS_071102_RSM_QMX_11월 미디어믹스 제안" xfId="2863"/>
    <cellStyle name="_060213_현대해상하이카_이노션_현대카드_070322_르노삼성H45_4월 캠페인_Media Mix_NAS_071106_RSM_QMX_11월 미디어믹스 제안(수정)" xfId="2864"/>
    <cellStyle name="_060213_현대해상하이카_이노션_현대카드_070326_르노삼성H45_4월 캠페인_Media Mix_NAS" xfId="2865"/>
    <cellStyle name="_060213_현대해상하이카_이노션_현대카드_070326_르노삼성H45_4월 캠페인_Media Mix_NAS_070912_르노삼성QMX" xfId="2866"/>
    <cellStyle name="_060213_현대해상하이카_이노션_현대카드_070326_르노삼성H45_4월 캠페인_Media Mix_NAS_071001_RSM_SM7_10월 미디어믹스 제안_최종" xfId="2867"/>
    <cellStyle name="_060213_현대해상하이카_이노션_현대카드_070326_르노삼성H45_4월 캠페인_Media Mix_NAS_071004_RSM_SM7_10월 미디어믹스 제안" xfId="2868"/>
    <cellStyle name="_060213_현대해상하이카_이노션_현대카드_070326_르노삼성H45_4월 캠페인_Media Mix_NAS_071102_RSM_QMX_11월 미디어믹스 제안" xfId="2869"/>
    <cellStyle name="_060213_현대해상하이카_이노션_현대카드_070326_르노삼성H45_4월 캠페인_Media Mix_NAS_071106_RSM_QMX_11월 미디어믹스 제안(수정)" xfId="2870"/>
    <cellStyle name="_060213_현대해상하이카_이노션_현대카드_070327_르노삼성H45_4월 캠페인_Media Mix_NAS" xfId="2871"/>
    <cellStyle name="_060213_현대해상하이카_이노션_현대카드_070327_르노삼성H45_4월 캠페인_Media Mix_NAS_070912_르노삼성QMX" xfId="2872"/>
    <cellStyle name="_060213_현대해상하이카_이노션_현대카드_070327_르노삼성H45_4월 캠페인_Media Mix_NAS_071001_RSM_SM7_10월 미디어믹스 제안_최종" xfId="2873"/>
    <cellStyle name="_060213_현대해상하이카_이노션_현대카드_070327_르노삼성H45_4월 캠페인_Media Mix_NAS_071004_RSM_SM7_10월 미디어믹스 제안" xfId="2874"/>
    <cellStyle name="_060213_현대해상하이카_이노션_현대카드_070327_르노삼성H45_4월 캠페인_Media Mix_NAS_071102_RSM_QMX_11월 미디어믹스 제안" xfId="2875"/>
    <cellStyle name="_060213_현대해상하이카_이노션_현대카드_070327_르노삼성H45_4월 캠페인_Media Mix_NAS_071106_RSM_QMX_11월 미디어믹스 제안(수정)" xfId="2876"/>
    <cellStyle name="_060213_현대해상하이카_이노션_현대카드_070328_르노삼성H45_4월 캠페인_Media Mix_NAS" xfId="2877"/>
    <cellStyle name="_060213_현대해상하이카_이노션_현대카드_070328_르노삼성H45_4월 캠페인_Media Mix_NAS_070912_르노삼성QMX" xfId="2878"/>
    <cellStyle name="_060213_현대해상하이카_이노션_현대카드_070328_르노삼성H45_4월 캠페인_Media Mix_NAS_071001_RSM_SM7_10월 미디어믹스 제안_최종" xfId="2879"/>
    <cellStyle name="_060213_현대해상하이카_이노션_현대카드_070328_르노삼성H45_4월 캠페인_Media Mix_NAS_071004_RSM_SM7_10월 미디어믹스 제안" xfId="2880"/>
    <cellStyle name="_060213_현대해상하이카_이노션_현대카드_070328_르노삼성H45_4월 캠페인_Media Mix_NAS_071102_RSM_QMX_11월 미디어믹스 제안" xfId="2881"/>
    <cellStyle name="_060213_현대해상하이카_이노션_현대카드_070328_르노삼성H45_4월 캠페인_Media Mix_NAS_071106_RSM_QMX_11월 미디어믹스 제안(수정)" xfId="2882"/>
    <cellStyle name="_060213_현대해상하이카_이노션_현대카드_070403_르노삼성QMX_Media Mix_NAS" xfId="2883"/>
    <cellStyle name="_060213_현대해상하이카_이노션_현대카드_070403_르노삼성QMX_Media Mix_NAS_070912_르노삼성QMX" xfId="2884"/>
    <cellStyle name="_060213_현대해상하이카_이노션_현대카드_070403_르노삼성QMX_Media Mix_NAS_071001_RSM_SM7_10월 미디어믹스 제안_최종" xfId="2885"/>
    <cellStyle name="_060213_현대해상하이카_이노션_현대카드_070403_르노삼성QMX_Media Mix_NAS_071004_RSM_SM7_10월 미디어믹스 제안" xfId="2886"/>
    <cellStyle name="_060213_현대해상하이카_이노션_현대카드_070403_르노삼성QMX_Media Mix_NAS_071102_RSM_QMX_11월 미디어믹스 제안" xfId="2887"/>
    <cellStyle name="_060213_현대해상하이카_이노션_현대카드_070403_르노삼성QMX_Media Mix_NAS_071106_RSM_QMX_11월 미디어믹스 제안(수정)" xfId="2888"/>
    <cellStyle name="_060213_현대해상하이카_이노션_현대카드_르노삼성 믹스종합_070214" xfId="2889"/>
    <cellStyle name="_060213_현대해상하이카_이노션_현대카드_르노삼성 믹스종합_070214_070322_르노삼성H45_4월 캠페인_Media Mix_NAS" xfId="2890"/>
    <cellStyle name="_060213_현대해상하이카_이노션_현대카드_르노삼성 믹스종합_070214_070322_르노삼성H45_4월 캠페인_Media Mix_NAS_070912_르노삼성QMX" xfId="2891"/>
    <cellStyle name="_060213_현대해상하이카_이노션_현대카드_르노삼성 믹스종합_070214_070322_르노삼성H45_4월 캠페인_Media Mix_NAS_071001_RSM_SM7_10월 미디어믹스 제안_최종" xfId="2892"/>
    <cellStyle name="_060213_현대해상하이카_이노션_현대카드_르노삼성 믹스종합_070214_070322_르노삼성H45_4월 캠페인_Media Mix_NAS_071004_RSM_SM7_10월 미디어믹스 제안" xfId="2893"/>
    <cellStyle name="_060213_현대해상하이카_이노션_현대카드_르노삼성 믹스종합_070214_070322_르노삼성H45_4월 캠페인_Media Mix_NAS_071102_RSM_QMX_11월 미디어믹스 제안" xfId="2894"/>
    <cellStyle name="_060213_현대해상하이카_이노션_현대카드_르노삼성 믹스종합_070214_070322_르노삼성H45_4월 캠페인_Media Mix_NAS_071106_RSM_QMX_11월 미디어믹스 제안(수정)" xfId="2895"/>
    <cellStyle name="_060213_현대해상하이카_이노션_현대카드_르노삼성 믹스종합_070214_070326_르노삼성H45_4월 캠페인_Media Mix_NAS" xfId="2896"/>
    <cellStyle name="_060213_현대해상하이카_이노션_현대카드_르노삼성 믹스종합_070214_070326_르노삼성H45_4월 캠페인_Media Mix_NAS_070912_르노삼성QMX" xfId="2897"/>
    <cellStyle name="_060213_현대해상하이카_이노션_현대카드_르노삼성 믹스종합_070214_070326_르노삼성H45_4월 캠페인_Media Mix_NAS_071001_RSM_SM7_10월 미디어믹스 제안_최종" xfId="2898"/>
    <cellStyle name="_060213_현대해상하이카_이노션_현대카드_르노삼성 믹스종합_070214_070326_르노삼성H45_4월 캠페인_Media Mix_NAS_071004_RSM_SM7_10월 미디어믹스 제안" xfId="2899"/>
    <cellStyle name="_060213_현대해상하이카_이노션_현대카드_르노삼성 믹스종합_070214_070326_르노삼성H45_4월 캠페인_Media Mix_NAS_071102_RSM_QMX_11월 미디어믹스 제안" xfId="2900"/>
    <cellStyle name="_060213_현대해상하이카_이노션_현대카드_르노삼성 믹스종합_070214_070326_르노삼성H45_4월 캠페인_Media Mix_NAS_071106_RSM_QMX_11월 미디어믹스 제안(수정)" xfId="2901"/>
    <cellStyle name="_060213_현대해상하이카_이노션_현대카드_르노삼성 믹스종합_070214_070327_르노삼성H45_4월 캠페인_Media Mix_NAS" xfId="2902"/>
    <cellStyle name="_060213_현대해상하이카_이노션_현대카드_르노삼성 믹스종합_070214_070327_르노삼성H45_4월 캠페인_Media Mix_NAS_070912_르노삼성QMX" xfId="2903"/>
    <cellStyle name="_060213_현대해상하이카_이노션_현대카드_르노삼성 믹스종합_070214_070327_르노삼성H45_4월 캠페인_Media Mix_NAS_071001_RSM_SM7_10월 미디어믹스 제안_최종" xfId="2904"/>
    <cellStyle name="_060213_현대해상하이카_이노션_현대카드_르노삼성 믹스종합_070214_070327_르노삼성H45_4월 캠페인_Media Mix_NAS_071004_RSM_SM7_10월 미디어믹스 제안" xfId="2905"/>
    <cellStyle name="_060213_현대해상하이카_이노션_현대카드_르노삼성 믹스종합_070214_070327_르노삼성H45_4월 캠페인_Media Mix_NAS_071102_RSM_QMX_11월 미디어믹스 제안" xfId="2906"/>
    <cellStyle name="_060213_현대해상하이카_이노션_현대카드_르노삼성 믹스종합_070214_070327_르노삼성H45_4월 캠페인_Media Mix_NAS_071106_RSM_QMX_11월 미디어믹스 제안(수정)" xfId="2907"/>
    <cellStyle name="_060213_현대해상하이카_이노션_현대카드_르노삼성 믹스종합_070214_070328_르노삼성H45_4월 캠페인_Media Mix_NAS" xfId="2908"/>
    <cellStyle name="_060213_현대해상하이카_이노션_현대카드_르노삼성 믹스종합_070214_070328_르노삼성H45_4월 캠페인_Media Mix_NAS_070912_르노삼성QMX" xfId="2909"/>
    <cellStyle name="_060213_현대해상하이카_이노션_현대카드_르노삼성 믹스종합_070214_070328_르노삼성H45_4월 캠페인_Media Mix_NAS_071001_RSM_SM7_10월 미디어믹스 제안_최종" xfId="2910"/>
    <cellStyle name="_060213_현대해상하이카_이노션_현대카드_르노삼성 믹스종합_070214_070328_르노삼성H45_4월 캠페인_Media Mix_NAS_071004_RSM_SM7_10월 미디어믹스 제안" xfId="2911"/>
    <cellStyle name="_060213_현대해상하이카_이노션_현대카드_르노삼성 믹스종합_070214_070328_르노삼성H45_4월 캠페인_Media Mix_NAS_071102_RSM_QMX_11월 미디어믹스 제안" xfId="2912"/>
    <cellStyle name="_060213_현대해상하이카_이노션_현대카드_르노삼성 믹스종합_070214_070328_르노삼성H45_4월 캠페인_Media Mix_NAS_071106_RSM_QMX_11월 미디어믹스 제안(수정)" xfId="2913"/>
    <cellStyle name="_060213_현대해상하이카_이노션_현대카드_르노삼성 믹스종합_070214_070403_르노삼성QMX_Media Mix_NAS" xfId="2914"/>
    <cellStyle name="_060213_현대해상하이카_이노션_현대카드_르노삼성 믹스종합_070214_070403_르노삼성QMX_Media Mix_NAS_070912_르노삼성QMX" xfId="2915"/>
    <cellStyle name="_060213_현대해상하이카_이노션_현대카드_르노삼성 믹스종합_070214_070403_르노삼성QMX_Media Mix_NAS_071001_RSM_SM7_10월 미디어믹스 제안_최종" xfId="2916"/>
    <cellStyle name="_060213_현대해상하이카_이노션_현대카드_르노삼성 믹스종합_070214_070403_르노삼성QMX_Media Mix_NAS_071004_RSM_SM7_10월 미디어믹스 제안" xfId="2917"/>
    <cellStyle name="_060213_현대해상하이카_이노션_현대카드_르노삼성 믹스종합_070214_070403_르노삼성QMX_Media Mix_NAS_071102_RSM_QMX_11월 미디어믹스 제안" xfId="2918"/>
    <cellStyle name="_060213_현대해상하이카_이노션_현대카드_르노삼성 믹스종합_070214_070403_르노삼성QMX_Media Mix_NAS_071106_RSM_QMX_11월 미디어믹스 제안(수정)" xfId="2919"/>
    <cellStyle name="_060627_국민은행(문근영_국민체조)_ADreport_커뮤니케이션블루_nasmedia" xfId="7"/>
    <cellStyle name="_060721_하나커피카드_Media Mix" xfId="2920"/>
    <cellStyle name="_060721_하나커피카드_Media Mix_070125_르노삼성(SM5)_Media Mix_NAS(작업전)" xfId="2921"/>
    <cellStyle name="_060721_하나커피카드_Media Mix_070125_르노삼성(SM5)_Media Mix_NAS(작업전)_070131_르노삼성(SM3)_Media Mix_NAS" xfId="2922"/>
    <cellStyle name="_060721_하나커피카드_Media Mix_070125_르노삼성(SM5)_Media Mix_NAS(작업전)_070131_르노삼성(SM3)_Media Mix_NAS_070214_KT_Media Mix_NAS_지나" xfId="2923"/>
    <cellStyle name="_060721_하나커피카드_Media Mix_070125_르노삼성(SM5)_Media Mix_NAS(작업전)_070131_르노삼성(SM5)_Media Mix_NAS(ver5)" xfId="2924"/>
    <cellStyle name="_060721_하나커피카드_Media Mix_070125_르노삼성(SM5)_Media Mix_NAS(작업전)_070131_르노삼성(SM5)_Media Mix_NAS(ver5)_070202_르노삼성(SM5)_Media Mix_NAS(최종)_스케쥴표 포함" xfId="2925"/>
    <cellStyle name="_060721_하나커피카드_Media Mix_070125_르노삼성(SM5)_Media Mix_NAS(작업전)_070131_르노삼성(SM5)_Media Mix_NAS(ver5)_070202_르노삼성(SM5)_Media Mix_NAS(최종)_스케쥴표 포함_070322_르노삼성H45_4월 캠페인_Media Mix_NAS" xfId="2926"/>
    <cellStyle name="_060721_하나커피카드_Media Mix_070125_르노삼성(SM5)_Media Mix_NAS(작업전)_070131_르노삼성(SM5)_Media Mix_NAS(ver5)_070202_르노삼성(SM5)_Media Mix_NAS(최종)_스케쥴표 포함_070322_르노삼성H45_4월 캠페인_Media Mix_NAS_070912_르노삼성QMX" xfId="2927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1_RSM_SM7_10월 미디어믹스 제안_최종" xfId="2928"/>
    <cellStyle name="_060721_하나커피카드_Media Mix_070125_르노삼성(SM5)_Media Mix_NAS(작업전)_070131_르노삼성(SM5)_Media Mix_NAS(ver5)_070202_르노삼성(SM5)_Media Mix_NAS(최종)_스케쥴표 포함_070322_르노삼성H45_4월 캠페인_Media Mix_NAS_071004_RSM_SM7_10월 미디어믹스 제안" xfId="2929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2_RSM_QMX_11월 미디어믹스 제안" xfId="2930"/>
    <cellStyle name="_060721_하나커피카드_Media Mix_070125_르노삼성(SM5)_Media Mix_NAS(작업전)_070131_르노삼성(SM5)_Media Mix_NAS(ver5)_070202_르노삼성(SM5)_Media Mix_NAS(최종)_스케쥴표 포함_070322_르노삼성H45_4월 캠페인_Media Mix_NAS_071106_RSM_QMX_11월 미디어믹스 제안(수정)" xfId="2931"/>
    <cellStyle name="_060721_하나커피카드_Media Mix_070125_르노삼성(SM5)_Media Mix_NAS(작업전)_070131_르노삼성(SM5)_Media Mix_NAS(ver5)_070202_르노삼성(SM5)_Media Mix_NAS(최종)_스케쥴표 포함_070326_르노삼성H45_4월 캠페인_Media Mix_NAS" xfId="2932"/>
    <cellStyle name="_060721_하나커피카드_Media Mix_070125_르노삼성(SM5)_Media Mix_NAS(작업전)_070131_르노삼성(SM5)_Media Mix_NAS(ver5)_070202_르노삼성(SM5)_Media Mix_NAS(최종)_스케쥴표 포함_070326_르노삼성H45_4월 캠페인_Media Mix_NAS_070912_르노삼성QMX" xfId="2933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1_RSM_SM7_10월 미디어믹스 제안_최종" xfId="2934"/>
    <cellStyle name="_060721_하나커피카드_Media Mix_070125_르노삼성(SM5)_Media Mix_NAS(작업전)_070131_르노삼성(SM5)_Media Mix_NAS(ver5)_070202_르노삼성(SM5)_Media Mix_NAS(최종)_스케쥴표 포함_070326_르노삼성H45_4월 캠페인_Media Mix_NAS_071004_RSM_SM7_10월 미디어믹스 제안" xfId="2935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2_RSM_QMX_11월 미디어믹스 제안" xfId="2936"/>
    <cellStyle name="_060721_하나커피카드_Media Mix_070125_르노삼성(SM5)_Media Mix_NAS(작업전)_070131_르노삼성(SM5)_Media Mix_NAS(ver5)_070202_르노삼성(SM5)_Media Mix_NAS(최종)_스케쥴표 포함_070326_르노삼성H45_4월 캠페인_Media Mix_NAS_071106_RSM_QMX_11월 미디어믹스 제안(수정)" xfId="2937"/>
    <cellStyle name="_060721_하나커피카드_Media Mix_070125_르노삼성(SM5)_Media Mix_NAS(작업전)_070131_르노삼성(SM5)_Media Mix_NAS(ver5)_070202_르노삼성(SM5)_Media Mix_NAS(최종)_스케쥴표 포함_070327_르노삼성H45_4월 캠페인_Media Mix_NAS" xfId="2938"/>
    <cellStyle name="_060721_하나커피카드_Media Mix_070125_르노삼성(SM5)_Media Mix_NAS(작업전)_070131_르노삼성(SM5)_Media Mix_NAS(ver5)_070202_르노삼성(SM5)_Media Mix_NAS(최종)_스케쥴표 포함_070327_르노삼성H45_4월 캠페인_Media Mix_NAS_070912_르노삼성QMX" xfId="2939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1_RSM_SM7_10월 미디어믹스 제안_최종" xfId="2940"/>
    <cellStyle name="_060721_하나커피카드_Media Mix_070125_르노삼성(SM5)_Media Mix_NAS(작업전)_070131_르노삼성(SM5)_Media Mix_NAS(ver5)_070202_르노삼성(SM5)_Media Mix_NAS(최종)_스케쥴표 포함_070327_르노삼성H45_4월 캠페인_Media Mix_NAS_071004_RSM_SM7_10월 미디어믹스 제안" xfId="2941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2_RSM_QMX_11월 미디어믹스 제안" xfId="2942"/>
    <cellStyle name="_060721_하나커피카드_Media Mix_070125_르노삼성(SM5)_Media Mix_NAS(작업전)_070131_르노삼성(SM5)_Media Mix_NAS(ver5)_070202_르노삼성(SM5)_Media Mix_NAS(최종)_스케쥴표 포함_070327_르노삼성H45_4월 캠페인_Media Mix_NAS_071106_RSM_QMX_11월 미디어믹스 제안(수정)" xfId="2943"/>
    <cellStyle name="_060721_하나커피카드_Media Mix_070125_르노삼성(SM5)_Media Mix_NAS(작업전)_070131_르노삼성(SM5)_Media Mix_NAS(ver5)_070202_르노삼성(SM5)_Media Mix_NAS(최종)_스케쥴표 포함_070328_르노삼성H45_4월 캠페인_Media Mix_NAS" xfId="2944"/>
    <cellStyle name="_060721_하나커피카드_Media Mix_070125_르노삼성(SM5)_Media Mix_NAS(작업전)_070131_르노삼성(SM5)_Media Mix_NAS(ver5)_070202_르노삼성(SM5)_Media Mix_NAS(최종)_스케쥴표 포함_070328_르노삼성H45_4월 캠페인_Media Mix_NAS_070912_르노삼성QMX" xfId="2945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1_RSM_SM7_10월 미디어믹스 제안_최종" xfId="2946"/>
    <cellStyle name="_060721_하나커피카드_Media Mix_070125_르노삼성(SM5)_Media Mix_NAS(작업전)_070131_르노삼성(SM5)_Media Mix_NAS(ver5)_070202_르노삼성(SM5)_Media Mix_NAS(최종)_스케쥴표 포함_070328_르노삼성H45_4월 캠페인_Media Mix_NAS_071004_RSM_SM7_10월 미디어믹스 제안" xfId="2947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2_RSM_QMX_11월 미디어믹스 제안" xfId="2948"/>
    <cellStyle name="_060721_하나커피카드_Media Mix_070125_르노삼성(SM5)_Media Mix_NAS(작업전)_070131_르노삼성(SM5)_Media Mix_NAS(ver5)_070202_르노삼성(SM5)_Media Mix_NAS(최종)_스케쥴표 포함_070328_르노삼성H45_4월 캠페인_Media Mix_NAS_071106_RSM_QMX_11월 미디어믹스 제안(수정)" xfId="2949"/>
    <cellStyle name="_060721_하나커피카드_Media Mix_070125_르노삼성(SM5)_Media Mix_NAS(작업전)_070131_르노삼성(SM5)_Media Mix_NAS(ver5)_070202_르노삼성(SM5)_Media Mix_NAS(최종)_스케쥴표 포함_070403_르노삼성QMX_Media Mix_NAS" xfId="2950"/>
    <cellStyle name="_060721_하나커피카드_Media Mix_070125_르노삼성(SM5)_Media Mix_NAS(작업전)_070131_르노삼성(SM5)_Media Mix_NAS(ver5)_070202_르노삼성(SM5)_Media Mix_NAS(최종)_스케쥴표 포함_070403_르노삼성QMX_Media Mix_NAS_070912_르노삼성QMX" xfId="2951"/>
    <cellStyle name="_060721_하나커피카드_Media Mix_070125_르노삼성(SM5)_Media Mix_NAS(작업전)_070131_르노삼성(SM5)_Media Mix_NAS(ver5)_070202_르노삼성(SM5)_Media Mix_NAS(최종)_스케쥴표 포함_070403_르노삼성QMX_Media Mix_NAS_071001_RSM_SM7_10월 미디어믹스 제안_최종" xfId="2952"/>
    <cellStyle name="_060721_하나커피카드_Media Mix_070125_르노삼성(SM5)_Media Mix_NAS(작업전)_070131_르노삼성(SM5)_Media Mix_NAS(ver5)_070202_르노삼성(SM5)_Media Mix_NAS(최종)_스케쥴표 포함_070403_르노삼성QMX_Media Mix_NAS_071004_RSM_SM7_10월 미디어믹스 제안" xfId="2953"/>
    <cellStyle name="_060721_하나커피카드_Media Mix_070125_르노삼성(SM5)_Media Mix_NAS(작업전)_070131_르노삼성(SM5)_Media Mix_NAS(ver5)_070202_르노삼성(SM5)_Media Mix_NAS(최종)_스케쥴표 포함_070403_르노삼성QMX_Media Mix_NAS_071102_RSM_QMX_11월 미디어믹스 제안" xfId="2954"/>
    <cellStyle name="_060721_하나커피카드_Media Mix_070125_르노삼성(SM5)_Media Mix_NAS(작업전)_070131_르노삼성(SM5)_Media Mix_NAS(ver5)_070202_르노삼성(SM5)_Media Mix_NAS(최종)_스케쥴표 포함_070403_르노삼성QMX_Media Mix_NAS_071106_RSM_QMX_11월 미디어믹스 제안(수정)" xfId="2955"/>
    <cellStyle name="_060721_하나커피카드_Media Mix_070125_르노삼성(SM5)_Media Mix_NAS(작업전)_070131_르노삼성(SM5)_Media Mix_NAS(ver5)_070202_르노삼성(SM5)_Media Mix_NAS(최종)_스케쥴표 포함_르노삼성 믹스종합_070214" xfId="2956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" xfId="2957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0912_르노삼성QMX" xfId="2958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1_RSM_SM7_10월 미디어믹스 제안_최종" xfId="2959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004_RSM_SM7_10월 미디어믹스 제안" xfId="2960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2_RSM_QMX_11월 미디어믹스 제안" xfId="2961"/>
    <cellStyle name="_060721_하나커피카드_Media Mix_070125_르노삼성(SM5)_Media Mix_NAS(작업전)_070131_르노삼성(SM5)_Media Mix_NAS(ver5)_070202_르노삼성(SM5)_Media Mix_NAS(최종)_스케쥴표 포함_르노삼성 믹스종합_070214_070322_르노삼성H45_4월 캠페인_Media Mix_NAS_071106_RSM_QMX_11월 미디어믹스 제안(수정)" xfId="2962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" xfId="2963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0912_르노삼성QMX" xfId="2964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1_RSM_SM7_10월 미디어믹스 제안_최종" xfId="2965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004_RSM_SM7_10월 미디어믹스 제안" xfId="2966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2_RSM_QMX_11월 미디어믹스 제안" xfId="2967"/>
    <cellStyle name="_060721_하나커피카드_Media Mix_070125_르노삼성(SM5)_Media Mix_NAS(작업전)_070131_르노삼성(SM5)_Media Mix_NAS(ver5)_070202_르노삼성(SM5)_Media Mix_NAS(최종)_스케쥴표 포함_르노삼성 믹스종합_070214_070326_르노삼성H45_4월 캠페인_Media Mix_NAS_071106_RSM_QMX_11월 미디어믹스 제안(수정)" xfId="2968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" xfId="2969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0912_르노삼성QMX" xfId="2970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1_RSM_SM7_10월 미디어믹스 제안_최종" xfId="2971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004_RSM_SM7_10월 미디어믹스 제안" xfId="2972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2_RSM_QMX_11월 미디어믹스 제안" xfId="2973"/>
    <cellStyle name="_060721_하나커피카드_Media Mix_070125_르노삼성(SM5)_Media Mix_NAS(작업전)_070131_르노삼성(SM5)_Media Mix_NAS(ver5)_070202_르노삼성(SM5)_Media Mix_NAS(최종)_스케쥴표 포함_르노삼성 믹스종합_070214_070327_르노삼성H45_4월 캠페인_Media Mix_NAS_071106_RSM_QMX_11월 미디어믹스 제안(수정)" xfId="2974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" xfId="2975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0912_르노삼성QMX" xfId="2976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1_RSM_SM7_10월 미디어믹스 제안_최종" xfId="2977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004_RSM_SM7_10월 미디어믹스 제안" xfId="2978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2_RSM_QMX_11월 미디어믹스 제안" xfId="2979"/>
    <cellStyle name="_060721_하나커피카드_Media Mix_070125_르노삼성(SM5)_Media Mix_NAS(작업전)_070131_르노삼성(SM5)_Media Mix_NAS(ver5)_070202_르노삼성(SM5)_Media Mix_NAS(최종)_스케쥴표 포함_르노삼성 믹스종합_070214_070328_르노삼성H45_4월 캠페인_Media Mix_NAS_071106_RSM_QMX_11월 미디어믹스 제안(수정)" xfId="2980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" xfId="2981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0912_르노삼성QMX" xfId="2982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1_RSM_SM7_10월 미디어믹스 제안_최종" xfId="2983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004_RSM_SM7_10월 미디어믹스 제안" xfId="2984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2_RSM_QMX_11월 미디어믹스 제안" xfId="2985"/>
    <cellStyle name="_060721_하나커피카드_Media Mix_070125_르노삼성(SM5)_Media Mix_NAS(작업전)_070131_르노삼성(SM5)_Media Mix_NAS(ver5)_070202_르노삼성(SM5)_Media Mix_NAS(최종)_스케쥴표 포함_르노삼성 믹스종합_070214_070403_르노삼성QMX_Media Mix_NAS_071106_RSM_QMX_11월 미디어믹스 제안(수정)" xfId="2986"/>
    <cellStyle name="_060721_하나커피카드_Media Mix_070125_르노삼성(SM5)_Media Mix_NAS(작업전)_070131_르노삼성(SM5)_Media Mix_NAS(ver5)_070322_르노삼성H45_4월 캠페인_Media Mix_NAS" xfId="2987"/>
    <cellStyle name="_060721_하나커피카드_Media Mix_070125_르노삼성(SM5)_Media Mix_NAS(작업전)_070131_르노삼성(SM5)_Media Mix_NAS(ver5)_070322_르노삼성H45_4월 캠페인_Media Mix_NAS_070912_르노삼성QMX" xfId="2988"/>
    <cellStyle name="_060721_하나커피카드_Media Mix_070125_르노삼성(SM5)_Media Mix_NAS(작업전)_070131_르노삼성(SM5)_Media Mix_NAS(ver5)_070322_르노삼성H45_4월 캠페인_Media Mix_NAS_071001_RSM_SM7_10월 미디어믹스 제안_최종" xfId="2989"/>
    <cellStyle name="_060721_하나커피카드_Media Mix_070125_르노삼성(SM5)_Media Mix_NAS(작업전)_070131_르노삼성(SM5)_Media Mix_NAS(ver5)_070322_르노삼성H45_4월 캠페인_Media Mix_NAS_071004_RSM_SM7_10월 미디어믹스 제안" xfId="2990"/>
    <cellStyle name="_060721_하나커피카드_Media Mix_070125_르노삼성(SM5)_Media Mix_NAS(작업전)_070131_르노삼성(SM5)_Media Mix_NAS(ver5)_070322_르노삼성H45_4월 캠페인_Media Mix_NAS_071102_RSM_QMX_11월 미디어믹스 제안" xfId="2991"/>
    <cellStyle name="_060721_하나커피카드_Media Mix_070125_르노삼성(SM5)_Media Mix_NAS(작업전)_070131_르노삼성(SM5)_Media Mix_NAS(ver5)_070322_르노삼성H45_4월 캠페인_Media Mix_NAS_071106_RSM_QMX_11월 미디어믹스 제안(수정)" xfId="2992"/>
    <cellStyle name="_060721_하나커피카드_Media Mix_070125_르노삼성(SM5)_Media Mix_NAS(작업전)_070131_르노삼성(SM5)_Media Mix_NAS(ver5)_070326_르노삼성H45_4월 캠페인_Media Mix_NAS" xfId="2993"/>
    <cellStyle name="_060721_하나커피카드_Media Mix_070125_르노삼성(SM5)_Media Mix_NAS(작업전)_070131_르노삼성(SM5)_Media Mix_NAS(ver5)_070326_르노삼성H45_4월 캠페인_Media Mix_NAS_070912_르노삼성QMX" xfId="2994"/>
    <cellStyle name="_060721_하나커피카드_Media Mix_070125_르노삼성(SM5)_Media Mix_NAS(작업전)_070131_르노삼성(SM5)_Media Mix_NAS(ver5)_070326_르노삼성H45_4월 캠페인_Media Mix_NAS_071001_RSM_SM7_10월 미디어믹스 제안_최종" xfId="2995"/>
    <cellStyle name="_060721_하나커피카드_Media Mix_070125_르노삼성(SM5)_Media Mix_NAS(작업전)_070131_르노삼성(SM5)_Media Mix_NAS(ver5)_070326_르노삼성H45_4월 캠페인_Media Mix_NAS_071004_RSM_SM7_10월 미디어믹스 제안" xfId="2996"/>
    <cellStyle name="_060721_하나커피카드_Media Mix_070125_르노삼성(SM5)_Media Mix_NAS(작업전)_070131_르노삼성(SM5)_Media Mix_NAS(ver5)_070326_르노삼성H45_4월 캠페인_Media Mix_NAS_071102_RSM_QMX_11월 미디어믹스 제안" xfId="2997"/>
    <cellStyle name="_060721_하나커피카드_Media Mix_070125_르노삼성(SM5)_Media Mix_NAS(작업전)_070131_르노삼성(SM5)_Media Mix_NAS(ver5)_070326_르노삼성H45_4월 캠페인_Media Mix_NAS_071106_RSM_QMX_11월 미디어믹스 제안(수정)" xfId="2998"/>
    <cellStyle name="_060721_하나커피카드_Media Mix_070125_르노삼성(SM5)_Media Mix_NAS(작업전)_070131_르노삼성(SM5)_Media Mix_NAS(ver5)_070327_르노삼성H45_4월 캠페인_Media Mix_NAS" xfId="2999"/>
    <cellStyle name="_060721_하나커피카드_Media Mix_070125_르노삼성(SM5)_Media Mix_NAS(작업전)_070131_르노삼성(SM5)_Media Mix_NAS(ver5)_070327_르노삼성H45_4월 캠페인_Media Mix_NAS_070912_르노삼성QMX" xfId="3000"/>
    <cellStyle name="_060721_하나커피카드_Media Mix_070125_르노삼성(SM5)_Media Mix_NAS(작업전)_070131_르노삼성(SM5)_Media Mix_NAS(ver5)_070327_르노삼성H45_4월 캠페인_Media Mix_NAS_071001_RSM_SM7_10월 미디어믹스 제안_최종" xfId="3001"/>
    <cellStyle name="_060721_하나커피카드_Media Mix_070125_르노삼성(SM5)_Media Mix_NAS(작업전)_070131_르노삼성(SM5)_Media Mix_NAS(ver5)_070327_르노삼성H45_4월 캠페인_Media Mix_NAS_071004_RSM_SM7_10월 미디어믹스 제안" xfId="3002"/>
    <cellStyle name="_060721_하나커피카드_Media Mix_070125_르노삼성(SM5)_Media Mix_NAS(작업전)_070131_르노삼성(SM5)_Media Mix_NAS(ver5)_070327_르노삼성H45_4월 캠페인_Media Mix_NAS_071102_RSM_QMX_11월 미디어믹스 제안" xfId="3003"/>
    <cellStyle name="_060721_하나커피카드_Media Mix_070125_르노삼성(SM5)_Media Mix_NAS(작업전)_070131_르노삼성(SM5)_Media Mix_NAS(ver5)_070327_르노삼성H45_4월 캠페인_Media Mix_NAS_071106_RSM_QMX_11월 미디어믹스 제안(수정)" xfId="3004"/>
    <cellStyle name="_060721_하나커피카드_Media Mix_070125_르노삼성(SM5)_Media Mix_NAS(작업전)_070131_르노삼성(SM5)_Media Mix_NAS(ver5)_070328_르노삼성H45_4월 캠페인_Media Mix_NAS" xfId="3005"/>
    <cellStyle name="_060721_하나커피카드_Media Mix_070125_르노삼성(SM5)_Media Mix_NAS(작업전)_070131_르노삼성(SM5)_Media Mix_NAS(ver5)_070328_르노삼성H45_4월 캠페인_Media Mix_NAS_070912_르노삼성QMX" xfId="3006"/>
    <cellStyle name="_060721_하나커피카드_Media Mix_070125_르노삼성(SM5)_Media Mix_NAS(작업전)_070131_르노삼성(SM5)_Media Mix_NAS(ver5)_070328_르노삼성H45_4월 캠페인_Media Mix_NAS_071001_RSM_SM7_10월 미디어믹스 제안_최종" xfId="3007"/>
    <cellStyle name="_060721_하나커피카드_Media Mix_070125_르노삼성(SM5)_Media Mix_NAS(작업전)_070131_르노삼성(SM5)_Media Mix_NAS(ver5)_070328_르노삼성H45_4월 캠페인_Media Mix_NAS_071004_RSM_SM7_10월 미디어믹스 제안" xfId="3008"/>
    <cellStyle name="_060721_하나커피카드_Media Mix_070125_르노삼성(SM5)_Media Mix_NAS(작업전)_070131_르노삼성(SM5)_Media Mix_NAS(ver5)_070328_르노삼성H45_4월 캠페인_Media Mix_NAS_071102_RSM_QMX_11월 미디어믹스 제안" xfId="3009"/>
    <cellStyle name="_060721_하나커피카드_Media Mix_070125_르노삼성(SM5)_Media Mix_NAS(작업전)_070131_르노삼성(SM5)_Media Mix_NAS(ver5)_070328_르노삼성H45_4월 캠페인_Media Mix_NAS_071106_RSM_QMX_11월 미디어믹스 제안(수정)" xfId="3010"/>
    <cellStyle name="_060721_하나커피카드_Media Mix_070125_르노삼성(SM5)_Media Mix_NAS(작업전)_070131_르노삼성(SM5)_Media Mix_NAS(ver5)_070403_르노삼성QMX_Media Mix_NAS" xfId="3011"/>
    <cellStyle name="_060721_하나커피카드_Media Mix_070125_르노삼성(SM5)_Media Mix_NAS(작업전)_070131_르노삼성(SM5)_Media Mix_NAS(ver5)_070403_르노삼성QMX_Media Mix_NAS_070912_르노삼성QMX" xfId="3012"/>
    <cellStyle name="_060721_하나커피카드_Media Mix_070125_르노삼성(SM5)_Media Mix_NAS(작업전)_070131_르노삼성(SM5)_Media Mix_NAS(ver5)_070403_르노삼성QMX_Media Mix_NAS_071001_RSM_SM7_10월 미디어믹스 제안_최종" xfId="3013"/>
    <cellStyle name="_060721_하나커피카드_Media Mix_070125_르노삼성(SM5)_Media Mix_NAS(작업전)_070131_르노삼성(SM5)_Media Mix_NAS(ver5)_070403_르노삼성QMX_Media Mix_NAS_071004_RSM_SM7_10월 미디어믹스 제안" xfId="3014"/>
    <cellStyle name="_060721_하나커피카드_Media Mix_070125_르노삼성(SM5)_Media Mix_NAS(작업전)_070131_르노삼성(SM5)_Media Mix_NAS(ver5)_070403_르노삼성QMX_Media Mix_NAS_071102_RSM_QMX_11월 미디어믹스 제안" xfId="3015"/>
    <cellStyle name="_060721_하나커피카드_Media Mix_070125_르노삼성(SM5)_Media Mix_NAS(작업전)_070131_르노삼성(SM5)_Media Mix_NAS(ver5)_070403_르노삼성QMX_Media Mix_NAS_071106_RSM_QMX_11월 미디어믹스 제안(수정)" xfId="3016"/>
    <cellStyle name="_060721_하나커피카드_Media Mix_070125_르노삼성(SM5)_Media Mix_NAS(작업전)_070201_르노삼성(SM5)_Media Mix_NAS(최종)" xfId="3017"/>
    <cellStyle name="_060721_하나커피카드_Media Mix_070125_르노삼성(SM5)_Media Mix_NAS(작업전)_070201_르노삼성(SM5)_Media Mix_NAS(최종)_070202_르노삼성(SM5)_Media Mix_NAS(최종)_스케쥴표 포함" xfId="3018"/>
    <cellStyle name="_060721_하나커피카드_Media Mix_070125_르노삼성(SM5)_Media Mix_NAS(작업전)_070201_르노삼성(SM5)_Media Mix_NAS(최종)_070202_르노삼성(SM5)_Media Mix_NAS(최종)_스케쥴표 포함_070322_르노삼성H45_4월 캠페인_Media Mix_NAS" xfId="3019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0912_르노삼성QMX" xfId="3020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1_RSM_SM7_10월 미디어믹스 제안_최종" xfId="3021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004_RSM_SM7_10월 미디어믹스 제안" xfId="3022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2_RSM_QMX_11월 미디어믹스 제안" xfId="3023"/>
    <cellStyle name="_060721_하나커피카드_Media Mix_070125_르노삼성(SM5)_Media Mix_NAS(작업전)_070201_르노삼성(SM5)_Media Mix_NAS(최종)_070202_르노삼성(SM5)_Media Mix_NAS(최종)_스케쥴표 포함_070322_르노삼성H45_4월 캠페인_Media Mix_NAS_071106_RSM_QMX_11월 미디어믹스 제안(수정)" xfId="3024"/>
    <cellStyle name="_060721_하나커피카드_Media Mix_070125_르노삼성(SM5)_Media Mix_NAS(작업전)_070201_르노삼성(SM5)_Media Mix_NAS(최종)_070202_르노삼성(SM5)_Media Mix_NAS(최종)_스케쥴표 포함_070326_르노삼성H45_4월 캠페인_Media Mix_NAS" xfId="3025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0912_르노삼성QMX" xfId="3026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1_RSM_SM7_10월 미디어믹스 제안_최종" xfId="3027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004_RSM_SM7_10월 미디어믹스 제안" xfId="3028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2_RSM_QMX_11월 미디어믹스 제안" xfId="3029"/>
    <cellStyle name="_060721_하나커피카드_Media Mix_070125_르노삼성(SM5)_Media Mix_NAS(작업전)_070201_르노삼성(SM5)_Media Mix_NAS(최종)_070202_르노삼성(SM5)_Media Mix_NAS(최종)_스케쥴표 포함_070326_르노삼성H45_4월 캠페인_Media Mix_NAS_071106_RSM_QMX_11월 미디어믹스 제안(수정)" xfId="3030"/>
    <cellStyle name="_060721_하나커피카드_Media Mix_070125_르노삼성(SM5)_Media Mix_NAS(작업전)_070201_르노삼성(SM5)_Media Mix_NAS(최종)_070202_르노삼성(SM5)_Media Mix_NAS(최종)_스케쥴표 포함_070327_르노삼성H45_4월 캠페인_Media Mix_NAS" xfId="3031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0912_르노삼성QMX" xfId="3032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1_RSM_SM7_10월 미디어믹스 제안_최종" xfId="3033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004_RSM_SM7_10월 미디어믹스 제안" xfId="3034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2_RSM_QMX_11월 미디어믹스 제안" xfId="3035"/>
    <cellStyle name="_060721_하나커피카드_Media Mix_070125_르노삼성(SM5)_Media Mix_NAS(작업전)_070201_르노삼성(SM5)_Media Mix_NAS(최종)_070202_르노삼성(SM5)_Media Mix_NAS(최종)_스케쥴표 포함_070327_르노삼성H45_4월 캠페인_Media Mix_NAS_071106_RSM_QMX_11월 미디어믹스 제안(수정)" xfId="3036"/>
    <cellStyle name="_060721_하나커피카드_Media Mix_070125_르노삼성(SM5)_Media Mix_NAS(작업전)_070201_르노삼성(SM5)_Media Mix_NAS(최종)_070202_르노삼성(SM5)_Media Mix_NAS(최종)_스케쥴표 포함_070328_르노삼성H45_4월 캠페인_Media Mix_NAS" xfId="3037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0912_르노삼성QMX" xfId="3038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1_RSM_SM7_10월 미디어믹스 제안_최종" xfId="3039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004_RSM_SM7_10월 미디어믹스 제안" xfId="3040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2_RSM_QMX_11월 미디어믹스 제안" xfId="3041"/>
    <cellStyle name="_060721_하나커피카드_Media Mix_070125_르노삼성(SM5)_Media Mix_NAS(작업전)_070201_르노삼성(SM5)_Media Mix_NAS(최종)_070202_르노삼성(SM5)_Media Mix_NAS(최종)_스케쥴표 포함_070328_르노삼성H45_4월 캠페인_Media Mix_NAS_071106_RSM_QMX_11월 미디어믹스 제안(수정)" xfId="3042"/>
    <cellStyle name="_060721_하나커피카드_Media Mix_070125_르노삼성(SM5)_Media Mix_NAS(작업전)_070201_르노삼성(SM5)_Media Mix_NAS(최종)_070202_르노삼성(SM5)_Media Mix_NAS(최종)_스케쥴표 포함_070403_르노삼성QMX_Media Mix_NAS" xfId="3043"/>
    <cellStyle name="_060721_하나커피카드_Media Mix_070125_르노삼성(SM5)_Media Mix_NAS(작업전)_070201_르노삼성(SM5)_Media Mix_NAS(최종)_070202_르노삼성(SM5)_Media Mix_NAS(최종)_스케쥴표 포함_070403_르노삼성QMX_Media Mix_NAS_070912_르노삼성QMX" xfId="3044"/>
    <cellStyle name="_060721_하나커피카드_Media Mix_070125_르노삼성(SM5)_Media Mix_NAS(작업전)_070201_르노삼성(SM5)_Media Mix_NAS(최종)_070202_르노삼성(SM5)_Media Mix_NAS(최종)_스케쥴표 포함_070403_르노삼성QMX_Media Mix_NAS_071001_RSM_SM7_10월 미디어믹스 제안_최종" xfId="3045"/>
    <cellStyle name="_060721_하나커피카드_Media Mix_070125_르노삼성(SM5)_Media Mix_NAS(작업전)_070201_르노삼성(SM5)_Media Mix_NAS(최종)_070202_르노삼성(SM5)_Media Mix_NAS(최종)_스케쥴표 포함_070403_르노삼성QMX_Media Mix_NAS_071004_RSM_SM7_10월 미디어믹스 제안" xfId="3046"/>
    <cellStyle name="_060721_하나커피카드_Media Mix_070125_르노삼성(SM5)_Media Mix_NAS(작업전)_070201_르노삼성(SM5)_Media Mix_NAS(최종)_070202_르노삼성(SM5)_Media Mix_NAS(최종)_스케쥴표 포함_070403_르노삼성QMX_Media Mix_NAS_071102_RSM_QMX_11월 미디어믹스 제안" xfId="3047"/>
    <cellStyle name="_060721_하나커피카드_Media Mix_070125_르노삼성(SM5)_Media Mix_NAS(작업전)_070201_르노삼성(SM5)_Media Mix_NAS(최종)_070202_르노삼성(SM5)_Media Mix_NAS(최종)_스케쥴표 포함_070403_르노삼성QMX_Media Mix_NAS_071106_RSM_QMX_11월 미디어믹스 제안(수정)" xfId="3048"/>
    <cellStyle name="_060721_하나커피카드_Media Mix_070125_르노삼성(SM5)_Media Mix_NAS(작업전)_070201_르노삼성(SM5)_Media Mix_NAS(최종)_070202_르노삼성(SM5)_Media Mix_NAS(최종)_스케쥴표 포함_르노삼성 믹스종합_070214" xfId="3049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" xfId="3050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0912_르노삼성QMX" xfId="3051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1_RSM_SM7_10월 미디어믹스 제안_최종" xfId="3052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004_RSM_SM7_10월 미디어믹스 제안" xfId="3053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2_RSM_QMX_11월 미디어믹스 제안" xfId="3054"/>
    <cellStyle name="_060721_하나커피카드_Media Mix_070125_르노삼성(SM5)_Media Mix_NAS(작업전)_070201_르노삼성(SM5)_Media Mix_NAS(최종)_070202_르노삼성(SM5)_Media Mix_NAS(최종)_스케쥴표 포함_르노삼성 믹스종합_070214_070322_르노삼성H45_4월 캠페인_Media Mix_NAS_071106_RSM_QMX_11월 미디어믹스 제안(수정)" xfId="3055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" xfId="3056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0912_르노삼성QMX" xfId="3057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1_RSM_SM7_10월 미디어믹스 제안_최종" xfId="3058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004_RSM_SM7_10월 미디어믹스 제안" xfId="3059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2_RSM_QMX_11월 미디어믹스 제안" xfId="3060"/>
    <cellStyle name="_060721_하나커피카드_Media Mix_070125_르노삼성(SM5)_Media Mix_NAS(작업전)_070201_르노삼성(SM5)_Media Mix_NAS(최종)_070202_르노삼성(SM5)_Media Mix_NAS(최종)_스케쥴표 포함_르노삼성 믹스종합_070214_070326_르노삼성H45_4월 캠페인_Media Mix_NAS_071106_RSM_QMX_11월 미디어믹스 제안(수정)" xfId="3061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" xfId="3062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0912_르노삼성QMX" xfId="3063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1_RSM_SM7_10월 미디어믹스 제안_최종" xfId="3064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004_RSM_SM7_10월 미디어믹스 제안" xfId="3065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2_RSM_QMX_11월 미디어믹스 제안" xfId="3066"/>
    <cellStyle name="_060721_하나커피카드_Media Mix_070125_르노삼성(SM5)_Media Mix_NAS(작업전)_070201_르노삼성(SM5)_Media Mix_NAS(최종)_070202_르노삼성(SM5)_Media Mix_NAS(최종)_스케쥴표 포함_르노삼성 믹스종합_070214_070327_르노삼성H45_4월 캠페인_Media Mix_NAS_071106_RSM_QMX_11월 미디어믹스 제안(수정)" xfId="3067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" xfId="3068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0912_르노삼성QMX" xfId="3069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1_RSM_SM7_10월 미디어믹스 제안_최종" xfId="3070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004_RSM_SM7_10월 미디어믹스 제안" xfId="3071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2_RSM_QMX_11월 미디어믹스 제안" xfId="3072"/>
    <cellStyle name="_060721_하나커피카드_Media Mix_070125_르노삼성(SM5)_Media Mix_NAS(작업전)_070201_르노삼성(SM5)_Media Mix_NAS(최종)_070202_르노삼성(SM5)_Media Mix_NAS(최종)_스케쥴표 포함_르노삼성 믹스종합_070214_070328_르노삼성H45_4월 캠페인_Media Mix_NAS_071106_RSM_QMX_11월 미디어믹스 제안(수정)" xfId="3073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" xfId="3074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0912_르노삼성QMX" xfId="3075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1_RSM_SM7_10월 미디어믹스 제안_최종" xfId="3076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004_RSM_SM7_10월 미디어믹스 제안" xfId="3077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2_RSM_QMX_11월 미디어믹스 제안" xfId="3078"/>
    <cellStyle name="_060721_하나커피카드_Media Mix_070125_르노삼성(SM5)_Media Mix_NAS(작업전)_070201_르노삼성(SM5)_Media Mix_NAS(최종)_070202_르노삼성(SM5)_Media Mix_NAS(최종)_스케쥴표 포함_르노삼성 믹스종합_070214_070403_르노삼성QMX_Media Mix_NAS_071106_RSM_QMX_11월 미디어믹스 제안(수정)" xfId="3079"/>
    <cellStyle name="_060721_하나커피카드_Media Mix_070125_르노삼성(SM5)_Media Mix_NAS(작업전)_070201_르노삼성(SM5)_Media Mix_NAS(최종)_070322_르노삼성H45_4월 캠페인_Media Mix_NAS" xfId="3080"/>
    <cellStyle name="_060721_하나커피카드_Media Mix_070125_르노삼성(SM5)_Media Mix_NAS(작업전)_070201_르노삼성(SM5)_Media Mix_NAS(최종)_070322_르노삼성H45_4월 캠페인_Media Mix_NAS_070912_르노삼성QMX" xfId="3081"/>
    <cellStyle name="_060721_하나커피카드_Media Mix_070125_르노삼성(SM5)_Media Mix_NAS(작업전)_070201_르노삼성(SM5)_Media Mix_NAS(최종)_070322_르노삼성H45_4월 캠페인_Media Mix_NAS_071001_RSM_SM7_10월 미디어믹스 제안_최종" xfId="3082"/>
    <cellStyle name="_060721_하나커피카드_Media Mix_070125_르노삼성(SM5)_Media Mix_NAS(작업전)_070201_르노삼성(SM5)_Media Mix_NAS(최종)_070322_르노삼성H45_4월 캠페인_Media Mix_NAS_071004_RSM_SM7_10월 미디어믹스 제안" xfId="3083"/>
    <cellStyle name="_060721_하나커피카드_Media Mix_070125_르노삼성(SM5)_Media Mix_NAS(작업전)_070201_르노삼성(SM5)_Media Mix_NAS(최종)_070322_르노삼성H45_4월 캠페인_Media Mix_NAS_071102_RSM_QMX_11월 미디어믹스 제안" xfId="3084"/>
    <cellStyle name="_060721_하나커피카드_Media Mix_070125_르노삼성(SM5)_Media Mix_NAS(작업전)_070201_르노삼성(SM5)_Media Mix_NAS(최종)_070322_르노삼성H45_4월 캠페인_Media Mix_NAS_071106_RSM_QMX_11월 미디어믹스 제안(수정)" xfId="3085"/>
    <cellStyle name="_060721_하나커피카드_Media Mix_070125_르노삼성(SM5)_Media Mix_NAS(작업전)_070201_르노삼성(SM5)_Media Mix_NAS(최종)_070326_르노삼성H45_4월 캠페인_Media Mix_NAS" xfId="3086"/>
    <cellStyle name="_060721_하나커피카드_Media Mix_070125_르노삼성(SM5)_Media Mix_NAS(작업전)_070201_르노삼성(SM5)_Media Mix_NAS(최종)_070326_르노삼성H45_4월 캠페인_Media Mix_NAS_070912_르노삼성QMX" xfId="3087"/>
    <cellStyle name="_060721_하나커피카드_Media Mix_070125_르노삼성(SM5)_Media Mix_NAS(작업전)_070201_르노삼성(SM5)_Media Mix_NAS(최종)_070326_르노삼성H45_4월 캠페인_Media Mix_NAS_071001_RSM_SM7_10월 미디어믹스 제안_최종" xfId="3088"/>
    <cellStyle name="_060721_하나커피카드_Media Mix_070125_르노삼성(SM5)_Media Mix_NAS(작업전)_070201_르노삼성(SM5)_Media Mix_NAS(최종)_070326_르노삼성H45_4월 캠페인_Media Mix_NAS_071004_RSM_SM7_10월 미디어믹스 제안" xfId="3089"/>
    <cellStyle name="_060721_하나커피카드_Media Mix_070125_르노삼성(SM5)_Media Mix_NAS(작업전)_070201_르노삼성(SM5)_Media Mix_NAS(최종)_070326_르노삼성H45_4월 캠페인_Media Mix_NAS_071102_RSM_QMX_11월 미디어믹스 제안" xfId="3090"/>
    <cellStyle name="_060721_하나커피카드_Media Mix_070125_르노삼성(SM5)_Media Mix_NAS(작업전)_070201_르노삼성(SM5)_Media Mix_NAS(최종)_070326_르노삼성H45_4월 캠페인_Media Mix_NAS_071106_RSM_QMX_11월 미디어믹스 제안(수정)" xfId="3091"/>
    <cellStyle name="_060721_하나커피카드_Media Mix_070125_르노삼성(SM5)_Media Mix_NAS(작업전)_070201_르노삼성(SM5)_Media Mix_NAS(최종)_070327_르노삼성H45_4월 캠페인_Media Mix_NAS" xfId="3092"/>
    <cellStyle name="_060721_하나커피카드_Media Mix_070125_르노삼성(SM5)_Media Mix_NAS(작업전)_070201_르노삼성(SM5)_Media Mix_NAS(최종)_070327_르노삼성H45_4월 캠페인_Media Mix_NAS_070912_르노삼성QMX" xfId="3093"/>
    <cellStyle name="_060721_하나커피카드_Media Mix_070125_르노삼성(SM5)_Media Mix_NAS(작업전)_070201_르노삼성(SM5)_Media Mix_NAS(최종)_070327_르노삼성H45_4월 캠페인_Media Mix_NAS_071001_RSM_SM7_10월 미디어믹스 제안_최종" xfId="3094"/>
    <cellStyle name="_060721_하나커피카드_Media Mix_070125_르노삼성(SM5)_Media Mix_NAS(작업전)_070201_르노삼성(SM5)_Media Mix_NAS(최종)_070327_르노삼성H45_4월 캠페인_Media Mix_NAS_071004_RSM_SM7_10월 미디어믹스 제안" xfId="3095"/>
    <cellStyle name="_060721_하나커피카드_Media Mix_070125_르노삼성(SM5)_Media Mix_NAS(작업전)_070201_르노삼성(SM5)_Media Mix_NAS(최종)_070327_르노삼성H45_4월 캠페인_Media Mix_NAS_071102_RSM_QMX_11월 미디어믹스 제안" xfId="3096"/>
    <cellStyle name="_060721_하나커피카드_Media Mix_070125_르노삼성(SM5)_Media Mix_NAS(작업전)_070201_르노삼성(SM5)_Media Mix_NAS(최종)_070327_르노삼성H45_4월 캠페인_Media Mix_NAS_071106_RSM_QMX_11월 미디어믹스 제안(수정)" xfId="3097"/>
    <cellStyle name="_060721_하나커피카드_Media Mix_070125_르노삼성(SM5)_Media Mix_NAS(작업전)_070201_르노삼성(SM5)_Media Mix_NAS(최종)_070328_르노삼성H45_4월 캠페인_Media Mix_NAS" xfId="3098"/>
    <cellStyle name="_060721_하나커피카드_Media Mix_070125_르노삼성(SM5)_Media Mix_NAS(작업전)_070201_르노삼성(SM5)_Media Mix_NAS(최종)_070328_르노삼성H45_4월 캠페인_Media Mix_NAS_070912_르노삼성QMX" xfId="3099"/>
    <cellStyle name="_060721_하나커피카드_Media Mix_070125_르노삼성(SM5)_Media Mix_NAS(작업전)_070201_르노삼성(SM5)_Media Mix_NAS(최종)_070328_르노삼성H45_4월 캠페인_Media Mix_NAS_071001_RSM_SM7_10월 미디어믹스 제안_최종" xfId="3100"/>
    <cellStyle name="_060721_하나커피카드_Media Mix_070125_르노삼성(SM5)_Media Mix_NAS(작업전)_070201_르노삼성(SM5)_Media Mix_NAS(최종)_070328_르노삼성H45_4월 캠페인_Media Mix_NAS_071004_RSM_SM7_10월 미디어믹스 제안" xfId="3101"/>
    <cellStyle name="_060721_하나커피카드_Media Mix_070125_르노삼성(SM5)_Media Mix_NAS(작업전)_070201_르노삼성(SM5)_Media Mix_NAS(최종)_070328_르노삼성H45_4월 캠페인_Media Mix_NAS_071102_RSM_QMX_11월 미디어믹스 제안" xfId="3102"/>
    <cellStyle name="_060721_하나커피카드_Media Mix_070125_르노삼성(SM5)_Media Mix_NAS(작업전)_070201_르노삼성(SM5)_Media Mix_NAS(최종)_070328_르노삼성H45_4월 캠페인_Media Mix_NAS_071106_RSM_QMX_11월 미디어믹스 제안(수정)" xfId="3103"/>
    <cellStyle name="_060721_하나커피카드_Media Mix_070125_르노삼성(SM5)_Media Mix_NAS(작업전)_070201_르노삼성(SM5)_Media Mix_NAS(최종)_070403_르노삼성QMX_Media Mix_NAS" xfId="3104"/>
    <cellStyle name="_060721_하나커피카드_Media Mix_070125_르노삼성(SM5)_Media Mix_NAS(작업전)_070201_르노삼성(SM5)_Media Mix_NAS(최종)_070403_르노삼성QMX_Media Mix_NAS_070912_르노삼성QMX" xfId="3105"/>
    <cellStyle name="_060721_하나커피카드_Media Mix_070125_르노삼성(SM5)_Media Mix_NAS(작업전)_070201_르노삼성(SM5)_Media Mix_NAS(최종)_070403_르노삼성QMX_Media Mix_NAS_071001_RSM_SM7_10월 미디어믹스 제안_최종" xfId="3106"/>
    <cellStyle name="_060721_하나커피카드_Media Mix_070125_르노삼성(SM5)_Media Mix_NAS(작업전)_070201_르노삼성(SM5)_Media Mix_NAS(최종)_070403_르노삼성QMX_Media Mix_NAS_071004_RSM_SM7_10월 미디어믹스 제안" xfId="3107"/>
    <cellStyle name="_060721_하나커피카드_Media Mix_070125_르노삼성(SM5)_Media Mix_NAS(작업전)_070201_르노삼성(SM5)_Media Mix_NAS(최종)_070403_르노삼성QMX_Media Mix_NAS_071102_RSM_QMX_11월 미디어믹스 제안" xfId="3108"/>
    <cellStyle name="_060721_하나커피카드_Media Mix_070125_르노삼성(SM5)_Media Mix_NAS(작업전)_070201_르노삼성(SM5)_Media Mix_NAS(최종)_070403_르노삼성QMX_Media Mix_NAS_071106_RSM_QMX_11월 미디어믹스 제안(수정)" xfId="3109"/>
    <cellStyle name="_060721_하나커피카드_Media Mix_070125_르노삼성(SM5)_Media Mix_NAS(작업전)_070322_르노삼성H45_4월 캠페인_Media Mix_NAS" xfId="3110"/>
    <cellStyle name="_060721_하나커피카드_Media Mix_070125_르노삼성(SM5)_Media Mix_NAS(작업전)_070322_르노삼성H45_4월 캠페인_Media Mix_NAS_070912_르노삼성QMX" xfId="3111"/>
    <cellStyle name="_060721_하나커피카드_Media Mix_070125_르노삼성(SM5)_Media Mix_NAS(작업전)_070322_르노삼성H45_4월 캠페인_Media Mix_NAS_071001_RSM_SM7_10월 미디어믹스 제안_최종" xfId="3112"/>
    <cellStyle name="_060721_하나커피카드_Media Mix_070125_르노삼성(SM5)_Media Mix_NAS(작업전)_070322_르노삼성H45_4월 캠페인_Media Mix_NAS_071004_RSM_SM7_10월 미디어믹스 제안" xfId="3113"/>
    <cellStyle name="_060721_하나커피카드_Media Mix_070125_르노삼성(SM5)_Media Mix_NAS(작업전)_070322_르노삼성H45_4월 캠페인_Media Mix_NAS_071102_RSM_QMX_11월 미디어믹스 제안" xfId="3114"/>
    <cellStyle name="_060721_하나커피카드_Media Mix_070125_르노삼성(SM5)_Media Mix_NAS(작업전)_070322_르노삼성H45_4월 캠페인_Media Mix_NAS_071106_RSM_QMX_11월 미디어믹스 제안(수정)" xfId="3115"/>
    <cellStyle name="_060721_하나커피카드_Media Mix_070125_르노삼성(SM5)_Media Mix_NAS(작업전)_070326_르노삼성H45_4월 캠페인_Media Mix_NAS" xfId="3116"/>
    <cellStyle name="_060721_하나커피카드_Media Mix_070125_르노삼성(SM5)_Media Mix_NAS(작업전)_070326_르노삼성H45_4월 캠페인_Media Mix_NAS_070912_르노삼성QMX" xfId="3117"/>
    <cellStyle name="_060721_하나커피카드_Media Mix_070125_르노삼성(SM5)_Media Mix_NAS(작업전)_070326_르노삼성H45_4월 캠페인_Media Mix_NAS_071001_RSM_SM7_10월 미디어믹스 제안_최종" xfId="3118"/>
    <cellStyle name="_060721_하나커피카드_Media Mix_070125_르노삼성(SM5)_Media Mix_NAS(작업전)_070326_르노삼성H45_4월 캠페인_Media Mix_NAS_071004_RSM_SM7_10월 미디어믹스 제안" xfId="3119"/>
    <cellStyle name="_060721_하나커피카드_Media Mix_070125_르노삼성(SM5)_Media Mix_NAS(작업전)_070326_르노삼성H45_4월 캠페인_Media Mix_NAS_071102_RSM_QMX_11월 미디어믹스 제안" xfId="3120"/>
    <cellStyle name="_060721_하나커피카드_Media Mix_070125_르노삼성(SM5)_Media Mix_NAS(작업전)_070326_르노삼성H45_4월 캠페인_Media Mix_NAS_071106_RSM_QMX_11월 미디어믹스 제안(수정)" xfId="3121"/>
    <cellStyle name="_060721_하나커피카드_Media Mix_070125_르노삼성(SM5)_Media Mix_NAS(작업전)_070327_르노삼성H45_4월 캠페인_Media Mix_NAS" xfId="3122"/>
    <cellStyle name="_060721_하나커피카드_Media Mix_070125_르노삼성(SM5)_Media Mix_NAS(작업전)_070327_르노삼성H45_4월 캠페인_Media Mix_NAS_070912_르노삼성QMX" xfId="3123"/>
    <cellStyle name="_060721_하나커피카드_Media Mix_070125_르노삼성(SM5)_Media Mix_NAS(작업전)_070327_르노삼성H45_4월 캠페인_Media Mix_NAS_071001_RSM_SM7_10월 미디어믹스 제안_최종" xfId="3124"/>
    <cellStyle name="_060721_하나커피카드_Media Mix_070125_르노삼성(SM5)_Media Mix_NAS(작업전)_070327_르노삼성H45_4월 캠페인_Media Mix_NAS_071004_RSM_SM7_10월 미디어믹스 제안" xfId="3125"/>
    <cellStyle name="_060721_하나커피카드_Media Mix_070125_르노삼성(SM5)_Media Mix_NAS(작업전)_070327_르노삼성H45_4월 캠페인_Media Mix_NAS_071102_RSM_QMX_11월 미디어믹스 제안" xfId="3126"/>
    <cellStyle name="_060721_하나커피카드_Media Mix_070125_르노삼성(SM5)_Media Mix_NAS(작업전)_070327_르노삼성H45_4월 캠페인_Media Mix_NAS_071106_RSM_QMX_11월 미디어믹스 제안(수정)" xfId="3127"/>
    <cellStyle name="_060721_하나커피카드_Media Mix_070125_르노삼성(SM5)_Media Mix_NAS(작업전)_070328_르노삼성H45_4월 캠페인_Media Mix_NAS" xfId="3128"/>
    <cellStyle name="_060721_하나커피카드_Media Mix_070125_르노삼성(SM5)_Media Mix_NAS(작업전)_070328_르노삼성H45_4월 캠페인_Media Mix_NAS_070912_르노삼성QMX" xfId="3129"/>
    <cellStyle name="_060721_하나커피카드_Media Mix_070125_르노삼성(SM5)_Media Mix_NAS(작업전)_070328_르노삼성H45_4월 캠페인_Media Mix_NAS_071001_RSM_SM7_10월 미디어믹스 제안_최종" xfId="3130"/>
    <cellStyle name="_060721_하나커피카드_Media Mix_070125_르노삼성(SM5)_Media Mix_NAS(작업전)_070328_르노삼성H45_4월 캠페인_Media Mix_NAS_071004_RSM_SM7_10월 미디어믹스 제안" xfId="3131"/>
    <cellStyle name="_060721_하나커피카드_Media Mix_070125_르노삼성(SM5)_Media Mix_NAS(작업전)_070328_르노삼성H45_4월 캠페인_Media Mix_NAS_071102_RSM_QMX_11월 미디어믹스 제안" xfId="3132"/>
    <cellStyle name="_060721_하나커피카드_Media Mix_070125_르노삼성(SM5)_Media Mix_NAS(작업전)_070328_르노삼성H45_4월 캠페인_Media Mix_NAS_071106_RSM_QMX_11월 미디어믹스 제안(수정)" xfId="3133"/>
    <cellStyle name="_060721_하나커피카드_Media Mix_070125_르노삼성(SM5)_Media Mix_NAS(작업전)_070403_르노삼성QMX_Media Mix_NAS" xfId="3134"/>
    <cellStyle name="_060721_하나커피카드_Media Mix_070125_르노삼성(SM5)_Media Mix_NAS(작업전)_070403_르노삼성QMX_Media Mix_NAS_070912_르노삼성QMX" xfId="3135"/>
    <cellStyle name="_060721_하나커피카드_Media Mix_070125_르노삼성(SM5)_Media Mix_NAS(작업전)_070403_르노삼성QMX_Media Mix_NAS_071001_RSM_SM7_10월 미디어믹스 제안_최종" xfId="3136"/>
    <cellStyle name="_060721_하나커피카드_Media Mix_070125_르노삼성(SM5)_Media Mix_NAS(작업전)_070403_르노삼성QMX_Media Mix_NAS_071004_RSM_SM7_10월 미디어믹스 제안" xfId="3137"/>
    <cellStyle name="_060721_하나커피카드_Media Mix_070125_르노삼성(SM5)_Media Mix_NAS(작업전)_070403_르노삼성QMX_Media Mix_NAS_071102_RSM_QMX_11월 미디어믹스 제안" xfId="3138"/>
    <cellStyle name="_060721_하나커피카드_Media Mix_070125_르노삼성(SM5)_Media Mix_NAS(작업전)_070403_르노삼성QMX_Media Mix_NAS_071106_RSM_QMX_11월 미디어믹스 제안(수정)" xfId="3139"/>
    <cellStyle name="_060721_하나커피카드_Media Mix_070125_르노삼성(SM5)_Media Mix_NAS(작업전)_르노삼성 믹스종합_070214" xfId="3140"/>
    <cellStyle name="_060721_하나커피카드_Media Mix_070125_르노삼성(SM5)_Media Mix_NAS(작업전)_르노삼성 믹스종합_070214_070322_르노삼성H45_4월 캠페인_Media Mix_NAS" xfId="3141"/>
    <cellStyle name="_060721_하나커피카드_Media Mix_070125_르노삼성(SM5)_Media Mix_NAS(작업전)_르노삼성 믹스종합_070214_070322_르노삼성H45_4월 캠페인_Media Mix_NAS_070912_르노삼성QMX" xfId="3142"/>
    <cellStyle name="_060721_하나커피카드_Media Mix_070125_르노삼성(SM5)_Media Mix_NAS(작업전)_르노삼성 믹스종합_070214_070322_르노삼성H45_4월 캠페인_Media Mix_NAS_071001_RSM_SM7_10월 미디어믹스 제안_최종" xfId="3143"/>
    <cellStyle name="_060721_하나커피카드_Media Mix_070125_르노삼성(SM5)_Media Mix_NAS(작업전)_르노삼성 믹스종합_070214_070322_르노삼성H45_4월 캠페인_Media Mix_NAS_071004_RSM_SM7_10월 미디어믹스 제안" xfId="3144"/>
    <cellStyle name="_060721_하나커피카드_Media Mix_070125_르노삼성(SM5)_Media Mix_NAS(작업전)_르노삼성 믹스종합_070214_070322_르노삼성H45_4월 캠페인_Media Mix_NAS_071102_RSM_QMX_11월 미디어믹스 제안" xfId="3145"/>
    <cellStyle name="_060721_하나커피카드_Media Mix_070125_르노삼성(SM5)_Media Mix_NAS(작업전)_르노삼성 믹스종합_070214_070322_르노삼성H45_4월 캠페인_Media Mix_NAS_071106_RSM_QMX_11월 미디어믹스 제안(수정)" xfId="3146"/>
    <cellStyle name="_060721_하나커피카드_Media Mix_070125_르노삼성(SM5)_Media Mix_NAS(작업전)_르노삼성 믹스종합_070214_070326_르노삼성H45_4월 캠페인_Media Mix_NAS" xfId="3147"/>
    <cellStyle name="_060721_하나커피카드_Media Mix_070125_르노삼성(SM5)_Media Mix_NAS(작업전)_르노삼성 믹스종합_070214_070326_르노삼성H45_4월 캠페인_Media Mix_NAS_070912_르노삼성QMX" xfId="3148"/>
    <cellStyle name="_060721_하나커피카드_Media Mix_070125_르노삼성(SM5)_Media Mix_NAS(작업전)_르노삼성 믹스종합_070214_070326_르노삼성H45_4월 캠페인_Media Mix_NAS_071001_RSM_SM7_10월 미디어믹스 제안_최종" xfId="3149"/>
    <cellStyle name="_060721_하나커피카드_Media Mix_070125_르노삼성(SM5)_Media Mix_NAS(작업전)_르노삼성 믹스종합_070214_070326_르노삼성H45_4월 캠페인_Media Mix_NAS_071004_RSM_SM7_10월 미디어믹스 제안" xfId="3150"/>
    <cellStyle name="_060721_하나커피카드_Media Mix_070125_르노삼성(SM5)_Media Mix_NAS(작업전)_르노삼성 믹스종합_070214_070326_르노삼성H45_4월 캠페인_Media Mix_NAS_071102_RSM_QMX_11월 미디어믹스 제안" xfId="3151"/>
    <cellStyle name="_060721_하나커피카드_Media Mix_070125_르노삼성(SM5)_Media Mix_NAS(작업전)_르노삼성 믹스종합_070214_070326_르노삼성H45_4월 캠페인_Media Mix_NAS_071106_RSM_QMX_11월 미디어믹스 제안(수정)" xfId="3152"/>
    <cellStyle name="_060721_하나커피카드_Media Mix_070125_르노삼성(SM5)_Media Mix_NAS(작업전)_르노삼성 믹스종합_070214_070327_르노삼성H45_4월 캠페인_Media Mix_NAS" xfId="3153"/>
    <cellStyle name="_060721_하나커피카드_Media Mix_070125_르노삼성(SM5)_Media Mix_NAS(작업전)_르노삼성 믹스종합_070214_070327_르노삼성H45_4월 캠페인_Media Mix_NAS_070912_르노삼성QMX" xfId="3154"/>
    <cellStyle name="_060721_하나커피카드_Media Mix_070125_르노삼성(SM5)_Media Mix_NAS(작업전)_르노삼성 믹스종합_070214_070327_르노삼성H45_4월 캠페인_Media Mix_NAS_071001_RSM_SM7_10월 미디어믹스 제안_최종" xfId="3155"/>
    <cellStyle name="_060721_하나커피카드_Media Mix_070125_르노삼성(SM5)_Media Mix_NAS(작업전)_르노삼성 믹스종합_070214_070327_르노삼성H45_4월 캠페인_Media Mix_NAS_071004_RSM_SM7_10월 미디어믹스 제안" xfId="3156"/>
    <cellStyle name="_060721_하나커피카드_Media Mix_070125_르노삼성(SM5)_Media Mix_NAS(작업전)_르노삼성 믹스종합_070214_070327_르노삼성H45_4월 캠페인_Media Mix_NAS_071102_RSM_QMX_11월 미디어믹스 제안" xfId="3157"/>
    <cellStyle name="_060721_하나커피카드_Media Mix_070125_르노삼성(SM5)_Media Mix_NAS(작업전)_르노삼성 믹스종합_070214_070327_르노삼성H45_4월 캠페인_Media Mix_NAS_071106_RSM_QMX_11월 미디어믹스 제안(수정)" xfId="3158"/>
    <cellStyle name="_060721_하나커피카드_Media Mix_070125_르노삼성(SM5)_Media Mix_NAS(작업전)_르노삼성 믹스종합_070214_070328_르노삼성H45_4월 캠페인_Media Mix_NAS" xfId="3159"/>
    <cellStyle name="_060721_하나커피카드_Media Mix_070125_르노삼성(SM5)_Media Mix_NAS(작업전)_르노삼성 믹스종합_070214_070328_르노삼성H45_4월 캠페인_Media Mix_NAS_070912_르노삼성QMX" xfId="3160"/>
    <cellStyle name="_060721_하나커피카드_Media Mix_070125_르노삼성(SM5)_Media Mix_NAS(작업전)_르노삼성 믹스종합_070214_070328_르노삼성H45_4월 캠페인_Media Mix_NAS_071001_RSM_SM7_10월 미디어믹스 제안_최종" xfId="3161"/>
    <cellStyle name="_060721_하나커피카드_Media Mix_070125_르노삼성(SM5)_Media Mix_NAS(작업전)_르노삼성 믹스종합_070214_070328_르노삼성H45_4월 캠페인_Media Mix_NAS_071004_RSM_SM7_10월 미디어믹스 제안" xfId="3162"/>
    <cellStyle name="_060721_하나커피카드_Media Mix_070125_르노삼성(SM5)_Media Mix_NAS(작업전)_르노삼성 믹스종합_070214_070328_르노삼성H45_4월 캠페인_Media Mix_NAS_071102_RSM_QMX_11월 미디어믹스 제안" xfId="3163"/>
    <cellStyle name="_060721_하나커피카드_Media Mix_070125_르노삼성(SM5)_Media Mix_NAS(작업전)_르노삼성 믹스종합_070214_070328_르노삼성H45_4월 캠페인_Media Mix_NAS_071106_RSM_QMX_11월 미디어믹스 제안(수정)" xfId="3164"/>
    <cellStyle name="_060721_하나커피카드_Media Mix_070125_르노삼성(SM5)_Media Mix_NAS(작업전)_르노삼성 믹스종합_070214_070403_르노삼성QMX_Media Mix_NAS" xfId="3165"/>
    <cellStyle name="_060721_하나커피카드_Media Mix_070125_르노삼성(SM5)_Media Mix_NAS(작업전)_르노삼성 믹스종합_070214_070403_르노삼성QMX_Media Mix_NAS_070912_르노삼성QMX" xfId="3166"/>
    <cellStyle name="_060721_하나커피카드_Media Mix_070125_르노삼성(SM5)_Media Mix_NAS(작업전)_르노삼성 믹스종합_070214_070403_르노삼성QMX_Media Mix_NAS_071001_RSM_SM7_10월 미디어믹스 제안_최종" xfId="3167"/>
    <cellStyle name="_060721_하나커피카드_Media Mix_070125_르노삼성(SM5)_Media Mix_NAS(작업전)_르노삼성 믹스종합_070214_070403_르노삼성QMX_Media Mix_NAS_071004_RSM_SM7_10월 미디어믹스 제안" xfId="3168"/>
    <cellStyle name="_060721_하나커피카드_Media Mix_070125_르노삼성(SM5)_Media Mix_NAS(작업전)_르노삼성 믹스종합_070214_070403_르노삼성QMX_Media Mix_NAS_071102_RSM_QMX_11월 미디어믹스 제안" xfId="3169"/>
    <cellStyle name="_060721_하나커피카드_Media Mix_070125_르노삼성(SM5)_Media Mix_NAS(작업전)_르노삼성 믹스종합_070214_070403_르노삼성QMX_Media Mix_NAS_071106_RSM_QMX_11월 미디어믹스 제안(수정)" xfId="3170"/>
    <cellStyle name="_060721_하나커피카드_Media Mix_070202_르노삼성(SM5)_Media Mix_NAS(최종)_스케쥴표 포함" xfId="3171"/>
    <cellStyle name="_060721_하나커피카드_Media Mix_070202_르노삼성(SM5)_Media Mix_NAS(최종)_스케쥴표 포함_070322_르노삼성H45_4월 캠페인_Media Mix_NAS" xfId="3172"/>
    <cellStyle name="_060721_하나커피카드_Media Mix_070202_르노삼성(SM5)_Media Mix_NAS(최종)_스케쥴표 포함_070322_르노삼성H45_4월 캠페인_Media Mix_NAS_070912_르노삼성QMX" xfId="3173"/>
    <cellStyle name="_060721_하나커피카드_Media Mix_070202_르노삼성(SM5)_Media Mix_NAS(최종)_스케쥴표 포함_070322_르노삼성H45_4월 캠페인_Media Mix_NAS_071001_RSM_SM7_10월 미디어믹스 제안_최종" xfId="3174"/>
    <cellStyle name="_060721_하나커피카드_Media Mix_070202_르노삼성(SM5)_Media Mix_NAS(최종)_스케쥴표 포함_070322_르노삼성H45_4월 캠페인_Media Mix_NAS_071004_RSM_SM7_10월 미디어믹스 제안" xfId="3175"/>
    <cellStyle name="_060721_하나커피카드_Media Mix_070202_르노삼성(SM5)_Media Mix_NAS(최종)_스케쥴표 포함_070322_르노삼성H45_4월 캠페인_Media Mix_NAS_071102_RSM_QMX_11월 미디어믹스 제안" xfId="3176"/>
    <cellStyle name="_060721_하나커피카드_Media Mix_070202_르노삼성(SM5)_Media Mix_NAS(최종)_스케쥴표 포함_070322_르노삼성H45_4월 캠페인_Media Mix_NAS_071106_RSM_QMX_11월 미디어믹스 제안(수정)" xfId="3177"/>
    <cellStyle name="_060721_하나커피카드_Media Mix_070202_르노삼성(SM5)_Media Mix_NAS(최종)_스케쥴표 포함_070326_르노삼성H45_4월 캠페인_Media Mix_NAS" xfId="3178"/>
    <cellStyle name="_060721_하나커피카드_Media Mix_070202_르노삼성(SM5)_Media Mix_NAS(최종)_스케쥴표 포함_070326_르노삼성H45_4월 캠페인_Media Mix_NAS_070912_르노삼성QMX" xfId="3179"/>
    <cellStyle name="_060721_하나커피카드_Media Mix_070202_르노삼성(SM5)_Media Mix_NAS(최종)_스케쥴표 포함_070326_르노삼성H45_4월 캠페인_Media Mix_NAS_071001_RSM_SM7_10월 미디어믹스 제안_최종" xfId="3180"/>
    <cellStyle name="_060721_하나커피카드_Media Mix_070202_르노삼성(SM5)_Media Mix_NAS(최종)_스케쥴표 포함_070326_르노삼성H45_4월 캠페인_Media Mix_NAS_071004_RSM_SM7_10월 미디어믹스 제안" xfId="3181"/>
    <cellStyle name="_060721_하나커피카드_Media Mix_070202_르노삼성(SM5)_Media Mix_NAS(최종)_스케쥴표 포함_070326_르노삼성H45_4월 캠페인_Media Mix_NAS_071102_RSM_QMX_11월 미디어믹스 제안" xfId="3182"/>
    <cellStyle name="_060721_하나커피카드_Media Mix_070202_르노삼성(SM5)_Media Mix_NAS(최종)_스케쥴표 포함_070326_르노삼성H45_4월 캠페인_Media Mix_NAS_071106_RSM_QMX_11월 미디어믹스 제안(수정)" xfId="3183"/>
    <cellStyle name="_060721_하나커피카드_Media Mix_070202_르노삼성(SM5)_Media Mix_NAS(최종)_스케쥴표 포함_070327_르노삼성H45_4월 캠페인_Media Mix_NAS" xfId="3184"/>
    <cellStyle name="_060721_하나커피카드_Media Mix_070202_르노삼성(SM5)_Media Mix_NAS(최종)_스케쥴표 포함_070327_르노삼성H45_4월 캠페인_Media Mix_NAS_070912_르노삼성QMX" xfId="3185"/>
    <cellStyle name="_060721_하나커피카드_Media Mix_070202_르노삼성(SM5)_Media Mix_NAS(최종)_스케쥴표 포함_070327_르노삼성H45_4월 캠페인_Media Mix_NAS_071001_RSM_SM7_10월 미디어믹스 제안_최종" xfId="3186"/>
    <cellStyle name="_060721_하나커피카드_Media Mix_070202_르노삼성(SM5)_Media Mix_NAS(최종)_스케쥴표 포함_070327_르노삼성H45_4월 캠페인_Media Mix_NAS_071004_RSM_SM7_10월 미디어믹스 제안" xfId="3187"/>
    <cellStyle name="_060721_하나커피카드_Media Mix_070202_르노삼성(SM5)_Media Mix_NAS(최종)_스케쥴표 포함_070327_르노삼성H45_4월 캠페인_Media Mix_NAS_071102_RSM_QMX_11월 미디어믹스 제안" xfId="3188"/>
    <cellStyle name="_060721_하나커피카드_Media Mix_070202_르노삼성(SM5)_Media Mix_NAS(최종)_스케쥴표 포함_070327_르노삼성H45_4월 캠페인_Media Mix_NAS_071106_RSM_QMX_11월 미디어믹스 제안(수정)" xfId="3189"/>
    <cellStyle name="_060721_하나커피카드_Media Mix_070202_르노삼성(SM5)_Media Mix_NAS(최종)_스케쥴표 포함_070328_르노삼성H45_4월 캠페인_Media Mix_NAS" xfId="3190"/>
    <cellStyle name="_060721_하나커피카드_Media Mix_070202_르노삼성(SM5)_Media Mix_NAS(최종)_스케쥴표 포함_070328_르노삼성H45_4월 캠페인_Media Mix_NAS_070912_르노삼성QMX" xfId="3191"/>
    <cellStyle name="_060721_하나커피카드_Media Mix_070202_르노삼성(SM5)_Media Mix_NAS(최종)_스케쥴표 포함_070328_르노삼성H45_4월 캠페인_Media Mix_NAS_071001_RSM_SM7_10월 미디어믹스 제안_최종" xfId="3192"/>
    <cellStyle name="_060721_하나커피카드_Media Mix_070202_르노삼성(SM5)_Media Mix_NAS(최종)_스케쥴표 포함_070328_르노삼성H45_4월 캠페인_Media Mix_NAS_071004_RSM_SM7_10월 미디어믹스 제안" xfId="3193"/>
    <cellStyle name="_060721_하나커피카드_Media Mix_070202_르노삼성(SM5)_Media Mix_NAS(최종)_스케쥴표 포함_070328_르노삼성H45_4월 캠페인_Media Mix_NAS_071102_RSM_QMX_11월 미디어믹스 제안" xfId="3194"/>
    <cellStyle name="_060721_하나커피카드_Media Mix_070202_르노삼성(SM5)_Media Mix_NAS(최종)_스케쥴표 포함_070328_르노삼성H45_4월 캠페인_Media Mix_NAS_071106_RSM_QMX_11월 미디어믹스 제안(수정)" xfId="3195"/>
    <cellStyle name="_060721_하나커피카드_Media Mix_070202_르노삼성(SM5)_Media Mix_NAS(최종)_스케쥴표 포함_070403_르노삼성QMX_Media Mix_NAS" xfId="3196"/>
    <cellStyle name="_060721_하나커피카드_Media Mix_070202_르노삼성(SM5)_Media Mix_NAS(최종)_스케쥴표 포함_070403_르노삼성QMX_Media Mix_NAS_070912_르노삼성QMX" xfId="3197"/>
    <cellStyle name="_060721_하나커피카드_Media Mix_070202_르노삼성(SM5)_Media Mix_NAS(최종)_스케쥴표 포함_070403_르노삼성QMX_Media Mix_NAS_071001_RSM_SM7_10월 미디어믹스 제안_최종" xfId="3198"/>
    <cellStyle name="_060721_하나커피카드_Media Mix_070202_르노삼성(SM5)_Media Mix_NAS(최종)_스케쥴표 포함_070403_르노삼성QMX_Media Mix_NAS_071004_RSM_SM7_10월 미디어믹스 제안" xfId="3199"/>
    <cellStyle name="_060721_하나커피카드_Media Mix_070202_르노삼성(SM5)_Media Mix_NAS(최종)_스케쥴표 포함_070403_르노삼성QMX_Media Mix_NAS_071102_RSM_QMX_11월 미디어믹스 제안" xfId="3200"/>
    <cellStyle name="_060721_하나커피카드_Media Mix_070202_르노삼성(SM5)_Media Mix_NAS(최종)_스케쥴표 포함_070403_르노삼성QMX_Media Mix_NAS_071106_RSM_QMX_11월 미디어믹스 제안(수정)" xfId="3201"/>
    <cellStyle name="_060721_하나커피카드_Media Mix_070202_르노삼성(SM5)_Media Mix_NAS(최종)_스케쥴표 포함_르노삼성 믹스종합_070214" xfId="3202"/>
    <cellStyle name="_060721_하나커피카드_Media Mix_070202_르노삼성(SM5)_Media Mix_NAS(최종)_스케쥴표 포함_르노삼성 믹스종합_070214_070322_르노삼성H45_4월 캠페인_Media Mix_NAS" xfId="3203"/>
    <cellStyle name="_060721_하나커피카드_Media Mix_070202_르노삼성(SM5)_Media Mix_NAS(최종)_스케쥴표 포함_르노삼성 믹스종합_070214_070322_르노삼성H45_4월 캠페인_Media Mix_NAS_070912_르노삼성QMX" xfId="3204"/>
    <cellStyle name="_060721_하나커피카드_Media Mix_070202_르노삼성(SM5)_Media Mix_NAS(최종)_스케쥴표 포함_르노삼성 믹스종합_070214_070322_르노삼성H45_4월 캠페인_Media Mix_NAS_071001_RSM_SM7_10월 미디어믹스 제안_최종" xfId="3205"/>
    <cellStyle name="_060721_하나커피카드_Media Mix_070202_르노삼성(SM5)_Media Mix_NAS(최종)_스케쥴표 포함_르노삼성 믹스종합_070214_070322_르노삼성H45_4월 캠페인_Media Mix_NAS_071004_RSM_SM7_10월 미디어믹스 제안" xfId="3206"/>
    <cellStyle name="_060721_하나커피카드_Media Mix_070202_르노삼성(SM5)_Media Mix_NAS(최종)_스케쥴표 포함_르노삼성 믹스종합_070214_070322_르노삼성H45_4월 캠페인_Media Mix_NAS_071102_RSM_QMX_11월 미디어믹스 제안" xfId="3207"/>
    <cellStyle name="_060721_하나커피카드_Media Mix_070202_르노삼성(SM5)_Media Mix_NAS(최종)_스케쥴표 포함_르노삼성 믹스종합_070214_070322_르노삼성H45_4월 캠페인_Media Mix_NAS_071106_RSM_QMX_11월 미디어믹스 제안(수정)" xfId="3208"/>
    <cellStyle name="_060721_하나커피카드_Media Mix_070202_르노삼성(SM5)_Media Mix_NAS(최종)_스케쥴표 포함_르노삼성 믹스종합_070214_070326_르노삼성H45_4월 캠페인_Media Mix_NAS" xfId="3209"/>
    <cellStyle name="_060721_하나커피카드_Media Mix_070202_르노삼성(SM5)_Media Mix_NAS(최종)_스케쥴표 포함_르노삼성 믹스종합_070214_070326_르노삼성H45_4월 캠페인_Media Mix_NAS_070912_르노삼성QMX" xfId="3210"/>
    <cellStyle name="_060721_하나커피카드_Media Mix_070202_르노삼성(SM5)_Media Mix_NAS(최종)_스케쥴표 포함_르노삼성 믹스종합_070214_070326_르노삼성H45_4월 캠페인_Media Mix_NAS_071001_RSM_SM7_10월 미디어믹스 제안_최종" xfId="3211"/>
    <cellStyle name="_060721_하나커피카드_Media Mix_070202_르노삼성(SM5)_Media Mix_NAS(최종)_스케쥴표 포함_르노삼성 믹스종합_070214_070326_르노삼성H45_4월 캠페인_Media Mix_NAS_071004_RSM_SM7_10월 미디어믹스 제안" xfId="3212"/>
    <cellStyle name="_060721_하나커피카드_Media Mix_070202_르노삼성(SM5)_Media Mix_NAS(최종)_스케쥴표 포함_르노삼성 믹스종합_070214_070326_르노삼성H45_4월 캠페인_Media Mix_NAS_071102_RSM_QMX_11월 미디어믹스 제안" xfId="3213"/>
    <cellStyle name="_060721_하나커피카드_Media Mix_070202_르노삼성(SM5)_Media Mix_NAS(최종)_스케쥴표 포함_르노삼성 믹스종합_070214_070326_르노삼성H45_4월 캠페인_Media Mix_NAS_071106_RSM_QMX_11월 미디어믹스 제안(수정)" xfId="3214"/>
    <cellStyle name="_060721_하나커피카드_Media Mix_070202_르노삼성(SM5)_Media Mix_NAS(최종)_스케쥴표 포함_르노삼성 믹스종합_070214_070327_르노삼성H45_4월 캠페인_Media Mix_NAS" xfId="3215"/>
    <cellStyle name="_060721_하나커피카드_Media Mix_070202_르노삼성(SM5)_Media Mix_NAS(최종)_스케쥴표 포함_르노삼성 믹스종합_070214_070327_르노삼성H45_4월 캠페인_Media Mix_NAS_070912_르노삼성QMX" xfId="3216"/>
    <cellStyle name="_060721_하나커피카드_Media Mix_070202_르노삼성(SM5)_Media Mix_NAS(최종)_스케쥴표 포함_르노삼성 믹스종합_070214_070327_르노삼성H45_4월 캠페인_Media Mix_NAS_071001_RSM_SM7_10월 미디어믹스 제안_최종" xfId="3217"/>
    <cellStyle name="_060721_하나커피카드_Media Mix_070202_르노삼성(SM5)_Media Mix_NAS(최종)_스케쥴표 포함_르노삼성 믹스종합_070214_070327_르노삼성H45_4월 캠페인_Media Mix_NAS_071004_RSM_SM7_10월 미디어믹스 제안" xfId="3218"/>
    <cellStyle name="_060721_하나커피카드_Media Mix_070202_르노삼성(SM5)_Media Mix_NAS(최종)_스케쥴표 포함_르노삼성 믹스종합_070214_070327_르노삼성H45_4월 캠페인_Media Mix_NAS_071102_RSM_QMX_11월 미디어믹스 제안" xfId="3219"/>
    <cellStyle name="_060721_하나커피카드_Media Mix_070202_르노삼성(SM5)_Media Mix_NAS(최종)_스케쥴표 포함_르노삼성 믹스종합_070214_070327_르노삼성H45_4월 캠페인_Media Mix_NAS_071106_RSM_QMX_11월 미디어믹스 제안(수정)" xfId="3220"/>
    <cellStyle name="_060721_하나커피카드_Media Mix_070202_르노삼성(SM5)_Media Mix_NAS(최종)_스케쥴표 포함_르노삼성 믹스종합_070214_070328_르노삼성H45_4월 캠페인_Media Mix_NAS" xfId="3221"/>
    <cellStyle name="_060721_하나커피카드_Media Mix_070202_르노삼성(SM5)_Media Mix_NAS(최종)_스케쥴표 포함_르노삼성 믹스종합_070214_070328_르노삼성H45_4월 캠페인_Media Mix_NAS_070912_르노삼성QMX" xfId="3222"/>
    <cellStyle name="_060721_하나커피카드_Media Mix_070202_르노삼성(SM5)_Media Mix_NAS(최종)_스케쥴표 포함_르노삼성 믹스종합_070214_070328_르노삼성H45_4월 캠페인_Media Mix_NAS_071001_RSM_SM7_10월 미디어믹스 제안_최종" xfId="3223"/>
    <cellStyle name="_060721_하나커피카드_Media Mix_070202_르노삼성(SM5)_Media Mix_NAS(최종)_스케쥴표 포함_르노삼성 믹스종합_070214_070328_르노삼성H45_4월 캠페인_Media Mix_NAS_071004_RSM_SM7_10월 미디어믹스 제안" xfId="3224"/>
    <cellStyle name="_060721_하나커피카드_Media Mix_070202_르노삼성(SM5)_Media Mix_NAS(최종)_스케쥴표 포함_르노삼성 믹스종합_070214_070328_르노삼성H45_4월 캠페인_Media Mix_NAS_071102_RSM_QMX_11월 미디어믹스 제안" xfId="3225"/>
    <cellStyle name="_060721_하나커피카드_Media Mix_070202_르노삼성(SM5)_Media Mix_NAS(최종)_스케쥴표 포함_르노삼성 믹스종합_070214_070328_르노삼성H45_4월 캠페인_Media Mix_NAS_071106_RSM_QMX_11월 미디어믹스 제안(수정)" xfId="3226"/>
    <cellStyle name="_060721_하나커피카드_Media Mix_070202_르노삼성(SM5)_Media Mix_NAS(최종)_스케쥴표 포함_르노삼성 믹스종합_070214_070403_르노삼성QMX_Media Mix_NAS" xfId="3227"/>
    <cellStyle name="_060721_하나커피카드_Media Mix_070202_르노삼성(SM5)_Media Mix_NAS(최종)_스케쥴표 포함_르노삼성 믹스종합_070214_070403_르노삼성QMX_Media Mix_NAS_070912_르노삼성QMX" xfId="3228"/>
    <cellStyle name="_060721_하나커피카드_Media Mix_070202_르노삼성(SM5)_Media Mix_NAS(최종)_스케쥴표 포함_르노삼성 믹스종합_070214_070403_르노삼성QMX_Media Mix_NAS_071001_RSM_SM7_10월 미디어믹스 제안_최종" xfId="3229"/>
    <cellStyle name="_060721_하나커피카드_Media Mix_070202_르노삼성(SM5)_Media Mix_NAS(최종)_스케쥴표 포함_르노삼성 믹스종합_070214_070403_르노삼성QMX_Media Mix_NAS_071004_RSM_SM7_10월 미디어믹스 제안" xfId="3230"/>
    <cellStyle name="_060721_하나커피카드_Media Mix_070202_르노삼성(SM5)_Media Mix_NAS(최종)_스케쥴표 포함_르노삼성 믹스종합_070214_070403_르노삼성QMX_Media Mix_NAS_071102_RSM_QMX_11월 미디어믹스 제안" xfId="3231"/>
    <cellStyle name="_060721_하나커피카드_Media Mix_070202_르노삼성(SM5)_Media Mix_NAS(최종)_스케쥴표 포함_르노삼성 믹스종합_070214_070403_르노삼성QMX_Media Mix_NAS_071106_RSM_QMX_11월 미디어믹스 제안(수정)" xfId="3232"/>
    <cellStyle name="_060721_하나커피카드_Media Mix_070214_KT_Media Mix_NAS_지나" xfId="3233"/>
    <cellStyle name="_060721_하나커피카드_Media Mix_070322_르노삼성H45_4월 캠페인_Media Mix_NAS" xfId="3234"/>
    <cellStyle name="_060721_하나커피카드_Media Mix_070322_르노삼성H45_4월 캠페인_Media Mix_NAS_070912_르노삼성QMX" xfId="3235"/>
    <cellStyle name="_060721_하나커피카드_Media Mix_070322_르노삼성H45_4월 캠페인_Media Mix_NAS_071001_RSM_SM7_10월 미디어믹스 제안_최종" xfId="3236"/>
    <cellStyle name="_060721_하나커피카드_Media Mix_070322_르노삼성H45_4월 캠페인_Media Mix_NAS_071004_RSM_SM7_10월 미디어믹스 제안" xfId="3237"/>
    <cellStyle name="_060721_하나커피카드_Media Mix_070322_르노삼성H45_4월 캠페인_Media Mix_NAS_071102_RSM_QMX_11월 미디어믹스 제안" xfId="3238"/>
    <cellStyle name="_060721_하나커피카드_Media Mix_070322_르노삼성H45_4월 캠페인_Media Mix_NAS_071106_RSM_QMX_11월 미디어믹스 제안(수정)" xfId="3239"/>
    <cellStyle name="_060721_하나커피카드_Media Mix_070326_르노삼성H45_4월 캠페인_Media Mix_NAS" xfId="3240"/>
    <cellStyle name="_060721_하나커피카드_Media Mix_070326_르노삼성H45_4월 캠페인_Media Mix_NAS_070912_르노삼성QMX" xfId="3241"/>
    <cellStyle name="_060721_하나커피카드_Media Mix_070326_르노삼성H45_4월 캠페인_Media Mix_NAS_071001_RSM_SM7_10월 미디어믹스 제안_최종" xfId="3242"/>
    <cellStyle name="_060721_하나커피카드_Media Mix_070326_르노삼성H45_4월 캠페인_Media Mix_NAS_071004_RSM_SM7_10월 미디어믹스 제안" xfId="3243"/>
    <cellStyle name="_060721_하나커피카드_Media Mix_070326_르노삼성H45_4월 캠페인_Media Mix_NAS_071102_RSM_QMX_11월 미디어믹스 제안" xfId="3244"/>
    <cellStyle name="_060721_하나커피카드_Media Mix_070326_르노삼성H45_4월 캠페인_Media Mix_NAS_071106_RSM_QMX_11월 미디어믹스 제안(수정)" xfId="3245"/>
    <cellStyle name="_060721_하나커피카드_Media Mix_070327_르노삼성H45_4월 캠페인_Media Mix_NAS" xfId="3246"/>
    <cellStyle name="_060721_하나커피카드_Media Mix_070327_르노삼성H45_4월 캠페인_Media Mix_NAS_070912_르노삼성QMX" xfId="3247"/>
    <cellStyle name="_060721_하나커피카드_Media Mix_070327_르노삼성H45_4월 캠페인_Media Mix_NAS_071001_RSM_SM7_10월 미디어믹스 제안_최종" xfId="3248"/>
    <cellStyle name="_060721_하나커피카드_Media Mix_070327_르노삼성H45_4월 캠페인_Media Mix_NAS_071004_RSM_SM7_10월 미디어믹스 제안" xfId="3249"/>
    <cellStyle name="_060721_하나커피카드_Media Mix_070327_르노삼성H45_4월 캠페인_Media Mix_NAS_071102_RSM_QMX_11월 미디어믹스 제안" xfId="3250"/>
    <cellStyle name="_060721_하나커피카드_Media Mix_070327_르노삼성H45_4월 캠페인_Media Mix_NAS_071106_RSM_QMX_11월 미디어믹스 제안(수정)" xfId="3251"/>
    <cellStyle name="_060721_하나커피카드_Media Mix_070328_르노삼성H45_4월 캠페인_Media Mix_NAS" xfId="3252"/>
    <cellStyle name="_060721_하나커피카드_Media Mix_070328_르노삼성H45_4월 캠페인_Media Mix_NAS_070912_르노삼성QMX" xfId="3253"/>
    <cellStyle name="_060721_하나커피카드_Media Mix_070328_르노삼성H45_4월 캠페인_Media Mix_NAS_071001_RSM_SM7_10월 미디어믹스 제안_최종" xfId="3254"/>
    <cellStyle name="_060721_하나커피카드_Media Mix_070328_르노삼성H45_4월 캠페인_Media Mix_NAS_071004_RSM_SM7_10월 미디어믹스 제안" xfId="3255"/>
    <cellStyle name="_060721_하나커피카드_Media Mix_070328_르노삼성H45_4월 캠페인_Media Mix_NAS_071102_RSM_QMX_11월 미디어믹스 제안" xfId="3256"/>
    <cellStyle name="_060721_하나커피카드_Media Mix_070328_르노삼성H45_4월 캠페인_Media Mix_NAS_071106_RSM_QMX_11월 미디어믹스 제안(수정)" xfId="3257"/>
    <cellStyle name="_060721_하나커피카드_Media Mix_070403_르노삼성QMX_Media Mix_NAS" xfId="3258"/>
    <cellStyle name="_060721_하나커피카드_Media Mix_070403_르노삼성QMX_Media Mix_NAS_070912_르노삼성QMX" xfId="3259"/>
    <cellStyle name="_060721_하나커피카드_Media Mix_070403_르노삼성QMX_Media Mix_NAS_071001_RSM_SM7_10월 미디어믹스 제안_최종" xfId="3260"/>
    <cellStyle name="_060721_하나커피카드_Media Mix_070403_르노삼성QMX_Media Mix_NAS_071004_RSM_SM7_10월 미디어믹스 제안" xfId="3261"/>
    <cellStyle name="_060721_하나커피카드_Media Mix_070403_르노삼성QMX_Media Mix_NAS_071102_RSM_QMX_11월 미디어믹스 제안" xfId="3262"/>
    <cellStyle name="_060721_하나커피카드_Media Mix_070403_르노삼성QMX_Media Mix_NAS_071106_RSM_QMX_11월 미디어믹스 제안(수정)" xfId="3263"/>
    <cellStyle name="_060724_Lacetti_PT_DIG_Schedule" xfId="3264"/>
    <cellStyle name="_060724_Lacetti_PT_DIG_Schedule_060724_Lacetti_PT_DIG_변경 스케쥴" xfId="3265"/>
    <cellStyle name="_060724_Lacetti_PT_DIG_Schedule_060824_미디어믹스(라세티)_DIG" xfId="3266"/>
    <cellStyle name="_060724_Lacetti_PT_DIG_Schedule_060829_미디어믹스(KT친친)_웰컴" xfId="3267"/>
    <cellStyle name="_060724_Lacetti_PT_DIG_Schedule_060830_미디어믹스(KT친친)_웰컴" xfId="3268"/>
    <cellStyle name="_060724_Lacetti_PT_DIG_Schedule_061010_KT 친친 미디어 제안_웰컴" xfId="3269"/>
    <cellStyle name="_060724_Lacetti_PT_DIG_Schedule_070306_KT FTTH_미디어믹스_웰콤_지나" xfId="3270"/>
    <cellStyle name="_060724_Lacetti_PT_DIG_Schedule_070307_KT FTTH_미디어믹스(제작가이드)_웰콤" xfId="3271"/>
    <cellStyle name="_060724_Lacetti_PT_DIG_Schedule_070307_KT FTTH_미디어믹스(최종)_웰콤" xfId="3272"/>
    <cellStyle name="_060724_Lacetti_PT_DIG_Schedule_KT FTTH_미디어 제안(최종)" xfId="3273"/>
    <cellStyle name="_061013_현대카드(PRIVIA)_Media Mix_NAS" xfId="3274"/>
    <cellStyle name="_070131_르노삼성(SM3)_Media Mix_NAS" xfId="3275"/>
    <cellStyle name="_070131_르노삼성(SM3)_Media Mix_NAS_070214_KT_Media Mix_NAS_지나" xfId="3276"/>
    <cellStyle name="_070131_르노삼성(SM5)_Media Mix_NAS(ver5)" xfId="3277"/>
    <cellStyle name="_070131_르노삼성(SM5)_Media Mix_NAS(ver5)_070202_르노삼성(SM5)_Media Mix_NAS(최종)_스케쥴표 포함" xfId="3278"/>
    <cellStyle name="_070131_르노삼성(SM5)_Media Mix_NAS(ver5)_070202_르노삼성(SM5)_Media Mix_NAS(최종)_스케쥴표 포함_070322_르노삼성H45_4월 캠페인_Media Mix_NAS" xfId="3279"/>
    <cellStyle name="_070131_르노삼성(SM5)_Media Mix_NAS(ver5)_070202_르노삼성(SM5)_Media Mix_NAS(최종)_스케쥴표 포함_070322_르노삼성H45_4월 캠페인_Media Mix_NAS_070912_르노삼성QMX" xfId="3280"/>
    <cellStyle name="_070131_르노삼성(SM5)_Media Mix_NAS(ver5)_070202_르노삼성(SM5)_Media Mix_NAS(최종)_스케쥴표 포함_070322_르노삼성H45_4월 캠페인_Media Mix_NAS_071001_RSM_SM7_10월 미디어믹스 제안_최종" xfId="3281"/>
    <cellStyle name="_070131_르노삼성(SM5)_Media Mix_NAS(ver5)_070202_르노삼성(SM5)_Media Mix_NAS(최종)_스케쥴표 포함_070322_르노삼성H45_4월 캠페인_Media Mix_NAS_071004_RSM_SM7_10월 미디어믹스 제안" xfId="3282"/>
    <cellStyle name="_070131_르노삼성(SM5)_Media Mix_NAS(ver5)_070202_르노삼성(SM5)_Media Mix_NAS(최종)_스케쥴표 포함_070322_르노삼성H45_4월 캠페인_Media Mix_NAS_071102_RSM_QMX_11월 미디어믹스 제안" xfId="3283"/>
    <cellStyle name="_070131_르노삼성(SM5)_Media Mix_NAS(ver5)_070202_르노삼성(SM5)_Media Mix_NAS(최종)_스케쥴표 포함_070322_르노삼성H45_4월 캠페인_Media Mix_NAS_071106_RSM_QMX_11월 미디어믹스 제안(수정)" xfId="3284"/>
    <cellStyle name="_070131_르노삼성(SM5)_Media Mix_NAS(ver5)_070202_르노삼성(SM5)_Media Mix_NAS(최종)_스케쥴표 포함_070326_르노삼성H45_4월 캠페인_Media Mix_NAS" xfId="3285"/>
    <cellStyle name="_070131_르노삼성(SM5)_Media Mix_NAS(ver5)_070202_르노삼성(SM5)_Media Mix_NAS(최종)_스케쥴표 포함_070326_르노삼성H45_4월 캠페인_Media Mix_NAS_070912_르노삼성QMX" xfId="3286"/>
    <cellStyle name="_070131_르노삼성(SM5)_Media Mix_NAS(ver5)_070202_르노삼성(SM5)_Media Mix_NAS(최종)_스케쥴표 포함_070326_르노삼성H45_4월 캠페인_Media Mix_NAS_071001_RSM_SM7_10월 미디어믹스 제안_최종" xfId="3287"/>
    <cellStyle name="_070131_르노삼성(SM5)_Media Mix_NAS(ver5)_070202_르노삼성(SM5)_Media Mix_NAS(최종)_스케쥴표 포함_070326_르노삼성H45_4월 캠페인_Media Mix_NAS_071004_RSM_SM7_10월 미디어믹스 제안" xfId="3288"/>
    <cellStyle name="_070131_르노삼성(SM5)_Media Mix_NAS(ver5)_070202_르노삼성(SM5)_Media Mix_NAS(최종)_스케쥴표 포함_070326_르노삼성H45_4월 캠페인_Media Mix_NAS_071102_RSM_QMX_11월 미디어믹스 제안" xfId="3289"/>
    <cellStyle name="_070131_르노삼성(SM5)_Media Mix_NAS(ver5)_070202_르노삼성(SM5)_Media Mix_NAS(최종)_스케쥴표 포함_070326_르노삼성H45_4월 캠페인_Media Mix_NAS_071106_RSM_QMX_11월 미디어믹스 제안(수정)" xfId="3290"/>
    <cellStyle name="_070131_르노삼성(SM5)_Media Mix_NAS(ver5)_070202_르노삼성(SM5)_Media Mix_NAS(최종)_스케쥴표 포함_070327_르노삼성H45_4월 캠페인_Media Mix_NAS" xfId="3291"/>
    <cellStyle name="_070131_르노삼성(SM5)_Media Mix_NAS(ver5)_070202_르노삼성(SM5)_Media Mix_NAS(최종)_스케쥴표 포함_070327_르노삼성H45_4월 캠페인_Media Mix_NAS_070912_르노삼성QMX" xfId="3292"/>
    <cellStyle name="_070131_르노삼성(SM5)_Media Mix_NAS(ver5)_070202_르노삼성(SM5)_Media Mix_NAS(최종)_스케쥴표 포함_070327_르노삼성H45_4월 캠페인_Media Mix_NAS_071001_RSM_SM7_10월 미디어믹스 제안_최종" xfId="3293"/>
    <cellStyle name="_070131_르노삼성(SM5)_Media Mix_NAS(ver5)_070202_르노삼성(SM5)_Media Mix_NAS(최종)_스케쥴표 포함_070327_르노삼성H45_4월 캠페인_Media Mix_NAS_071004_RSM_SM7_10월 미디어믹스 제안" xfId="3294"/>
    <cellStyle name="_070131_르노삼성(SM5)_Media Mix_NAS(ver5)_070202_르노삼성(SM5)_Media Mix_NAS(최종)_스케쥴표 포함_070327_르노삼성H45_4월 캠페인_Media Mix_NAS_071102_RSM_QMX_11월 미디어믹스 제안" xfId="3295"/>
    <cellStyle name="_070131_르노삼성(SM5)_Media Mix_NAS(ver5)_070202_르노삼성(SM5)_Media Mix_NAS(최종)_스케쥴표 포함_070327_르노삼성H45_4월 캠페인_Media Mix_NAS_071106_RSM_QMX_11월 미디어믹스 제안(수정)" xfId="3296"/>
    <cellStyle name="_070131_르노삼성(SM5)_Media Mix_NAS(ver5)_070202_르노삼성(SM5)_Media Mix_NAS(최종)_스케쥴표 포함_070328_르노삼성H45_4월 캠페인_Media Mix_NAS" xfId="3297"/>
    <cellStyle name="_070131_르노삼성(SM5)_Media Mix_NAS(ver5)_070202_르노삼성(SM5)_Media Mix_NAS(최종)_스케쥴표 포함_070328_르노삼성H45_4월 캠페인_Media Mix_NAS_070912_르노삼성QMX" xfId="3298"/>
    <cellStyle name="_070131_르노삼성(SM5)_Media Mix_NAS(ver5)_070202_르노삼성(SM5)_Media Mix_NAS(최종)_스케쥴표 포함_070328_르노삼성H45_4월 캠페인_Media Mix_NAS_071001_RSM_SM7_10월 미디어믹스 제안_최종" xfId="3299"/>
    <cellStyle name="_070131_르노삼성(SM5)_Media Mix_NAS(ver5)_070202_르노삼성(SM5)_Media Mix_NAS(최종)_스케쥴표 포함_070328_르노삼성H45_4월 캠페인_Media Mix_NAS_071004_RSM_SM7_10월 미디어믹스 제안" xfId="3300"/>
    <cellStyle name="_070131_르노삼성(SM5)_Media Mix_NAS(ver5)_070202_르노삼성(SM5)_Media Mix_NAS(최종)_스케쥴표 포함_070328_르노삼성H45_4월 캠페인_Media Mix_NAS_071102_RSM_QMX_11월 미디어믹스 제안" xfId="3301"/>
    <cellStyle name="_070131_르노삼성(SM5)_Media Mix_NAS(ver5)_070202_르노삼성(SM5)_Media Mix_NAS(최종)_스케쥴표 포함_070328_르노삼성H45_4월 캠페인_Media Mix_NAS_071106_RSM_QMX_11월 미디어믹스 제안(수정)" xfId="3302"/>
    <cellStyle name="_070131_르노삼성(SM5)_Media Mix_NAS(ver5)_070202_르노삼성(SM5)_Media Mix_NAS(최종)_스케쥴표 포함_070403_르노삼성QMX_Media Mix_NAS" xfId="3303"/>
    <cellStyle name="_070131_르노삼성(SM5)_Media Mix_NAS(ver5)_070202_르노삼성(SM5)_Media Mix_NAS(최종)_스케쥴표 포함_070403_르노삼성QMX_Media Mix_NAS_070912_르노삼성QMX" xfId="3304"/>
    <cellStyle name="_070131_르노삼성(SM5)_Media Mix_NAS(ver5)_070202_르노삼성(SM5)_Media Mix_NAS(최종)_스케쥴표 포함_070403_르노삼성QMX_Media Mix_NAS_071001_RSM_SM7_10월 미디어믹스 제안_최종" xfId="3305"/>
    <cellStyle name="_070131_르노삼성(SM5)_Media Mix_NAS(ver5)_070202_르노삼성(SM5)_Media Mix_NAS(최종)_스케쥴표 포함_070403_르노삼성QMX_Media Mix_NAS_071004_RSM_SM7_10월 미디어믹스 제안" xfId="3306"/>
    <cellStyle name="_070131_르노삼성(SM5)_Media Mix_NAS(ver5)_070202_르노삼성(SM5)_Media Mix_NAS(최종)_스케쥴표 포함_070403_르노삼성QMX_Media Mix_NAS_071102_RSM_QMX_11월 미디어믹스 제안" xfId="3307"/>
    <cellStyle name="_070131_르노삼성(SM5)_Media Mix_NAS(ver5)_070202_르노삼성(SM5)_Media Mix_NAS(최종)_스케쥴표 포함_070403_르노삼성QMX_Media Mix_NAS_071106_RSM_QMX_11월 미디어믹스 제안(수정)" xfId="3308"/>
    <cellStyle name="_070131_르노삼성(SM5)_Media Mix_NAS(ver5)_070202_르노삼성(SM5)_Media Mix_NAS(최종)_스케쥴표 포함_르노삼성 믹스종합_070214" xfId="3309"/>
    <cellStyle name="_070131_르노삼성(SM5)_Media Mix_NAS(ver5)_070202_르노삼성(SM5)_Media Mix_NAS(최종)_스케쥴표 포함_르노삼성 믹스종합_070214_070322_르노삼성H45_4월 캠페인_Media Mix_NAS" xfId="3310"/>
    <cellStyle name="_070131_르노삼성(SM5)_Media Mix_NAS(ver5)_070202_르노삼성(SM5)_Media Mix_NAS(최종)_스케쥴표 포함_르노삼성 믹스종합_070214_070322_르노삼성H45_4월 캠페인_Media Mix_NAS_070912_르노삼성QMX" xfId="3311"/>
    <cellStyle name="_070131_르노삼성(SM5)_Media Mix_NAS(ver5)_070202_르노삼성(SM5)_Media Mix_NAS(최종)_스케쥴표 포함_르노삼성 믹스종합_070214_070322_르노삼성H45_4월 캠페인_Media Mix_NAS_071001_RSM_SM7_10월 미디어믹스 제안_최종" xfId="3312"/>
    <cellStyle name="_070131_르노삼성(SM5)_Media Mix_NAS(ver5)_070202_르노삼성(SM5)_Media Mix_NAS(최종)_스케쥴표 포함_르노삼성 믹스종합_070214_070322_르노삼성H45_4월 캠페인_Media Mix_NAS_071004_RSM_SM7_10월 미디어믹스 제안" xfId="3313"/>
    <cellStyle name="_070131_르노삼성(SM5)_Media Mix_NAS(ver5)_070202_르노삼성(SM5)_Media Mix_NAS(최종)_스케쥴표 포함_르노삼성 믹스종합_070214_070322_르노삼성H45_4월 캠페인_Media Mix_NAS_071102_RSM_QMX_11월 미디어믹스 제안" xfId="3314"/>
    <cellStyle name="_070131_르노삼성(SM5)_Media Mix_NAS(ver5)_070202_르노삼성(SM5)_Media Mix_NAS(최종)_스케쥴표 포함_르노삼성 믹스종합_070214_070322_르노삼성H45_4월 캠페인_Media Mix_NAS_071106_RSM_QMX_11월 미디어믹스 제안(수정)" xfId="3315"/>
    <cellStyle name="_070131_르노삼성(SM5)_Media Mix_NAS(ver5)_070202_르노삼성(SM5)_Media Mix_NAS(최종)_스케쥴표 포함_르노삼성 믹스종합_070214_070326_르노삼성H45_4월 캠페인_Media Mix_NAS" xfId="3316"/>
    <cellStyle name="_070131_르노삼성(SM5)_Media Mix_NAS(ver5)_070202_르노삼성(SM5)_Media Mix_NAS(최종)_스케쥴표 포함_르노삼성 믹스종합_070214_070326_르노삼성H45_4월 캠페인_Media Mix_NAS_070912_르노삼성QMX" xfId="3317"/>
    <cellStyle name="_070131_르노삼성(SM5)_Media Mix_NAS(ver5)_070202_르노삼성(SM5)_Media Mix_NAS(최종)_스케쥴표 포함_르노삼성 믹스종합_070214_070326_르노삼성H45_4월 캠페인_Media Mix_NAS_071001_RSM_SM7_10월 미디어믹스 제안_최종" xfId="3318"/>
    <cellStyle name="_070131_르노삼성(SM5)_Media Mix_NAS(ver5)_070202_르노삼성(SM5)_Media Mix_NAS(최종)_스케쥴표 포함_르노삼성 믹스종합_070214_070326_르노삼성H45_4월 캠페인_Media Mix_NAS_071004_RSM_SM7_10월 미디어믹스 제안" xfId="3319"/>
    <cellStyle name="_070131_르노삼성(SM5)_Media Mix_NAS(ver5)_070202_르노삼성(SM5)_Media Mix_NAS(최종)_스케쥴표 포함_르노삼성 믹스종합_070214_070326_르노삼성H45_4월 캠페인_Media Mix_NAS_071102_RSM_QMX_11월 미디어믹스 제안" xfId="3320"/>
    <cellStyle name="_070131_르노삼성(SM5)_Media Mix_NAS(ver5)_070202_르노삼성(SM5)_Media Mix_NAS(최종)_스케쥴표 포함_르노삼성 믹스종합_070214_070326_르노삼성H45_4월 캠페인_Media Mix_NAS_071106_RSM_QMX_11월 미디어믹스 제안(수정)" xfId="3321"/>
    <cellStyle name="_070131_르노삼성(SM5)_Media Mix_NAS(ver5)_070202_르노삼성(SM5)_Media Mix_NAS(최종)_스케쥴표 포함_르노삼성 믹스종합_070214_070327_르노삼성H45_4월 캠페인_Media Mix_NAS" xfId="3322"/>
    <cellStyle name="_070131_르노삼성(SM5)_Media Mix_NAS(ver5)_070202_르노삼성(SM5)_Media Mix_NAS(최종)_스케쥴표 포함_르노삼성 믹스종합_070214_070327_르노삼성H45_4월 캠페인_Media Mix_NAS_070912_르노삼성QMX" xfId="3323"/>
    <cellStyle name="_070131_르노삼성(SM5)_Media Mix_NAS(ver5)_070202_르노삼성(SM5)_Media Mix_NAS(최종)_스케쥴표 포함_르노삼성 믹스종합_070214_070327_르노삼성H45_4월 캠페인_Media Mix_NAS_071001_RSM_SM7_10월 미디어믹스 제안_최종" xfId="3324"/>
    <cellStyle name="_070131_르노삼성(SM5)_Media Mix_NAS(ver5)_070202_르노삼성(SM5)_Media Mix_NAS(최종)_스케쥴표 포함_르노삼성 믹스종합_070214_070327_르노삼성H45_4월 캠페인_Media Mix_NAS_071004_RSM_SM7_10월 미디어믹스 제안" xfId="3325"/>
    <cellStyle name="_070131_르노삼성(SM5)_Media Mix_NAS(ver5)_070202_르노삼성(SM5)_Media Mix_NAS(최종)_스케쥴표 포함_르노삼성 믹스종합_070214_070327_르노삼성H45_4월 캠페인_Media Mix_NAS_071102_RSM_QMX_11월 미디어믹스 제안" xfId="3326"/>
    <cellStyle name="_070131_르노삼성(SM5)_Media Mix_NAS(ver5)_070202_르노삼성(SM5)_Media Mix_NAS(최종)_스케쥴표 포함_르노삼성 믹스종합_070214_070327_르노삼성H45_4월 캠페인_Media Mix_NAS_071106_RSM_QMX_11월 미디어믹스 제안(수정)" xfId="3327"/>
    <cellStyle name="_070131_르노삼성(SM5)_Media Mix_NAS(ver5)_070202_르노삼성(SM5)_Media Mix_NAS(최종)_스케쥴표 포함_르노삼성 믹스종합_070214_070328_르노삼성H45_4월 캠페인_Media Mix_NAS" xfId="3328"/>
    <cellStyle name="_070131_르노삼성(SM5)_Media Mix_NAS(ver5)_070202_르노삼성(SM5)_Media Mix_NAS(최종)_스케쥴표 포함_르노삼성 믹스종합_070214_070328_르노삼성H45_4월 캠페인_Media Mix_NAS_070912_르노삼성QMX" xfId="3329"/>
    <cellStyle name="_070131_르노삼성(SM5)_Media Mix_NAS(ver5)_070202_르노삼성(SM5)_Media Mix_NAS(최종)_스케쥴표 포함_르노삼성 믹스종합_070214_070328_르노삼성H45_4월 캠페인_Media Mix_NAS_071001_RSM_SM7_10월 미디어믹스 제안_최종" xfId="3330"/>
    <cellStyle name="_070131_르노삼성(SM5)_Media Mix_NAS(ver5)_070202_르노삼성(SM5)_Media Mix_NAS(최종)_스케쥴표 포함_르노삼성 믹스종합_070214_070328_르노삼성H45_4월 캠페인_Media Mix_NAS_071004_RSM_SM7_10월 미디어믹스 제안" xfId="3331"/>
    <cellStyle name="_070131_르노삼성(SM5)_Media Mix_NAS(ver5)_070202_르노삼성(SM5)_Media Mix_NAS(최종)_스케쥴표 포함_르노삼성 믹스종합_070214_070328_르노삼성H45_4월 캠페인_Media Mix_NAS_071102_RSM_QMX_11월 미디어믹스 제안" xfId="3332"/>
    <cellStyle name="_070131_르노삼성(SM5)_Media Mix_NAS(ver5)_070202_르노삼성(SM5)_Media Mix_NAS(최종)_스케쥴표 포함_르노삼성 믹스종합_070214_070328_르노삼성H45_4월 캠페인_Media Mix_NAS_071106_RSM_QMX_11월 미디어믹스 제안(수정)" xfId="3333"/>
    <cellStyle name="_070131_르노삼성(SM5)_Media Mix_NAS(ver5)_070202_르노삼성(SM5)_Media Mix_NAS(최종)_스케쥴표 포함_르노삼성 믹스종합_070214_070403_르노삼성QMX_Media Mix_NAS" xfId="3334"/>
    <cellStyle name="_070131_르노삼성(SM5)_Media Mix_NAS(ver5)_070202_르노삼성(SM5)_Media Mix_NAS(최종)_스케쥴표 포함_르노삼성 믹스종합_070214_070403_르노삼성QMX_Media Mix_NAS_070912_르노삼성QMX" xfId="3335"/>
    <cellStyle name="_070131_르노삼성(SM5)_Media Mix_NAS(ver5)_070202_르노삼성(SM5)_Media Mix_NAS(최종)_스케쥴표 포함_르노삼성 믹스종합_070214_070403_르노삼성QMX_Media Mix_NAS_071001_RSM_SM7_10월 미디어믹스 제안_최종" xfId="3336"/>
    <cellStyle name="_070131_르노삼성(SM5)_Media Mix_NAS(ver5)_070202_르노삼성(SM5)_Media Mix_NAS(최종)_스케쥴표 포함_르노삼성 믹스종합_070214_070403_르노삼성QMX_Media Mix_NAS_071004_RSM_SM7_10월 미디어믹스 제안" xfId="3337"/>
    <cellStyle name="_070131_르노삼성(SM5)_Media Mix_NAS(ver5)_070202_르노삼성(SM5)_Media Mix_NAS(최종)_스케쥴표 포함_르노삼성 믹스종합_070214_070403_르노삼성QMX_Media Mix_NAS_071102_RSM_QMX_11월 미디어믹스 제안" xfId="3338"/>
    <cellStyle name="_070131_르노삼성(SM5)_Media Mix_NAS(ver5)_070202_르노삼성(SM5)_Media Mix_NAS(최종)_스케쥴표 포함_르노삼성 믹스종합_070214_070403_르노삼성QMX_Media Mix_NAS_071106_RSM_QMX_11월 미디어믹스 제안(수정)" xfId="3339"/>
    <cellStyle name="_070131_르노삼성(SM5)_Media Mix_NAS(ver5)_070322_르노삼성H45_4월 캠페인_Media Mix_NAS" xfId="3340"/>
    <cellStyle name="_070131_르노삼성(SM5)_Media Mix_NAS(ver5)_070322_르노삼성H45_4월 캠페인_Media Mix_NAS_070912_르노삼성QMX" xfId="3341"/>
    <cellStyle name="_070131_르노삼성(SM5)_Media Mix_NAS(ver5)_070322_르노삼성H45_4월 캠페인_Media Mix_NAS_071001_RSM_SM7_10월 미디어믹스 제안_최종" xfId="3342"/>
    <cellStyle name="_070131_르노삼성(SM5)_Media Mix_NAS(ver5)_070322_르노삼성H45_4월 캠페인_Media Mix_NAS_071004_RSM_SM7_10월 미디어믹스 제안" xfId="3343"/>
    <cellStyle name="_070131_르노삼성(SM5)_Media Mix_NAS(ver5)_070322_르노삼성H45_4월 캠페인_Media Mix_NAS_071102_RSM_QMX_11월 미디어믹스 제안" xfId="3344"/>
    <cellStyle name="_070131_르노삼성(SM5)_Media Mix_NAS(ver5)_070322_르노삼성H45_4월 캠페인_Media Mix_NAS_071106_RSM_QMX_11월 미디어믹스 제안(수정)" xfId="3345"/>
    <cellStyle name="_070131_르노삼성(SM5)_Media Mix_NAS(ver5)_070326_르노삼성H45_4월 캠페인_Media Mix_NAS" xfId="3346"/>
    <cellStyle name="_070131_르노삼성(SM5)_Media Mix_NAS(ver5)_070326_르노삼성H45_4월 캠페인_Media Mix_NAS_070912_르노삼성QMX" xfId="3347"/>
    <cellStyle name="_070131_르노삼성(SM5)_Media Mix_NAS(ver5)_070326_르노삼성H45_4월 캠페인_Media Mix_NAS_071001_RSM_SM7_10월 미디어믹스 제안_최종" xfId="3348"/>
    <cellStyle name="_070131_르노삼성(SM5)_Media Mix_NAS(ver5)_070326_르노삼성H45_4월 캠페인_Media Mix_NAS_071004_RSM_SM7_10월 미디어믹스 제안" xfId="3349"/>
    <cellStyle name="_070131_르노삼성(SM5)_Media Mix_NAS(ver5)_070326_르노삼성H45_4월 캠페인_Media Mix_NAS_071102_RSM_QMX_11월 미디어믹스 제안" xfId="3350"/>
    <cellStyle name="_070131_르노삼성(SM5)_Media Mix_NAS(ver5)_070326_르노삼성H45_4월 캠페인_Media Mix_NAS_071106_RSM_QMX_11월 미디어믹스 제안(수정)" xfId="3351"/>
    <cellStyle name="_070131_르노삼성(SM5)_Media Mix_NAS(ver5)_070327_르노삼성H45_4월 캠페인_Media Mix_NAS" xfId="3352"/>
    <cellStyle name="_070131_르노삼성(SM5)_Media Mix_NAS(ver5)_070327_르노삼성H45_4월 캠페인_Media Mix_NAS_070912_르노삼성QMX" xfId="3353"/>
    <cellStyle name="_070131_르노삼성(SM5)_Media Mix_NAS(ver5)_070327_르노삼성H45_4월 캠페인_Media Mix_NAS_071001_RSM_SM7_10월 미디어믹스 제안_최종" xfId="3354"/>
    <cellStyle name="_070131_르노삼성(SM5)_Media Mix_NAS(ver5)_070327_르노삼성H45_4월 캠페인_Media Mix_NAS_071004_RSM_SM7_10월 미디어믹스 제안" xfId="3355"/>
    <cellStyle name="_070131_르노삼성(SM5)_Media Mix_NAS(ver5)_070327_르노삼성H45_4월 캠페인_Media Mix_NAS_071102_RSM_QMX_11월 미디어믹스 제안" xfId="3356"/>
    <cellStyle name="_070131_르노삼성(SM5)_Media Mix_NAS(ver5)_070327_르노삼성H45_4월 캠페인_Media Mix_NAS_071106_RSM_QMX_11월 미디어믹스 제안(수정)" xfId="3357"/>
    <cellStyle name="_070131_르노삼성(SM5)_Media Mix_NAS(ver5)_070328_르노삼성H45_4월 캠페인_Media Mix_NAS" xfId="3358"/>
    <cellStyle name="_070131_르노삼성(SM5)_Media Mix_NAS(ver5)_070328_르노삼성H45_4월 캠페인_Media Mix_NAS_070912_르노삼성QMX" xfId="3359"/>
    <cellStyle name="_070131_르노삼성(SM5)_Media Mix_NAS(ver5)_070328_르노삼성H45_4월 캠페인_Media Mix_NAS_071001_RSM_SM7_10월 미디어믹스 제안_최종" xfId="3360"/>
    <cellStyle name="_070131_르노삼성(SM5)_Media Mix_NAS(ver5)_070328_르노삼성H45_4월 캠페인_Media Mix_NAS_071004_RSM_SM7_10월 미디어믹스 제안" xfId="3361"/>
    <cellStyle name="_070131_르노삼성(SM5)_Media Mix_NAS(ver5)_070328_르노삼성H45_4월 캠페인_Media Mix_NAS_071102_RSM_QMX_11월 미디어믹스 제안" xfId="3362"/>
    <cellStyle name="_070131_르노삼성(SM5)_Media Mix_NAS(ver5)_070328_르노삼성H45_4월 캠페인_Media Mix_NAS_071106_RSM_QMX_11월 미디어믹스 제안(수정)" xfId="3363"/>
    <cellStyle name="_070131_르노삼성(SM5)_Media Mix_NAS(ver5)_070403_르노삼성QMX_Media Mix_NAS" xfId="3364"/>
    <cellStyle name="_070131_르노삼성(SM5)_Media Mix_NAS(ver5)_070403_르노삼성QMX_Media Mix_NAS_070912_르노삼성QMX" xfId="3365"/>
    <cellStyle name="_070131_르노삼성(SM5)_Media Mix_NAS(ver5)_070403_르노삼성QMX_Media Mix_NAS_071001_RSM_SM7_10월 미디어믹스 제안_최종" xfId="3366"/>
    <cellStyle name="_070131_르노삼성(SM5)_Media Mix_NAS(ver5)_070403_르노삼성QMX_Media Mix_NAS_071004_RSM_SM7_10월 미디어믹스 제안" xfId="3367"/>
    <cellStyle name="_070131_르노삼성(SM5)_Media Mix_NAS(ver5)_070403_르노삼성QMX_Media Mix_NAS_071102_RSM_QMX_11월 미디어믹스 제안" xfId="3368"/>
    <cellStyle name="_070131_르노삼성(SM5)_Media Mix_NAS(ver5)_070403_르노삼성QMX_Media Mix_NAS_071106_RSM_QMX_11월 미디어믹스 제안(수정)" xfId="3369"/>
    <cellStyle name="_070201_르노삼성(SM5)_Media Mix_NAS(최종)" xfId="3370"/>
    <cellStyle name="_070201_르노삼성(SM5)_Media Mix_NAS(최종)_070202_르노삼성(SM5)_Media Mix_NAS(최종)_스케쥴표 포함" xfId="3371"/>
    <cellStyle name="_070201_르노삼성(SM5)_Media Mix_NAS(최종)_070202_르노삼성(SM5)_Media Mix_NAS(최종)_스케쥴표 포함_070322_르노삼성H45_4월 캠페인_Media Mix_NAS" xfId="3372"/>
    <cellStyle name="_070201_르노삼성(SM5)_Media Mix_NAS(최종)_070202_르노삼성(SM5)_Media Mix_NAS(최종)_스케쥴표 포함_070322_르노삼성H45_4월 캠페인_Media Mix_NAS_070912_르노삼성QMX" xfId="3373"/>
    <cellStyle name="_070201_르노삼성(SM5)_Media Mix_NAS(최종)_070202_르노삼성(SM5)_Media Mix_NAS(최종)_스케쥴표 포함_070322_르노삼성H45_4월 캠페인_Media Mix_NAS_071001_RSM_SM7_10월 미디어믹스 제안_최종" xfId="3374"/>
    <cellStyle name="_070201_르노삼성(SM5)_Media Mix_NAS(최종)_070202_르노삼성(SM5)_Media Mix_NAS(최종)_스케쥴표 포함_070322_르노삼성H45_4월 캠페인_Media Mix_NAS_071004_RSM_SM7_10월 미디어믹스 제안" xfId="3375"/>
    <cellStyle name="_070201_르노삼성(SM5)_Media Mix_NAS(최종)_070202_르노삼성(SM5)_Media Mix_NAS(최종)_스케쥴표 포함_070322_르노삼성H45_4월 캠페인_Media Mix_NAS_071102_RSM_QMX_11월 미디어믹스 제안" xfId="3376"/>
    <cellStyle name="_070201_르노삼성(SM5)_Media Mix_NAS(최종)_070202_르노삼성(SM5)_Media Mix_NAS(최종)_스케쥴표 포함_070322_르노삼성H45_4월 캠페인_Media Mix_NAS_071106_RSM_QMX_11월 미디어믹스 제안(수정)" xfId="3377"/>
    <cellStyle name="_070201_르노삼성(SM5)_Media Mix_NAS(최종)_070202_르노삼성(SM5)_Media Mix_NAS(최종)_스케쥴표 포함_070326_르노삼성H45_4월 캠페인_Media Mix_NAS" xfId="3378"/>
    <cellStyle name="_070201_르노삼성(SM5)_Media Mix_NAS(최종)_070202_르노삼성(SM5)_Media Mix_NAS(최종)_스케쥴표 포함_070326_르노삼성H45_4월 캠페인_Media Mix_NAS_070912_르노삼성QMX" xfId="3379"/>
    <cellStyle name="_070201_르노삼성(SM5)_Media Mix_NAS(최종)_070202_르노삼성(SM5)_Media Mix_NAS(최종)_스케쥴표 포함_070326_르노삼성H45_4월 캠페인_Media Mix_NAS_071001_RSM_SM7_10월 미디어믹스 제안_최종" xfId="3380"/>
    <cellStyle name="_070201_르노삼성(SM5)_Media Mix_NAS(최종)_070202_르노삼성(SM5)_Media Mix_NAS(최종)_스케쥴표 포함_070326_르노삼성H45_4월 캠페인_Media Mix_NAS_071004_RSM_SM7_10월 미디어믹스 제안" xfId="3381"/>
    <cellStyle name="_070201_르노삼성(SM5)_Media Mix_NAS(최종)_070202_르노삼성(SM5)_Media Mix_NAS(최종)_스케쥴표 포함_070326_르노삼성H45_4월 캠페인_Media Mix_NAS_071102_RSM_QMX_11월 미디어믹스 제안" xfId="3382"/>
    <cellStyle name="_070201_르노삼성(SM5)_Media Mix_NAS(최종)_070202_르노삼성(SM5)_Media Mix_NAS(최종)_스케쥴표 포함_070326_르노삼성H45_4월 캠페인_Media Mix_NAS_071106_RSM_QMX_11월 미디어믹스 제안(수정)" xfId="3383"/>
    <cellStyle name="_070201_르노삼성(SM5)_Media Mix_NAS(최종)_070202_르노삼성(SM5)_Media Mix_NAS(최종)_스케쥴표 포함_070327_르노삼성H45_4월 캠페인_Media Mix_NAS" xfId="3384"/>
    <cellStyle name="_070201_르노삼성(SM5)_Media Mix_NAS(최종)_070202_르노삼성(SM5)_Media Mix_NAS(최종)_스케쥴표 포함_070327_르노삼성H45_4월 캠페인_Media Mix_NAS_070912_르노삼성QMX" xfId="3385"/>
    <cellStyle name="_070201_르노삼성(SM5)_Media Mix_NAS(최종)_070202_르노삼성(SM5)_Media Mix_NAS(최종)_스케쥴표 포함_070327_르노삼성H45_4월 캠페인_Media Mix_NAS_071001_RSM_SM7_10월 미디어믹스 제안_최종" xfId="3386"/>
    <cellStyle name="_070201_르노삼성(SM5)_Media Mix_NAS(최종)_070202_르노삼성(SM5)_Media Mix_NAS(최종)_스케쥴표 포함_070327_르노삼성H45_4월 캠페인_Media Mix_NAS_071004_RSM_SM7_10월 미디어믹스 제안" xfId="3387"/>
    <cellStyle name="_070201_르노삼성(SM5)_Media Mix_NAS(최종)_070202_르노삼성(SM5)_Media Mix_NAS(최종)_스케쥴표 포함_070327_르노삼성H45_4월 캠페인_Media Mix_NAS_071102_RSM_QMX_11월 미디어믹스 제안" xfId="3388"/>
    <cellStyle name="_070201_르노삼성(SM5)_Media Mix_NAS(최종)_070202_르노삼성(SM5)_Media Mix_NAS(최종)_스케쥴표 포함_070327_르노삼성H45_4월 캠페인_Media Mix_NAS_071106_RSM_QMX_11월 미디어믹스 제안(수정)" xfId="3389"/>
    <cellStyle name="_070201_르노삼성(SM5)_Media Mix_NAS(최종)_070202_르노삼성(SM5)_Media Mix_NAS(최종)_스케쥴표 포함_070328_르노삼성H45_4월 캠페인_Media Mix_NAS" xfId="3390"/>
    <cellStyle name="_070201_르노삼성(SM5)_Media Mix_NAS(최종)_070202_르노삼성(SM5)_Media Mix_NAS(최종)_스케쥴표 포함_070328_르노삼성H45_4월 캠페인_Media Mix_NAS_070912_르노삼성QMX" xfId="3391"/>
    <cellStyle name="_070201_르노삼성(SM5)_Media Mix_NAS(최종)_070202_르노삼성(SM5)_Media Mix_NAS(최종)_스케쥴표 포함_070328_르노삼성H45_4월 캠페인_Media Mix_NAS_071001_RSM_SM7_10월 미디어믹스 제안_최종" xfId="3392"/>
    <cellStyle name="_070201_르노삼성(SM5)_Media Mix_NAS(최종)_070202_르노삼성(SM5)_Media Mix_NAS(최종)_스케쥴표 포함_070328_르노삼성H45_4월 캠페인_Media Mix_NAS_071004_RSM_SM7_10월 미디어믹스 제안" xfId="3393"/>
    <cellStyle name="_070201_르노삼성(SM5)_Media Mix_NAS(최종)_070202_르노삼성(SM5)_Media Mix_NAS(최종)_스케쥴표 포함_070328_르노삼성H45_4월 캠페인_Media Mix_NAS_071102_RSM_QMX_11월 미디어믹스 제안" xfId="3394"/>
    <cellStyle name="_070201_르노삼성(SM5)_Media Mix_NAS(최종)_070202_르노삼성(SM5)_Media Mix_NAS(최종)_스케쥴표 포함_070328_르노삼성H45_4월 캠페인_Media Mix_NAS_071106_RSM_QMX_11월 미디어믹스 제안(수정)" xfId="3395"/>
    <cellStyle name="_070201_르노삼성(SM5)_Media Mix_NAS(최종)_070202_르노삼성(SM5)_Media Mix_NAS(최종)_스케쥴표 포함_070403_르노삼성QMX_Media Mix_NAS" xfId="3396"/>
    <cellStyle name="_070201_르노삼성(SM5)_Media Mix_NAS(최종)_070202_르노삼성(SM5)_Media Mix_NAS(최종)_스케쥴표 포함_070403_르노삼성QMX_Media Mix_NAS_070912_르노삼성QMX" xfId="3397"/>
    <cellStyle name="_070201_르노삼성(SM5)_Media Mix_NAS(최종)_070202_르노삼성(SM5)_Media Mix_NAS(최종)_스케쥴표 포함_070403_르노삼성QMX_Media Mix_NAS_071001_RSM_SM7_10월 미디어믹스 제안_최종" xfId="3398"/>
    <cellStyle name="_070201_르노삼성(SM5)_Media Mix_NAS(최종)_070202_르노삼성(SM5)_Media Mix_NAS(최종)_스케쥴표 포함_070403_르노삼성QMX_Media Mix_NAS_071004_RSM_SM7_10월 미디어믹스 제안" xfId="3399"/>
    <cellStyle name="_070201_르노삼성(SM5)_Media Mix_NAS(최종)_070202_르노삼성(SM5)_Media Mix_NAS(최종)_스케쥴표 포함_070403_르노삼성QMX_Media Mix_NAS_071102_RSM_QMX_11월 미디어믹스 제안" xfId="3400"/>
    <cellStyle name="_070201_르노삼성(SM5)_Media Mix_NAS(최종)_070202_르노삼성(SM5)_Media Mix_NAS(최종)_스케쥴표 포함_070403_르노삼성QMX_Media Mix_NAS_071106_RSM_QMX_11월 미디어믹스 제안(수정)" xfId="3401"/>
    <cellStyle name="_070201_르노삼성(SM5)_Media Mix_NAS(최종)_070202_르노삼성(SM5)_Media Mix_NAS(최종)_스케쥴표 포함_르노삼성 믹스종합_070214" xfId="3402"/>
    <cellStyle name="_070201_르노삼성(SM5)_Media Mix_NAS(최종)_070202_르노삼성(SM5)_Media Mix_NAS(최종)_스케쥴표 포함_르노삼성 믹스종합_070214_070322_르노삼성H45_4월 캠페인_Media Mix_NAS" xfId="3403"/>
    <cellStyle name="_070201_르노삼성(SM5)_Media Mix_NAS(최종)_070202_르노삼성(SM5)_Media Mix_NAS(최종)_스케쥴표 포함_르노삼성 믹스종합_070214_070322_르노삼성H45_4월 캠페인_Media Mix_NAS_070912_르노삼성QMX" xfId="3404"/>
    <cellStyle name="_070201_르노삼성(SM5)_Media Mix_NAS(최종)_070202_르노삼성(SM5)_Media Mix_NAS(최종)_스케쥴표 포함_르노삼성 믹스종합_070214_070322_르노삼성H45_4월 캠페인_Media Mix_NAS_071001_RSM_SM7_10월 미디어믹스 제안_최종" xfId="3405"/>
    <cellStyle name="_070201_르노삼성(SM5)_Media Mix_NAS(최종)_070202_르노삼성(SM5)_Media Mix_NAS(최종)_스케쥴표 포함_르노삼성 믹스종합_070214_070322_르노삼성H45_4월 캠페인_Media Mix_NAS_071004_RSM_SM7_10월 미디어믹스 제안" xfId="3406"/>
    <cellStyle name="_070201_르노삼성(SM5)_Media Mix_NAS(최종)_070202_르노삼성(SM5)_Media Mix_NAS(최종)_스케쥴표 포함_르노삼성 믹스종합_070214_070322_르노삼성H45_4월 캠페인_Media Mix_NAS_071102_RSM_QMX_11월 미디어믹스 제안" xfId="3407"/>
    <cellStyle name="_070201_르노삼성(SM5)_Media Mix_NAS(최종)_070202_르노삼성(SM5)_Media Mix_NAS(최종)_스케쥴표 포함_르노삼성 믹스종합_070214_070322_르노삼성H45_4월 캠페인_Media Mix_NAS_071106_RSM_QMX_11월 미디어믹스 제안(수정)" xfId="3408"/>
    <cellStyle name="_070201_르노삼성(SM5)_Media Mix_NAS(최종)_070202_르노삼성(SM5)_Media Mix_NAS(최종)_스케쥴표 포함_르노삼성 믹스종합_070214_070326_르노삼성H45_4월 캠페인_Media Mix_NAS" xfId="3409"/>
    <cellStyle name="_070201_르노삼성(SM5)_Media Mix_NAS(최종)_070202_르노삼성(SM5)_Media Mix_NAS(최종)_스케쥴표 포함_르노삼성 믹스종합_070214_070326_르노삼성H45_4월 캠페인_Media Mix_NAS_070912_르노삼성QMX" xfId="3410"/>
    <cellStyle name="_070201_르노삼성(SM5)_Media Mix_NAS(최종)_070202_르노삼성(SM5)_Media Mix_NAS(최종)_스케쥴표 포함_르노삼성 믹스종합_070214_070326_르노삼성H45_4월 캠페인_Media Mix_NAS_071001_RSM_SM7_10월 미디어믹스 제안_최종" xfId="3411"/>
    <cellStyle name="_070201_르노삼성(SM5)_Media Mix_NAS(최종)_070202_르노삼성(SM5)_Media Mix_NAS(최종)_스케쥴표 포함_르노삼성 믹스종합_070214_070326_르노삼성H45_4월 캠페인_Media Mix_NAS_071004_RSM_SM7_10월 미디어믹스 제안" xfId="3412"/>
    <cellStyle name="_070201_르노삼성(SM5)_Media Mix_NAS(최종)_070202_르노삼성(SM5)_Media Mix_NAS(최종)_스케쥴표 포함_르노삼성 믹스종합_070214_070326_르노삼성H45_4월 캠페인_Media Mix_NAS_071102_RSM_QMX_11월 미디어믹스 제안" xfId="3413"/>
    <cellStyle name="_070201_르노삼성(SM5)_Media Mix_NAS(최종)_070202_르노삼성(SM5)_Media Mix_NAS(최종)_스케쥴표 포함_르노삼성 믹스종합_070214_070326_르노삼성H45_4월 캠페인_Media Mix_NAS_071106_RSM_QMX_11월 미디어믹스 제안(수정)" xfId="3414"/>
    <cellStyle name="_070201_르노삼성(SM5)_Media Mix_NAS(최종)_070202_르노삼성(SM5)_Media Mix_NAS(최종)_스케쥴표 포함_르노삼성 믹스종합_070214_070327_르노삼성H45_4월 캠페인_Media Mix_NAS" xfId="3415"/>
    <cellStyle name="_070201_르노삼성(SM5)_Media Mix_NAS(최종)_070202_르노삼성(SM5)_Media Mix_NAS(최종)_스케쥴표 포함_르노삼성 믹스종합_070214_070327_르노삼성H45_4월 캠페인_Media Mix_NAS_070912_르노삼성QMX" xfId="3416"/>
    <cellStyle name="_070201_르노삼성(SM5)_Media Mix_NAS(최종)_070202_르노삼성(SM5)_Media Mix_NAS(최종)_스케쥴표 포함_르노삼성 믹스종합_070214_070327_르노삼성H45_4월 캠페인_Media Mix_NAS_071001_RSM_SM7_10월 미디어믹스 제안_최종" xfId="3417"/>
    <cellStyle name="_070201_르노삼성(SM5)_Media Mix_NAS(최종)_070202_르노삼성(SM5)_Media Mix_NAS(최종)_스케쥴표 포함_르노삼성 믹스종합_070214_070327_르노삼성H45_4월 캠페인_Media Mix_NAS_071004_RSM_SM7_10월 미디어믹스 제안" xfId="3418"/>
    <cellStyle name="_070201_르노삼성(SM5)_Media Mix_NAS(최종)_070202_르노삼성(SM5)_Media Mix_NAS(최종)_스케쥴표 포함_르노삼성 믹스종합_070214_070327_르노삼성H45_4월 캠페인_Media Mix_NAS_071102_RSM_QMX_11월 미디어믹스 제안" xfId="3419"/>
    <cellStyle name="_070201_르노삼성(SM5)_Media Mix_NAS(최종)_070202_르노삼성(SM5)_Media Mix_NAS(최종)_스케쥴표 포함_르노삼성 믹스종합_070214_070327_르노삼성H45_4월 캠페인_Media Mix_NAS_071106_RSM_QMX_11월 미디어믹스 제안(수정)" xfId="3420"/>
    <cellStyle name="_070201_르노삼성(SM5)_Media Mix_NAS(최종)_070202_르노삼성(SM5)_Media Mix_NAS(최종)_스케쥴표 포함_르노삼성 믹스종합_070214_070328_르노삼성H45_4월 캠페인_Media Mix_NAS" xfId="3421"/>
    <cellStyle name="_070201_르노삼성(SM5)_Media Mix_NAS(최종)_070202_르노삼성(SM5)_Media Mix_NAS(최종)_스케쥴표 포함_르노삼성 믹스종합_070214_070328_르노삼성H45_4월 캠페인_Media Mix_NAS_070912_르노삼성QMX" xfId="3422"/>
    <cellStyle name="_070201_르노삼성(SM5)_Media Mix_NAS(최종)_070202_르노삼성(SM5)_Media Mix_NAS(최종)_스케쥴표 포함_르노삼성 믹스종합_070214_070328_르노삼성H45_4월 캠페인_Media Mix_NAS_071001_RSM_SM7_10월 미디어믹스 제안_최종" xfId="3423"/>
    <cellStyle name="_070201_르노삼성(SM5)_Media Mix_NAS(최종)_070202_르노삼성(SM5)_Media Mix_NAS(최종)_스케쥴표 포함_르노삼성 믹스종합_070214_070328_르노삼성H45_4월 캠페인_Media Mix_NAS_071004_RSM_SM7_10월 미디어믹스 제안" xfId="3424"/>
    <cellStyle name="_070201_르노삼성(SM5)_Media Mix_NAS(최종)_070202_르노삼성(SM5)_Media Mix_NAS(최종)_스케쥴표 포함_르노삼성 믹스종합_070214_070328_르노삼성H45_4월 캠페인_Media Mix_NAS_071102_RSM_QMX_11월 미디어믹스 제안" xfId="3425"/>
    <cellStyle name="_070201_르노삼성(SM5)_Media Mix_NAS(최종)_070202_르노삼성(SM5)_Media Mix_NAS(최종)_스케쥴표 포함_르노삼성 믹스종합_070214_070328_르노삼성H45_4월 캠페인_Media Mix_NAS_071106_RSM_QMX_11월 미디어믹스 제안(수정)" xfId="3426"/>
    <cellStyle name="_070201_르노삼성(SM5)_Media Mix_NAS(최종)_070202_르노삼성(SM5)_Media Mix_NAS(최종)_스케쥴표 포함_르노삼성 믹스종합_070214_070403_르노삼성QMX_Media Mix_NAS" xfId="3427"/>
    <cellStyle name="_070201_르노삼성(SM5)_Media Mix_NAS(최종)_070202_르노삼성(SM5)_Media Mix_NAS(최종)_스케쥴표 포함_르노삼성 믹스종합_070214_070403_르노삼성QMX_Media Mix_NAS_070912_르노삼성QMX" xfId="3428"/>
    <cellStyle name="_070201_르노삼성(SM5)_Media Mix_NAS(최종)_070202_르노삼성(SM5)_Media Mix_NAS(최종)_스케쥴표 포함_르노삼성 믹스종합_070214_070403_르노삼성QMX_Media Mix_NAS_071001_RSM_SM7_10월 미디어믹스 제안_최종" xfId="3429"/>
    <cellStyle name="_070201_르노삼성(SM5)_Media Mix_NAS(최종)_070202_르노삼성(SM5)_Media Mix_NAS(최종)_스케쥴표 포함_르노삼성 믹스종합_070214_070403_르노삼성QMX_Media Mix_NAS_071004_RSM_SM7_10월 미디어믹스 제안" xfId="3430"/>
    <cellStyle name="_070201_르노삼성(SM5)_Media Mix_NAS(최종)_070202_르노삼성(SM5)_Media Mix_NAS(최종)_스케쥴표 포함_르노삼성 믹스종합_070214_070403_르노삼성QMX_Media Mix_NAS_071102_RSM_QMX_11월 미디어믹스 제안" xfId="3431"/>
    <cellStyle name="_070201_르노삼성(SM5)_Media Mix_NAS(최종)_070202_르노삼성(SM5)_Media Mix_NAS(최종)_스케쥴표 포함_르노삼성 믹스종합_070214_070403_르노삼성QMX_Media Mix_NAS_071106_RSM_QMX_11월 미디어믹스 제안(수정)" xfId="3432"/>
    <cellStyle name="_070201_르노삼성(SM5)_Media Mix_NAS(최종)_070322_르노삼성H45_4월 캠페인_Media Mix_NAS" xfId="3433"/>
    <cellStyle name="_070201_르노삼성(SM5)_Media Mix_NAS(최종)_070322_르노삼성H45_4월 캠페인_Media Mix_NAS_070912_르노삼성QMX" xfId="3434"/>
    <cellStyle name="_070201_르노삼성(SM5)_Media Mix_NAS(최종)_070322_르노삼성H45_4월 캠페인_Media Mix_NAS_071001_RSM_SM7_10월 미디어믹스 제안_최종" xfId="3435"/>
    <cellStyle name="_070201_르노삼성(SM5)_Media Mix_NAS(최종)_070322_르노삼성H45_4월 캠페인_Media Mix_NAS_071004_RSM_SM7_10월 미디어믹스 제안" xfId="3436"/>
    <cellStyle name="_070201_르노삼성(SM5)_Media Mix_NAS(최종)_070322_르노삼성H45_4월 캠페인_Media Mix_NAS_071102_RSM_QMX_11월 미디어믹스 제안" xfId="3437"/>
    <cellStyle name="_070201_르노삼성(SM5)_Media Mix_NAS(최종)_070322_르노삼성H45_4월 캠페인_Media Mix_NAS_071106_RSM_QMX_11월 미디어믹스 제안(수정)" xfId="3438"/>
    <cellStyle name="_070201_르노삼성(SM5)_Media Mix_NAS(최종)_070326_르노삼성H45_4월 캠페인_Media Mix_NAS" xfId="3439"/>
    <cellStyle name="_070201_르노삼성(SM5)_Media Mix_NAS(최종)_070326_르노삼성H45_4월 캠페인_Media Mix_NAS_070912_르노삼성QMX" xfId="3440"/>
    <cellStyle name="_070201_르노삼성(SM5)_Media Mix_NAS(최종)_070326_르노삼성H45_4월 캠페인_Media Mix_NAS_071001_RSM_SM7_10월 미디어믹스 제안_최종" xfId="3441"/>
    <cellStyle name="_070201_르노삼성(SM5)_Media Mix_NAS(최종)_070326_르노삼성H45_4월 캠페인_Media Mix_NAS_071004_RSM_SM7_10월 미디어믹스 제안" xfId="3442"/>
    <cellStyle name="_070201_르노삼성(SM5)_Media Mix_NAS(최종)_070326_르노삼성H45_4월 캠페인_Media Mix_NAS_071102_RSM_QMX_11월 미디어믹스 제안" xfId="3443"/>
    <cellStyle name="_070201_르노삼성(SM5)_Media Mix_NAS(최종)_070326_르노삼성H45_4월 캠페인_Media Mix_NAS_071106_RSM_QMX_11월 미디어믹스 제안(수정)" xfId="3444"/>
    <cellStyle name="_070201_르노삼성(SM5)_Media Mix_NAS(최종)_070327_르노삼성H45_4월 캠페인_Media Mix_NAS" xfId="3445"/>
    <cellStyle name="_070201_르노삼성(SM5)_Media Mix_NAS(최종)_070327_르노삼성H45_4월 캠페인_Media Mix_NAS_070912_르노삼성QMX" xfId="3446"/>
    <cellStyle name="_070201_르노삼성(SM5)_Media Mix_NAS(최종)_070327_르노삼성H45_4월 캠페인_Media Mix_NAS_071001_RSM_SM7_10월 미디어믹스 제안_최종" xfId="3447"/>
    <cellStyle name="_070201_르노삼성(SM5)_Media Mix_NAS(최종)_070327_르노삼성H45_4월 캠페인_Media Mix_NAS_071004_RSM_SM7_10월 미디어믹스 제안" xfId="3448"/>
    <cellStyle name="_070201_르노삼성(SM5)_Media Mix_NAS(최종)_070327_르노삼성H45_4월 캠페인_Media Mix_NAS_071102_RSM_QMX_11월 미디어믹스 제안" xfId="3449"/>
    <cellStyle name="_070201_르노삼성(SM5)_Media Mix_NAS(최종)_070327_르노삼성H45_4월 캠페인_Media Mix_NAS_071106_RSM_QMX_11월 미디어믹스 제안(수정)" xfId="3450"/>
    <cellStyle name="_070201_르노삼성(SM5)_Media Mix_NAS(최종)_070328_르노삼성H45_4월 캠페인_Media Mix_NAS" xfId="3451"/>
    <cellStyle name="_070201_르노삼성(SM5)_Media Mix_NAS(최종)_070328_르노삼성H45_4월 캠페인_Media Mix_NAS_070912_르노삼성QMX" xfId="3452"/>
    <cellStyle name="_070201_르노삼성(SM5)_Media Mix_NAS(최종)_070328_르노삼성H45_4월 캠페인_Media Mix_NAS_071001_RSM_SM7_10월 미디어믹스 제안_최종" xfId="3453"/>
    <cellStyle name="_070201_르노삼성(SM5)_Media Mix_NAS(최종)_070328_르노삼성H45_4월 캠페인_Media Mix_NAS_071004_RSM_SM7_10월 미디어믹스 제안" xfId="3454"/>
    <cellStyle name="_070201_르노삼성(SM5)_Media Mix_NAS(최종)_070328_르노삼성H45_4월 캠페인_Media Mix_NAS_071102_RSM_QMX_11월 미디어믹스 제안" xfId="3455"/>
    <cellStyle name="_070201_르노삼성(SM5)_Media Mix_NAS(최종)_070328_르노삼성H45_4월 캠페인_Media Mix_NAS_071106_RSM_QMX_11월 미디어믹스 제안(수정)" xfId="3456"/>
    <cellStyle name="_070201_르노삼성(SM5)_Media Mix_NAS(최종)_070403_르노삼성QMX_Media Mix_NAS" xfId="3457"/>
    <cellStyle name="_070201_르노삼성(SM5)_Media Mix_NAS(최종)_070403_르노삼성QMX_Media Mix_NAS_070912_르노삼성QMX" xfId="3458"/>
    <cellStyle name="_070201_르노삼성(SM5)_Media Mix_NAS(최종)_070403_르노삼성QMX_Media Mix_NAS_071001_RSM_SM7_10월 미디어믹스 제안_최종" xfId="3459"/>
    <cellStyle name="_070201_르노삼성(SM5)_Media Mix_NAS(최종)_070403_르노삼성QMX_Media Mix_NAS_071004_RSM_SM7_10월 미디어믹스 제안" xfId="3460"/>
    <cellStyle name="_070201_르노삼성(SM5)_Media Mix_NAS(최종)_070403_르노삼성QMX_Media Mix_NAS_071102_RSM_QMX_11월 미디어믹스 제안" xfId="3461"/>
    <cellStyle name="_070201_르노삼성(SM5)_Media Mix_NAS(최종)_070403_르노삼성QMX_Media Mix_NAS_071106_RSM_QMX_11월 미디어믹스 제안(수정)" xfId="3462"/>
    <cellStyle name="_070222_AceOnline_MediaMix_cremore(최종)_dmc" xfId="8"/>
    <cellStyle name="_070322_르노삼성H45_4월 캠페인_Media Mix_NAS" xfId="3463"/>
    <cellStyle name="_070322_르노삼성H45_4월 캠페인_Media Mix_NAS_070912_르노삼성QMX" xfId="3464"/>
    <cellStyle name="_070322_르노삼성H45_4월 캠페인_Media Mix_NAS_071001_RSM_SM7_10월 미디어믹스 제안_최종" xfId="3465"/>
    <cellStyle name="_070322_르노삼성H45_4월 캠페인_Media Mix_NAS_071004_RSM_SM7_10월 미디어믹스 제안" xfId="3466"/>
    <cellStyle name="_070322_르노삼성H45_4월 캠페인_Media Mix_NAS_071102_RSM_QMX_11월 미디어믹스 제안" xfId="3467"/>
    <cellStyle name="_070322_르노삼성H45_4월 캠페인_Media Mix_NAS_071106_RSM_QMX_11월 미디어믹스 제안(수정)" xfId="3468"/>
    <cellStyle name="_070326_르노삼성H45_4월 캠페인_Media Mix_NAS" xfId="3469"/>
    <cellStyle name="_070326_르노삼성H45_4월 캠페인_Media Mix_NAS_070912_르노삼성QMX" xfId="3470"/>
    <cellStyle name="_070326_르노삼성H45_4월 캠페인_Media Mix_NAS_071001_RSM_SM7_10월 미디어믹스 제안_최종" xfId="3471"/>
    <cellStyle name="_070326_르노삼성H45_4월 캠페인_Media Mix_NAS_071004_RSM_SM7_10월 미디어믹스 제안" xfId="3472"/>
    <cellStyle name="_070326_르노삼성H45_4월 캠페인_Media Mix_NAS_071102_RSM_QMX_11월 미디어믹스 제안" xfId="3473"/>
    <cellStyle name="_070326_르노삼성H45_4월 캠페인_Media Mix_NAS_071106_RSM_QMX_11월 미디어믹스 제안(수정)" xfId="3474"/>
    <cellStyle name="_070327_르노삼성H45_4월 캠페인_Media Mix_NAS" xfId="3475"/>
    <cellStyle name="_070327_르노삼성H45_4월 캠페인_Media Mix_NAS_070912_르노삼성QMX" xfId="3476"/>
    <cellStyle name="_070327_르노삼성H45_4월 캠페인_Media Mix_NAS_071001_RSM_SM7_10월 미디어믹스 제안_최종" xfId="3477"/>
    <cellStyle name="_070327_르노삼성H45_4월 캠페인_Media Mix_NAS_071004_RSM_SM7_10월 미디어믹스 제안" xfId="3478"/>
    <cellStyle name="_070327_르노삼성H45_4월 캠페인_Media Mix_NAS_071102_RSM_QMX_11월 미디어믹스 제안" xfId="3479"/>
    <cellStyle name="_070327_르노삼성H45_4월 캠페인_Media Mix_NAS_071106_RSM_QMX_11월 미디어믹스 제안(수정)" xfId="3480"/>
    <cellStyle name="_070328_르노삼성H45_4월 캠페인_Media Mix_NAS" xfId="3481"/>
    <cellStyle name="_070328_르노삼성H45_4월 캠페인_Media Mix_NAS_070912_르노삼성QMX" xfId="3482"/>
    <cellStyle name="_070328_르노삼성H45_4월 캠페인_Media Mix_NAS_071001_RSM_SM7_10월 미디어믹스 제안_최종" xfId="3483"/>
    <cellStyle name="_070328_르노삼성H45_4월 캠페인_Media Mix_NAS_071004_RSM_SM7_10월 미디어믹스 제안" xfId="3484"/>
    <cellStyle name="_070328_르노삼성H45_4월 캠페인_Media Mix_NAS_071102_RSM_QMX_11월 미디어믹스 제안" xfId="3485"/>
    <cellStyle name="_070328_르노삼성H45_4월 캠페인_Media Mix_NAS_071106_RSM_QMX_11월 미디어믹스 제안(수정)" xfId="3486"/>
    <cellStyle name="_070403_르노삼성QMX_Media Mix_NAS" xfId="3487"/>
    <cellStyle name="_070403_르노삼성QMX_Media Mix_NAS_070912_르노삼성QMX" xfId="3488"/>
    <cellStyle name="_070403_르노삼성QMX_Media Mix_NAS_071001_RSM_SM7_10월 미디어믹스 제안_최종" xfId="3489"/>
    <cellStyle name="_070403_르노삼성QMX_Media Mix_NAS_071004_RSM_SM7_10월 미디어믹스 제안" xfId="3490"/>
    <cellStyle name="_070403_르노삼성QMX_Media Mix_NAS_071102_RSM_QMX_11월 미디어믹스 제안" xfId="3491"/>
    <cellStyle name="_070403_르노삼성QMX_Media Mix_NAS_071106_RSM_QMX_11월 미디어믹스 제안(수정)" xfId="3492"/>
    <cellStyle name="_Daum_본고" xfId="45"/>
    <cellStyle name="_GS이스토어_12월온라인캠페인_DailyReport" xfId="46"/>
    <cellStyle name="_GS이스토어_12월온라인캠페인_DailyReport_GS이스토어_3월온라인캠페인_DailyReport_070311" xfId="47"/>
    <cellStyle name="_GS이스토어_1월온라인캠페인_DailyReport_070102" xfId="48"/>
    <cellStyle name="_GS이스토어_1월온라인캠페인_DailyReport_070102_GS이스토어_3월온라인캠페인_DailyReport_070311" xfId="49"/>
    <cellStyle name="_GS이스토어_1월온라인캠페인_DailyReport_070117" xfId="50"/>
    <cellStyle name="_GS이스토어_1월온라인캠페인_DailyReport_070117_GS이스토어_3월온라인캠페인_DailyReport_070311" xfId="53"/>
    <cellStyle name="_GS이스토어_1월온라인캠페인_DailyReport_070117_쉬트추가" xfId="51"/>
    <cellStyle name="_GS이스토어_1월온라인캠페인_DailyReport_070117_쉬트추가_GS이스토어_3월온라인캠페인_DailyReport_070311" xfId="52"/>
    <cellStyle name="_GS이스토어_1월온라인캠페인_DailyReport_070121_소재별쉬트수정본" xfId="54"/>
    <cellStyle name="_GS이스토어_1월온라인캠페인_DailyReport_070121_소재별쉬트수정본_GS이스토어_3월온라인캠페인_DailyReport_070311" xfId="55"/>
    <cellStyle name="_GS이스토어_2월온라인캠페인_DailyReport_070204" xfId="56"/>
    <cellStyle name="_GS이스토어_2월온라인캠페인_DailyReport_070204_GS이스토어_3월온라인캠페인_DailyReport_070311" xfId="57"/>
    <cellStyle name="_GS이스토어_3월_DailyReport_20060307" xfId="58"/>
    <cellStyle name="_GS이스토어_3월_DailyReport_20060307_GS이스토어_10월온라인캠페인_DailyReport_1030" xfId="59"/>
    <cellStyle name="_GS이스토어_3월_DailyReport_20060307_GS이스토어_10월온라인캠페인_DailyReport_1030_GS이스토어_12월온라인캠페인_DailyReport" xfId="60"/>
    <cellStyle name="_GS이스토어_3월_DailyReport_20060307_GS이스토어_10월온라인캠페인_DailyReport_1030_GS이스토어_12월온라인캠페인_DailyReport_GS이스토어_3월온라인캠페인_DailyReport_070311" xfId="61"/>
    <cellStyle name="_GS이스토어_3월_DailyReport_20060307_GS이스토어_10월온라인캠페인_DailyReport_1030_GS이스토어_1월온라인캠페인_DailyReport_070102" xfId="62"/>
    <cellStyle name="_GS이스토어_3월_DailyReport_20060307_GS이스토어_10월온라인캠페인_DailyReport_1030_GS이스토어_1월온라인캠페인_DailyReport_070102_GS이스토어_3월온라인캠페인_DailyReport_070311" xfId="63"/>
    <cellStyle name="_GS이스토어_3월_DailyReport_20060307_GS이스토어_10월온라인캠페인_DailyReport_1030_GS이스토어_1월온라인캠페인_DailyReport_070117" xfId="64"/>
    <cellStyle name="_GS이스토어_3월_DailyReport_20060307_GS이스토어_10월온라인캠페인_DailyReport_1030_GS이스토어_1월온라인캠페인_DailyReport_070117_GS이스토어_3월온라인캠페인_DailyReport_070311" xfId="67"/>
    <cellStyle name="_GS이스토어_3월_DailyReport_20060307_GS이스토어_10월온라인캠페인_DailyReport_1030_GS이스토어_1월온라인캠페인_DailyReport_070117_쉬트추가" xfId="65"/>
    <cellStyle name="_GS이스토어_3월_DailyReport_20060307_GS이스토어_10월온라인캠페인_DailyReport_1030_GS이스토어_1월온라인캠페인_DailyReport_070117_쉬트추가_GS이스토어_3월온라인캠페인_DailyReport_070311" xfId="66"/>
    <cellStyle name="_GS이스토어_3월_DailyReport_20060307_GS이스토어_10월온라인캠페인_DailyReport_1030_GS이스토어_1월온라인캠페인_DailyReport_070121_소재별쉬트수정본" xfId="68"/>
    <cellStyle name="_GS이스토어_3월_DailyReport_20060307_GS이스토어_10월온라인캠페인_DailyReport_1030_GS이스토어_1월온라인캠페인_DailyReport_070121_소재별쉬트수정본_GS이스토어_3월온라인캠페인_DailyReport_070311" xfId="69"/>
    <cellStyle name="_GS이스토어_3월_DailyReport_20060307_GS이스토어_10월온라인캠페인_DailyReport_1030_GS이스토어_2월온라인캠페인_DailyReport_070204" xfId="70"/>
    <cellStyle name="_GS이스토어_3월_DailyReport_20060307_GS이스토어_10월온라인캠페인_DailyReport_1030_GS이스토어_2월온라인캠페인_DailyReport_070204_GS이스토어_3월온라인캠페인_DailyReport_070311" xfId="71"/>
    <cellStyle name="_GS이스토어_3월_DailyReport_20060307_GS이스토어_3월온라인캠페인_DailyReport_070311" xfId="72"/>
    <cellStyle name="_GS이스토어_3월_DailyReport_20060307_GS이스토어_6월_DailyReport_20060602" xfId="73"/>
    <cellStyle name="_GS이스토어_3월_DailyReport_20060307_GS이스토어_6월_DailyReport_20060602_GS이스토어_12월온라인캠페인_DailyReport" xfId="102"/>
    <cellStyle name="_GS이스토어_3월_DailyReport_20060307_GS이스토어_6월_DailyReport_20060602_GS이스토어_12월온라인캠페인_DailyReport_GS이스토어_3월온라인캠페인_DailyReport_070311" xfId="103"/>
    <cellStyle name="_GS이스토어_3월_DailyReport_20060307_GS이스토어_6월_DailyReport_20060602_GS이스토어_1월온라인캠페인_DailyReport_070102" xfId="104"/>
    <cellStyle name="_GS이스토어_3월_DailyReport_20060307_GS이스토어_6월_DailyReport_20060602_GS이스토어_1월온라인캠페인_DailyReport_070102_GS이스토어_3월온라인캠페인_DailyReport_070311" xfId="105"/>
    <cellStyle name="_GS이스토어_3월_DailyReport_20060307_GS이스토어_6월_DailyReport_20060602_GS이스토어_1월온라인캠페인_DailyReport_070117" xfId="106"/>
    <cellStyle name="_GS이스토어_3월_DailyReport_20060307_GS이스토어_6월_DailyReport_20060602_GS이스토어_1월온라인캠페인_DailyReport_070117_GS이스토어_3월온라인캠페인_DailyReport_070311" xfId="109"/>
    <cellStyle name="_GS이스토어_3월_DailyReport_20060307_GS이스토어_6월_DailyReport_20060602_GS이스토어_1월온라인캠페인_DailyReport_070117_쉬트추가" xfId="107"/>
    <cellStyle name="_GS이스토어_3월_DailyReport_20060307_GS이스토어_6월_DailyReport_20060602_GS이스토어_1월온라인캠페인_DailyReport_070117_쉬트추가_GS이스토어_3월온라인캠페인_DailyReport_070311" xfId="108"/>
    <cellStyle name="_GS이스토어_3월_DailyReport_20060307_GS이스토어_6월_DailyReport_20060602_GS이스토어_1월온라인캠페인_DailyReport_070121_소재별쉬트수정본" xfId="110"/>
    <cellStyle name="_GS이스토어_3월_DailyReport_20060307_GS이스토어_6월_DailyReport_20060602_GS이스토어_1월온라인캠페인_DailyReport_070121_소재별쉬트수정본_GS이스토어_3월온라인캠페인_DailyReport_070311" xfId="111"/>
    <cellStyle name="_GS이스토어_3월_DailyReport_20060307_GS이스토어_6월_DailyReport_20060602_GS이스토어_2월온라인캠페인_DailyReport_070204" xfId="112"/>
    <cellStyle name="_GS이스토어_3월_DailyReport_20060307_GS이스토어_6월_DailyReport_20060602_GS이스토어_2월온라인캠페인_DailyReport_070204_GS이스토어_3월온라인캠페인_DailyReport_070311" xfId="113"/>
    <cellStyle name="_GS이스토어_3월_DailyReport_20060307_GS이스토어_6월_DailyReport_20060602_GS이스토어_6월(DM)_DailyReport_20060601" xfId="114"/>
    <cellStyle name="_GS이스토어_3월_DailyReport_20060307_GS이스토어_6월_DailyReport_20060602_GS이스토어_6월(DM)_DailyReport_20060601_GS이스토어_10월온라인캠페인_DailyReport_1030" xfId="115"/>
    <cellStyle name="_GS이스토어_3월_DailyReport_20060307_GS이스토어_6월_DailyReport_20060602_GS이스토어_6월(DM)_DailyReport_20060601_GS이스토어_10월온라인캠페인_DailyReport_1030_GS이스토어_12월온라인캠페인_DailyReport" xfId="116"/>
    <cellStyle name="_GS이스토어_3월_DailyReport_20060307_GS이스토어_6월_DailyReport_20060602_GS이스토어_6월(DM)_DailyReport_20060601_GS이스토어_10월온라인캠페인_DailyReport_1030_GS이스토어_12월온라인캠페인_DailyReport_GS이스토어_3월온라인캠페인_DailyReport_070311" xfId="117"/>
    <cellStyle name="_GS이스토어_3월_DailyReport_20060307_GS이스토어_6월_DailyReport_20060602_GS이스토어_6월(DM)_DailyReport_20060601_GS이스토어_10월온라인캠페인_DailyReport_1030_GS이스토어_1월온라인캠페인_DailyReport_070102" xfId="118"/>
    <cellStyle name="_GS이스토어_3월_DailyReport_20060307_GS이스토어_6월_DailyReport_20060602_GS이스토어_6월(DM)_DailyReport_20060601_GS이스토어_10월온라인캠페인_DailyReport_1030_GS이스토어_1월온라인캠페인_DailyReport_070102_GS이스토어_3월온라인캠페인_DailyReport_070311" xfId="119"/>
    <cellStyle name="_GS이스토어_3월_DailyReport_20060307_GS이스토어_6월_DailyReport_20060602_GS이스토어_6월(DM)_DailyReport_20060601_GS이스토어_10월온라인캠페인_DailyReport_1030_GS이스토어_1월온라인캠페인_DailyReport_070117" xfId="120"/>
    <cellStyle name="_GS이스토어_3월_DailyReport_20060307_GS이스토어_6월_DailyReport_20060602_GS이스토어_6월(DM)_DailyReport_20060601_GS이스토어_10월온라인캠페인_DailyReport_1030_GS이스토어_1월온라인캠페인_DailyReport_070117_GS이스토어_3월온라인캠페인_DailyReport_070311" xfId="123"/>
    <cellStyle name="_GS이스토어_3월_DailyReport_20060307_GS이스토어_6월_DailyReport_20060602_GS이스토어_6월(DM)_DailyReport_20060601_GS이스토어_10월온라인캠페인_DailyReport_1030_GS이스토어_1월온라인캠페인_DailyReport_070117_쉬트추가" xfId="121"/>
    <cellStyle name="_GS이스토어_3월_DailyReport_20060307_GS이스토어_6월_DailyReport_20060602_GS이스토어_6월(DM)_DailyReport_20060601_GS이스토어_10월온라인캠페인_DailyReport_1030_GS이스토어_1월온라인캠페인_DailyReport_070117_쉬트추가_GS이스토어_3월온라인캠페인_DailyReport_070311" xfId="122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" xfId="124"/>
    <cellStyle name="_GS이스토어_3월_DailyReport_20060307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25"/>
    <cellStyle name="_GS이스토어_3월_DailyReport_20060307_GS이스토어_6월_DailyReport_20060602_GS이스토어_6월(DM)_DailyReport_20060601_GS이스토어_10월온라인캠페인_DailyReport_1030_GS이스토어_2월온라인캠페인_DailyReport_070204" xfId="126"/>
    <cellStyle name="_GS이스토어_3월_DailyReport_20060307_GS이스토어_6월_DailyReport_20060602_GS이스토어_6월(DM)_DailyReport_20060601_GS이스토어_10월온라인캠페인_DailyReport_1030_GS이스토어_2월온라인캠페인_DailyReport_070204_GS이스토어_3월온라인캠페인_DailyReport_070311" xfId="127"/>
    <cellStyle name="_GS이스토어_3월_DailyReport_20060307_GS이스토어_6월_DailyReport_20060602_GS이스토어_6월(DM)_DailyReport_20060601_GS이스토어_3월온라인캠페인_DailyReport_070311" xfId="128"/>
    <cellStyle name="_GS이스토어_3월_DailyReport_20060307_GS이스토어_6월_DailyReport_20060602_GS이스토어_6월(DM)_DailyReport_20060601_GS이스토어_8월온라인캠페인_DailyReport_양식" xfId="129"/>
    <cellStyle name="_GS이스토어_3월_DailyReport_20060307_GS이스토어_6월_DailyReport_20060602_GS이스토어_6월(DM)_DailyReport_20060601_GS이스토어_8월온라인캠페인_DailyReport_양식_GS이스토어_12월온라인캠페인_DailyReport" xfId="130"/>
    <cellStyle name="_GS이스토어_3월_DailyReport_20060307_GS이스토어_6월_DailyReport_20060602_GS이스토어_6월(DM)_DailyReport_20060601_GS이스토어_8월온라인캠페인_DailyReport_양식_GS이스토어_12월온라인캠페인_DailyReport_GS이스토어_3월온라인캠페인_DailyReport_070311" xfId="131"/>
    <cellStyle name="_GS이스토어_3월_DailyReport_20060307_GS이스토어_6월_DailyReport_20060602_GS이스토어_6월(DM)_DailyReport_20060601_GS이스토어_8월온라인캠페인_DailyReport_양식_GS이스토어_1월온라인캠페인_DailyReport_070102" xfId="132"/>
    <cellStyle name="_GS이스토어_3월_DailyReport_20060307_GS이스토어_6월_DailyReport_20060602_GS이스토어_6월(DM)_DailyReport_20060601_GS이스토어_8월온라인캠페인_DailyReport_양식_GS이스토어_1월온라인캠페인_DailyReport_070102_GS이스토어_3월온라인캠페인_DailyReport_070311" xfId="133"/>
    <cellStyle name="_GS이스토어_3월_DailyReport_20060307_GS이스토어_6월_DailyReport_20060602_GS이스토어_6월(DM)_DailyReport_20060601_GS이스토어_8월온라인캠페인_DailyReport_양식_GS이스토어_1월온라인캠페인_DailyReport_070117" xfId="134"/>
    <cellStyle name="_GS이스토어_3월_DailyReport_20060307_GS이스토어_6월_DailyReport_20060602_GS이스토어_6월(DM)_DailyReport_20060601_GS이스토어_8월온라인캠페인_DailyReport_양식_GS이스토어_1월온라인캠페인_DailyReport_070117_GS이스토어_3월온라인캠페인_DailyReport_070311" xfId="137"/>
    <cellStyle name="_GS이스토어_3월_DailyReport_20060307_GS이스토어_6월_DailyReport_20060602_GS이스토어_6월(DM)_DailyReport_20060601_GS이스토어_8월온라인캠페인_DailyReport_양식_GS이스토어_1월온라인캠페인_DailyReport_070117_쉬트추가" xfId="135"/>
    <cellStyle name="_GS이스토어_3월_DailyReport_20060307_GS이스토어_6월_DailyReport_20060602_GS이스토어_6월(DM)_DailyReport_20060601_GS이스토어_8월온라인캠페인_DailyReport_양식_GS이스토어_1월온라인캠페인_DailyReport_070117_쉬트추가_GS이스토어_3월온라인캠페인_DailyReport_070311" xfId="136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" xfId="138"/>
    <cellStyle name="_GS이스토어_3월_DailyReport_20060307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39"/>
    <cellStyle name="_GS이스토어_3월_DailyReport_20060307_GS이스토어_6월_DailyReport_20060602_GS이스토어_6월(DM)_DailyReport_20060601_GS이스토어_8월온라인캠페인_DailyReport_양식_GS이스토어_2월온라인캠페인_DailyReport_070204" xfId="140"/>
    <cellStyle name="_GS이스토어_3월_DailyReport_20060307_GS이스토어_6월_DailyReport_20060602_GS이스토어_6월(DM)_DailyReport_20060601_GS이스토어_8월온라인캠페인_DailyReport_양식_GS이스토어_2월온라인캠페인_DailyReport_070204_GS이스토어_3월온라인캠페인_DailyReport_070311" xfId="141"/>
    <cellStyle name="_GS이스토어_3월_DailyReport_20060307_GS이스토어_6월_DailyReport_20060602_GS이스토어_6월_DailyReport_20060601" xfId="142"/>
    <cellStyle name="_GS이스토어_3월_DailyReport_20060307_GS이스토어_6월_DailyReport_20060602_GS이스토어_6월_DailyReport_20060601_GS이스토어_10월온라인캠페인_DailyReport_1030" xfId="143"/>
    <cellStyle name="_GS이스토어_3월_DailyReport_20060307_GS이스토어_6월_DailyReport_20060602_GS이스토어_6월_DailyReport_20060601_GS이스토어_10월온라인캠페인_DailyReport_1030_GS이스토어_12월온라인캠페인_DailyReport" xfId="144"/>
    <cellStyle name="_GS이스토어_3월_DailyReport_20060307_GS이스토어_6월_DailyReport_20060602_GS이스토어_6월_DailyReport_20060601_GS이스토어_10월온라인캠페인_DailyReport_1030_GS이스토어_12월온라인캠페인_DailyReport_GS이스토어_3월온라인캠페인_DailyReport_070311" xfId="145"/>
    <cellStyle name="_GS이스토어_3월_DailyReport_20060307_GS이스토어_6월_DailyReport_20060602_GS이스토어_6월_DailyReport_20060601_GS이스토어_10월온라인캠페인_DailyReport_1030_GS이스토어_1월온라인캠페인_DailyReport_070102" xfId="146"/>
    <cellStyle name="_GS이스토어_3월_DailyReport_20060307_GS이스토어_6월_DailyReport_20060602_GS이스토어_6월_DailyReport_20060601_GS이스토어_10월온라인캠페인_DailyReport_1030_GS이스토어_1월온라인캠페인_DailyReport_070102_GS이스토어_3월온라인캠페인_DailyReport_070311" xfId="147"/>
    <cellStyle name="_GS이스토어_3월_DailyReport_20060307_GS이스토어_6월_DailyReport_20060602_GS이스토어_6월_DailyReport_20060601_GS이스토어_10월온라인캠페인_DailyReport_1030_GS이스토어_1월온라인캠페인_DailyReport_070117" xfId="148"/>
    <cellStyle name="_GS이스토어_3월_DailyReport_20060307_GS이스토어_6월_DailyReport_20060602_GS이스토어_6월_DailyReport_20060601_GS이스토어_10월온라인캠페인_DailyReport_1030_GS이스토어_1월온라인캠페인_DailyReport_070117_GS이스토어_3월온라인캠페인_DailyReport_070311" xfId="151"/>
    <cellStyle name="_GS이스토어_3월_DailyReport_20060307_GS이스토어_6월_DailyReport_20060602_GS이스토어_6월_DailyReport_20060601_GS이스토어_10월온라인캠페인_DailyReport_1030_GS이스토어_1월온라인캠페인_DailyReport_070117_쉬트추가" xfId="149"/>
    <cellStyle name="_GS이스토어_3월_DailyReport_20060307_GS이스토어_6월_DailyReport_20060602_GS이스토어_6월_DailyReport_20060601_GS이스토어_10월온라인캠페인_DailyReport_1030_GS이스토어_1월온라인캠페인_DailyReport_070117_쉬트추가_GS이스토어_3월온라인캠페인_DailyReport_070311" xfId="150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" xfId="152"/>
    <cellStyle name="_GS이스토어_3월_DailyReport_20060307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53"/>
    <cellStyle name="_GS이스토어_3월_DailyReport_20060307_GS이스토어_6월_DailyReport_20060602_GS이스토어_6월_DailyReport_20060601_GS이스토어_10월온라인캠페인_DailyReport_1030_GS이스토어_2월온라인캠페인_DailyReport_070204" xfId="154"/>
    <cellStyle name="_GS이스토어_3월_DailyReport_20060307_GS이스토어_6월_DailyReport_20060602_GS이스토어_6월_DailyReport_20060601_GS이스토어_10월온라인캠페인_DailyReport_1030_GS이스토어_2월온라인캠페인_DailyReport_070204_GS이스토어_3월온라인캠페인_DailyReport_070311" xfId="155"/>
    <cellStyle name="_GS이스토어_3월_DailyReport_20060307_GS이스토어_6월_DailyReport_20060602_GS이스토어_6월_DailyReport_20060601_GS이스토어_3월온라인캠페인_DailyReport_070311" xfId="156"/>
    <cellStyle name="_GS이스토어_3월_DailyReport_20060307_GS이스토어_6월_DailyReport_20060602_GS이스토어_6월_DailyReport_20060601_GS이스토어_8월온라인캠페인_DailyReport_양식" xfId="157"/>
    <cellStyle name="_GS이스토어_3월_DailyReport_20060307_GS이스토어_6월_DailyReport_20060602_GS이스토어_6월_DailyReport_20060601_GS이스토어_8월온라인캠페인_DailyReport_양식_GS이스토어_12월온라인캠페인_DailyReport" xfId="158"/>
    <cellStyle name="_GS이스토어_3월_DailyReport_20060307_GS이스토어_6월_DailyReport_20060602_GS이스토어_6월_DailyReport_20060601_GS이스토어_8월온라인캠페인_DailyReport_양식_GS이스토어_12월온라인캠페인_DailyReport_GS이스토어_3월온라인캠페인_DailyReport_070311" xfId="159"/>
    <cellStyle name="_GS이스토어_3월_DailyReport_20060307_GS이스토어_6월_DailyReport_20060602_GS이스토어_6월_DailyReport_20060601_GS이스토어_8월온라인캠페인_DailyReport_양식_GS이스토어_1월온라인캠페인_DailyReport_070102" xfId="160"/>
    <cellStyle name="_GS이스토어_3월_DailyReport_20060307_GS이스토어_6월_DailyReport_20060602_GS이스토어_6월_DailyReport_20060601_GS이스토어_8월온라인캠페인_DailyReport_양식_GS이스토어_1월온라인캠페인_DailyReport_070102_GS이스토어_3월온라인캠페인_DailyReport_070311" xfId="161"/>
    <cellStyle name="_GS이스토어_3월_DailyReport_20060307_GS이스토어_6월_DailyReport_20060602_GS이스토어_6월_DailyReport_20060601_GS이스토어_8월온라인캠페인_DailyReport_양식_GS이스토어_1월온라인캠페인_DailyReport_070117" xfId="162"/>
    <cellStyle name="_GS이스토어_3월_DailyReport_20060307_GS이스토어_6월_DailyReport_20060602_GS이스토어_6월_DailyReport_20060601_GS이스토어_8월온라인캠페인_DailyReport_양식_GS이스토어_1월온라인캠페인_DailyReport_070117_GS이스토어_3월온라인캠페인_DailyReport_070311" xfId="165"/>
    <cellStyle name="_GS이스토어_3월_DailyReport_20060307_GS이스토어_6월_DailyReport_20060602_GS이스토어_6월_DailyReport_20060601_GS이스토어_8월온라인캠페인_DailyReport_양식_GS이스토어_1월온라인캠페인_DailyReport_070117_쉬트추가" xfId="163"/>
    <cellStyle name="_GS이스토어_3월_DailyReport_20060307_GS이스토어_6월_DailyReport_20060602_GS이스토어_6월_DailyReport_20060601_GS이스토어_8월온라인캠페인_DailyReport_양식_GS이스토어_1월온라인캠페인_DailyReport_070117_쉬트추가_GS이스토어_3월온라인캠페인_DailyReport_070311" xfId="164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" xfId="166"/>
    <cellStyle name="_GS이스토어_3월_DailyReport_20060307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67"/>
    <cellStyle name="_GS이스토어_3월_DailyReport_20060307_GS이스토어_6월_DailyReport_20060602_GS이스토어_6월_DailyReport_20060601_GS이스토어_8월온라인캠페인_DailyReport_양식_GS이스토어_2월온라인캠페인_DailyReport_070204" xfId="168"/>
    <cellStyle name="_GS이스토어_3월_DailyReport_20060307_GS이스토어_6월_DailyReport_20060602_GS이스토어_6월_DailyReport_20060601_GS이스토어_8월온라인캠페인_DailyReport_양식_GS이스토어_2월온라인캠페인_DailyReport_070204_GS이스토어_3월온라인캠페인_DailyReport_070311" xfId="169"/>
    <cellStyle name="_GS이스토어_3월_DailyReport_20060307_GS이스토어_6월_DailyReport_20060602_GS이스토어_7월_DailyReport_원본" xfId="170"/>
    <cellStyle name="_GS이스토어_3월_DailyReport_20060307_GS이스토어_6월_DailyReport_20060602_GS이스토어_7월_DailyReport_원본_GS이스토어_10월온라인캠페인_DailyReport_1030" xfId="171"/>
    <cellStyle name="_GS이스토어_3월_DailyReport_20060307_GS이스토어_6월_DailyReport_20060602_GS이스토어_7월_DailyReport_원본_GS이스토어_10월온라인캠페인_DailyReport_1030_GS이스토어_12월온라인캠페인_DailyReport" xfId="172"/>
    <cellStyle name="_GS이스토어_3월_DailyReport_20060307_GS이스토어_6월_DailyReport_20060602_GS이스토어_7월_DailyReport_원본_GS이스토어_10월온라인캠페인_DailyReport_1030_GS이스토어_12월온라인캠페인_DailyReport_GS이스토어_3월온라인캠페인_DailyReport_070311" xfId="173"/>
    <cellStyle name="_GS이스토어_3월_DailyReport_20060307_GS이스토어_6월_DailyReport_20060602_GS이스토어_7월_DailyReport_원본_GS이스토어_10월온라인캠페인_DailyReport_1030_GS이스토어_1월온라인캠페인_DailyReport_070102" xfId="174"/>
    <cellStyle name="_GS이스토어_3월_DailyReport_20060307_GS이스토어_6월_DailyReport_20060602_GS이스토어_7월_DailyReport_원본_GS이스토어_10월온라인캠페인_DailyReport_1030_GS이스토어_1월온라인캠페인_DailyReport_070102_GS이스토어_3월온라인캠페인_DailyReport_070311" xfId="175"/>
    <cellStyle name="_GS이스토어_3월_DailyReport_20060307_GS이스토어_6월_DailyReport_20060602_GS이스토어_7월_DailyReport_원본_GS이스토어_10월온라인캠페인_DailyReport_1030_GS이스토어_1월온라인캠페인_DailyReport_070117" xfId="176"/>
    <cellStyle name="_GS이스토어_3월_DailyReport_20060307_GS이스토어_6월_DailyReport_20060602_GS이스토어_7월_DailyReport_원본_GS이스토어_10월온라인캠페인_DailyReport_1030_GS이스토어_1월온라인캠페인_DailyReport_070117_GS이스토어_3월온라인캠페인_DailyReport_070311" xfId="179"/>
    <cellStyle name="_GS이스토어_3월_DailyReport_20060307_GS이스토어_6월_DailyReport_20060602_GS이스토어_7월_DailyReport_원본_GS이스토어_10월온라인캠페인_DailyReport_1030_GS이스토어_1월온라인캠페인_DailyReport_070117_쉬트추가" xfId="177"/>
    <cellStyle name="_GS이스토어_3월_DailyReport_20060307_GS이스토어_6월_DailyReport_20060602_GS이스토어_7월_DailyReport_원본_GS이스토어_10월온라인캠페인_DailyReport_1030_GS이스토어_1월온라인캠페인_DailyReport_070117_쉬트추가_GS이스토어_3월온라인캠페인_DailyReport_070311" xfId="178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" xfId="180"/>
    <cellStyle name="_GS이스토어_3월_DailyReport_20060307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81"/>
    <cellStyle name="_GS이스토어_3월_DailyReport_20060307_GS이스토어_6월_DailyReport_20060602_GS이스토어_7월_DailyReport_원본_GS이스토어_10월온라인캠페인_DailyReport_1030_GS이스토어_2월온라인캠페인_DailyReport_070204" xfId="182"/>
    <cellStyle name="_GS이스토어_3월_DailyReport_20060307_GS이스토어_6월_DailyReport_20060602_GS이스토어_7월_DailyReport_원본_GS이스토어_10월온라인캠페인_DailyReport_1030_GS이스토어_2월온라인캠페인_DailyReport_070204_GS이스토어_3월온라인캠페인_DailyReport_070311" xfId="183"/>
    <cellStyle name="_GS이스토어_3월_DailyReport_20060307_GS이스토어_6월_DailyReport_20060602_GS이스토어_7월_DailyReport_원본_GS이스토어_3월온라인캠페인_DailyReport_070311" xfId="184"/>
    <cellStyle name="_GS이스토어_3월_DailyReport_20060307_GS이스토어_6월_DailyReport_20060602_GS이스토어_7월_DailyReport_원본_GS이스토어_8월온라인캠페인_DailyReport_양식" xfId="185"/>
    <cellStyle name="_GS이스토어_3월_DailyReport_20060307_GS이스토어_6월_DailyReport_20060602_GS이스토어_7월_DailyReport_원본_GS이스토어_8월온라인캠페인_DailyReport_양식_GS이스토어_12월온라인캠페인_DailyReport" xfId="186"/>
    <cellStyle name="_GS이스토어_3월_DailyReport_20060307_GS이스토어_6월_DailyReport_20060602_GS이스토어_7월_DailyReport_원본_GS이스토어_8월온라인캠페인_DailyReport_양식_GS이스토어_12월온라인캠페인_DailyReport_GS이스토어_3월온라인캠페인_DailyReport_070311" xfId="187"/>
    <cellStyle name="_GS이스토어_3월_DailyReport_20060307_GS이스토어_6월_DailyReport_20060602_GS이스토어_7월_DailyReport_원본_GS이스토어_8월온라인캠페인_DailyReport_양식_GS이스토어_1월온라인캠페인_DailyReport_070102" xfId="188"/>
    <cellStyle name="_GS이스토어_3월_DailyReport_20060307_GS이스토어_6월_DailyReport_20060602_GS이스토어_7월_DailyReport_원본_GS이스토어_8월온라인캠페인_DailyReport_양식_GS이스토어_1월온라인캠페인_DailyReport_070102_GS이스토어_3월온라인캠페인_DailyReport_070311" xfId="189"/>
    <cellStyle name="_GS이스토어_3월_DailyReport_20060307_GS이스토어_6월_DailyReport_20060602_GS이스토어_7월_DailyReport_원본_GS이스토어_8월온라인캠페인_DailyReport_양식_GS이스토어_1월온라인캠페인_DailyReport_070117" xfId="190"/>
    <cellStyle name="_GS이스토어_3월_DailyReport_20060307_GS이스토어_6월_DailyReport_20060602_GS이스토어_7월_DailyReport_원본_GS이스토어_8월온라인캠페인_DailyReport_양식_GS이스토어_1월온라인캠페인_DailyReport_070117_GS이스토어_3월온라인캠페인_DailyReport_070311" xfId="193"/>
    <cellStyle name="_GS이스토어_3월_DailyReport_20060307_GS이스토어_6월_DailyReport_20060602_GS이스토어_7월_DailyReport_원본_GS이스토어_8월온라인캠페인_DailyReport_양식_GS이스토어_1월온라인캠페인_DailyReport_070117_쉬트추가" xfId="191"/>
    <cellStyle name="_GS이스토어_3월_DailyReport_20060307_GS이스토어_6월_DailyReport_20060602_GS이스토어_7월_DailyReport_원본_GS이스토어_8월온라인캠페인_DailyReport_양식_GS이스토어_1월온라인캠페인_DailyReport_070117_쉬트추가_GS이스토어_3월온라인캠페인_DailyReport_070311" xfId="192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" xfId="194"/>
    <cellStyle name="_GS이스토어_3월_DailyReport_20060307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95"/>
    <cellStyle name="_GS이스토어_3월_DailyReport_20060307_GS이스토어_6월_DailyReport_20060602_GS이스토어_7월_DailyReport_원본_GS이스토어_8월온라인캠페인_DailyReport_양식_GS이스토어_2월온라인캠페인_DailyReport_070204" xfId="196"/>
    <cellStyle name="_GS이스토어_3월_DailyReport_20060307_GS이스토어_6월_DailyReport_20060602_GS이스토어_7월_DailyReport_원본_GS이스토어_8월온라인캠페인_DailyReport_양식_GS이스토어_2월온라인캠페인_DailyReport_070204_GS이스토어_3월온라인캠페인_DailyReport_070311" xfId="197"/>
    <cellStyle name="_GS이스토어_3월_DailyReport_20060307_GS이스토어_6월_DailyReport_20060602_쭈_GS이스토어_6월_DailyReport_20060601" xfId="74"/>
    <cellStyle name="_GS이스토어_3월_DailyReport_20060307_GS이스토어_6월_DailyReport_20060602_쭈_GS이스토어_6월_DailyReport_20060601_GS이스토어_10월온라인캠페인_DailyReport_1030" xfId="75"/>
    <cellStyle name="_GS이스토어_3월_DailyReport_20060307_GS이스토어_6월_DailyReport_20060602_쭈_GS이스토어_6월_DailyReport_20060601_GS이스토어_10월온라인캠페인_DailyReport_1030_GS이스토어_12월온라인캠페인_DailyReport" xfId="76"/>
    <cellStyle name="_GS이스토어_3월_DailyReport_20060307_GS이스토어_6월_DailyReport_20060602_쭈_GS이스토어_6월_DailyReport_20060601_GS이스토어_10월온라인캠페인_DailyReport_1030_GS이스토어_12월온라인캠페인_DailyReport_GS이스토어_3월온라인캠페인_DailyReport_070311" xfId="77"/>
    <cellStyle name="_GS이스토어_3월_DailyReport_20060307_GS이스토어_6월_DailyReport_20060602_쭈_GS이스토어_6월_DailyReport_20060601_GS이스토어_10월온라인캠페인_DailyReport_1030_GS이스토어_1월온라인캠페인_DailyReport_070102" xfId="78"/>
    <cellStyle name="_GS이스토어_3월_DailyReport_20060307_GS이스토어_6월_DailyReport_20060602_쭈_GS이스토어_6월_DailyReport_20060601_GS이스토어_10월온라인캠페인_DailyReport_1030_GS이스토어_1월온라인캠페인_DailyReport_070102_GS이스토어_3월온라인캠페인_DailyReport_070311" xfId="79"/>
    <cellStyle name="_GS이스토어_3월_DailyReport_20060307_GS이스토어_6월_DailyReport_20060602_쭈_GS이스토어_6월_DailyReport_20060601_GS이스토어_10월온라인캠페인_DailyReport_1030_GS이스토어_1월온라인캠페인_DailyReport_070117" xfId="80"/>
    <cellStyle name="_GS이스토어_3월_DailyReport_20060307_GS이스토어_6월_DailyReport_20060602_쭈_GS이스토어_6월_DailyReport_20060601_GS이스토어_10월온라인캠페인_DailyReport_1030_GS이스토어_1월온라인캠페인_DailyReport_070117_GS이스토어_3월온라인캠페인_DailyReport_070311" xfId="83"/>
    <cellStyle name="_GS이스토어_3월_DailyReport_20060307_GS이스토어_6월_DailyReport_20060602_쭈_GS이스토어_6월_DailyReport_20060601_GS이스토어_10월온라인캠페인_DailyReport_1030_GS이스토어_1월온라인캠페인_DailyReport_070117_쉬트추가" xfId="81"/>
    <cellStyle name="_GS이스토어_3월_DailyReport_20060307_GS이스토어_6월_DailyReport_20060602_쭈_GS이스토어_6월_DailyReport_20060601_GS이스토어_10월온라인캠페인_DailyReport_1030_GS이스토어_1월온라인캠페인_DailyReport_070117_쉬트추가_GS이스토어_3월온라인캠페인_DailyReport_070311" xfId="82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" xfId="84"/>
    <cellStyle name="_GS이스토어_3월_DailyReport_20060307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"/>
    <cellStyle name="_GS이스토어_3월_DailyReport_20060307_GS이스토어_6월_DailyReport_20060602_쭈_GS이스토어_6월_DailyReport_20060601_GS이스토어_10월온라인캠페인_DailyReport_1030_GS이스토어_2월온라인캠페인_DailyReport_070204" xfId="86"/>
    <cellStyle name="_GS이스토어_3월_DailyReport_20060307_GS이스토어_6월_DailyReport_20060602_쭈_GS이스토어_6월_DailyReport_20060601_GS이스토어_10월온라인캠페인_DailyReport_1030_GS이스토어_2월온라인캠페인_DailyReport_070204_GS이스토어_3월온라인캠페인_DailyReport_070311" xfId="87"/>
    <cellStyle name="_GS이스토어_3월_DailyReport_20060307_GS이스토어_6월_DailyReport_20060602_쭈_GS이스토어_6월_DailyReport_20060601_GS이스토어_3월온라인캠페인_DailyReport_070311" xfId="88"/>
    <cellStyle name="_GS이스토어_3월_DailyReport_20060307_GS이스토어_6월_DailyReport_20060602_쭈_GS이스토어_6월_DailyReport_20060601_GS이스토어_8월온라인캠페인_DailyReport_양식" xfId="89"/>
    <cellStyle name="_GS이스토어_3월_DailyReport_20060307_GS이스토어_6월_DailyReport_20060602_쭈_GS이스토어_6월_DailyReport_20060601_GS이스토어_8월온라인캠페인_DailyReport_양식_GS이스토어_12월온라인캠페인_DailyReport" xfId="90"/>
    <cellStyle name="_GS이스토어_3월_DailyReport_20060307_GS이스토어_6월_DailyReport_20060602_쭈_GS이스토어_6월_DailyReport_20060601_GS이스토어_8월온라인캠페인_DailyReport_양식_GS이스토어_12월온라인캠페인_DailyReport_GS이스토어_3월온라인캠페인_DailyReport_070311" xfId="91"/>
    <cellStyle name="_GS이스토어_3월_DailyReport_20060307_GS이스토어_6월_DailyReport_20060602_쭈_GS이스토어_6월_DailyReport_20060601_GS이스토어_8월온라인캠페인_DailyReport_양식_GS이스토어_1월온라인캠페인_DailyReport_070102" xfId="92"/>
    <cellStyle name="_GS이스토어_3월_DailyReport_20060307_GS이스토어_6월_DailyReport_20060602_쭈_GS이스토어_6월_DailyReport_20060601_GS이스토어_8월온라인캠페인_DailyReport_양식_GS이스토어_1월온라인캠페인_DailyReport_070102_GS이스토어_3월온라인캠페인_DailyReport_070311" xfId="93"/>
    <cellStyle name="_GS이스토어_3월_DailyReport_20060307_GS이스토어_6월_DailyReport_20060602_쭈_GS이스토어_6월_DailyReport_20060601_GS이스토어_8월온라인캠페인_DailyReport_양식_GS이스토어_1월온라인캠페인_DailyReport_070117" xfId="94"/>
    <cellStyle name="_GS이스토어_3월_DailyReport_20060307_GS이스토어_6월_DailyReport_20060602_쭈_GS이스토어_6월_DailyReport_20060601_GS이스토어_8월온라인캠페인_DailyReport_양식_GS이스토어_1월온라인캠페인_DailyReport_070117_GS이스토어_3월온라인캠페인_DailyReport_070311" xfId="97"/>
    <cellStyle name="_GS이스토어_3월_DailyReport_20060307_GS이스토어_6월_DailyReport_20060602_쭈_GS이스토어_6월_DailyReport_20060601_GS이스토어_8월온라인캠페인_DailyReport_양식_GS이스토어_1월온라인캠페인_DailyReport_070117_쉬트추가" xfId="95"/>
    <cellStyle name="_GS이스토어_3월_DailyReport_20060307_GS이스토어_6월_DailyReport_20060602_쭈_GS이스토어_6월_DailyReport_20060601_GS이스토어_8월온라인캠페인_DailyReport_양식_GS이스토어_1월온라인캠페인_DailyReport_070117_쉬트추가_GS이스토어_3월온라인캠페인_DailyReport_070311" xfId="96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" xfId="98"/>
    <cellStyle name="_GS이스토어_3월_DailyReport_20060307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99"/>
    <cellStyle name="_GS이스토어_3월_DailyReport_20060307_GS이스토어_6월_DailyReport_20060602_쭈_GS이스토어_6월_DailyReport_20060601_GS이스토어_8월온라인캠페인_DailyReport_양식_GS이스토어_2월온라인캠페인_DailyReport_070204" xfId="100"/>
    <cellStyle name="_GS이스토어_3월_DailyReport_20060307_GS이스토어_6월_DailyReport_20060602_쭈_GS이스토어_6월_DailyReport_20060601_GS이스토어_8월온라인캠페인_DailyReport_양식_GS이스토어_2월온라인캠페인_DailyReport_070204_GS이스토어_3월온라인캠페인_DailyReport_070311" xfId="101"/>
    <cellStyle name="_GS이스토어_3월_DailyReport_20060307_GS이스토어_8월온라인캠페인_DailyReport_양식" xfId="198"/>
    <cellStyle name="_GS이스토어_3월_DailyReport_20060307_GS이스토어_8월온라인캠페인_DailyReport_양식_GS이스토어_12월온라인캠페인_DailyReport" xfId="199"/>
    <cellStyle name="_GS이스토어_3월_DailyReport_20060307_GS이스토어_8월온라인캠페인_DailyReport_양식_GS이스토어_12월온라인캠페인_DailyReport_GS이스토어_3월온라인캠페인_DailyReport_070311" xfId="200"/>
    <cellStyle name="_GS이스토어_3월_DailyReport_20060307_GS이스토어_8월온라인캠페인_DailyReport_양식_GS이스토어_1월온라인캠페인_DailyReport_070102" xfId="201"/>
    <cellStyle name="_GS이스토어_3월_DailyReport_20060307_GS이스토어_8월온라인캠페인_DailyReport_양식_GS이스토어_1월온라인캠페인_DailyReport_070102_GS이스토어_3월온라인캠페인_DailyReport_070311" xfId="202"/>
    <cellStyle name="_GS이스토어_3월_DailyReport_20060307_GS이스토어_8월온라인캠페인_DailyReport_양식_GS이스토어_1월온라인캠페인_DailyReport_070117" xfId="203"/>
    <cellStyle name="_GS이스토어_3월_DailyReport_20060307_GS이스토어_8월온라인캠페인_DailyReport_양식_GS이스토어_1월온라인캠페인_DailyReport_070117_GS이스토어_3월온라인캠페인_DailyReport_070311" xfId="206"/>
    <cellStyle name="_GS이스토어_3월_DailyReport_20060307_GS이스토어_8월온라인캠페인_DailyReport_양식_GS이스토어_1월온라인캠페인_DailyReport_070117_쉬트추가" xfId="204"/>
    <cellStyle name="_GS이스토어_3월_DailyReport_20060307_GS이스토어_8월온라인캠페인_DailyReport_양식_GS이스토어_1월온라인캠페인_DailyReport_070117_쉬트추가_GS이스토어_3월온라인캠페인_DailyReport_070311" xfId="205"/>
    <cellStyle name="_GS이스토어_3월_DailyReport_20060307_GS이스토어_8월온라인캠페인_DailyReport_양식_GS이스토어_1월온라인캠페인_DailyReport_070121_소재별쉬트수정본" xfId="207"/>
    <cellStyle name="_GS이스토어_3월_DailyReport_20060307_GS이스토어_8월온라인캠페인_DailyReport_양식_GS이스토어_1월온라인캠페인_DailyReport_070121_소재별쉬트수정본_GS이스토어_3월온라인캠페인_DailyReport_070311" xfId="208"/>
    <cellStyle name="_GS이스토어_3월_DailyReport_20060307_GS이스토어_8월온라인캠페인_DailyReport_양식_GS이스토어_2월온라인캠페인_DailyReport_070204" xfId="209"/>
    <cellStyle name="_GS이스토어_3월_DailyReport_20060307_GS이스토어_8월온라인캠페인_DailyReport_양식_GS이스토어_2월온라인캠페인_DailyReport_070204_GS이스토어_3월온라인캠페인_DailyReport_070311" xfId="210"/>
    <cellStyle name="_GS이스토어_3월_DailyReport_20060314" xfId="211"/>
    <cellStyle name="_GS이스토어_3월_DailyReport_20060314_GS이스토어_10월온라인캠페인_DailyReport_1030" xfId="212"/>
    <cellStyle name="_GS이스토어_3월_DailyReport_20060314_GS이스토어_10월온라인캠페인_DailyReport_1030_GS이스토어_12월온라인캠페인_DailyReport" xfId="213"/>
    <cellStyle name="_GS이스토어_3월_DailyReport_20060314_GS이스토어_10월온라인캠페인_DailyReport_1030_GS이스토어_12월온라인캠페인_DailyReport_GS이스토어_3월온라인캠페인_DailyReport_070311" xfId="214"/>
    <cellStyle name="_GS이스토어_3월_DailyReport_20060314_GS이스토어_10월온라인캠페인_DailyReport_1030_GS이스토어_1월온라인캠페인_DailyReport_070102" xfId="215"/>
    <cellStyle name="_GS이스토어_3월_DailyReport_20060314_GS이스토어_10월온라인캠페인_DailyReport_1030_GS이스토어_1월온라인캠페인_DailyReport_070102_GS이스토어_3월온라인캠페인_DailyReport_070311" xfId="216"/>
    <cellStyle name="_GS이스토어_3월_DailyReport_20060314_GS이스토어_10월온라인캠페인_DailyReport_1030_GS이스토어_1월온라인캠페인_DailyReport_070117" xfId="217"/>
    <cellStyle name="_GS이스토어_3월_DailyReport_20060314_GS이스토어_10월온라인캠페인_DailyReport_1030_GS이스토어_1월온라인캠페인_DailyReport_070117_GS이스토어_3월온라인캠페인_DailyReport_070311" xfId="220"/>
    <cellStyle name="_GS이스토어_3월_DailyReport_20060314_GS이스토어_10월온라인캠페인_DailyReport_1030_GS이스토어_1월온라인캠페인_DailyReport_070117_쉬트추가" xfId="218"/>
    <cellStyle name="_GS이스토어_3월_DailyReport_20060314_GS이스토어_10월온라인캠페인_DailyReport_1030_GS이스토어_1월온라인캠페인_DailyReport_070117_쉬트추가_GS이스토어_3월온라인캠페인_DailyReport_070311" xfId="219"/>
    <cellStyle name="_GS이스토어_3월_DailyReport_20060314_GS이스토어_10월온라인캠페인_DailyReport_1030_GS이스토어_1월온라인캠페인_DailyReport_070121_소재별쉬트수정본" xfId="221"/>
    <cellStyle name="_GS이스토어_3월_DailyReport_20060314_GS이스토어_10월온라인캠페인_DailyReport_1030_GS이스토어_1월온라인캠페인_DailyReport_070121_소재별쉬트수정본_GS이스토어_3월온라인캠페인_DailyReport_070311" xfId="222"/>
    <cellStyle name="_GS이스토어_3월_DailyReport_20060314_GS이스토어_10월온라인캠페인_DailyReport_1030_GS이스토어_2월온라인캠페인_DailyReport_070204" xfId="223"/>
    <cellStyle name="_GS이스토어_3월_DailyReport_20060314_GS이스토어_10월온라인캠페인_DailyReport_1030_GS이스토어_2월온라인캠페인_DailyReport_070204_GS이스토어_3월온라인캠페인_DailyReport_070311" xfId="224"/>
    <cellStyle name="_GS이스토어_3월_DailyReport_20060314_GS이스토어_3월온라인캠페인_DailyReport_070311" xfId="225"/>
    <cellStyle name="_GS이스토어_3월_DailyReport_20060314_GS이스토어_6월_DailyReport_20060602" xfId="226"/>
    <cellStyle name="_GS이스토어_3월_DailyReport_20060314_GS이스토어_6월_DailyReport_20060602_GS이스토어_12월온라인캠페인_DailyReport" xfId="255"/>
    <cellStyle name="_GS이스토어_3월_DailyReport_20060314_GS이스토어_6월_DailyReport_20060602_GS이스토어_12월온라인캠페인_DailyReport_GS이스토어_3월온라인캠페인_DailyReport_070311" xfId="256"/>
    <cellStyle name="_GS이스토어_3월_DailyReport_20060314_GS이스토어_6월_DailyReport_20060602_GS이스토어_1월온라인캠페인_DailyReport_070102" xfId="257"/>
    <cellStyle name="_GS이스토어_3월_DailyReport_20060314_GS이스토어_6월_DailyReport_20060602_GS이스토어_1월온라인캠페인_DailyReport_070102_GS이스토어_3월온라인캠페인_DailyReport_070311" xfId="258"/>
    <cellStyle name="_GS이스토어_3월_DailyReport_20060314_GS이스토어_6월_DailyReport_20060602_GS이스토어_1월온라인캠페인_DailyReport_070117" xfId="259"/>
    <cellStyle name="_GS이스토어_3월_DailyReport_20060314_GS이스토어_6월_DailyReport_20060602_GS이스토어_1월온라인캠페인_DailyReport_070117_GS이스토어_3월온라인캠페인_DailyReport_070311" xfId="262"/>
    <cellStyle name="_GS이스토어_3월_DailyReport_20060314_GS이스토어_6월_DailyReport_20060602_GS이스토어_1월온라인캠페인_DailyReport_070117_쉬트추가" xfId="260"/>
    <cellStyle name="_GS이스토어_3월_DailyReport_20060314_GS이스토어_6월_DailyReport_20060602_GS이스토어_1월온라인캠페인_DailyReport_070117_쉬트추가_GS이스토어_3월온라인캠페인_DailyReport_070311" xfId="261"/>
    <cellStyle name="_GS이스토어_3월_DailyReport_20060314_GS이스토어_6월_DailyReport_20060602_GS이스토어_1월온라인캠페인_DailyReport_070121_소재별쉬트수정본" xfId="263"/>
    <cellStyle name="_GS이스토어_3월_DailyReport_20060314_GS이스토어_6월_DailyReport_20060602_GS이스토어_1월온라인캠페인_DailyReport_070121_소재별쉬트수정본_GS이스토어_3월온라인캠페인_DailyReport_070311" xfId="264"/>
    <cellStyle name="_GS이스토어_3월_DailyReport_20060314_GS이스토어_6월_DailyReport_20060602_GS이스토어_2월온라인캠페인_DailyReport_070204" xfId="265"/>
    <cellStyle name="_GS이스토어_3월_DailyReport_20060314_GS이스토어_6월_DailyReport_20060602_GS이스토어_2월온라인캠페인_DailyReport_070204_GS이스토어_3월온라인캠페인_DailyReport_070311" xfId="266"/>
    <cellStyle name="_GS이스토어_3월_DailyReport_20060314_GS이스토어_6월_DailyReport_20060602_GS이스토어_6월(DM)_DailyReport_20060601" xfId="267"/>
    <cellStyle name="_GS이스토어_3월_DailyReport_20060314_GS이스토어_6월_DailyReport_20060602_GS이스토어_6월(DM)_DailyReport_20060601_GS이스토어_10월온라인캠페인_DailyReport_1030" xfId="268"/>
    <cellStyle name="_GS이스토어_3월_DailyReport_20060314_GS이스토어_6월_DailyReport_20060602_GS이스토어_6월(DM)_DailyReport_20060601_GS이스토어_10월온라인캠페인_DailyReport_1030_GS이스토어_12월온라인캠페인_DailyReport" xfId="269"/>
    <cellStyle name="_GS이스토어_3월_DailyReport_20060314_GS이스토어_6월_DailyReport_20060602_GS이스토어_6월(DM)_DailyReport_20060601_GS이스토어_10월온라인캠페인_DailyReport_1030_GS이스토어_12월온라인캠페인_DailyReport_GS이스토어_3월온라인캠페인_DailyReport_070311" xfId="270"/>
    <cellStyle name="_GS이스토어_3월_DailyReport_20060314_GS이스토어_6월_DailyReport_20060602_GS이스토어_6월(DM)_DailyReport_20060601_GS이스토어_10월온라인캠페인_DailyReport_1030_GS이스토어_1월온라인캠페인_DailyReport_070102" xfId="271"/>
    <cellStyle name="_GS이스토어_3월_DailyReport_20060314_GS이스토어_6월_DailyReport_20060602_GS이스토어_6월(DM)_DailyReport_20060601_GS이스토어_10월온라인캠페인_DailyReport_1030_GS이스토어_1월온라인캠페인_DailyReport_070102_GS이스토어_3월온라인캠페인_DailyReport_070311" xfId="272"/>
    <cellStyle name="_GS이스토어_3월_DailyReport_20060314_GS이스토어_6월_DailyReport_20060602_GS이스토어_6월(DM)_DailyReport_20060601_GS이스토어_10월온라인캠페인_DailyReport_1030_GS이스토어_1월온라인캠페인_DailyReport_070117" xfId="273"/>
    <cellStyle name="_GS이스토어_3월_DailyReport_20060314_GS이스토어_6월_DailyReport_20060602_GS이스토어_6월(DM)_DailyReport_20060601_GS이스토어_10월온라인캠페인_DailyReport_1030_GS이스토어_1월온라인캠페인_DailyReport_070117_GS이스토어_3월온라인캠페인_DailyReport_070311" xfId="276"/>
    <cellStyle name="_GS이스토어_3월_DailyReport_20060314_GS이스토어_6월_DailyReport_20060602_GS이스토어_6월(DM)_DailyReport_20060601_GS이스토어_10월온라인캠페인_DailyReport_1030_GS이스토어_1월온라인캠페인_DailyReport_070117_쉬트추가" xfId="274"/>
    <cellStyle name="_GS이스토어_3월_DailyReport_20060314_GS이스토어_6월_DailyReport_20060602_GS이스토어_6월(DM)_DailyReport_20060601_GS이스토어_10월온라인캠페인_DailyReport_1030_GS이스토어_1월온라인캠페인_DailyReport_070117_쉬트추가_GS이스토어_3월온라인캠페인_DailyReport_070311" xfId="275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" xfId="277"/>
    <cellStyle name="_GS이스토어_3월_DailyReport_2006031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278"/>
    <cellStyle name="_GS이스토어_3월_DailyReport_20060314_GS이스토어_6월_DailyReport_20060602_GS이스토어_6월(DM)_DailyReport_20060601_GS이스토어_10월온라인캠페인_DailyReport_1030_GS이스토어_2월온라인캠페인_DailyReport_070204" xfId="279"/>
    <cellStyle name="_GS이스토어_3월_DailyReport_20060314_GS이스토어_6월_DailyReport_20060602_GS이스토어_6월(DM)_DailyReport_20060601_GS이스토어_10월온라인캠페인_DailyReport_1030_GS이스토어_2월온라인캠페인_DailyReport_070204_GS이스토어_3월온라인캠페인_DailyReport_070311" xfId="280"/>
    <cellStyle name="_GS이스토어_3월_DailyReport_20060314_GS이스토어_6월_DailyReport_20060602_GS이스토어_6월(DM)_DailyReport_20060601_GS이스토어_3월온라인캠페인_DailyReport_070311" xfId="281"/>
    <cellStyle name="_GS이스토어_3월_DailyReport_20060314_GS이스토어_6월_DailyReport_20060602_GS이스토어_6월(DM)_DailyReport_20060601_GS이스토어_8월온라인캠페인_DailyReport_양식" xfId="282"/>
    <cellStyle name="_GS이스토어_3월_DailyReport_20060314_GS이스토어_6월_DailyReport_20060602_GS이스토어_6월(DM)_DailyReport_20060601_GS이스토어_8월온라인캠페인_DailyReport_양식_GS이스토어_12월온라인캠페인_DailyReport" xfId="283"/>
    <cellStyle name="_GS이스토어_3월_DailyReport_20060314_GS이스토어_6월_DailyReport_20060602_GS이스토어_6월(DM)_DailyReport_20060601_GS이스토어_8월온라인캠페인_DailyReport_양식_GS이스토어_12월온라인캠페인_DailyReport_GS이스토어_3월온라인캠페인_DailyReport_070311" xfId="284"/>
    <cellStyle name="_GS이스토어_3월_DailyReport_20060314_GS이스토어_6월_DailyReport_20060602_GS이스토어_6월(DM)_DailyReport_20060601_GS이스토어_8월온라인캠페인_DailyReport_양식_GS이스토어_1월온라인캠페인_DailyReport_070102" xfId="285"/>
    <cellStyle name="_GS이스토어_3월_DailyReport_20060314_GS이스토어_6월_DailyReport_20060602_GS이스토어_6월(DM)_DailyReport_20060601_GS이스토어_8월온라인캠페인_DailyReport_양식_GS이스토어_1월온라인캠페인_DailyReport_070102_GS이스토어_3월온라인캠페인_DailyReport_070311" xfId="286"/>
    <cellStyle name="_GS이스토어_3월_DailyReport_20060314_GS이스토어_6월_DailyReport_20060602_GS이스토어_6월(DM)_DailyReport_20060601_GS이스토어_8월온라인캠페인_DailyReport_양식_GS이스토어_1월온라인캠페인_DailyReport_070117" xfId="287"/>
    <cellStyle name="_GS이스토어_3월_DailyReport_20060314_GS이스토어_6월_DailyReport_20060602_GS이스토어_6월(DM)_DailyReport_20060601_GS이스토어_8월온라인캠페인_DailyReport_양식_GS이스토어_1월온라인캠페인_DailyReport_070117_GS이스토어_3월온라인캠페인_DailyReport_070311" xfId="290"/>
    <cellStyle name="_GS이스토어_3월_DailyReport_20060314_GS이스토어_6월_DailyReport_20060602_GS이스토어_6월(DM)_DailyReport_20060601_GS이스토어_8월온라인캠페인_DailyReport_양식_GS이스토어_1월온라인캠페인_DailyReport_070117_쉬트추가" xfId="288"/>
    <cellStyle name="_GS이스토어_3월_DailyReport_20060314_GS이스토어_6월_DailyReport_20060602_GS이스토어_6월(DM)_DailyReport_20060601_GS이스토어_8월온라인캠페인_DailyReport_양식_GS이스토어_1월온라인캠페인_DailyReport_070117_쉬트추가_GS이스토어_3월온라인캠페인_DailyReport_070311" xfId="289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" xfId="291"/>
    <cellStyle name="_GS이스토어_3월_DailyReport_2006031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292"/>
    <cellStyle name="_GS이스토어_3월_DailyReport_20060314_GS이스토어_6월_DailyReport_20060602_GS이스토어_6월(DM)_DailyReport_20060601_GS이스토어_8월온라인캠페인_DailyReport_양식_GS이스토어_2월온라인캠페인_DailyReport_070204" xfId="293"/>
    <cellStyle name="_GS이스토어_3월_DailyReport_20060314_GS이스토어_6월_DailyReport_20060602_GS이스토어_6월(DM)_DailyReport_20060601_GS이스토어_8월온라인캠페인_DailyReport_양식_GS이스토어_2월온라인캠페인_DailyReport_070204_GS이스토어_3월온라인캠페인_DailyReport_070311" xfId="294"/>
    <cellStyle name="_GS이스토어_3월_DailyReport_20060314_GS이스토어_6월_DailyReport_20060602_GS이스토어_6월_DailyReport_20060601" xfId="295"/>
    <cellStyle name="_GS이스토어_3월_DailyReport_20060314_GS이스토어_6월_DailyReport_20060602_GS이스토어_6월_DailyReport_20060601_GS이스토어_10월온라인캠페인_DailyReport_1030" xfId="296"/>
    <cellStyle name="_GS이스토어_3월_DailyReport_20060314_GS이스토어_6월_DailyReport_20060602_GS이스토어_6월_DailyReport_20060601_GS이스토어_10월온라인캠페인_DailyReport_1030_GS이스토어_12월온라인캠페인_DailyReport" xfId="297"/>
    <cellStyle name="_GS이스토어_3월_DailyReport_20060314_GS이스토어_6월_DailyReport_20060602_GS이스토어_6월_DailyReport_20060601_GS이스토어_10월온라인캠페인_DailyReport_1030_GS이스토어_12월온라인캠페인_DailyReport_GS이스토어_3월온라인캠페인_DailyReport_070311" xfId="298"/>
    <cellStyle name="_GS이스토어_3월_DailyReport_20060314_GS이스토어_6월_DailyReport_20060602_GS이스토어_6월_DailyReport_20060601_GS이스토어_10월온라인캠페인_DailyReport_1030_GS이스토어_1월온라인캠페인_DailyReport_070102" xfId="299"/>
    <cellStyle name="_GS이스토어_3월_DailyReport_20060314_GS이스토어_6월_DailyReport_20060602_GS이스토어_6월_DailyReport_20060601_GS이스토어_10월온라인캠페인_DailyReport_1030_GS이스토어_1월온라인캠페인_DailyReport_070102_GS이스토어_3월온라인캠페인_DailyReport_070311" xfId="300"/>
    <cellStyle name="_GS이스토어_3월_DailyReport_20060314_GS이스토어_6월_DailyReport_20060602_GS이스토어_6월_DailyReport_20060601_GS이스토어_10월온라인캠페인_DailyReport_1030_GS이스토어_1월온라인캠페인_DailyReport_070117" xfId="301"/>
    <cellStyle name="_GS이스토어_3월_DailyReport_20060314_GS이스토어_6월_DailyReport_20060602_GS이스토어_6월_DailyReport_20060601_GS이스토어_10월온라인캠페인_DailyReport_1030_GS이스토어_1월온라인캠페인_DailyReport_070117_GS이스토어_3월온라인캠페인_DailyReport_070311" xfId="304"/>
    <cellStyle name="_GS이스토어_3월_DailyReport_20060314_GS이스토어_6월_DailyReport_20060602_GS이스토어_6월_DailyReport_20060601_GS이스토어_10월온라인캠페인_DailyReport_1030_GS이스토어_1월온라인캠페인_DailyReport_070117_쉬트추가" xfId="302"/>
    <cellStyle name="_GS이스토어_3월_DailyReport_20060314_GS이스토어_6월_DailyReport_20060602_GS이스토어_6월_DailyReport_20060601_GS이스토어_10월온라인캠페인_DailyReport_1030_GS이스토어_1월온라인캠페인_DailyReport_070117_쉬트추가_GS이스토어_3월온라인캠페인_DailyReport_070311" xfId="303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" xfId="305"/>
    <cellStyle name="_GS이스토어_3월_DailyReport_2006031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306"/>
    <cellStyle name="_GS이스토어_3월_DailyReport_20060314_GS이스토어_6월_DailyReport_20060602_GS이스토어_6월_DailyReport_20060601_GS이스토어_10월온라인캠페인_DailyReport_1030_GS이스토어_2월온라인캠페인_DailyReport_070204" xfId="307"/>
    <cellStyle name="_GS이스토어_3월_DailyReport_20060314_GS이스토어_6월_DailyReport_20060602_GS이스토어_6월_DailyReport_20060601_GS이스토어_10월온라인캠페인_DailyReport_1030_GS이스토어_2월온라인캠페인_DailyReport_070204_GS이스토어_3월온라인캠페인_DailyReport_070311" xfId="308"/>
    <cellStyle name="_GS이스토어_3월_DailyReport_20060314_GS이스토어_6월_DailyReport_20060602_GS이스토어_6월_DailyReport_20060601_GS이스토어_3월온라인캠페인_DailyReport_070311" xfId="309"/>
    <cellStyle name="_GS이스토어_3월_DailyReport_20060314_GS이스토어_6월_DailyReport_20060602_GS이스토어_6월_DailyReport_20060601_GS이스토어_8월온라인캠페인_DailyReport_양식" xfId="310"/>
    <cellStyle name="_GS이스토어_3월_DailyReport_20060314_GS이스토어_6월_DailyReport_20060602_GS이스토어_6월_DailyReport_20060601_GS이스토어_8월온라인캠페인_DailyReport_양식_GS이스토어_12월온라인캠페인_DailyReport" xfId="311"/>
    <cellStyle name="_GS이스토어_3월_DailyReport_20060314_GS이스토어_6월_DailyReport_20060602_GS이스토어_6월_DailyReport_20060601_GS이스토어_8월온라인캠페인_DailyReport_양식_GS이스토어_12월온라인캠페인_DailyReport_GS이스토어_3월온라인캠페인_DailyReport_070311" xfId="312"/>
    <cellStyle name="_GS이스토어_3월_DailyReport_20060314_GS이스토어_6월_DailyReport_20060602_GS이스토어_6월_DailyReport_20060601_GS이스토어_8월온라인캠페인_DailyReport_양식_GS이스토어_1월온라인캠페인_DailyReport_070102" xfId="313"/>
    <cellStyle name="_GS이스토어_3월_DailyReport_20060314_GS이스토어_6월_DailyReport_20060602_GS이스토어_6월_DailyReport_20060601_GS이스토어_8월온라인캠페인_DailyReport_양식_GS이스토어_1월온라인캠페인_DailyReport_070102_GS이스토어_3월온라인캠페인_DailyReport_070311" xfId="314"/>
    <cellStyle name="_GS이스토어_3월_DailyReport_20060314_GS이스토어_6월_DailyReport_20060602_GS이스토어_6월_DailyReport_20060601_GS이스토어_8월온라인캠페인_DailyReport_양식_GS이스토어_1월온라인캠페인_DailyReport_070117" xfId="315"/>
    <cellStyle name="_GS이스토어_3월_DailyReport_20060314_GS이스토어_6월_DailyReport_20060602_GS이스토어_6월_DailyReport_20060601_GS이스토어_8월온라인캠페인_DailyReport_양식_GS이스토어_1월온라인캠페인_DailyReport_070117_GS이스토어_3월온라인캠페인_DailyReport_070311" xfId="318"/>
    <cellStyle name="_GS이스토어_3월_DailyReport_20060314_GS이스토어_6월_DailyReport_20060602_GS이스토어_6월_DailyReport_20060601_GS이스토어_8월온라인캠페인_DailyReport_양식_GS이스토어_1월온라인캠페인_DailyReport_070117_쉬트추가" xfId="316"/>
    <cellStyle name="_GS이스토어_3월_DailyReport_20060314_GS이스토어_6월_DailyReport_20060602_GS이스토어_6월_DailyReport_20060601_GS이스토어_8월온라인캠페인_DailyReport_양식_GS이스토어_1월온라인캠페인_DailyReport_070117_쉬트추가_GS이스토어_3월온라인캠페인_DailyReport_070311" xfId="317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" xfId="319"/>
    <cellStyle name="_GS이스토어_3월_DailyReport_2006031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320"/>
    <cellStyle name="_GS이스토어_3월_DailyReport_20060314_GS이스토어_6월_DailyReport_20060602_GS이스토어_6월_DailyReport_20060601_GS이스토어_8월온라인캠페인_DailyReport_양식_GS이스토어_2월온라인캠페인_DailyReport_070204" xfId="321"/>
    <cellStyle name="_GS이스토어_3월_DailyReport_20060314_GS이스토어_6월_DailyReport_20060602_GS이스토어_6월_DailyReport_20060601_GS이스토어_8월온라인캠페인_DailyReport_양식_GS이스토어_2월온라인캠페인_DailyReport_070204_GS이스토어_3월온라인캠페인_DailyReport_070311" xfId="322"/>
    <cellStyle name="_GS이스토어_3월_DailyReport_20060314_GS이스토어_6월_DailyReport_20060602_GS이스토어_7월_DailyReport_원본" xfId="323"/>
    <cellStyle name="_GS이스토어_3월_DailyReport_20060314_GS이스토어_6월_DailyReport_20060602_GS이스토어_7월_DailyReport_원본_GS이스토어_10월온라인캠페인_DailyReport_1030" xfId="324"/>
    <cellStyle name="_GS이스토어_3월_DailyReport_20060314_GS이스토어_6월_DailyReport_20060602_GS이스토어_7월_DailyReport_원본_GS이스토어_10월온라인캠페인_DailyReport_1030_GS이스토어_12월온라인캠페인_DailyReport" xfId="325"/>
    <cellStyle name="_GS이스토어_3월_DailyReport_20060314_GS이스토어_6월_DailyReport_20060602_GS이스토어_7월_DailyReport_원본_GS이스토어_10월온라인캠페인_DailyReport_1030_GS이스토어_12월온라인캠페인_DailyReport_GS이스토어_3월온라인캠페인_DailyReport_070311" xfId="326"/>
    <cellStyle name="_GS이스토어_3월_DailyReport_20060314_GS이스토어_6월_DailyReport_20060602_GS이스토어_7월_DailyReport_원본_GS이스토어_10월온라인캠페인_DailyReport_1030_GS이스토어_1월온라인캠페인_DailyReport_070102" xfId="327"/>
    <cellStyle name="_GS이스토어_3월_DailyReport_20060314_GS이스토어_6월_DailyReport_20060602_GS이스토어_7월_DailyReport_원본_GS이스토어_10월온라인캠페인_DailyReport_1030_GS이스토어_1월온라인캠페인_DailyReport_070102_GS이스토어_3월온라인캠페인_DailyReport_070311" xfId="328"/>
    <cellStyle name="_GS이스토어_3월_DailyReport_20060314_GS이스토어_6월_DailyReport_20060602_GS이스토어_7월_DailyReport_원본_GS이스토어_10월온라인캠페인_DailyReport_1030_GS이스토어_1월온라인캠페인_DailyReport_070117" xfId="329"/>
    <cellStyle name="_GS이스토어_3월_DailyReport_20060314_GS이스토어_6월_DailyReport_20060602_GS이스토어_7월_DailyReport_원본_GS이스토어_10월온라인캠페인_DailyReport_1030_GS이스토어_1월온라인캠페인_DailyReport_070117_GS이스토어_3월온라인캠페인_DailyReport_070311" xfId="332"/>
    <cellStyle name="_GS이스토어_3월_DailyReport_20060314_GS이스토어_6월_DailyReport_20060602_GS이스토어_7월_DailyReport_원본_GS이스토어_10월온라인캠페인_DailyReport_1030_GS이스토어_1월온라인캠페인_DailyReport_070117_쉬트추가" xfId="330"/>
    <cellStyle name="_GS이스토어_3월_DailyReport_20060314_GS이스토어_6월_DailyReport_20060602_GS이스토어_7월_DailyReport_원본_GS이스토어_10월온라인캠페인_DailyReport_1030_GS이스토어_1월온라인캠페인_DailyReport_070117_쉬트추가_GS이스토어_3월온라인캠페인_DailyReport_070311" xfId="331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" xfId="333"/>
    <cellStyle name="_GS이스토어_3월_DailyReport_2006031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334"/>
    <cellStyle name="_GS이스토어_3월_DailyReport_20060314_GS이스토어_6월_DailyReport_20060602_GS이스토어_7월_DailyReport_원본_GS이스토어_10월온라인캠페인_DailyReport_1030_GS이스토어_2월온라인캠페인_DailyReport_070204" xfId="335"/>
    <cellStyle name="_GS이스토어_3월_DailyReport_20060314_GS이스토어_6월_DailyReport_20060602_GS이스토어_7월_DailyReport_원본_GS이스토어_10월온라인캠페인_DailyReport_1030_GS이스토어_2월온라인캠페인_DailyReport_070204_GS이스토어_3월온라인캠페인_DailyReport_070311" xfId="336"/>
    <cellStyle name="_GS이스토어_3월_DailyReport_20060314_GS이스토어_6월_DailyReport_20060602_GS이스토어_7월_DailyReport_원본_GS이스토어_3월온라인캠페인_DailyReport_070311" xfId="337"/>
    <cellStyle name="_GS이스토어_3월_DailyReport_20060314_GS이스토어_6월_DailyReport_20060602_GS이스토어_7월_DailyReport_원본_GS이스토어_8월온라인캠페인_DailyReport_양식" xfId="338"/>
    <cellStyle name="_GS이스토어_3월_DailyReport_20060314_GS이스토어_6월_DailyReport_20060602_GS이스토어_7월_DailyReport_원본_GS이스토어_8월온라인캠페인_DailyReport_양식_GS이스토어_12월온라인캠페인_DailyReport" xfId="339"/>
    <cellStyle name="_GS이스토어_3월_DailyReport_20060314_GS이스토어_6월_DailyReport_20060602_GS이스토어_7월_DailyReport_원본_GS이스토어_8월온라인캠페인_DailyReport_양식_GS이스토어_12월온라인캠페인_DailyReport_GS이스토어_3월온라인캠페인_DailyReport_070311" xfId="340"/>
    <cellStyle name="_GS이스토어_3월_DailyReport_20060314_GS이스토어_6월_DailyReport_20060602_GS이스토어_7월_DailyReport_원본_GS이스토어_8월온라인캠페인_DailyReport_양식_GS이스토어_1월온라인캠페인_DailyReport_070102" xfId="341"/>
    <cellStyle name="_GS이스토어_3월_DailyReport_20060314_GS이스토어_6월_DailyReport_20060602_GS이스토어_7월_DailyReport_원본_GS이스토어_8월온라인캠페인_DailyReport_양식_GS이스토어_1월온라인캠페인_DailyReport_070102_GS이스토어_3월온라인캠페인_DailyReport_070311" xfId="342"/>
    <cellStyle name="_GS이스토어_3월_DailyReport_20060314_GS이스토어_6월_DailyReport_20060602_GS이스토어_7월_DailyReport_원본_GS이스토어_8월온라인캠페인_DailyReport_양식_GS이스토어_1월온라인캠페인_DailyReport_070117" xfId="343"/>
    <cellStyle name="_GS이스토어_3월_DailyReport_20060314_GS이스토어_6월_DailyReport_20060602_GS이스토어_7월_DailyReport_원본_GS이스토어_8월온라인캠페인_DailyReport_양식_GS이스토어_1월온라인캠페인_DailyReport_070117_GS이스토어_3월온라인캠페인_DailyReport_070311" xfId="346"/>
    <cellStyle name="_GS이스토어_3월_DailyReport_20060314_GS이스토어_6월_DailyReport_20060602_GS이스토어_7월_DailyReport_원본_GS이스토어_8월온라인캠페인_DailyReport_양식_GS이스토어_1월온라인캠페인_DailyReport_070117_쉬트추가" xfId="344"/>
    <cellStyle name="_GS이스토어_3월_DailyReport_20060314_GS이스토어_6월_DailyReport_20060602_GS이스토어_7월_DailyReport_원본_GS이스토어_8월온라인캠페인_DailyReport_양식_GS이스토어_1월온라인캠페인_DailyReport_070117_쉬트추가_GS이스토어_3월온라인캠페인_DailyReport_070311" xfId="345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" xfId="347"/>
    <cellStyle name="_GS이스토어_3월_DailyReport_2006031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348"/>
    <cellStyle name="_GS이스토어_3월_DailyReport_20060314_GS이스토어_6월_DailyReport_20060602_GS이스토어_7월_DailyReport_원본_GS이스토어_8월온라인캠페인_DailyReport_양식_GS이스토어_2월온라인캠페인_DailyReport_070204" xfId="349"/>
    <cellStyle name="_GS이스토어_3월_DailyReport_20060314_GS이스토어_6월_DailyReport_20060602_GS이스토어_7월_DailyReport_원본_GS이스토어_8월온라인캠페인_DailyReport_양식_GS이스토어_2월온라인캠페인_DailyReport_070204_GS이스토어_3월온라인캠페인_DailyReport_070311" xfId="350"/>
    <cellStyle name="_GS이스토어_3월_DailyReport_20060314_GS이스토어_6월_DailyReport_20060602_쭈_GS이스토어_6월_DailyReport_20060601" xfId="227"/>
    <cellStyle name="_GS이스토어_3월_DailyReport_20060314_GS이스토어_6월_DailyReport_20060602_쭈_GS이스토어_6월_DailyReport_20060601_GS이스토어_10월온라인캠페인_DailyReport_1030" xfId="228"/>
    <cellStyle name="_GS이스토어_3월_DailyReport_20060314_GS이스토어_6월_DailyReport_20060602_쭈_GS이스토어_6월_DailyReport_20060601_GS이스토어_10월온라인캠페인_DailyReport_1030_GS이스토어_12월온라인캠페인_DailyReport" xfId="229"/>
    <cellStyle name="_GS이스토어_3월_DailyReport_20060314_GS이스토어_6월_DailyReport_20060602_쭈_GS이스토어_6월_DailyReport_20060601_GS이스토어_10월온라인캠페인_DailyReport_1030_GS이스토어_12월온라인캠페인_DailyReport_GS이스토어_3월온라인캠페인_DailyReport_070311" xfId="230"/>
    <cellStyle name="_GS이스토어_3월_DailyReport_20060314_GS이스토어_6월_DailyReport_20060602_쭈_GS이스토어_6월_DailyReport_20060601_GS이스토어_10월온라인캠페인_DailyReport_1030_GS이스토어_1월온라인캠페인_DailyReport_070102" xfId="231"/>
    <cellStyle name="_GS이스토어_3월_DailyReport_20060314_GS이스토어_6월_DailyReport_20060602_쭈_GS이스토어_6월_DailyReport_20060601_GS이스토어_10월온라인캠페인_DailyReport_1030_GS이스토어_1월온라인캠페인_DailyReport_070102_GS이스토어_3월온라인캠페인_DailyReport_070311" xfId="232"/>
    <cellStyle name="_GS이스토어_3월_DailyReport_20060314_GS이스토어_6월_DailyReport_20060602_쭈_GS이스토어_6월_DailyReport_20060601_GS이스토어_10월온라인캠페인_DailyReport_1030_GS이스토어_1월온라인캠페인_DailyReport_070117" xfId="233"/>
    <cellStyle name="_GS이스토어_3월_DailyReport_20060314_GS이스토어_6월_DailyReport_20060602_쭈_GS이스토어_6월_DailyReport_20060601_GS이스토어_10월온라인캠페인_DailyReport_1030_GS이스토어_1월온라인캠페인_DailyReport_070117_GS이스토어_3월온라인캠페인_DailyReport_070311" xfId="236"/>
    <cellStyle name="_GS이스토어_3월_DailyReport_20060314_GS이스토어_6월_DailyReport_20060602_쭈_GS이스토어_6월_DailyReport_20060601_GS이스토어_10월온라인캠페인_DailyReport_1030_GS이스토어_1월온라인캠페인_DailyReport_070117_쉬트추가" xfId="234"/>
    <cellStyle name="_GS이스토어_3월_DailyReport_20060314_GS이스토어_6월_DailyReport_20060602_쭈_GS이스토어_6월_DailyReport_20060601_GS이스토어_10월온라인캠페인_DailyReport_1030_GS이스토어_1월온라인캠페인_DailyReport_070117_쉬트추가_GS이스토어_3월온라인캠페인_DailyReport_070311" xfId="235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" xfId="237"/>
    <cellStyle name="_GS이스토어_3월_DailyReport_2006031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238"/>
    <cellStyle name="_GS이스토어_3월_DailyReport_20060314_GS이스토어_6월_DailyReport_20060602_쭈_GS이스토어_6월_DailyReport_20060601_GS이스토어_10월온라인캠페인_DailyReport_1030_GS이스토어_2월온라인캠페인_DailyReport_070204" xfId="239"/>
    <cellStyle name="_GS이스토어_3월_DailyReport_20060314_GS이스토어_6월_DailyReport_20060602_쭈_GS이스토어_6월_DailyReport_20060601_GS이스토어_10월온라인캠페인_DailyReport_1030_GS이스토어_2월온라인캠페인_DailyReport_070204_GS이스토어_3월온라인캠페인_DailyReport_070311" xfId="240"/>
    <cellStyle name="_GS이스토어_3월_DailyReport_20060314_GS이스토어_6월_DailyReport_20060602_쭈_GS이스토어_6월_DailyReport_20060601_GS이스토어_3월온라인캠페인_DailyReport_070311" xfId="241"/>
    <cellStyle name="_GS이스토어_3월_DailyReport_20060314_GS이스토어_6월_DailyReport_20060602_쭈_GS이스토어_6월_DailyReport_20060601_GS이스토어_8월온라인캠페인_DailyReport_양식" xfId="242"/>
    <cellStyle name="_GS이스토어_3월_DailyReport_20060314_GS이스토어_6월_DailyReport_20060602_쭈_GS이스토어_6월_DailyReport_20060601_GS이스토어_8월온라인캠페인_DailyReport_양식_GS이스토어_12월온라인캠페인_DailyReport" xfId="243"/>
    <cellStyle name="_GS이스토어_3월_DailyReport_20060314_GS이스토어_6월_DailyReport_20060602_쭈_GS이스토어_6월_DailyReport_20060601_GS이스토어_8월온라인캠페인_DailyReport_양식_GS이스토어_12월온라인캠페인_DailyReport_GS이스토어_3월온라인캠페인_DailyReport_070311" xfId="244"/>
    <cellStyle name="_GS이스토어_3월_DailyReport_20060314_GS이스토어_6월_DailyReport_20060602_쭈_GS이스토어_6월_DailyReport_20060601_GS이스토어_8월온라인캠페인_DailyReport_양식_GS이스토어_1월온라인캠페인_DailyReport_070102" xfId="245"/>
    <cellStyle name="_GS이스토어_3월_DailyReport_20060314_GS이스토어_6월_DailyReport_20060602_쭈_GS이스토어_6월_DailyReport_20060601_GS이스토어_8월온라인캠페인_DailyReport_양식_GS이스토어_1월온라인캠페인_DailyReport_070102_GS이스토어_3월온라인캠페인_DailyReport_070311" xfId="246"/>
    <cellStyle name="_GS이스토어_3월_DailyReport_20060314_GS이스토어_6월_DailyReport_20060602_쭈_GS이스토어_6월_DailyReport_20060601_GS이스토어_8월온라인캠페인_DailyReport_양식_GS이스토어_1월온라인캠페인_DailyReport_070117" xfId="247"/>
    <cellStyle name="_GS이스토어_3월_DailyReport_20060314_GS이스토어_6월_DailyReport_20060602_쭈_GS이스토어_6월_DailyReport_20060601_GS이스토어_8월온라인캠페인_DailyReport_양식_GS이스토어_1월온라인캠페인_DailyReport_070117_GS이스토어_3월온라인캠페인_DailyReport_070311" xfId="250"/>
    <cellStyle name="_GS이스토어_3월_DailyReport_20060314_GS이스토어_6월_DailyReport_20060602_쭈_GS이스토어_6월_DailyReport_20060601_GS이스토어_8월온라인캠페인_DailyReport_양식_GS이스토어_1월온라인캠페인_DailyReport_070117_쉬트추가" xfId="248"/>
    <cellStyle name="_GS이스토어_3월_DailyReport_20060314_GS이스토어_6월_DailyReport_20060602_쭈_GS이스토어_6월_DailyReport_20060601_GS이스토어_8월온라인캠페인_DailyReport_양식_GS이스토어_1월온라인캠페인_DailyReport_070117_쉬트추가_GS이스토어_3월온라인캠페인_DailyReport_070311" xfId="249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" xfId="251"/>
    <cellStyle name="_GS이스토어_3월_DailyReport_2006031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252"/>
    <cellStyle name="_GS이스토어_3월_DailyReport_20060314_GS이스토어_6월_DailyReport_20060602_쭈_GS이스토어_6월_DailyReport_20060601_GS이스토어_8월온라인캠페인_DailyReport_양식_GS이스토어_2월온라인캠페인_DailyReport_070204" xfId="253"/>
    <cellStyle name="_GS이스토어_3월_DailyReport_20060314_GS이스토어_6월_DailyReport_20060602_쭈_GS이스토어_6월_DailyReport_20060601_GS이스토어_8월온라인캠페인_DailyReport_양식_GS이스토어_2월온라인캠페인_DailyReport_070204_GS이스토어_3월온라인캠페인_DailyReport_070311" xfId="254"/>
    <cellStyle name="_GS이스토어_3월_DailyReport_20060314_GS이스토어_8월온라인캠페인_DailyReport_양식" xfId="351"/>
    <cellStyle name="_GS이스토어_3월_DailyReport_20060314_GS이스토어_8월온라인캠페인_DailyReport_양식_GS이스토어_12월온라인캠페인_DailyReport" xfId="352"/>
    <cellStyle name="_GS이스토어_3월_DailyReport_20060314_GS이스토어_8월온라인캠페인_DailyReport_양식_GS이스토어_12월온라인캠페인_DailyReport_GS이스토어_3월온라인캠페인_DailyReport_070311" xfId="353"/>
    <cellStyle name="_GS이스토어_3월_DailyReport_20060314_GS이스토어_8월온라인캠페인_DailyReport_양식_GS이스토어_1월온라인캠페인_DailyReport_070102" xfId="354"/>
    <cellStyle name="_GS이스토어_3월_DailyReport_20060314_GS이스토어_8월온라인캠페인_DailyReport_양식_GS이스토어_1월온라인캠페인_DailyReport_070102_GS이스토어_3월온라인캠페인_DailyReport_070311" xfId="355"/>
    <cellStyle name="_GS이스토어_3월_DailyReport_20060314_GS이스토어_8월온라인캠페인_DailyReport_양식_GS이스토어_1월온라인캠페인_DailyReport_070117" xfId="356"/>
    <cellStyle name="_GS이스토어_3월_DailyReport_20060314_GS이스토어_8월온라인캠페인_DailyReport_양식_GS이스토어_1월온라인캠페인_DailyReport_070117_GS이스토어_3월온라인캠페인_DailyReport_070311" xfId="359"/>
    <cellStyle name="_GS이스토어_3월_DailyReport_20060314_GS이스토어_8월온라인캠페인_DailyReport_양식_GS이스토어_1월온라인캠페인_DailyReport_070117_쉬트추가" xfId="357"/>
    <cellStyle name="_GS이스토어_3월_DailyReport_20060314_GS이스토어_8월온라인캠페인_DailyReport_양식_GS이스토어_1월온라인캠페인_DailyReport_070117_쉬트추가_GS이스토어_3월온라인캠페인_DailyReport_070311" xfId="358"/>
    <cellStyle name="_GS이스토어_3월_DailyReport_20060314_GS이스토어_8월온라인캠페인_DailyReport_양식_GS이스토어_1월온라인캠페인_DailyReport_070121_소재별쉬트수정본" xfId="360"/>
    <cellStyle name="_GS이스토어_3월_DailyReport_20060314_GS이스토어_8월온라인캠페인_DailyReport_양식_GS이스토어_1월온라인캠페인_DailyReport_070121_소재별쉬트수정본_GS이스토어_3월온라인캠페인_DailyReport_070311" xfId="361"/>
    <cellStyle name="_GS이스토어_3월_DailyReport_20060314_GS이스토어_8월온라인캠페인_DailyReport_양식_GS이스토어_2월온라인캠페인_DailyReport_070204" xfId="362"/>
    <cellStyle name="_GS이스토어_3월_DailyReport_20060314_GS이스토어_8월온라인캠페인_DailyReport_양식_GS이스토어_2월온라인캠페인_DailyReport_070204_GS이스토어_3월온라인캠페인_DailyReport_070311" xfId="363"/>
    <cellStyle name="_GS이스토어_3월_DailyReport_20060316" xfId="364"/>
    <cellStyle name="_GS이스토어_3월_DailyReport_20060316_GS이스토어_10월온라인캠페인_DailyReport_1030" xfId="365"/>
    <cellStyle name="_GS이스토어_3월_DailyReport_20060316_GS이스토어_10월온라인캠페인_DailyReport_1030_GS이스토어_12월온라인캠페인_DailyReport" xfId="366"/>
    <cellStyle name="_GS이스토어_3월_DailyReport_20060316_GS이스토어_10월온라인캠페인_DailyReport_1030_GS이스토어_12월온라인캠페인_DailyReport_GS이스토어_3월온라인캠페인_DailyReport_070311" xfId="367"/>
    <cellStyle name="_GS이스토어_3월_DailyReport_20060316_GS이스토어_10월온라인캠페인_DailyReport_1030_GS이스토어_1월온라인캠페인_DailyReport_070102" xfId="368"/>
    <cellStyle name="_GS이스토어_3월_DailyReport_20060316_GS이스토어_10월온라인캠페인_DailyReport_1030_GS이스토어_1월온라인캠페인_DailyReport_070102_GS이스토어_3월온라인캠페인_DailyReport_070311" xfId="369"/>
    <cellStyle name="_GS이스토어_3월_DailyReport_20060316_GS이스토어_10월온라인캠페인_DailyReport_1030_GS이스토어_1월온라인캠페인_DailyReport_070117" xfId="370"/>
    <cellStyle name="_GS이스토어_3월_DailyReport_20060316_GS이스토어_10월온라인캠페인_DailyReport_1030_GS이스토어_1월온라인캠페인_DailyReport_070117_GS이스토어_3월온라인캠페인_DailyReport_070311" xfId="373"/>
    <cellStyle name="_GS이스토어_3월_DailyReport_20060316_GS이스토어_10월온라인캠페인_DailyReport_1030_GS이스토어_1월온라인캠페인_DailyReport_070117_쉬트추가" xfId="371"/>
    <cellStyle name="_GS이스토어_3월_DailyReport_20060316_GS이스토어_10월온라인캠페인_DailyReport_1030_GS이스토어_1월온라인캠페인_DailyReport_070117_쉬트추가_GS이스토어_3월온라인캠페인_DailyReport_070311" xfId="372"/>
    <cellStyle name="_GS이스토어_3월_DailyReport_20060316_GS이스토어_10월온라인캠페인_DailyReport_1030_GS이스토어_1월온라인캠페인_DailyReport_070121_소재별쉬트수정본" xfId="374"/>
    <cellStyle name="_GS이스토어_3월_DailyReport_20060316_GS이스토어_10월온라인캠페인_DailyReport_1030_GS이스토어_1월온라인캠페인_DailyReport_070121_소재별쉬트수정본_GS이스토어_3월온라인캠페인_DailyReport_070311" xfId="375"/>
    <cellStyle name="_GS이스토어_3월_DailyReport_20060316_GS이스토어_10월온라인캠페인_DailyReport_1030_GS이스토어_2월온라인캠페인_DailyReport_070204" xfId="376"/>
    <cellStyle name="_GS이스토어_3월_DailyReport_20060316_GS이스토어_10월온라인캠페인_DailyReport_1030_GS이스토어_2월온라인캠페인_DailyReport_070204_GS이스토어_3월온라인캠페인_DailyReport_070311" xfId="377"/>
    <cellStyle name="_GS이스토어_3월_DailyReport_20060316_GS이스토어_3월온라인캠페인_DailyReport_070311" xfId="378"/>
    <cellStyle name="_GS이스토어_3월_DailyReport_20060316_GS이스토어_6월_DailyReport_20060602" xfId="379"/>
    <cellStyle name="_GS이스토어_3월_DailyReport_20060316_GS이스토어_6월_DailyReport_20060602_GS이스토어_12월온라인캠페인_DailyReport" xfId="408"/>
    <cellStyle name="_GS이스토어_3월_DailyReport_20060316_GS이스토어_6월_DailyReport_20060602_GS이스토어_12월온라인캠페인_DailyReport_GS이스토어_3월온라인캠페인_DailyReport_070311" xfId="409"/>
    <cellStyle name="_GS이스토어_3월_DailyReport_20060316_GS이스토어_6월_DailyReport_20060602_GS이스토어_1월온라인캠페인_DailyReport_070102" xfId="410"/>
    <cellStyle name="_GS이스토어_3월_DailyReport_20060316_GS이스토어_6월_DailyReport_20060602_GS이스토어_1월온라인캠페인_DailyReport_070102_GS이스토어_3월온라인캠페인_DailyReport_070311" xfId="411"/>
    <cellStyle name="_GS이스토어_3월_DailyReport_20060316_GS이스토어_6월_DailyReport_20060602_GS이스토어_1월온라인캠페인_DailyReport_070117" xfId="412"/>
    <cellStyle name="_GS이스토어_3월_DailyReport_20060316_GS이스토어_6월_DailyReport_20060602_GS이스토어_1월온라인캠페인_DailyReport_070117_GS이스토어_3월온라인캠페인_DailyReport_070311" xfId="415"/>
    <cellStyle name="_GS이스토어_3월_DailyReport_20060316_GS이스토어_6월_DailyReport_20060602_GS이스토어_1월온라인캠페인_DailyReport_070117_쉬트추가" xfId="413"/>
    <cellStyle name="_GS이스토어_3월_DailyReport_20060316_GS이스토어_6월_DailyReport_20060602_GS이스토어_1월온라인캠페인_DailyReport_070117_쉬트추가_GS이스토어_3월온라인캠페인_DailyReport_070311" xfId="414"/>
    <cellStyle name="_GS이스토어_3월_DailyReport_20060316_GS이스토어_6월_DailyReport_20060602_GS이스토어_1월온라인캠페인_DailyReport_070121_소재별쉬트수정본" xfId="416"/>
    <cellStyle name="_GS이스토어_3월_DailyReport_20060316_GS이스토어_6월_DailyReport_20060602_GS이스토어_1월온라인캠페인_DailyReport_070121_소재별쉬트수정본_GS이스토어_3월온라인캠페인_DailyReport_070311" xfId="417"/>
    <cellStyle name="_GS이스토어_3월_DailyReport_20060316_GS이스토어_6월_DailyReport_20060602_GS이스토어_2월온라인캠페인_DailyReport_070204" xfId="418"/>
    <cellStyle name="_GS이스토어_3월_DailyReport_20060316_GS이스토어_6월_DailyReport_20060602_GS이스토어_2월온라인캠페인_DailyReport_070204_GS이스토어_3월온라인캠페인_DailyReport_070311" xfId="419"/>
    <cellStyle name="_GS이스토어_3월_DailyReport_20060316_GS이스토어_6월_DailyReport_20060602_GS이스토어_6월(DM)_DailyReport_20060601" xfId="420"/>
    <cellStyle name="_GS이스토어_3월_DailyReport_20060316_GS이스토어_6월_DailyReport_20060602_GS이스토어_6월(DM)_DailyReport_20060601_GS이스토어_10월온라인캠페인_DailyReport_1030" xfId="421"/>
    <cellStyle name="_GS이스토어_3월_DailyReport_20060316_GS이스토어_6월_DailyReport_20060602_GS이스토어_6월(DM)_DailyReport_20060601_GS이스토어_10월온라인캠페인_DailyReport_1030_GS이스토어_12월온라인캠페인_DailyReport" xfId="422"/>
    <cellStyle name="_GS이스토어_3월_DailyReport_20060316_GS이스토어_6월_DailyReport_20060602_GS이스토어_6월(DM)_DailyReport_20060601_GS이스토어_10월온라인캠페인_DailyReport_1030_GS이스토어_12월온라인캠페인_DailyReport_GS이스토어_3월온라인캠페인_DailyReport_070311" xfId="423"/>
    <cellStyle name="_GS이스토어_3월_DailyReport_20060316_GS이스토어_6월_DailyReport_20060602_GS이스토어_6월(DM)_DailyReport_20060601_GS이스토어_10월온라인캠페인_DailyReport_1030_GS이스토어_1월온라인캠페인_DailyReport_070102" xfId="424"/>
    <cellStyle name="_GS이스토어_3월_DailyReport_20060316_GS이스토어_6월_DailyReport_20060602_GS이스토어_6월(DM)_DailyReport_20060601_GS이스토어_10월온라인캠페인_DailyReport_1030_GS이스토어_1월온라인캠페인_DailyReport_070102_GS이스토어_3월온라인캠페인_DailyReport_070311" xfId="425"/>
    <cellStyle name="_GS이스토어_3월_DailyReport_20060316_GS이스토어_6월_DailyReport_20060602_GS이스토어_6월(DM)_DailyReport_20060601_GS이스토어_10월온라인캠페인_DailyReport_1030_GS이스토어_1월온라인캠페인_DailyReport_070117" xfId="426"/>
    <cellStyle name="_GS이스토어_3월_DailyReport_20060316_GS이스토어_6월_DailyReport_20060602_GS이스토어_6월(DM)_DailyReport_20060601_GS이스토어_10월온라인캠페인_DailyReport_1030_GS이스토어_1월온라인캠페인_DailyReport_070117_GS이스토어_3월온라인캠페인_DailyReport_070311" xfId="429"/>
    <cellStyle name="_GS이스토어_3월_DailyReport_20060316_GS이스토어_6월_DailyReport_20060602_GS이스토어_6월(DM)_DailyReport_20060601_GS이스토어_10월온라인캠페인_DailyReport_1030_GS이스토어_1월온라인캠페인_DailyReport_070117_쉬트추가" xfId="427"/>
    <cellStyle name="_GS이스토어_3월_DailyReport_20060316_GS이스토어_6월_DailyReport_20060602_GS이스토어_6월(DM)_DailyReport_20060601_GS이스토어_10월온라인캠페인_DailyReport_1030_GS이스토어_1월온라인캠페인_DailyReport_070117_쉬트추가_GS이스토어_3월온라인캠페인_DailyReport_070311" xfId="428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" xfId="430"/>
    <cellStyle name="_GS이스토어_3월_DailyReport_20060316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431"/>
    <cellStyle name="_GS이스토어_3월_DailyReport_20060316_GS이스토어_6월_DailyReport_20060602_GS이스토어_6월(DM)_DailyReport_20060601_GS이스토어_10월온라인캠페인_DailyReport_1030_GS이스토어_2월온라인캠페인_DailyReport_070204" xfId="432"/>
    <cellStyle name="_GS이스토어_3월_DailyReport_20060316_GS이스토어_6월_DailyReport_20060602_GS이스토어_6월(DM)_DailyReport_20060601_GS이스토어_10월온라인캠페인_DailyReport_1030_GS이스토어_2월온라인캠페인_DailyReport_070204_GS이스토어_3월온라인캠페인_DailyReport_070311" xfId="433"/>
    <cellStyle name="_GS이스토어_3월_DailyReport_20060316_GS이스토어_6월_DailyReport_20060602_GS이스토어_6월(DM)_DailyReport_20060601_GS이스토어_3월온라인캠페인_DailyReport_070311" xfId="434"/>
    <cellStyle name="_GS이스토어_3월_DailyReport_20060316_GS이스토어_6월_DailyReport_20060602_GS이스토어_6월(DM)_DailyReport_20060601_GS이스토어_8월온라인캠페인_DailyReport_양식" xfId="435"/>
    <cellStyle name="_GS이스토어_3월_DailyReport_20060316_GS이스토어_6월_DailyReport_20060602_GS이스토어_6월(DM)_DailyReport_20060601_GS이스토어_8월온라인캠페인_DailyReport_양식_GS이스토어_12월온라인캠페인_DailyReport" xfId="436"/>
    <cellStyle name="_GS이스토어_3월_DailyReport_20060316_GS이스토어_6월_DailyReport_20060602_GS이스토어_6월(DM)_DailyReport_20060601_GS이스토어_8월온라인캠페인_DailyReport_양식_GS이스토어_12월온라인캠페인_DailyReport_GS이스토어_3월온라인캠페인_DailyReport_070311" xfId="437"/>
    <cellStyle name="_GS이스토어_3월_DailyReport_20060316_GS이스토어_6월_DailyReport_20060602_GS이스토어_6월(DM)_DailyReport_20060601_GS이스토어_8월온라인캠페인_DailyReport_양식_GS이스토어_1월온라인캠페인_DailyReport_070102" xfId="438"/>
    <cellStyle name="_GS이스토어_3월_DailyReport_20060316_GS이스토어_6월_DailyReport_20060602_GS이스토어_6월(DM)_DailyReport_20060601_GS이스토어_8월온라인캠페인_DailyReport_양식_GS이스토어_1월온라인캠페인_DailyReport_070102_GS이스토어_3월온라인캠페인_DailyReport_070311" xfId="439"/>
    <cellStyle name="_GS이스토어_3월_DailyReport_20060316_GS이스토어_6월_DailyReport_20060602_GS이스토어_6월(DM)_DailyReport_20060601_GS이스토어_8월온라인캠페인_DailyReport_양식_GS이스토어_1월온라인캠페인_DailyReport_070117" xfId="440"/>
    <cellStyle name="_GS이스토어_3월_DailyReport_20060316_GS이스토어_6월_DailyReport_20060602_GS이스토어_6월(DM)_DailyReport_20060601_GS이스토어_8월온라인캠페인_DailyReport_양식_GS이스토어_1월온라인캠페인_DailyReport_070117_GS이스토어_3월온라인캠페인_DailyReport_070311" xfId="443"/>
    <cellStyle name="_GS이스토어_3월_DailyReport_20060316_GS이스토어_6월_DailyReport_20060602_GS이스토어_6월(DM)_DailyReport_20060601_GS이스토어_8월온라인캠페인_DailyReport_양식_GS이스토어_1월온라인캠페인_DailyReport_070117_쉬트추가" xfId="441"/>
    <cellStyle name="_GS이스토어_3월_DailyReport_20060316_GS이스토어_6월_DailyReport_20060602_GS이스토어_6월(DM)_DailyReport_20060601_GS이스토어_8월온라인캠페인_DailyReport_양식_GS이스토어_1월온라인캠페인_DailyReport_070117_쉬트추가_GS이스토어_3월온라인캠페인_DailyReport_070311" xfId="442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" xfId="444"/>
    <cellStyle name="_GS이스토어_3월_DailyReport_20060316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445"/>
    <cellStyle name="_GS이스토어_3월_DailyReport_20060316_GS이스토어_6월_DailyReport_20060602_GS이스토어_6월(DM)_DailyReport_20060601_GS이스토어_8월온라인캠페인_DailyReport_양식_GS이스토어_2월온라인캠페인_DailyReport_070204" xfId="446"/>
    <cellStyle name="_GS이스토어_3월_DailyReport_20060316_GS이스토어_6월_DailyReport_20060602_GS이스토어_6월(DM)_DailyReport_20060601_GS이스토어_8월온라인캠페인_DailyReport_양식_GS이스토어_2월온라인캠페인_DailyReport_070204_GS이스토어_3월온라인캠페인_DailyReport_070311" xfId="447"/>
    <cellStyle name="_GS이스토어_3월_DailyReport_20060316_GS이스토어_6월_DailyReport_20060602_GS이스토어_6월_DailyReport_20060601" xfId="448"/>
    <cellStyle name="_GS이스토어_3월_DailyReport_20060316_GS이스토어_6월_DailyReport_20060602_GS이스토어_6월_DailyReport_20060601_GS이스토어_10월온라인캠페인_DailyReport_1030" xfId="449"/>
    <cellStyle name="_GS이스토어_3월_DailyReport_20060316_GS이스토어_6월_DailyReport_20060602_GS이스토어_6월_DailyReport_20060601_GS이스토어_10월온라인캠페인_DailyReport_1030_GS이스토어_12월온라인캠페인_DailyReport" xfId="450"/>
    <cellStyle name="_GS이스토어_3월_DailyReport_20060316_GS이스토어_6월_DailyReport_20060602_GS이스토어_6월_DailyReport_20060601_GS이스토어_10월온라인캠페인_DailyReport_1030_GS이스토어_12월온라인캠페인_DailyReport_GS이스토어_3월온라인캠페인_DailyReport_070311" xfId="451"/>
    <cellStyle name="_GS이스토어_3월_DailyReport_20060316_GS이스토어_6월_DailyReport_20060602_GS이스토어_6월_DailyReport_20060601_GS이스토어_10월온라인캠페인_DailyReport_1030_GS이스토어_1월온라인캠페인_DailyReport_070102" xfId="452"/>
    <cellStyle name="_GS이스토어_3월_DailyReport_20060316_GS이스토어_6월_DailyReport_20060602_GS이스토어_6월_DailyReport_20060601_GS이스토어_10월온라인캠페인_DailyReport_1030_GS이스토어_1월온라인캠페인_DailyReport_070102_GS이스토어_3월온라인캠페인_DailyReport_070311" xfId="453"/>
    <cellStyle name="_GS이스토어_3월_DailyReport_20060316_GS이스토어_6월_DailyReport_20060602_GS이스토어_6월_DailyReport_20060601_GS이스토어_10월온라인캠페인_DailyReport_1030_GS이스토어_1월온라인캠페인_DailyReport_070117" xfId="454"/>
    <cellStyle name="_GS이스토어_3월_DailyReport_20060316_GS이스토어_6월_DailyReport_20060602_GS이스토어_6월_DailyReport_20060601_GS이스토어_10월온라인캠페인_DailyReport_1030_GS이스토어_1월온라인캠페인_DailyReport_070117_GS이스토어_3월온라인캠페인_DailyReport_070311" xfId="457"/>
    <cellStyle name="_GS이스토어_3월_DailyReport_20060316_GS이스토어_6월_DailyReport_20060602_GS이스토어_6월_DailyReport_20060601_GS이스토어_10월온라인캠페인_DailyReport_1030_GS이스토어_1월온라인캠페인_DailyReport_070117_쉬트추가" xfId="455"/>
    <cellStyle name="_GS이스토어_3월_DailyReport_20060316_GS이스토어_6월_DailyReport_20060602_GS이스토어_6월_DailyReport_20060601_GS이스토어_10월온라인캠페인_DailyReport_1030_GS이스토어_1월온라인캠페인_DailyReport_070117_쉬트추가_GS이스토어_3월온라인캠페인_DailyReport_070311" xfId="456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" xfId="458"/>
    <cellStyle name="_GS이스토어_3월_DailyReport_20060316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459"/>
    <cellStyle name="_GS이스토어_3월_DailyReport_20060316_GS이스토어_6월_DailyReport_20060602_GS이스토어_6월_DailyReport_20060601_GS이스토어_10월온라인캠페인_DailyReport_1030_GS이스토어_2월온라인캠페인_DailyReport_070204" xfId="460"/>
    <cellStyle name="_GS이스토어_3월_DailyReport_20060316_GS이스토어_6월_DailyReport_20060602_GS이스토어_6월_DailyReport_20060601_GS이스토어_10월온라인캠페인_DailyReport_1030_GS이스토어_2월온라인캠페인_DailyReport_070204_GS이스토어_3월온라인캠페인_DailyReport_070311" xfId="461"/>
    <cellStyle name="_GS이스토어_3월_DailyReport_20060316_GS이스토어_6월_DailyReport_20060602_GS이스토어_6월_DailyReport_20060601_GS이스토어_3월온라인캠페인_DailyReport_070311" xfId="462"/>
    <cellStyle name="_GS이스토어_3월_DailyReport_20060316_GS이스토어_6월_DailyReport_20060602_GS이스토어_6월_DailyReport_20060601_GS이스토어_8월온라인캠페인_DailyReport_양식" xfId="463"/>
    <cellStyle name="_GS이스토어_3월_DailyReport_20060316_GS이스토어_6월_DailyReport_20060602_GS이스토어_6월_DailyReport_20060601_GS이스토어_8월온라인캠페인_DailyReport_양식_GS이스토어_12월온라인캠페인_DailyReport" xfId="464"/>
    <cellStyle name="_GS이스토어_3월_DailyReport_20060316_GS이스토어_6월_DailyReport_20060602_GS이스토어_6월_DailyReport_20060601_GS이스토어_8월온라인캠페인_DailyReport_양식_GS이스토어_12월온라인캠페인_DailyReport_GS이스토어_3월온라인캠페인_DailyReport_070311" xfId="465"/>
    <cellStyle name="_GS이스토어_3월_DailyReport_20060316_GS이스토어_6월_DailyReport_20060602_GS이스토어_6월_DailyReport_20060601_GS이스토어_8월온라인캠페인_DailyReport_양식_GS이스토어_1월온라인캠페인_DailyReport_070102" xfId="466"/>
    <cellStyle name="_GS이스토어_3월_DailyReport_20060316_GS이스토어_6월_DailyReport_20060602_GS이스토어_6월_DailyReport_20060601_GS이스토어_8월온라인캠페인_DailyReport_양식_GS이스토어_1월온라인캠페인_DailyReport_070102_GS이스토어_3월온라인캠페인_DailyReport_070311" xfId="467"/>
    <cellStyle name="_GS이스토어_3월_DailyReport_20060316_GS이스토어_6월_DailyReport_20060602_GS이스토어_6월_DailyReport_20060601_GS이스토어_8월온라인캠페인_DailyReport_양식_GS이스토어_1월온라인캠페인_DailyReport_070117" xfId="468"/>
    <cellStyle name="_GS이스토어_3월_DailyReport_20060316_GS이스토어_6월_DailyReport_20060602_GS이스토어_6월_DailyReport_20060601_GS이스토어_8월온라인캠페인_DailyReport_양식_GS이스토어_1월온라인캠페인_DailyReport_070117_GS이스토어_3월온라인캠페인_DailyReport_070311" xfId="471"/>
    <cellStyle name="_GS이스토어_3월_DailyReport_20060316_GS이스토어_6월_DailyReport_20060602_GS이스토어_6월_DailyReport_20060601_GS이스토어_8월온라인캠페인_DailyReport_양식_GS이스토어_1월온라인캠페인_DailyReport_070117_쉬트추가" xfId="469"/>
    <cellStyle name="_GS이스토어_3월_DailyReport_20060316_GS이스토어_6월_DailyReport_20060602_GS이스토어_6월_DailyReport_20060601_GS이스토어_8월온라인캠페인_DailyReport_양식_GS이스토어_1월온라인캠페인_DailyReport_070117_쉬트추가_GS이스토어_3월온라인캠페인_DailyReport_070311" xfId="470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" xfId="472"/>
    <cellStyle name="_GS이스토어_3월_DailyReport_20060316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473"/>
    <cellStyle name="_GS이스토어_3월_DailyReport_20060316_GS이스토어_6월_DailyReport_20060602_GS이스토어_6월_DailyReport_20060601_GS이스토어_8월온라인캠페인_DailyReport_양식_GS이스토어_2월온라인캠페인_DailyReport_070204" xfId="474"/>
    <cellStyle name="_GS이스토어_3월_DailyReport_20060316_GS이스토어_6월_DailyReport_20060602_GS이스토어_6월_DailyReport_20060601_GS이스토어_8월온라인캠페인_DailyReport_양식_GS이스토어_2월온라인캠페인_DailyReport_070204_GS이스토어_3월온라인캠페인_DailyReport_070311" xfId="475"/>
    <cellStyle name="_GS이스토어_3월_DailyReport_20060316_GS이스토어_6월_DailyReport_20060602_GS이스토어_7월_DailyReport_원본" xfId="476"/>
    <cellStyle name="_GS이스토어_3월_DailyReport_20060316_GS이스토어_6월_DailyReport_20060602_GS이스토어_7월_DailyReport_원본_GS이스토어_10월온라인캠페인_DailyReport_1030" xfId="477"/>
    <cellStyle name="_GS이스토어_3월_DailyReport_20060316_GS이스토어_6월_DailyReport_20060602_GS이스토어_7월_DailyReport_원본_GS이스토어_10월온라인캠페인_DailyReport_1030_GS이스토어_12월온라인캠페인_DailyReport" xfId="478"/>
    <cellStyle name="_GS이스토어_3월_DailyReport_20060316_GS이스토어_6월_DailyReport_20060602_GS이스토어_7월_DailyReport_원본_GS이스토어_10월온라인캠페인_DailyReport_1030_GS이스토어_12월온라인캠페인_DailyReport_GS이스토어_3월온라인캠페인_DailyReport_070311" xfId="479"/>
    <cellStyle name="_GS이스토어_3월_DailyReport_20060316_GS이스토어_6월_DailyReport_20060602_GS이스토어_7월_DailyReport_원본_GS이스토어_10월온라인캠페인_DailyReport_1030_GS이스토어_1월온라인캠페인_DailyReport_070102" xfId="480"/>
    <cellStyle name="_GS이스토어_3월_DailyReport_20060316_GS이스토어_6월_DailyReport_20060602_GS이스토어_7월_DailyReport_원본_GS이스토어_10월온라인캠페인_DailyReport_1030_GS이스토어_1월온라인캠페인_DailyReport_070102_GS이스토어_3월온라인캠페인_DailyReport_070311" xfId="481"/>
    <cellStyle name="_GS이스토어_3월_DailyReport_20060316_GS이스토어_6월_DailyReport_20060602_GS이스토어_7월_DailyReport_원본_GS이스토어_10월온라인캠페인_DailyReport_1030_GS이스토어_1월온라인캠페인_DailyReport_070117" xfId="482"/>
    <cellStyle name="_GS이스토어_3월_DailyReport_20060316_GS이스토어_6월_DailyReport_20060602_GS이스토어_7월_DailyReport_원본_GS이스토어_10월온라인캠페인_DailyReport_1030_GS이스토어_1월온라인캠페인_DailyReport_070117_GS이스토어_3월온라인캠페인_DailyReport_070311" xfId="485"/>
    <cellStyle name="_GS이스토어_3월_DailyReport_20060316_GS이스토어_6월_DailyReport_20060602_GS이스토어_7월_DailyReport_원본_GS이스토어_10월온라인캠페인_DailyReport_1030_GS이스토어_1월온라인캠페인_DailyReport_070117_쉬트추가" xfId="483"/>
    <cellStyle name="_GS이스토어_3월_DailyReport_20060316_GS이스토어_6월_DailyReport_20060602_GS이스토어_7월_DailyReport_원본_GS이스토어_10월온라인캠페인_DailyReport_1030_GS이스토어_1월온라인캠페인_DailyReport_070117_쉬트추가_GS이스토어_3월온라인캠페인_DailyReport_070311" xfId="484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" xfId="486"/>
    <cellStyle name="_GS이스토어_3월_DailyReport_20060316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487"/>
    <cellStyle name="_GS이스토어_3월_DailyReport_20060316_GS이스토어_6월_DailyReport_20060602_GS이스토어_7월_DailyReport_원본_GS이스토어_10월온라인캠페인_DailyReport_1030_GS이스토어_2월온라인캠페인_DailyReport_070204" xfId="488"/>
    <cellStyle name="_GS이스토어_3월_DailyReport_20060316_GS이스토어_6월_DailyReport_20060602_GS이스토어_7월_DailyReport_원본_GS이스토어_10월온라인캠페인_DailyReport_1030_GS이스토어_2월온라인캠페인_DailyReport_070204_GS이스토어_3월온라인캠페인_DailyReport_070311" xfId="489"/>
    <cellStyle name="_GS이스토어_3월_DailyReport_20060316_GS이스토어_6월_DailyReport_20060602_GS이스토어_7월_DailyReport_원본_GS이스토어_3월온라인캠페인_DailyReport_070311" xfId="490"/>
    <cellStyle name="_GS이스토어_3월_DailyReport_20060316_GS이스토어_6월_DailyReport_20060602_GS이스토어_7월_DailyReport_원본_GS이스토어_8월온라인캠페인_DailyReport_양식" xfId="491"/>
    <cellStyle name="_GS이스토어_3월_DailyReport_20060316_GS이스토어_6월_DailyReport_20060602_GS이스토어_7월_DailyReport_원본_GS이스토어_8월온라인캠페인_DailyReport_양식_GS이스토어_12월온라인캠페인_DailyReport" xfId="492"/>
    <cellStyle name="_GS이스토어_3월_DailyReport_20060316_GS이스토어_6월_DailyReport_20060602_GS이스토어_7월_DailyReport_원본_GS이스토어_8월온라인캠페인_DailyReport_양식_GS이스토어_12월온라인캠페인_DailyReport_GS이스토어_3월온라인캠페인_DailyReport_070311" xfId="493"/>
    <cellStyle name="_GS이스토어_3월_DailyReport_20060316_GS이스토어_6월_DailyReport_20060602_GS이스토어_7월_DailyReport_원본_GS이스토어_8월온라인캠페인_DailyReport_양식_GS이스토어_1월온라인캠페인_DailyReport_070102" xfId="494"/>
    <cellStyle name="_GS이스토어_3월_DailyReport_20060316_GS이스토어_6월_DailyReport_20060602_GS이스토어_7월_DailyReport_원본_GS이스토어_8월온라인캠페인_DailyReport_양식_GS이스토어_1월온라인캠페인_DailyReport_070102_GS이스토어_3월온라인캠페인_DailyReport_070311" xfId="495"/>
    <cellStyle name="_GS이스토어_3월_DailyReport_20060316_GS이스토어_6월_DailyReport_20060602_GS이스토어_7월_DailyReport_원본_GS이스토어_8월온라인캠페인_DailyReport_양식_GS이스토어_1월온라인캠페인_DailyReport_070117" xfId="496"/>
    <cellStyle name="_GS이스토어_3월_DailyReport_20060316_GS이스토어_6월_DailyReport_20060602_GS이스토어_7월_DailyReport_원본_GS이스토어_8월온라인캠페인_DailyReport_양식_GS이스토어_1월온라인캠페인_DailyReport_070117_GS이스토어_3월온라인캠페인_DailyReport_070311" xfId="499"/>
    <cellStyle name="_GS이스토어_3월_DailyReport_20060316_GS이스토어_6월_DailyReport_20060602_GS이스토어_7월_DailyReport_원본_GS이스토어_8월온라인캠페인_DailyReport_양식_GS이스토어_1월온라인캠페인_DailyReport_070117_쉬트추가" xfId="497"/>
    <cellStyle name="_GS이스토어_3월_DailyReport_20060316_GS이스토어_6월_DailyReport_20060602_GS이스토어_7월_DailyReport_원본_GS이스토어_8월온라인캠페인_DailyReport_양식_GS이스토어_1월온라인캠페인_DailyReport_070117_쉬트추가_GS이스토어_3월온라인캠페인_DailyReport_070311" xfId="498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" xfId="500"/>
    <cellStyle name="_GS이스토어_3월_DailyReport_20060316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501"/>
    <cellStyle name="_GS이스토어_3월_DailyReport_20060316_GS이스토어_6월_DailyReport_20060602_GS이스토어_7월_DailyReport_원본_GS이스토어_8월온라인캠페인_DailyReport_양식_GS이스토어_2월온라인캠페인_DailyReport_070204" xfId="502"/>
    <cellStyle name="_GS이스토어_3월_DailyReport_20060316_GS이스토어_6월_DailyReport_20060602_GS이스토어_7월_DailyReport_원본_GS이스토어_8월온라인캠페인_DailyReport_양식_GS이스토어_2월온라인캠페인_DailyReport_070204_GS이스토어_3월온라인캠페인_DailyReport_070311" xfId="503"/>
    <cellStyle name="_GS이스토어_3월_DailyReport_20060316_GS이스토어_6월_DailyReport_20060602_쭈_GS이스토어_6월_DailyReport_20060601" xfId="380"/>
    <cellStyle name="_GS이스토어_3월_DailyReport_20060316_GS이스토어_6월_DailyReport_20060602_쭈_GS이스토어_6월_DailyReport_20060601_GS이스토어_10월온라인캠페인_DailyReport_1030" xfId="381"/>
    <cellStyle name="_GS이스토어_3월_DailyReport_20060316_GS이스토어_6월_DailyReport_20060602_쭈_GS이스토어_6월_DailyReport_20060601_GS이스토어_10월온라인캠페인_DailyReport_1030_GS이스토어_12월온라인캠페인_DailyReport" xfId="382"/>
    <cellStyle name="_GS이스토어_3월_DailyReport_20060316_GS이스토어_6월_DailyReport_20060602_쭈_GS이스토어_6월_DailyReport_20060601_GS이스토어_10월온라인캠페인_DailyReport_1030_GS이스토어_12월온라인캠페인_DailyReport_GS이스토어_3월온라인캠페인_DailyReport_070311" xfId="383"/>
    <cellStyle name="_GS이스토어_3월_DailyReport_20060316_GS이스토어_6월_DailyReport_20060602_쭈_GS이스토어_6월_DailyReport_20060601_GS이스토어_10월온라인캠페인_DailyReport_1030_GS이스토어_1월온라인캠페인_DailyReport_070102" xfId="384"/>
    <cellStyle name="_GS이스토어_3월_DailyReport_20060316_GS이스토어_6월_DailyReport_20060602_쭈_GS이스토어_6월_DailyReport_20060601_GS이스토어_10월온라인캠페인_DailyReport_1030_GS이스토어_1월온라인캠페인_DailyReport_070102_GS이스토어_3월온라인캠페인_DailyReport_070311" xfId="385"/>
    <cellStyle name="_GS이스토어_3월_DailyReport_20060316_GS이스토어_6월_DailyReport_20060602_쭈_GS이스토어_6월_DailyReport_20060601_GS이스토어_10월온라인캠페인_DailyReport_1030_GS이스토어_1월온라인캠페인_DailyReport_070117" xfId="386"/>
    <cellStyle name="_GS이스토어_3월_DailyReport_20060316_GS이스토어_6월_DailyReport_20060602_쭈_GS이스토어_6월_DailyReport_20060601_GS이스토어_10월온라인캠페인_DailyReport_1030_GS이스토어_1월온라인캠페인_DailyReport_070117_GS이스토어_3월온라인캠페인_DailyReport_070311" xfId="389"/>
    <cellStyle name="_GS이스토어_3월_DailyReport_20060316_GS이스토어_6월_DailyReport_20060602_쭈_GS이스토어_6월_DailyReport_20060601_GS이스토어_10월온라인캠페인_DailyReport_1030_GS이스토어_1월온라인캠페인_DailyReport_070117_쉬트추가" xfId="387"/>
    <cellStyle name="_GS이스토어_3월_DailyReport_20060316_GS이스토어_6월_DailyReport_20060602_쭈_GS이스토어_6월_DailyReport_20060601_GS이스토어_10월온라인캠페인_DailyReport_1030_GS이스토어_1월온라인캠페인_DailyReport_070117_쉬트추가_GS이스토어_3월온라인캠페인_DailyReport_070311" xfId="388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" xfId="390"/>
    <cellStyle name="_GS이스토어_3월_DailyReport_20060316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391"/>
    <cellStyle name="_GS이스토어_3월_DailyReport_20060316_GS이스토어_6월_DailyReport_20060602_쭈_GS이스토어_6월_DailyReport_20060601_GS이스토어_10월온라인캠페인_DailyReport_1030_GS이스토어_2월온라인캠페인_DailyReport_070204" xfId="392"/>
    <cellStyle name="_GS이스토어_3월_DailyReport_20060316_GS이스토어_6월_DailyReport_20060602_쭈_GS이스토어_6월_DailyReport_20060601_GS이스토어_10월온라인캠페인_DailyReport_1030_GS이스토어_2월온라인캠페인_DailyReport_070204_GS이스토어_3월온라인캠페인_DailyReport_070311" xfId="393"/>
    <cellStyle name="_GS이스토어_3월_DailyReport_20060316_GS이스토어_6월_DailyReport_20060602_쭈_GS이스토어_6월_DailyReport_20060601_GS이스토어_3월온라인캠페인_DailyReport_070311" xfId="394"/>
    <cellStyle name="_GS이스토어_3월_DailyReport_20060316_GS이스토어_6월_DailyReport_20060602_쭈_GS이스토어_6월_DailyReport_20060601_GS이스토어_8월온라인캠페인_DailyReport_양식" xfId="395"/>
    <cellStyle name="_GS이스토어_3월_DailyReport_20060316_GS이스토어_6월_DailyReport_20060602_쭈_GS이스토어_6월_DailyReport_20060601_GS이스토어_8월온라인캠페인_DailyReport_양식_GS이스토어_12월온라인캠페인_DailyReport" xfId="396"/>
    <cellStyle name="_GS이스토어_3월_DailyReport_20060316_GS이스토어_6월_DailyReport_20060602_쭈_GS이스토어_6월_DailyReport_20060601_GS이스토어_8월온라인캠페인_DailyReport_양식_GS이스토어_12월온라인캠페인_DailyReport_GS이스토어_3월온라인캠페인_DailyReport_070311" xfId="397"/>
    <cellStyle name="_GS이스토어_3월_DailyReport_20060316_GS이스토어_6월_DailyReport_20060602_쭈_GS이스토어_6월_DailyReport_20060601_GS이스토어_8월온라인캠페인_DailyReport_양식_GS이스토어_1월온라인캠페인_DailyReport_070102" xfId="398"/>
    <cellStyle name="_GS이스토어_3월_DailyReport_20060316_GS이스토어_6월_DailyReport_20060602_쭈_GS이스토어_6월_DailyReport_20060601_GS이스토어_8월온라인캠페인_DailyReport_양식_GS이스토어_1월온라인캠페인_DailyReport_070102_GS이스토어_3월온라인캠페인_DailyReport_070311" xfId="399"/>
    <cellStyle name="_GS이스토어_3월_DailyReport_20060316_GS이스토어_6월_DailyReport_20060602_쭈_GS이스토어_6월_DailyReport_20060601_GS이스토어_8월온라인캠페인_DailyReport_양식_GS이스토어_1월온라인캠페인_DailyReport_070117" xfId="400"/>
    <cellStyle name="_GS이스토어_3월_DailyReport_20060316_GS이스토어_6월_DailyReport_20060602_쭈_GS이스토어_6월_DailyReport_20060601_GS이스토어_8월온라인캠페인_DailyReport_양식_GS이스토어_1월온라인캠페인_DailyReport_070117_GS이스토어_3월온라인캠페인_DailyReport_070311" xfId="403"/>
    <cellStyle name="_GS이스토어_3월_DailyReport_20060316_GS이스토어_6월_DailyReport_20060602_쭈_GS이스토어_6월_DailyReport_20060601_GS이스토어_8월온라인캠페인_DailyReport_양식_GS이스토어_1월온라인캠페인_DailyReport_070117_쉬트추가" xfId="401"/>
    <cellStyle name="_GS이스토어_3월_DailyReport_20060316_GS이스토어_6월_DailyReport_20060602_쭈_GS이스토어_6월_DailyReport_20060601_GS이스토어_8월온라인캠페인_DailyReport_양식_GS이스토어_1월온라인캠페인_DailyReport_070117_쉬트추가_GS이스토어_3월온라인캠페인_DailyReport_070311" xfId="402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" xfId="404"/>
    <cellStyle name="_GS이스토어_3월_DailyReport_20060316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405"/>
    <cellStyle name="_GS이스토어_3월_DailyReport_20060316_GS이스토어_6월_DailyReport_20060602_쭈_GS이스토어_6월_DailyReport_20060601_GS이스토어_8월온라인캠페인_DailyReport_양식_GS이스토어_2월온라인캠페인_DailyReport_070204" xfId="406"/>
    <cellStyle name="_GS이스토어_3월_DailyReport_20060316_GS이스토어_6월_DailyReport_20060602_쭈_GS이스토어_6월_DailyReport_20060601_GS이스토어_8월온라인캠페인_DailyReport_양식_GS이스토어_2월온라인캠페인_DailyReport_070204_GS이스토어_3월온라인캠페인_DailyReport_070311" xfId="407"/>
    <cellStyle name="_GS이스토어_3월_DailyReport_20060316_GS이스토어_8월온라인캠페인_DailyReport_양식" xfId="504"/>
    <cellStyle name="_GS이스토어_3월_DailyReport_20060316_GS이스토어_8월온라인캠페인_DailyReport_양식_GS이스토어_12월온라인캠페인_DailyReport" xfId="505"/>
    <cellStyle name="_GS이스토어_3월_DailyReport_20060316_GS이스토어_8월온라인캠페인_DailyReport_양식_GS이스토어_12월온라인캠페인_DailyReport_GS이스토어_3월온라인캠페인_DailyReport_070311" xfId="506"/>
    <cellStyle name="_GS이스토어_3월_DailyReport_20060316_GS이스토어_8월온라인캠페인_DailyReport_양식_GS이스토어_1월온라인캠페인_DailyReport_070102" xfId="507"/>
    <cellStyle name="_GS이스토어_3월_DailyReport_20060316_GS이스토어_8월온라인캠페인_DailyReport_양식_GS이스토어_1월온라인캠페인_DailyReport_070102_GS이스토어_3월온라인캠페인_DailyReport_070311" xfId="508"/>
    <cellStyle name="_GS이스토어_3월_DailyReport_20060316_GS이스토어_8월온라인캠페인_DailyReport_양식_GS이스토어_1월온라인캠페인_DailyReport_070117" xfId="509"/>
    <cellStyle name="_GS이스토어_3월_DailyReport_20060316_GS이스토어_8월온라인캠페인_DailyReport_양식_GS이스토어_1월온라인캠페인_DailyReport_070117_GS이스토어_3월온라인캠페인_DailyReport_070311" xfId="512"/>
    <cellStyle name="_GS이스토어_3월_DailyReport_20060316_GS이스토어_8월온라인캠페인_DailyReport_양식_GS이스토어_1월온라인캠페인_DailyReport_070117_쉬트추가" xfId="510"/>
    <cellStyle name="_GS이스토어_3월_DailyReport_20060316_GS이스토어_8월온라인캠페인_DailyReport_양식_GS이스토어_1월온라인캠페인_DailyReport_070117_쉬트추가_GS이스토어_3월온라인캠페인_DailyReport_070311" xfId="511"/>
    <cellStyle name="_GS이스토어_3월_DailyReport_20060316_GS이스토어_8월온라인캠페인_DailyReport_양식_GS이스토어_1월온라인캠페인_DailyReport_070121_소재별쉬트수정본" xfId="513"/>
    <cellStyle name="_GS이스토어_3월_DailyReport_20060316_GS이스토어_8월온라인캠페인_DailyReport_양식_GS이스토어_1월온라인캠페인_DailyReport_070121_소재별쉬트수정본_GS이스토어_3월온라인캠페인_DailyReport_070311" xfId="514"/>
    <cellStyle name="_GS이스토어_3월_DailyReport_20060316_GS이스토어_8월온라인캠페인_DailyReport_양식_GS이스토어_2월온라인캠페인_DailyReport_070204" xfId="515"/>
    <cellStyle name="_GS이스토어_3월_DailyReport_20060316_GS이스토어_8월온라인캠페인_DailyReport_양식_GS이스토어_2월온라인캠페인_DailyReport_070204_GS이스토어_3월온라인캠페인_DailyReport_070311" xfId="516"/>
    <cellStyle name="_GS이스토어_3월_DailyReport_20060319" xfId="517"/>
    <cellStyle name="_GS이스토어_3월_DailyReport_20060319_GS이스토어_10월온라인캠페인_DailyReport_1030" xfId="518"/>
    <cellStyle name="_GS이스토어_3월_DailyReport_20060319_GS이스토어_10월온라인캠페인_DailyReport_1030_GS이스토어_12월온라인캠페인_DailyReport" xfId="519"/>
    <cellStyle name="_GS이스토어_3월_DailyReport_20060319_GS이스토어_10월온라인캠페인_DailyReport_1030_GS이스토어_12월온라인캠페인_DailyReport_GS이스토어_3월온라인캠페인_DailyReport_070311" xfId="520"/>
    <cellStyle name="_GS이스토어_3월_DailyReport_20060319_GS이스토어_10월온라인캠페인_DailyReport_1030_GS이스토어_1월온라인캠페인_DailyReport_070102" xfId="521"/>
    <cellStyle name="_GS이스토어_3월_DailyReport_20060319_GS이스토어_10월온라인캠페인_DailyReport_1030_GS이스토어_1월온라인캠페인_DailyReport_070102_GS이스토어_3월온라인캠페인_DailyReport_070311" xfId="522"/>
    <cellStyle name="_GS이스토어_3월_DailyReport_20060319_GS이스토어_10월온라인캠페인_DailyReport_1030_GS이스토어_1월온라인캠페인_DailyReport_070117" xfId="523"/>
    <cellStyle name="_GS이스토어_3월_DailyReport_20060319_GS이스토어_10월온라인캠페인_DailyReport_1030_GS이스토어_1월온라인캠페인_DailyReport_070117_GS이스토어_3월온라인캠페인_DailyReport_070311" xfId="526"/>
    <cellStyle name="_GS이스토어_3월_DailyReport_20060319_GS이스토어_10월온라인캠페인_DailyReport_1030_GS이스토어_1월온라인캠페인_DailyReport_070117_쉬트추가" xfId="524"/>
    <cellStyle name="_GS이스토어_3월_DailyReport_20060319_GS이스토어_10월온라인캠페인_DailyReport_1030_GS이스토어_1월온라인캠페인_DailyReport_070117_쉬트추가_GS이스토어_3월온라인캠페인_DailyReport_070311" xfId="525"/>
    <cellStyle name="_GS이스토어_3월_DailyReport_20060319_GS이스토어_10월온라인캠페인_DailyReport_1030_GS이스토어_1월온라인캠페인_DailyReport_070121_소재별쉬트수정본" xfId="527"/>
    <cellStyle name="_GS이스토어_3월_DailyReport_20060319_GS이스토어_10월온라인캠페인_DailyReport_1030_GS이스토어_1월온라인캠페인_DailyReport_070121_소재별쉬트수정본_GS이스토어_3월온라인캠페인_DailyReport_070311" xfId="528"/>
    <cellStyle name="_GS이스토어_3월_DailyReport_20060319_GS이스토어_10월온라인캠페인_DailyReport_1030_GS이스토어_2월온라인캠페인_DailyReport_070204" xfId="529"/>
    <cellStyle name="_GS이스토어_3월_DailyReport_20060319_GS이스토어_10월온라인캠페인_DailyReport_1030_GS이스토어_2월온라인캠페인_DailyReport_070204_GS이스토어_3월온라인캠페인_DailyReport_070311" xfId="530"/>
    <cellStyle name="_GS이스토어_3월_DailyReport_20060319_GS이스토어_3월온라인캠페인_DailyReport_070311" xfId="531"/>
    <cellStyle name="_GS이스토어_3월_DailyReport_20060319_GS이스토어_6월_DailyReport_20060602" xfId="532"/>
    <cellStyle name="_GS이스토어_3월_DailyReport_20060319_GS이스토어_6월_DailyReport_20060602_GS이스토어_12월온라인캠페인_DailyReport" xfId="561"/>
    <cellStyle name="_GS이스토어_3월_DailyReport_20060319_GS이스토어_6월_DailyReport_20060602_GS이스토어_12월온라인캠페인_DailyReport_GS이스토어_3월온라인캠페인_DailyReport_070311" xfId="562"/>
    <cellStyle name="_GS이스토어_3월_DailyReport_20060319_GS이스토어_6월_DailyReport_20060602_GS이스토어_1월온라인캠페인_DailyReport_070102" xfId="563"/>
    <cellStyle name="_GS이스토어_3월_DailyReport_20060319_GS이스토어_6월_DailyReport_20060602_GS이스토어_1월온라인캠페인_DailyReport_070102_GS이스토어_3월온라인캠페인_DailyReport_070311" xfId="564"/>
    <cellStyle name="_GS이스토어_3월_DailyReport_20060319_GS이스토어_6월_DailyReport_20060602_GS이스토어_1월온라인캠페인_DailyReport_070117" xfId="565"/>
    <cellStyle name="_GS이스토어_3월_DailyReport_20060319_GS이스토어_6월_DailyReport_20060602_GS이스토어_1월온라인캠페인_DailyReport_070117_GS이스토어_3월온라인캠페인_DailyReport_070311" xfId="568"/>
    <cellStyle name="_GS이스토어_3월_DailyReport_20060319_GS이스토어_6월_DailyReport_20060602_GS이스토어_1월온라인캠페인_DailyReport_070117_쉬트추가" xfId="566"/>
    <cellStyle name="_GS이스토어_3월_DailyReport_20060319_GS이스토어_6월_DailyReport_20060602_GS이스토어_1월온라인캠페인_DailyReport_070117_쉬트추가_GS이스토어_3월온라인캠페인_DailyReport_070311" xfId="567"/>
    <cellStyle name="_GS이스토어_3월_DailyReport_20060319_GS이스토어_6월_DailyReport_20060602_GS이스토어_1월온라인캠페인_DailyReport_070121_소재별쉬트수정본" xfId="569"/>
    <cellStyle name="_GS이스토어_3월_DailyReport_20060319_GS이스토어_6월_DailyReport_20060602_GS이스토어_1월온라인캠페인_DailyReport_070121_소재별쉬트수정본_GS이스토어_3월온라인캠페인_DailyReport_070311" xfId="570"/>
    <cellStyle name="_GS이스토어_3월_DailyReport_20060319_GS이스토어_6월_DailyReport_20060602_GS이스토어_2월온라인캠페인_DailyReport_070204" xfId="571"/>
    <cellStyle name="_GS이스토어_3월_DailyReport_20060319_GS이스토어_6월_DailyReport_20060602_GS이스토어_2월온라인캠페인_DailyReport_070204_GS이스토어_3월온라인캠페인_DailyReport_070311" xfId="572"/>
    <cellStyle name="_GS이스토어_3월_DailyReport_20060319_GS이스토어_6월_DailyReport_20060602_GS이스토어_6월(DM)_DailyReport_20060601" xfId="573"/>
    <cellStyle name="_GS이스토어_3월_DailyReport_20060319_GS이스토어_6월_DailyReport_20060602_GS이스토어_6월(DM)_DailyReport_20060601_GS이스토어_10월온라인캠페인_DailyReport_1030" xfId="574"/>
    <cellStyle name="_GS이스토어_3월_DailyReport_20060319_GS이스토어_6월_DailyReport_20060602_GS이스토어_6월(DM)_DailyReport_20060601_GS이스토어_10월온라인캠페인_DailyReport_1030_GS이스토어_12월온라인캠페인_DailyReport" xfId="575"/>
    <cellStyle name="_GS이스토어_3월_DailyReport_20060319_GS이스토어_6월_DailyReport_20060602_GS이스토어_6월(DM)_DailyReport_20060601_GS이스토어_10월온라인캠페인_DailyReport_1030_GS이스토어_12월온라인캠페인_DailyReport_GS이스토어_3월온라인캠페인_DailyReport_070311" xfId="576"/>
    <cellStyle name="_GS이스토어_3월_DailyReport_20060319_GS이스토어_6월_DailyReport_20060602_GS이스토어_6월(DM)_DailyReport_20060601_GS이스토어_10월온라인캠페인_DailyReport_1030_GS이스토어_1월온라인캠페인_DailyReport_070102" xfId="577"/>
    <cellStyle name="_GS이스토어_3월_DailyReport_20060319_GS이스토어_6월_DailyReport_20060602_GS이스토어_6월(DM)_DailyReport_20060601_GS이스토어_10월온라인캠페인_DailyReport_1030_GS이스토어_1월온라인캠페인_DailyReport_070102_GS이스토어_3월온라인캠페인_DailyReport_070311" xfId="578"/>
    <cellStyle name="_GS이스토어_3월_DailyReport_20060319_GS이스토어_6월_DailyReport_20060602_GS이스토어_6월(DM)_DailyReport_20060601_GS이스토어_10월온라인캠페인_DailyReport_1030_GS이스토어_1월온라인캠페인_DailyReport_070117" xfId="579"/>
    <cellStyle name="_GS이스토어_3월_DailyReport_20060319_GS이스토어_6월_DailyReport_20060602_GS이스토어_6월(DM)_DailyReport_20060601_GS이스토어_10월온라인캠페인_DailyReport_1030_GS이스토어_1월온라인캠페인_DailyReport_070117_GS이스토어_3월온라인캠페인_DailyReport_070311" xfId="582"/>
    <cellStyle name="_GS이스토어_3월_DailyReport_20060319_GS이스토어_6월_DailyReport_20060602_GS이스토어_6월(DM)_DailyReport_20060601_GS이스토어_10월온라인캠페인_DailyReport_1030_GS이스토어_1월온라인캠페인_DailyReport_070117_쉬트추가" xfId="580"/>
    <cellStyle name="_GS이스토어_3월_DailyReport_20060319_GS이스토어_6월_DailyReport_20060602_GS이스토어_6월(DM)_DailyReport_20060601_GS이스토어_10월온라인캠페인_DailyReport_1030_GS이스토어_1월온라인캠페인_DailyReport_070117_쉬트추가_GS이스토어_3월온라인캠페인_DailyReport_070311" xfId="581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" xfId="583"/>
    <cellStyle name="_GS이스토어_3월_DailyReport_20060319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584"/>
    <cellStyle name="_GS이스토어_3월_DailyReport_20060319_GS이스토어_6월_DailyReport_20060602_GS이스토어_6월(DM)_DailyReport_20060601_GS이스토어_10월온라인캠페인_DailyReport_1030_GS이스토어_2월온라인캠페인_DailyReport_070204" xfId="585"/>
    <cellStyle name="_GS이스토어_3월_DailyReport_20060319_GS이스토어_6월_DailyReport_20060602_GS이스토어_6월(DM)_DailyReport_20060601_GS이스토어_10월온라인캠페인_DailyReport_1030_GS이스토어_2월온라인캠페인_DailyReport_070204_GS이스토어_3월온라인캠페인_DailyReport_070311" xfId="586"/>
    <cellStyle name="_GS이스토어_3월_DailyReport_20060319_GS이스토어_6월_DailyReport_20060602_GS이스토어_6월(DM)_DailyReport_20060601_GS이스토어_3월온라인캠페인_DailyReport_070311" xfId="587"/>
    <cellStyle name="_GS이스토어_3월_DailyReport_20060319_GS이스토어_6월_DailyReport_20060602_GS이스토어_6월(DM)_DailyReport_20060601_GS이스토어_8월온라인캠페인_DailyReport_양식" xfId="588"/>
    <cellStyle name="_GS이스토어_3월_DailyReport_20060319_GS이스토어_6월_DailyReport_20060602_GS이스토어_6월(DM)_DailyReport_20060601_GS이스토어_8월온라인캠페인_DailyReport_양식_GS이스토어_12월온라인캠페인_DailyReport" xfId="589"/>
    <cellStyle name="_GS이스토어_3월_DailyReport_20060319_GS이스토어_6월_DailyReport_20060602_GS이스토어_6월(DM)_DailyReport_20060601_GS이스토어_8월온라인캠페인_DailyReport_양식_GS이스토어_12월온라인캠페인_DailyReport_GS이스토어_3월온라인캠페인_DailyReport_070311" xfId="590"/>
    <cellStyle name="_GS이스토어_3월_DailyReport_20060319_GS이스토어_6월_DailyReport_20060602_GS이스토어_6월(DM)_DailyReport_20060601_GS이스토어_8월온라인캠페인_DailyReport_양식_GS이스토어_1월온라인캠페인_DailyReport_070102" xfId="591"/>
    <cellStyle name="_GS이스토어_3월_DailyReport_20060319_GS이스토어_6월_DailyReport_20060602_GS이스토어_6월(DM)_DailyReport_20060601_GS이스토어_8월온라인캠페인_DailyReport_양식_GS이스토어_1월온라인캠페인_DailyReport_070102_GS이스토어_3월온라인캠페인_DailyReport_070311" xfId="592"/>
    <cellStyle name="_GS이스토어_3월_DailyReport_20060319_GS이스토어_6월_DailyReport_20060602_GS이스토어_6월(DM)_DailyReport_20060601_GS이스토어_8월온라인캠페인_DailyReport_양식_GS이스토어_1월온라인캠페인_DailyReport_070117" xfId="593"/>
    <cellStyle name="_GS이스토어_3월_DailyReport_20060319_GS이스토어_6월_DailyReport_20060602_GS이스토어_6월(DM)_DailyReport_20060601_GS이스토어_8월온라인캠페인_DailyReport_양식_GS이스토어_1월온라인캠페인_DailyReport_070117_GS이스토어_3월온라인캠페인_DailyReport_070311" xfId="596"/>
    <cellStyle name="_GS이스토어_3월_DailyReport_20060319_GS이스토어_6월_DailyReport_20060602_GS이스토어_6월(DM)_DailyReport_20060601_GS이스토어_8월온라인캠페인_DailyReport_양식_GS이스토어_1월온라인캠페인_DailyReport_070117_쉬트추가" xfId="594"/>
    <cellStyle name="_GS이스토어_3월_DailyReport_20060319_GS이스토어_6월_DailyReport_20060602_GS이스토어_6월(DM)_DailyReport_20060601_GS이스토어_8월온라인캠페인_DailyReport_양식_GS이스토어_1월온라인캠페인_DailyReport_070117_쉬트추가_GS이스토어_3월온라인캠페인_DailyReport_070311" xfId="595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" xfId="597"/>
    <cellStyle name="_GS이스토어_3월_DailyReport_20060319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598"/>
    <cellStyle name="_GS이스토어_3월_DailyReport_20060319_GS이스토어_6월_DailyReport_20060602_GS이스토어_6월(DM)_DailyReport_20060601_GS이스토어_8월온라인캠페인_DailyReport_양식_GS이스토어_2월온라인캠페인_DailyReport_070204" xfId="599"/>
    <cellStyle name="_GS이스토어_3월_DailyReport_20060319_GS이스토어_6월_DailyReport_20060602_GS이스토어_6월(DM)_DailyReport_20060601_GS이스토어_8월온라인캠페인_DailyReport_양식_GS이스토어_2월온라인캠페인_DailyReport_070204_GS이스토어_3월온라인캠페인_DailyReport_070311" xfId="600"/>
    <cellStyle name="_GS이스토어_3월_DailyReport_20060319_GS이스토어_6월_DailyReport_20060602_GS이스토어_6월_DailyReport_20060601" xfId="601"/>
    <cellStyle name="_GS이스토어_3월_DailyReport_20060319_GS이스토어_6월_DailyReport_20060602_GS이스토어_6월_DailyReport_20060601_GS이스토어_10월온라인캠페인_DailyReport_1030" xfId="602"/>
    <cellStyle name="_GS이스토어_3월_DailyReport_20060319_GS이스토어_6월_DailyReport_20060602_GS이스토어_6월_DailyReport_20060601_GS이스토어_10월온라인캠페인_DailyReport_1030_GS이스토어_12월온라인캠페인_DailyReport" xfId="603"/>
    <cellStyle name="_GS이스토어_3월_DailyReport_20060319_GS이스토어_6월_DailyReport_20060602_GS이스토어_6월_DailyReport_20060601_GS이스토어_10월온라인캠페인_DailyReport_1030_GS이스토어_12월온라인캠페인_DailyReport_GS이스토어_3월온라인캠페인_DailyReport_070311" xfId="604"/>
    <cellStyle name="_GS이스토어_3월_DailyReport_20060319_GS이스토어_6월_DailyReport_20060602_GS이스토어_6월_DailyReport_20060601_GS이스토어_10월온라인캠페인_DailyReport_1030_GS이스토어_1월온라인캠페인_DailyReport_070102" xfId="605"/>
    <cellStyle name="_GS이스토어_3월_DailyReport_20060319_GS이스토어_6월_DailyReport_20060602_GS이스토어_6월_DailyReport_20060601_GS이스토어_10월온라인캠페인_DailyReport_1030_GS이스토어_1월온라인캠페인_DailyReport_070102_GS이스토어_3월온라인캠페인_DailyReport_070311" xfId="606"/>
    <cellStyle name="_GS이스토어_3월_DailyReport_20060319_GS이스토어_6월_DailyReport_20060602_GS이스토어_6월_DailyReport_20060601_GS이스토어_10월온라인캠페인_DailyReport_1030_GS이스토어_1월온라인캠페인_DailyReport_070117" xfId="607"/>
    <cellStyle name="_GS이스토어_3월_DailyReport_20060319_GS이스토어_6월_DailyReport_20060602_GS이스토어_6월_DailyReport_20060601_GS이스토어_10월온라인캠페인_DailyReport_1030_GS이스토어_1월온라인캠페인_DailyReport_070117_GS이스토어_3월온라인캠페인_DailyReport_070311" xfId="610"/>
    <cellStyle name="_GS이스토어_3월_DailyReport_20060319_GS이스토어_6월_DailyReport_20060602_GS이스토어_6월_DailyReport_20060601_GS이스토어_10월온라인캠페인_DailyReport_1030_GS이스토어_1월온라인캠페인_DailyReport_070117_쉬트추가" xfId="608"/>
    <cellStyle name="_GS이스토어_3월_DailyReport_20060319_GS이스토어_6월_DailyReport_20060602_GS이스토어_6월_DailyReport_20060601_GS이스토어_10월온라인캠페인_DailyReport_1030_GS이스토어_1월온라인캠페인_DailyReport_070117_쉬트추가_GS이스토어_3월온라인캠페인_DailyReport_070311" xfId="609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" xfId="611"/>
    <cellStyle name="_GS이스토어_3월_DailyReport_20060319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612"/>
    <cellStyle name="_GS이스토어_3월_DailyReport_20060319_GS이스토어_6월_DailyReport_20060602_GS이스토어_6월_DailyReport_20060601_GS이스토어_10월온라인캠페인_DailyReport_1030_GS이스토어_2월온라인캠페인_DailyReport_070204" xfId="613"/>
    <cellStyle name="_GS이스토어_3월_DailyReport_20060319_GS이스토어_6월_DailyReport_20060602_GS이스토어_6월_DailyReport_20060601_GS이스토어_10월온라인캠페인_DailyReport_1030_GS이스토어_2월온라인캠페인_DailyReport_070204_GS이스토어_3월온라인캠페인_DailyReport_070311" xfId="614"/>
    <cellStyle name="_GS이스토어_3월_DailyReport_20060319_GS이스토어_6월_DailyReport_20060602_GS이스토어_6월_DailyReport_20060601_GS이스토어_3월온라인캠페인_DailyReport_070311" xfId="615"/>
    <cellStyle name="_GS이스토어_3월_DailyReport_20060319_GS이스토어_6월_DailyReport_20060602_GS이스토어_6월_DailyReport_20060601_GS이스토어_8월온라인캠페인_DailyReport_양식" xfId="616"/>
    <cellStyle name="_GS이스토어_3월_DailyReport_20060319_GS이스토어_6월_DailyReport_20060602_GS이스토어_6월_DailyReport_20060601_GS이스토어_8월온라인캠페인_DailyReport_양식_GS이스토어_12월온라인캠페인_DailyReport" xfId="617"/>
    <cellStyle name="_GS이스토어_3월_DailyReport_20060319_GS이스토어_6월_DailyReport_20060602_GS이스토어_6월_DailyReport_20060601_GS이스토어_8월온라인캠페인_DailyReport_양식_GS이스토어_12월온라인캠페인_DailyReport_GS이스토어_3월온라인캠페인_DailyReport_070311" xfId="618"/>
    <cellStyle name="_GS이스토어_3월_DailyReport_20060319_GS이스토어_6월_DailyReport_20060602_GS이스토어_6월_DailyReport_20060601_GS이스토어_8월온라인캠페인_DailyReport_양식_GS이스토어_1월온라인캠페인_DailyReport_070102" xfId="619"/>
    <cellStyle name="_GS이스토어_3월_DailyReport_20060319_GS이스토어_6월_DailyReport_20060602_GS이스토어_6월_DailyReport_20060601_GS이스토어_8월온라인캠페인_DailyReport_양식_GS이스토어_1월온라인캠페인_DailyReport_070102_GS이스토어_3월온라인캠페인_DailyReport_070311" xfId="620"/>
    <cellStyle name="_GS이스토어_3월_DailyReport_20060319_GS이스토어_6월_DailyReport_20060602_GS이스토어_6월_DailyReport_20060601_GS이스토어_8월온라인캠페인_DailyReport_양식_GS이스토어_1월온라인캠페인_DailyReport_070117" xfId="621"/>
    <cellStyle name="_GS이스토어_3월_DailyReport_20060319_GS이스토어_6월_DailyReport_20060602_GS이스토어_6월_DailyReport_20060601_GS이스토어_8월온라인캠페인_DailyReport_양식_GS이스토어_1월온라인캠페인_DailyReport_070117_GS이스토어_3월온라인캠페인_DailyReport_070311" xfId="624"/>
    <cellStyle name="_GS이스토어_3월_DailyReport_20060319_GS이스토어_6월_DailyReport_20060602_GS이스토어_6월_DailyReport_20060601_GS이스토어_8월온라인캠페인_DailyReport_양식_GS이스토어_1월온라인캠페인_DailyReport_070117_쉬트추가" xfId="622"/>
    <cellStyle name="_GS이스토어_3월_DailyReport_20060319_GS이스토어_6월_DailyReport_20060602_GS이스토어_6월_DailyReport_20060601_GS이스토어_8월온라인캠페인_DailyReport_양식_GS이스토어_1월온라인캠페인_DailyReport_070117_쉬트추가_GS이스토어_3월온라인캠페인_DailyReport_070311" xfId="623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" xfId="625"/>
    <cellStyle name="_GS이스토어_3월_DailyReport_20060319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626"/>
    <cellStyle name="_GS이스토어_3월_DailyReport_20060319_GS이스토어_6월_DailyReport_20060602_GS이스토어_6월_DailyReport_20060601_GS이스토어_8월온라인캠페인_DailyReport_양식_GS이스토어_2월온라인캠페인_DailyReport_070204" xfId="627"/>
    <cellStyle name="_GS이스토어_3월_DailyReport_20060319_GS이스토어_6월_DailyReport_20060602_GS이스토어_6월_DailyReport_20060601_GS이스토어_8월온라인캠페인_DailyReport_양식_GS이스토어_2월온라인캠페인_DailyReport_070204_GS이스토어_3월온라인캠페인_DailyReport_070311" xfId="628"/>
    <cellStyle name="_GS이스토어_3월_DailyReport_20060319_GS이스토어_6월_DailyReport_20060602_GS이스토어_7월_DailyReport_원본" xfId="629"/>
    <cellStyle name="_GS이스토어_3월_DailyReport_20060319_GS이스토어_6월_DailyReport_20060602_GS이스토어_7월_DailyReport_원본_GS이스토어_10월온라인캠페인_DailyReport_1030" xfId="630"/>
    <cellStyle name="_GS이스토어_3월_DailyReport_20060319_GS이스토어_6월_DailyReport_20060602_GS이스토어_7월_DailyReport_원본_GS이스토어_10월온라인캠페인_DailyReport_1030_GS이스토어_12월온라인캠페인_DailyReport" xfId="631"/>
    <cellStyle name="_GS이스토어_3월_DailyReport_20060319_GS이스토어_6월_DailyReport_20060602_GS이스토어_7월_DailyReport_원본_GS이스토어_10월온라인캠페인_DailyReport_1030_GS이스토어_12월온라인캠페인_DailyReport_GS이스토어_3월온라인캠페인_DailyReport_070311" xfId="632"/>
    <cellStyle name="_GS이스토어_3월_DailyReport_20060319_GS이스토어_6월_DailyReport_20060602_GS이스토어_7월_DailyReport_원본_GS이스토어_10월온라인캠페인_DailyReport_1030_GS이스토어_1월온라인캠페인_DailyReport_070102" xfId="633"/>
    <cellStyle name="_GS이스토어_3월_DailyReport_20060319_GS이스토어_6월_DailyReport_20060602_GS이스토어_7월_DailyReport_원본_GS이스토어_10월온라인캠페인_DailyReport_1030_GS이스토어_1월온라인캠페인_DailyReport_070102_GS이스토어_3월온라인캠페인_DailyReport_070311" xfId="634"/>
    <cellStyle name="_GS이스토어_3월_DailyReport_20060319_GS이스토어_6월_DailyReport_20060602_GS이스토어_7월_DailyReport_원본_GS이스토어_10월온라인캠페인_DailyReport_1030_GS이스토어_1월온라인캠페인_DailyReport_070117" xfId="635"/>
    <cellStyle name="_GS이스토어_3월_DailyReport_20060319_GS이스토어_6월_DailyReport_20060602_GS이스토어_7월_DailyReport_원본_GS이스토어_10월온라인캠페인_DailyReport_1030_GS이스토어_1월온라인캠페인_DailyReport_070117_GS이스토어_3월온라인캠페인_DailyReport_070311" xfId="638"/>
    <cellStyle name="_GS이스토어_3월_DailyReport_20060319_GS이스토어_6월_DailyReport_20060602_GS이스토어_7월_DailyReport_원본_GS이스토어_10월온라인캠페인_DailyReport_1030_GS이스토어_1월온라인캠페인_DailyReport_070117_쉬트추가" xfId="636"/>
    <cellStyle name="_GS이스토어_3월_DailyReport_20060319_GS이스토어_6월_DailyReport_20060602_GS이스토어_7월_DailyReport_원본_GS이스토어_10월온라인캠페인_DailyReport_1030_GS이스토어_1월온라인캠페인_DailyReport_070117_쉬트추가_GS이스토어_3월온라인캠페인_DailyReport_070311" xfId="637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" xfId="639"/>
    <cellStyle name="_GS이스토어_3월_DailyReport_20060319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640"/>
    <cellStyle name="_GS이스토어_3월_DailyReport_20060319_GS이스토어_6월_DailyReport_20060602_GS이스토어_7월_DailyReport_원본_GS이스토어_10월온라인캠페인_DailyReport_1030_GS이스토어_2월온라인캠페인_DailyReport_070204" xfId="641"/>
    <cellStyle name="_GS이스토어_3월_DailyReport_20060319_GS이스토어_6월_DailyReport_20060602_GS이스토어_7월_DailyReport_원본_GS이스토어_10월온라인캠페인_DailyReport_1030_GS이스토어_2월온라인캠페인_DailyReport_070204_GS이스토어_3월온라인캠페인_DailyReport_070311" xfId="642"/>
    <cellStyle name="_GS이스토어_3월_DailyReport_20060319_GS이스토어_6월_DailyReport_20060602_GS이스토어_7월_DailyReport_원본_GS이스토어_3월온라인캠페인_DailyReport_070311" xfId="643"/>
    <cellStyle name="_GS이스토어_3월_DailyReport_20060319_GS이스토어_6월_DailyReport_20060602_GS이스토어_7월_DailyReport_원본_GS이스토어_8월온라인캠페인_DailyReport_양식" xfId="644"/>
    <cellStyle name="_GS이스토어_3월_DailyReport_20060319_GS이스토어_6월_DailyReport_20060602_GS이스토어_7월_DailyReport_원본_GS이스토어_8월온라인캠페인_DailyReport_양식_GS이스토어_12월온라인캠페인_DailyReport" xfId="645"/>
    <cellStyle name="_GS이스토어_3월_DailyReport_20060319_GS이스토어_6월_DailyReport_20060602_GS이스토어_7월_DailyReport_원본_GS이스토어_8월온라인캠페인_DailyReport_양식_GS이스토어_12월온라인캠페인_DailyReport_GS이스토어_3월온라인캠페인_DailyReport_070311" xfId="646"/>
    <cellStyle name="_GS이스토어_3월_DailyReport_20060319_GS이스토어_6월_DailyReport_20060602_GS이스토어_7월_DailyReport_원본_GS이스토어_8월온라인캠페인_DailyReport_양식_GS이스토어_1월온라인캠페인_DailyReport_070102" xfId="647"/>
    <cellStyle name="_GS이스토어_3월_DailyReport_20060319_GS이스토어_6월_DailyReport_20060602_GS이스토어_7월_DailyReport_원본_GS이스토어_8월온라인캠페인_DailyReport_양식_GS이스토어_1월온라인캠페인_DailyReport_070102_GS이스토어_3월온라인캠페인_DailyReport_070311" xfId="648"/>
    <cellStyle name="_GS이스토어_3월_DailyReport_20060319_GS이스토어_6월_DailyReport_20060602_GS이스토어_7월_DailyReport_원본_GS이스토어_8월온라인캠페인_DailyReport_양식_GS이스토어_1월온라인캠페인_DailyReport_070117" xfId="649"/>
    <cellStyle name="_GS이스토어_3월_DailyReport_20060319_GS이스토어_6월_DailyReport_20060602_GS이스토어_7월_DailyReport_원본_GS이스토어_8월온라인캠페인_DailyReport_양식_GS이스토어_1월온라인캠페인_DailyReport_070117_GS이스토어_3월온라인캠페인_DailyReport_070311" xfId="652"/>
    <cellStyle name="_GS이스토어_3월_DailyReport_20060319_GS이스토어_6월_DailyReport_20060602_GS이스토어_7월_DailyReport_원본_GS이스토어_8월온라인캠페인_DailyReport_양식_GS이스토어_1월온라인캠페인_DailyReport_070117_쉬트추가" xfId="650"/>
    <cellStyle name="_GS이스토어_3월_DailyReport_20060319_GS이스토어_6월_DailyReport_20060602_GS이스토어_7월_DailyReport_원본_GS이스토어_8월온라인캠페인_DailyReport_양식_GS이스토어_1월온라인캠페인_DailyReport_070117_쉬트추가_GS이스토어_3월온라인캠페인_DailyReport_070311" xfId="651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" xfId="653"/>
    <cellStyle name="_GS이스토어_3월_DailyReport_20060319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654"/>
    <cellStyle name="_GS이스토어_3월_DailyReport_20060319_GS이스토어_6월_DailyReport_20060602_GS이스토어_7월_DailyReport_원본_GS이스토어_8월온라인캠페인_DailyReport_양식_GS이스토어_2월온라인캠페인_DailyReport_070204" xfId="655"/>
    <cellStyle name="_GS이스토어_3월_DailyReport_20060319_GS이스토어_6월_DailyReport_20060602_GS이스토어_7월_DailyReport_원본_GS이스토어_8월온라인캠페인_DailyReport_양식_GS이스토어_2월온라인캠페인_DailyReport_070204_GS이스토어_3월온라인캠페인_DailyReport_070311" xfId="656"/>
    <cellStyle name="_GS이스토어_3월_DailyReport_20060319_GS이스토어_6월_DailyReport_20060602_쭈_GS이스토어_6월_DailyReport_20060601" xfId="533"/>
    <cellStyle name="_GS이스토어_3월_DailyReport_20060319_GS이스토어_6월_DailyReport_20060602_쭈_GS이스토어_6월_DailyReport_20060601_GS이스토어_10월온라인캠페인_DailyReport_1030" xfId="534"/>
    <cellStyle name="_GS이스토어_3월_DailyReport_20060319_GS이스토어_6월_DailyReport_20060602_쭈_GS이스토어_6월_DailyReport_20060601_GS이스토어_10월온라인캠페인_DailyReport_1030_GS이스토어_12월온라인캠페인_DailyReport" xfId="535"/>
    <cellStyle name="_GS이스토어_3월_DailyReport_20060319_GS이스토어_6월_DailyReport_20060602_쭈_GS이스토어_6월_DailyReport_20060601_GS이스토어_10월온라인캠페인_DailyReport_1030_GS이스토어_12월온라인캠페인_DailyReport_GS이스토어_3월온라인캠페인_DailyReport_070311" xfId="536"/>
    <cellStyle name="_GS이스토어_3월_DailyReport_20060319_GS이스토어_6월_DailyReport_20060602_쭈_GS이스토어_6월_DailyReport_20060601_GS이스토어_10월온라인캠페인_DailyReport_1030_GS이스토어_1월온라인캠페인_DailyReport_070102" xfId="537"/>
    <cellStyle name="_GS이스토어_3월_DailyReport_20060319_GS이스토어_6월_DailyReport_20060602_쭈_GS이스토어_6월_DailyReport_20060601_GS이스토어_10월온라인캠페인_DailyReport_1030_GS이스토어_1월온라인캠페인_DailyReport_070102_GS이스토어_3월온라인캠페인_DailyReport_070311" xfId="538"/>
    <cellStyle name="_GS이스토어_3월_DailyReport_20060319_GS이스토어_6월_DailyReport_20060602_쭈_GS이스토어_6월_DailyReport_20060601_GS이스토어_10월온라인캠페인_DailyReport_1030_GS이스토어_1월온라인캠페인_DailyReport_070117" xfId="539"/>
    <cellStyle name="_GS이스토어_3월_DailyReport_20060319_GS이스토어_6월_DailyReport_20060602_쭈_GS이스토어_6월_DailyReport_20060601_GS이스토어_10월온라인캠페인_DailyReport_1030_GS이스토어_1월온라인캠페인_DailyReport_070117_GS이스토어_3월온라인캠페인_DailyReport_070311" xfId="542"/>
    <cellStyle name="_GS이스토어_3월_DailyReport_20060319_GS이스토어_6월_DailyReport_20060602_쭈_GS이스토어_6월_DailyReport_20060601_GS이스토어_10월온라인캠페인_DailyReport_1030_GS이스토어_1월온라인캠페인_DailyReport_070117_쉬트추가" xfId="540"/>
    <cellStyle name="_GS이스토어_3월_DailyReport_20060319_GS이스토어_6월_DailyReport_20060602_쭈_GS이스토어_6월_DailyReport_20060601_GS이스토어_10월온라인캠페인_DailyReport_1030_GS이스토어_1월온라인캠페인_DailyReport_070117_쉬트추가_GS이스토어_3월온라인캠페인_DailyReport_070311" xfId="541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" xfId="543"/>
    <cellStyle name="_GS이스토어_3월_DailyReport_20060319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544"/>
    <cellStyle name="_GS이스토어_3월_DailyReport_20060319_GS이스토어_6월_DailyReport_20060602_쭈_GS이스토어_6월_DailyReport_20060601_GS이스토어_10월온라인캠페인_DailyReport_1030_GS이스토어_2월온라인캠페인_DailyReport_070204" xfId="545"/>
    <cellStyle name="_GS이스토어_3월_DailyReport_20060319_GS이스토어_6월_DailyReport_20060602_쭈_GS이스토어_6월_DailyReport_20060601_GS이스토어_10월온라인캠페인_DailyReport_1030_GS이스토어_2월온라인캠페인_DailyReport_070204_GS이스토어_3월온라인캠페인_DailyReport_070311" xfId="546"/>
    <cellStyle name="_GS이스토어_3월_DailyReport_20060319_GS이스토어_6월_DailyReport_20060602_쭈_GS이스토어_6월_DailyReport_20060601_GS이스토어_3월온라인캠페인_DailyReport_070311" xfId="547"/>
    <cellStyle name="_GS이스토어_3월_DailyReport_20060319_GS이스토어_6월_DailyReport_20060602_쭈_GS이스토어_6월_DailyReport_20060601_GS이스토어_8월온라인캠페인_DailyReport_양식" xfId="548"/>
    <cellStyle name="_GS이스토어_3월_DailyReport_20060319_GS이스토어_6월_DailyReport_20060602_쭈_GS이스토어_6월_DailyReport_20060601_GS이스토어_8월온라인캠페인_DailyReport_양식_GS이스토어_12월온라인캠페인_DailyReport" xfId="549"/>
    <cellStyle name="_GS이스토어_3월_DailyReport_20060319_GS이스토어_6월_DailyReport_20060602_쭈_GS이스토어_6월_DailyReport_20060601_GS이스토어_8월온라인캠페인_DailyReport_양식_GS이스토어_12월온라인캠페인_DailyReport_GS이스토어_3월온라인캠페인_DailyReport_070311" xfId="550"/>
    <cellStyle name="_GS이스토어_3월_DailyReport_20060319_GS이스토어_6월_DailyReport_20060602_쭈_GS이스토어_6월_DailyReport_20060601_GS이스토어_8월온라인캠페인_DailyReport_양식_GS이스토어_1월온라인캠페인_DailyReport_070102" xfId="551"/>
    <cellStyle name="_GS이스토어_3월_DailyReport_20060319_GS이스토어_6월_DailyReport_20060602_쭈_GS이스토어_6월_DailyReport_20060601_GS이스토어_8월온라인캠페인_DailyReport_양식_GS이스토어_1월온라인캠페인_DailyReport_070102_GS이스토어_3월온라인캠페인_DailyReport_070311" xfId="552"/>
    <cellStyle name="_GS이스토어_3월_DailyReport_20060319_GS이스토어_6월_DailyReport_20060602_쭈_GS이스토어_6월_DailyReport_20060601_GS이스토어_8월온라인캠페인_DailyReport_양식_GS이스토어_1월온라인캠페인_DailyReport_070117" xfId="553"/>
    <cellStyle name="_GS이스토어_3월_DailyReport_20060319_GS이스토어_6월_DailyReport_20060602_쭈_GS이스토어_6월_DailyReport_20060601_GS이스토어_8월온라인캠페인_DailyReport_양식_GS이스토어_1월온라인캠페인_DailyReport_070117_GS이스토어_3월온라인캠페인_DailyReport_070311" xfId="556"/>
    <cellStyle name="_GS이스토어_3월_DailyReport_20060319_GS이스토어_6월_DailyReport_20060602_쭈_GS이스토어_6월_DailyReport_20060601_GS이스토어_8월온라인캠페인_DailyReport_양식_GS이스토어_1월온라인캠페인_DailyReport_070117_쉬트추가" xfId="554"/>
    <cellStyle name="_GS이스토어_3월_DailyReport_20060319_GS이스토어_6월_DailyReport_20060602_쭈_GS이스토어_6월_DailyReport_20060601_GS이스토어_8월온라인캠페인_DailyReport_양식_GS이스토어_1월온라인캠페인_DailyReport_070117_쉬트추가_GS이스토어_3월온라인캠페인_DailyReport_070311" xfId="555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" xfId="557"/>
    <cellStyle name="_GS이스토어_3월_DailyReport_20060319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558"/>
    <cellStyle name="_GS이스토어_3월_DailyReport_20060319_GS이스토어_6월_DailyReport_20060602_쭈_GS이스토어_6월_DailyReport_20060601_GS이스토어_8월온라인캠페인_DailyReport_양식_GS이스토어_2월온라인캠페인_DailyReport_070204" xfId="559"/>
    <cellStyle name="_GS이스토어_3월_DailyReport_20060319_GS이스토어_6월_DailyReport_20060602_쭈_GS이스토어_6월_DailyReport_20060601_GS이스토어_8월온라인캠페인_DailyReport_양식_GS이스토어_2월온라인캠페인_DailyReport_070204_GS이스토어_3월온라인캠페인_DailyReport_070311" xfId="560"/>
    <cellStyle name="_GS이스토어_3월_DailyReport_20060319_GS이스토어_8월온라인캠페인_DailyReport_양식" xfId="657"/>
    <cellStyle name="_GS이스토어_3월_DailyReport_20060319_GS이스토어_8월온라인캠페인_DailyReport_양식_GS이스토어_12월온라인캠페인_DailyReport" xfId="658"/>
    <cellStyle name="_GS이스토어_3월_DailyReport_20060319_GS이스토어_8월온라인캠페인_DailyReport_양식_GS이스토어_12월온라인캠페인_DailyReport_GS이스토어_3월온라인캠페인_DailyReport_070311" xfId="659"/>
    <cellStyle name="_GS이스토어_3월_DailyReport_20060319_GS이스토어_8월온라인캠페인_DailyReport_양식_GS이스토어_1월온라인캠페인_DailyReport_070102" xfId="660"/>
    <cellStyle name="_GS이스토어_3월_DailyReport_20060319_GS이스토어_8월온라인캠페인_DailyReport_양식_GS이스토어_1월온라인캠페인_DailyReport_070102_GS이스토어_3월온라인캠페인_DailyReport_070311" xfId="661"/>
    <cellStyle name="_GS이스토어_3월_DailyReport_20060319_GS이스토어_8월온라인캠페인_DailyReport_양식_GS이스토어_1월온라인캠페인_DailyReport_070117" xfId="662"/>
    <cellStyle name="_GS이스토어_3월_DailyReport_20060319_GS이스토어_8월온라인캠페인_DailyReport_양식_GS이스토어_1월온라인캠페인_DailyReport_070117_GS이스토어_3월온라인캠페인_DailyReport_070311" xfId="665"/>
    <cellStyle name="_GS이스토어_3월_DailyReport_20060319_GS이스토어_8월온라인캠페인_DailyReport_양식_GS이스토어_1월온라인캠페인_DailyReport_070117_쉬트추가" xfId="663"/>
    <cellStyle name="_GS이스토어_3월_DailyReport_20060319_GS이스토어_8월온라인캠페인_DailyReport_양식_GS이스토어_1월온라인캠페인_DailyReport_070117_쉬트추가_GS이스토어_3월온라인캠페인_DailyReport_070311" xfId="664"/>
    <cellStyle name="_GS이스토어_3월_DailyReport_20060319_GS이스토어_8월온라인캠페인_DailyReport_양식_GS이스토어_1월온라인캠페인_DailyReport_070121_소재별쉬트수정본" xfId="666"/>
    <cellStyle name="_GS이스토어_3월_DailyReport_20060319_GS이스토어_8월온라인캠페인_DailyReport_양식_GS이스토어_1월온라인캠페인_DailyReport_070121_소재별쉬트수정본_GS이스토어_3월온라인캠페인_DailyReport_070311" xfId="667"/>
    <cellStyle name="_GS이스토어_3월_DailyReport_20060319_GS이스토어_8월온라인캠페인_DailyReport_양식_GS이스토어_2월온라인캠페인_DailyReport_070204" xfId="668"/>
    <cellStyle name="_GS이스토어_3월_DailyReport_20060319_GS이스토어_8월온라인캠페인_DailyReport_양식_GS이스토어_2월온라인캠페인_DailyReport_070204_GS이스토어_3월온라인캠페인_DailyReport_070311" xfId="669"/>
    <cellStyle name="_GS이스토어_4월_DailyReport_200604" xfId="670"/>
    <cellStyle name="_GS이스토어_4월_DailyReport_200604_GS이스토어_10월온라인캠페인_DailyReport_1030" xfId="671"/>
    <cellStyle name="_GS이스토어_4월_DailyReport_200604_GS이스토어_10월온라인캠페인_DailyReport_1030_GS이스토어_12월온라인캠페인_DailyReport" xfId="672"/>
    <cellStyle name="_GS이스토어_4월_DailyReport_200604_GS이스토어_10월온라인캠페인_DailyReport_1030_GS이스토어_12월온라인캠페인_DailyReport_GS이스토어_3월온라인캠페인_DailyReport_070311" xfId="673"/>
    <cellStyle name="_GS이스토어_4월_DailyReport_200604_GS이스토어_10월온라인캠페인_DailyReport_1030_GS이스토어_1월온라인캠페인_DailyReport_070102" xfId="674"/>
    <cellStyle name="_GS이스토어_4월_DailyReport_200604_GS이스토어_10월온라인캠페인_DailyReport_1030_GS이스토어_1월온라인캠페인_DailyReport_070102_GS이스토어_3월온라인캠페인_DailyReport_070311" xfId="675"/>
    <cellStyle name="_GS이스토어_4월_DailyReport_200604_GS이스토어_10월온라인캠페인_DailyReport_1030_GS이스토어_1월온라인캠페인_DailyReport_070117" xfId="676"/>
    <cellStyle name="_GS이스토어_4월_DailyReport_200604_GS이스토어_10월온라인캠페인_DailyReport_1030_GS이스토어_1월온라인캠페인_DailyReport_070117_GS이스토어_3월온라인캠페인_DailyReport_070311" xfId="679"/>
    <cellStyle name="_GS이스토어_4월_DailyReport_200604_GS이스토어_10월온라인캠페인_DailyReport_1030_GS이스토어_1월온라인캠페인_DailyReport_070117_쉬트추가" xfId="677"/>
    <cellStyle name="_GS이스토어_4월_DailyReport_200604_GS이스토어_10월온라인캠페인_DailyReport_1030_GS이스토어_1월온라인캠페인_DailyReport_070117_쉬트추가_GS이스토어_3월온라인캠페인_DailyReport_070311" xfId="678"/>
    <cellStyle name="_GS이스토어_4월_DailyReport_200604_GS이스토어_10월온라인캠페인_DailyReport_1030_GS이스토어_1월온라인캠페인_DailyReport_070121_소재별쉬트수정본" xfId="680"/>
    <cellStyle name="_GS이스토어_4월_DailyReport_200604_GS이스토어_10월온라인캠페인_DailyReport_1030_GS이스토어_1월온라인캠페인_DailyReport_070121_소재별쉬트수정본_GS이스토어_3월온라인캠페인_DailyReport_070311" xfId="681"/>
    <cellStyle name="_GS이스토어_4월_DailyReport_200604_GS이스토어_10월온라인캠페인_DailyReport_1030_GS이스토어_2월온라인캠페인_DailyReport_070204" xfId="682"/>
    <cellStyle name="_GS이스토어_4월_DailyReport_200604_GS이스토어_10월온라인캠페인_DailyReport_1030_GS이스토어_2월온라인캠페인_DailyReport_070204_GS이스토어_3월온라인캠페인_DailyReport_070311" xfId="683"/>
    <cellStyle name="_GS이스토어_4월_DailyReport_200604_GS이스토어_3월온라인캠페인_DailyReport_070311" xfId="684"/>
    <cellStyle name="_GS이스토어_4월_DailyReport_200604_GS이스토어_6월_DailyReport_20060602" xfId="685"/>
    <cellStyle name="_GS이스토어_4월_DailyReport_200604_GS이스토어_6월_DailyReport_20060602_GS이스토어_12월온라인캠페인_DailyReport" xfId="714"/>
    <cellStyle name="_GS이스토어_4월_DailyReport_200604_GS이스토어_6월_DailyReport_20060602_GS이스토어_12월온라인캠페인_DailyReport_GS이스토어_3월온라인캠페인_DailyReport_070311" xfId="715"/>
    <cellStyle name="_GS이스토어_4월_DailyReport_200604_GS이스토어_6월_DailyReport_20060602_GS이스토어_1월온라인캠페인_DailyReport_070102" xfId="716"/>
    <cellStyle name="_GS이스토어_4월_DailyReport_200604_GS이스토어_6월_DailyReport_20060602_GS이스토어_1월온라인캠페인_DailyReport_070102_GS이스토어_3월온라인캠페인_DailyReport_070311" xfId="717"/>
    <cellStyle name="_GS이스토어_4월_DailyReport_200604_GS이스토어_6월_DailyReport_20060602_GS이스토어_1월온라인캠페인_DailyReport_070117" xfId="718"/>
    <cellStyle name="_GS이스토어_4월_DailyReport_200604_GS이스토어_6월_DailyReport_20060602_GS이스토어_1월온라인캠페인_DailyReport_070117_GS이스토어_3월온라인캠페인_DailyReport_070311" xfId="721"/>
    <cellStyle name="_GS이스토어_4월_DailyReport_200604_GS이스토어_6월_DailyReport_20060602_GS이스토어_1월온라인캠페인_DailyReport_070117_쉬트추가" xfId="719"/>
    <cellStyle name="_GS이스토어_4월_DailyReport_200604_GS이스토어_6월_DailyReport_20060602_GS이스토어_1월온라인캠페인_DailyReport_070117_쉬트추가_GS이스토어_3월온라인캠페인_DailyReport_070311" xfId="720"/>
    <cellStyle name="_GS이스토어_4월_DailyReport_200604_GS이스토어_6월_DailyReport_20060602_GS이스토어_1월온라인캠페인_DailyReport_070121_소재별쉬트수정본" xfId="722"/>
    <cellStyle name="_GS이스토어_4월_DailyReport_200604_GS이스토어_6월_DailyReport_20060602_GS이스토어_1월온라인캠페인_DailyReport_070121_소재별쉬트수정본_GS이스토어_3월온라인캠페인_DailyReport_070311" xfId="723"/>
    <cellStyle name="_GS이스토어_4월_DailyReport_200604_GS이스토어_6월_DailyReport_20060602_GS이스토어_2월온라인캠페인_DailyReport_070204" xfId="724"/>
    <cellStyle name="_GS이스토어_4월_DailyReport_200604_GS이스토어_6월_DailyReport_20060602_GS이스토어_2월온라인캠페인_DailyReport_070204_GS이스토어_3월온라인캠페인_DailyReport_070311" xfId="725"/>
    <cellStyle name="_GS이스토어_4월_DailyReport_200604_GS이스토어_6월_DailyReport_20060602_GS이스토어_6월(DM)_DailyReport_20060601" xfId="726"/>
    <cellStyle name="_GS이스토어_4월_DailyReport_200604_GS이스토어_6월_DailyReport_20060602_GS이스토어_6월(DM)_DailyReport_20060601_GS이스토어_10월온라인캠페인_DailyReport_1030" xfId="727"/>
    <cellStyle name="_GS이스토어_4월_DailyReport_200604_GS이스토어_6월_DailyReport_20060602_GS이스토어_6월(DM)_DailyReport_20060601_GS이스토어_10월온라인캠페인_DailyReport_1030_GS이스토어_12월온라인캠페인_DailyReport" xfId="728"/>
    <cellStyle name="_GS이스토어_4월_DailyReport_200604_GS이스토어_6월_DailyReport_20060602_GS이스토어_6월(DM)_DailyReport_20060601_GS이스토어_10월온라인캠페인_DailyReport_1030_GS이스토어_12월온라인캠페인_DailyReport_GS이스토어_3월온라인캠페인_DailyReport_070311" xfId="729"/>
    <cellStyle name="_GS이스토어_4월_DailyReport_200604_GS이스토어_6월_DailyReport_20060602_GS이스토어_6월(DM)_DailyReport_20060601_GS이스토어_10월온라인캠페인_DailyReport_1030_GS이스토어_1월온라인캠페인_DailyReport_070102" xfId="730"/>
    <cellStyle name="_GS이스토어_4월_DailyReport_200604_GS이스토어_6월_DailyReport_20060602_GS이스토어_6월(DM)_DailyReport_20060601_GS이스토어_10월온라인캠페인_DailyReport_1030_GS이스토어_1월온라인캠페인_DailyReport_070102_GS이스토어_3월온라인캠페인_DailyReport_070311" xfId="731"/>
    <cellStyle name="_GS이스토어_4월_DailyReport_200604_GS이스토어_6월_DailyReport_20060602_GS이스토어_6월(DM)_DailyReport_20060601_GS이스토어_10월온라인캠페인_DailyReport_1030_GS이스토어_1월온라인캠페인_DailyReport_070117" xfId="732"/>
    <cellStyle name="_GS이스토어_4월_DailyReport_200604_GS이스토어_6월_DailyReport_20060602_GS이스토어_6월(DM)_DailyReport_20060601_GS이스토어_10월온라인캠페인_DailyReport_1030_GS이스토어_1월온라인캠페인_DailyReport_070117_GS이스토어_3월온라인캠페인_DailyReport_070311" xfId="735"/>
    <cellStyle name="_GS이스토어_4월_DailyReport_200604_GS이스토어_6월_DailyReport_20060602_GS이스토어_6월(DM)_DailyReport_20060601_GS이스토어_10월온라인캠페인_DailyReport_1030_GS이스토어_1월온라인캠페인_DailyReport_070117_쉬트추가" xfId="733"/>
    <cellStyle name="_GS이스토어_4월_DailyReport_200604_GS이스토어_6월_DailyReport_20060602_GS이스토어_6월(DM)_DailyReport_20060601_GS이스토어_10월온라인캠페인_DailyReport_1030_GS이스토어_1월온라인캠페인_DailyReport_070117_쉬트추가_GS이스토어_3월온라인캠페인_DailyReport_070311" xfId="734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" xfId="736"/>
    <cellStyle name="_GS이스토어_4월_DailyReport_200604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737"/>
    <cellStyle name="_GS이스토어_4월_DailyReport_200604_GS이스토어_6월_DailyReport_20060602_GS이스토어_6월(DM)_DailyReport_20060601_GS이스토어_10월온라인캠페인_DailyReport_1030_GS이스토어_2월온라인캠페인_DailyReport_070204" xfId="738"/>
    <cellStyle name="_GS이스토어_4월_DailyReport_200604_GS이스토어_6월_DailyReport_20060602_GS이스토어_6월(DM)_DailyReport_20060601_GS이스토어_10월온라인캠페인_DailyReport_1030_GS이스토어_2월온라인캠페인_DailyReport_070204_GS이스토어_3월온라인캠페인_DailyReport_070311" xfId="739"/>
    <cellStyle name="_GS이스토어_4월_DailyReport_200604_GS이스토어_6월_DailyReport_20060602_GS이스토어_6월(DM)_DailyReport_20060601_GS이스토어_3월온라인캠페인_DailyReport_070311" xfId="740"/>
    <cellStyle name="_GS이스토어_4월_DailyReport_200604_GS이스토어_6월_DailyReport_20060602_GS이스토어_6월(DM)_DailyReport_20060601_GS이스토어_8월온라인캠페인_DailyReport_양식" xfId="741"/>
    <cellStyle name="_GS이스토어_4월_DailyReport_200604_GS이스토어_6월_DailyReport_20060602_GS이스토어_6월(DM)_DailyReport_20060601_GS이스토어_8월온라인캠페인_DailyReport_양식_GS이스토어_12월온라인캠페인_DailyReport" xfId="742"/>
    <cellStyle name="_GS이스토어_4월_DailyReport_200604_GS이스토어_6월_DailyReport_20060602_GS이스토어_6월(DM)_DailyReport_20060601_GS이스토어_8월온라인캠페인_DailyReport_양식_GS이스토어_12월온라인캠페인_DailyReport_GS이스토어_3월온라인캠페인_DailyReport_070311" xfId="743"/>
    <cellStyle name="_GS이스토어_4월_DailyReport_200604_GS이스토어_6월_DailyReport_20060602_GS이스토어_6월(DM)_DailyReport_20060601_GS이스토어_8월온라인캠페인_DailyReport_양식_GS이스토어_1월온라인캠페인_DailyReport_070102" xfId="744"/>
    <cellStyle name="_GS이스토어_4월_DailyReport_200604_GS이스토어_6월_DailyReport_20060602_GS이스토어_6월(DM)_DailyReport_20060601_GS이스토어_8월온라인캠페인_DailyReport_양식_GS이스토어_1월온라인캠페인_DailyReport_070102_GS이스토어_3월온라인캠페인_DailyReport_070311" xfId="745"/>
    <cellStyle name="_GS이스토어_4월_DailyReport_200604_GS이스토어_6월_DailyReport_20060602_GS이스토어_6월(DM)_DailyReport_20060601_GS이스토어_8월온라인캠페인_DailyReport_양식_GS이스토어_1월온라인캠페인_DailyReport_070117" xfId="746"/>
    <cellStyle name="_GS이스토어_4월_DailyReport_200604_GS이스토어_6월_DailyReport_20060602_GS이스토어_6월(DM)_DailyReport_20060601_GS이스토어_8월온라인캠페인_DailyReport_양식_GS이스토어_1월온라인캠페인_DailyReport_070117_GS이스토어_3월온라인캠페인_DailyReport_070311" xfId="749"/>
    <cellStyle name="_GS이스토어_4월_DailyReport_200604_GS이스토어_6월_DailyReport_20060602_GS이스토어_6월(DM)_DailyReport_20060601_GS이스토어_8월온라인캠페인_DailyReport_양식_GS이스토어_1월온라인캠페인_DailyReport_070117_쉬트추가" xfId="747"/>
    <cellStyle name="_GS이스토어_4월_DailyReport_200604_GS이스토어_6월_DailyReport_20060602_GS이스토어_6월(DM)_DailyReport_20060601_GS이스토어_8월온라인캠페인_DailyReport_양식_GS이스토어_1월온라인캠페인_DailyReport_070117_쉬트추가_GS이스토어_3월온라인캠페인_DailyReport_070311" xfId="748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" xfId="750"/>
    <cellStyle name="_GS이스토어_4월_DailyReport_200604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751"/>
    <cellStyle name="_GS이스토어_4월_DailyReport_200604_GS이스토어_6월_DailyReport_20060602_GS이스토어_6월(DM)_DailyReport_20060601_GS이스토어_8월온라인캠페인_DailyReport_양식_GS이스토어_2월온라인캠페인_DailyReport_070204" xfId="752"/>
    <cellStyle name="_GS이스토어_4월_DailyReport_200604_GS이스토어_6월_DailyReport_20060602_GS이스토어_6월(DM)_DailyReport_20060601_GS이스토어_8월온라인캠페인_DailyReport_양식_GS이스토어_2월온라인캠페인_DailyReport_070204_GS이스토어_3월온라인캠페인_DailyReport_070311" xfId="753"/>
    <cellStyle name="_GS이스토어_4월_DailyReport_200604_GS이스토어_6월_DailyReport_20060602_GS이스토어_6월_DailyReport_20060601" xfId="754"/>
    <cellStyle name="_GS이스토어_4월_DailyReport_200604_GS이스토어_6월_DailyReport_20060602_GS이스토어_6월_DailyReport_20060601_GS이스토어_10월온라인캠페인_DailyReport_1030" xfId="755"/>
    <cellStyle name="_GS이스토어_4월_DailyReport_200604_GS이스토어_6월_DailyReport_20060602_GS이스토어_6월_DailyReport_20060601_GS이스토어_10월온라인캠페인_DailyReport_1030_GS이스토어_12월온라인캠페인_DailyReport" xfId="756"/>
    <cellStyle name="_GS이스토어_4월_DailyReport_200604_GS이스토어_6월_DailyReport_20060602_GS이스토어_6월_DailyReport_20060601_GS이스토어_10월온라인캠페인_DailyReport_1030_GS이스토어_12월온라인캠페인_DailyReport_GS이스토어_3월온라인캠페인_DailyReport_070311" xfId="757"/>
    <cellStyle name="_GS이스토어_4월_DailyReport_200604_GS이스토어_6월_DailyReport_20060602_GS이스토어_6월_DailyReport_20060601_GS이스토어_10월온라인캠페인_DailyReport_1030_GS이스토어_1월온라인캠페인_DailyReport_070102" xfId="758"/>
    <cellStyle name="_GS이스토어_4월_DailyReport_200604_GS이스토어_6월_DailyReport_20060602_GS이스토어_6월_DailyReport_20060601_GS이스토어_10월온라인캠페인_DailyReport_1030_GS이스토어_1월온라인캠페인_DailyReport_070102_GS이스토어_3월온라인캠페인_DailyReport_070311" xfId="759"/>
    <cellStyle name="_GS이스토어_4월_DailyReport_200604_GS이스토어_6월_DailyReport_20060602_GS이스토어_6월_DailyReport_20060601_GS이스토어_10월온라인캠페인_DailyReport_1030_GS이스토어_1월온라인캠페인_DailyReport_070117" xfId="760"/>
    <cellStyle name="_GS이스토어_4월_DailyReport_200604_GS이스토어_6월_DailyReport_20060602_GS이스토어_6월_DailyReport_20060601_GS이스토어_10월온라인캠페인_DailyReport_1030_GS이스토어_1월온라인캠페인_DailyReport_070117_GS이스토어_3월온라인캠페인_DailyReport_070311" xfId="763"/>
    <cellStyle name="_GS이스토어_4월_DailyReport_200604_GS이스토어_6월_DailyReport_20060602_GS이스토어_6월_DailyReport_20060601_GS이스토어_10월온라인캠페인_DailyReport_1030_GS이스토어_1월온라인캠페인_DailyReport_070117_쉬트추가" xfId="761"/>
    <cellStyle name="_GS이스토어_4월_DailyReport_200604_GS이스토어_6월_DailyReport_20060602_GS이스토어_6월_DailyReport_20060601_GS이스토어_10월온라인캠페인_DailyReport_1030_GS이스토어_1월온라인캠페인_DailyReport_070117_쉬트추가_GS이스토어_3월온라인캠페인_DailyReport_070311" xfId="762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" xfId="764"/>
    <cellStyle name="_GS이스토어_4월_DailyReport_200604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765"/>
    <cellStyle name="_GS이스토어_4월_DailyReport_200604_GS이스토어_6월_DailyReport_20060602_GS이스토어_6월_DailyReport_20060601_GS이스토어_10월온라인캠페인_DailyReport_1030_GS이스토어_2월온라인캠페인_DailyReport_070204" xfId="766"/>
    <cellStyle name="_GS이스토어_4월_DailyReport_200604_GS이스토어_6월_DailyReport_20060602_GS이스토어_6월_DailyReport_20060601_GS이스토어_10월온라인캠페인_DailyReport_1030_GS이스토어_2월온라인캠페인_DailyReport_070204_GS이스토어_3월온라인캠페인_DailyReport_070311" xfId="767"/>
    <cellStyle name="_GS이스토어_4월_DailyReport_200604_GS이스토어_6월_DailyReport_20060602_GS이스토어_6월_DailyReport_20060601_GS이스토어_3월온라인캠페인_DailyReport_070311" xfId="768"/>
    <cellStyle name="_GS이스토어_4월_DailyReport_200604_GS이스토어_6월_DailyReport_20060602_GS이스토어_6월_DailyReport_20060601_GS이스토어_8월온라인캠페인_DailyReport_양식" xfId="769"/>
    <cellStyle name="_GS이스토어_4월_DailyReport_200604_GS이스토어_6월_DailyReport_20060602_GS이스토어_6월_DailyReport_20060601_GS이스토어_8월온라인캠페인_DailyReport_양식_GS이스토어_12월온라인캠페인_DailyReport" xfId="770"/>
    <cellStyle name="_GS이스토어_4월_DailyReport_200604_GS이스토어_6월_DailyReport_20060602_GS이스토어_6월_DailyReport_20060601_GS이스토어_8월온라인캠페인_DailyReport_양식_GS이스토어_12월온라인캠페인_DailyReport_GS이스토어_3월온라인캠페인_DailyReport_070311" xfId="771"/>
    <cellStyle name="_GS이스토어_4월_DailyReport_200604_GS이스토어_6월_DailyReport_20060602_GS이스토어_6월_DailyReport_20060601_GS이스토어_8월온라인캠페인_DailyReport_양식_GS이스토어_1월온라인캠페인_DailyReport_070102" xfId="772"/>
    <cellStyle name="_GS이스토어_4월_DailyReport_200604_GS이스토어_6월_DailyReport_20060602_GS이스토어_6월_DailyReport_20060601_GS이스토어_8월온라인캠페인_DailyReport_양식_GS이스토어_1월온라인캠페인_DailyReport_070102_GS이스토어_3월온라인캠페인_DailyReport_070311" xfId="773"/>
    <cellStyle name="_GS이스토어_4월_DailyReport_200604_GS이스토어_6월_DailyReport_20060602_GS이스토어_6월_DailyReport_20060601_GS이스토어_8월온라인캠페인_DailyReport_양식_GS이스토어_1월온라인캠페인_DailyReport_070117" xfId="774"/>
    <cellStyle name="_GS이스토어_4월_DailyReport_200604_GS이스토어_6월_DailyReport_20060602_GS이스토어_6월_DailyReport_20060601_GS이스토어_8월온라인캠페인_DailyReport_양식_GS이스토어_1월온라인캠페인_DailyReport_070117_GS이스토어_3월온라인캠페인_DailyReport_070311" xfId="777"/>
    <cellStyle name="_GS이스토어_4월_DailyReport_200604_GS이스토어_6월_DailyReport_20060602_GS이스토어_6월_DailyReport_20060601_GS이스토어_8월온라인캠페인_DailyReport_양식_GS이스토어_1월온라인캠페인_DailyReport_070117_쉬트추가" xfId="775"/>
    <cellStyle name="_GS이스토어_4월_DailyReport_200604_GS이스토어_6월_DailyReport_20060602_GS이스토어_6월_DailyReport_20060601_GS이스토어_8월온라인캠페인_DailyReport_양식_GS이스토어_1월온라인캠페인_DailyReport_070117_쉬트추가_GS이스토어_3월온라인캠페인_DailyReport_070311" xfId="776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" xfId="778"/>
    <cellStyle name="_GS이스토어_4월_DailyReport_200604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779"/>
    <cellStyle name="_GS이스토어_4월_DailyReport_200604_GS이스토어_6월_DailyReport_20060602_GS이스토어_6월_DailyReport_20060601_GS이스토어_8월온라인캠페인_DailyReport_양식_GS이스토어_2월온라인캠페인_DailyReport_070204" xfId="780"/>
    <cellStyle name="_GS이스토어_4월_DailyReport_200604_GS이스토어_6월_DailyReport_20060602_GS이스토어_6월_DailyReport_20060601_GS이스토어_8월온라인캠페인_DailyReport_양식_GS이스토어_2월온라인캠페인_DailyReport_070204_GS이스토어_3월온라인캠페인_DailyReport_070311" xfId="781"/>
    <cellStyle name="_GS이스토어_4월_DailyReport_200604_GS이스토어_6월_DailyReport_20060602_GS이스토어_7월_DailyReport_원본" xfId="782"/>
    <cellStyle name="_GS이스토어_4월_DailyReport_200604_GS이스토어_6월_DailyReport_20060602_GS이스토어_7월_DailyReport_원본_GS이스토어_10월온라인캠페인_DailyReport_1030" xfId="783"/>
    <cellStyle name="_GS이스토어_4월_DailyReport_200604_GS이스토어_6월_DailyReport_20060602_GS이스토어_7월_DailyReport_원본_GS이스토어_10월온라인캠페인_DailyReport_1030_GS이스토어_12월온라인캠페인_DailyReport" xfId="784"/>
    <cellStyle name="_GS이스토어_4월_DailyReport_200604_GS이스토어_6월_DailyReport_20060602_GS이스토어_7월_DailyReport_원본_GS이스토어_10월온라인캠페인_DailyReport_1030_GS이스토어_12월온라인캠페인_DailyReport_GS이스토어_3월온라인캠페인_DailyReport_070311" xfId="785"/>
    <cellStyle name="_GS이스토어_4월_DailyReport_200604_GS이스토어_6월_DailyReport_20060602_GS이스토어_7월_DailyReport_원본_GS이스토어_10월온라인캠페인_DailyReport_1030_GS이스토어_1월온라인캠페인_DailyReport_070102" xfId="786"/>
    <cellStyle name="_GS이스토어_4월_DailyReport_200604_GS이스토어_6월_DailyReport_20060602_GS이스토어_7월_DailyReport_원본_GS이스토어_10월온라인캠페인_DailyReport_1030_GS이스토어_1월온라인캠페인_DailyReport_070102_GS이스토어_3월온라인캠페인_DailyReport_070311" xfId="787"/>
    <cellStyle name="_GS이스토어_4월_DailyReport_200604_GS이스토어_6월_DailyReport_20060602_GS이스토어_7월_DailyReport_원본_GS이스토어_10월온라인캠페인_DailyReport_1030_GS이스토어_1월온라인캠페인_DailyReport_070117" xfId="788"/>
    <cellStyle name="_GS이스토어_4월_DailyReport_200604_GS이스토어_6월_DailyReport_20060602_GS이스토어_7월_DailyReport_원본_GS이스토어_10월온라인캠페인_DailyReport_1030_GS이스토어_1월온라인캠페인_DailyReport_070117_GS이스토어_3월온라인캠페인_DailyReport_070311" xfId="791"/>
    <cellStyle name="_GS이스토어_4월_DailyReport_200604_GS이스토어_6월_DailyReport_20060602_GS이스토어_7월_DailyReport_원본_GS이스토어_10월온라인캠페인_DailyReport_1030_GS이스토어_1월온라인캠페인_DailyReport_070117_쉬트추가" xfId="789"/>
    <cellStyle name="_GS이스토어_4월_DailyReport_200604_GS이스토어_6월_DailyReport_20060602_GS이스토어_7월_DailyReport_원본_GS이스토어_10월온라인캠페인_DailyReport_1030_GS이스토어_1월온라인캠페인_DailyReport_070117_쉬트추가_GS이스토어_3월온라인캠페인_DailyReport_070311" xfId="790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" xfId="792"/>
    <cellStyle name="_GS이스토어_4월_DailyReport_200604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793"/>
    <cellStyle name="_GS이스토어_4월_DailyReport_200604_GS이스토어_6월_DailyReport_20060602_GS이스토어_7월_DailyReport_원본_GS이스토어_10월온라인캠페인_DailyReport_1030_GS이스토어_2월온라인캠페인_DailyReport_070204" xfId="794"/>
    <cellStyle name="_GS이스토어_4월_DailyReport_200604_GS이스토어_6월_DailyReport_20060602_GS이스토어_7월_DailyReport_원본_GS이스토어_10월온라인캠페인_DailyReport_1030_GS이스토어_2월온라인캠페인_DailyReport_070204_GS이스토어_3월온라인캠페인_DailyReport_070311" xfId="795"/>
    <cellStyle name="_GS이스토어_4월_DailyReport_200604_GS이스토어_6월_DailyReport_20060602_GS이스토어_7월_DailyReport_원본_GS이스토어_3월온라인캠페인_DailyReport_070311" xfId="796"/>
    <cellStyle name="_GS이스토어_4월_DailyReport_200604_GS이스토어_6월_DailyReport_20060602_GS이스토어_7월_DailyReport_원본_GS이스토어_8월온라인캠페인_DailyReport_양식" xfId="797"/>
    <cellStyle name="_GS이스토어_4월_DailyReport_200604_GS이스토어_6월_DailyReport_20060602_GS이스토어_7월_DailyReport_원본_GS이스토어_8월온라인캠페인_DailyReport_양식_GS이스토어_12월온라인캠페인_DailyReport" xfId="798"/>
    <cellStyle name="_GS이스토어_4월_DailyReport_200604_GS이스토어_6월_DailyReport_20060602_GS이스토어_7월_DailyReport_원본_GS이스토어_8월온라인캠페인_DailyReport_양식_GS이스토어_12월온라인캠페인_DailyReport_GS이스토어_3월온라인캠페인_DailyReport_070311" xfId="799"/>
    <cellStyle name="_GS이스토어_4월_DailyReport_200604_GS이스토어_6월_DailyReport_20060602_GS이스토어_7월_DailyReport_원본_GS이스토어_8월온라인캠페인_DailyReport_양식_GS이스토어_1월온라인캠페인_DailyReport_070102" xfId="800"/>
    <cellStyle name="_GS이스토어_4월_DailyReport_200604_GS이스토어_6월_DailyReport_20060602_GS이스토어_7월_DailyReport_원본_GS이스토어_8월온라인캠페인_DailyReport_양식_GS이스토어_1월온라인캠페인_DailyReport_070102_GS이스토어_3월온라인캠페인_DailyReport_070311" xfId="801"/>
    <cellStyle name="_GS이스토어_4월_DailyReport_200604_GS이스토어_6월_DailyReport_20060602_GS이스토어_7월_DailyReport_원본_GS이스토어_8월온라인캠페인_DailyReport_양식_GS이스토어_1월온라인캠페인_DailyReport_070117" xfId="802"/>
    <cellStyle name="_GS이스토어_4월_DailyReport_200604_GS이스토어_6월_DailyReport_20060602_GS이스토어_7월_DailyReport_원본_GS이스토어_8월온라인캠페인_DailyReport_양식_GS이스토어_1월온라인캠페인_DailyReport_070117_GS이스토어_3월온라인캠페인_DailyReport_070311" xfId="805"/>
    <cellStyle name="_GS이스토어_4월_DailyReport_200604_GS이스토어_6월_DailyReport_20060602_GS이스토어_7월_DailyReport_원본_GS이스토어_8월온라인캠페인_DailyReport_양식_GS이스토어_1월온라인캠페인_DailyReport_070117_쉬트추가" xfId="803"/>
    <cellStyle name="_GS이스토어_4월_DailyReport_200604_GS이스토어_6월_DailyReport_20060602_GS이스토어_7월_DailyReport_원본_GS이스토어_8월온라인캠페인_DailyReport_양식_GS이스토어_1월온라인캠페인_DailyReport_070117_쉬트추가_GS이스토어_3월온라인캠페인_DailyReport_070311" xfId="804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" xfId="806"/>
    <cellStyle name="_GS이스토어_4월_DailyReport_200604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807"/>
    <cellStyle name="_GS이스토어_4월_DailyReport_200604_GS이스토어_6월_DailyReport_20060602_GS이스토어_7월_DailyReport_원본_GS이스토어_8월온라인캠페인_DailyReport_양식_GS이스토어_2월온라인캠페인_DailyReport_070204" xfId="808"/>
    <cellStyle name="_GS이스토어_4월_DailyReport_200604_GS이스토어_6월_DailyReport_20060602_GS이스토어_7월_DailyReport_원본_GS이스토어_8월온라인캠페인_DailyReport_양식_GS이스토어_2월온라인캠페인_DailyReport_070204_GS이스토어_3월온라인캠페인_DailyReport_070311" xfId="809"/>
    <cellStyle name="_GS이스토어_4월_DailyReport_200604_GS이스토어_6월_DailyReport_20060602_쭈_GS이스토어_6월_DailyReport_20060601" xfId="686"/>
    <cellStyle name="_GS이스토어_4월_DailyReport_200604_GS이스토어_6월_DailyReport_20060602_쭈_GS이스토어_6월_DailyReport_20060601_GS이스토어_10월온라인캠페인_DailyReport_1030" xfId="687"/>
    <cellStyle name="_GS이스토어_4월_DailyReport_200604_GS이스토어_6월_DailyReport_20060602_쭈_GS이스토어_6월_DailyReport_20060601_GS이스토어_10월온라인캠페인_DailyReport_1030_GS이스토어_12월온라인캠페인_DailyReport" xfId="688"/>
    <cellStyle name="_GS이스토어_4월_DailyReport_200604_GS이스토어_6월_DailyReport_20060602_쭈_GS이스토어_6월_DailyReport_20060601_GS이스토어_10월온라인캠페인_DailyReport_1030_GS이스토어_12월온라인캠페인_DailyReport_GS이스토어_3월온라인캠페인_DailyReport_070311" xfId="689"/>
    <cellStyle name="_GS이스토어_4월_DailyReport_200604_GS이스토어_6월_DailyReport_20060602_쭈_GS이스토어_6월_DailyReport_20060601_GS이스토어_10월온라인캠페인_DailyReport_1030_GS이스토어_1월온라인캠페인_DailyReport_070102" xfId="690"/>
    <cellStyle name="_GS이스토어_4월_DailyReport_200604_GS이스토어_6월_DailyReport_20060602_쭈_GS이스토어_6월_DailyReport_20060601_GS이스토어_10월온라인캠페인_DailyReport_1030_GS이스토어_1월온라인캠페인_DailyReport_070102_GS이스토어_3월온라인캠페인_DailyReport_070311" xfId="691"/>
    <cellStyle name="_GS이스토어_4월_DailyReport_200604_GS이스토어_6월_DailyReport_20060602_쭈_GS이스토어_6월_DailyReport_20060601_GS이스토어_10월온라인캠페인_DailyReport_1030_GS이스토어_1월온라인캠페인_DailyReport_070117" xfId="692"/>
    <cellStyle name="_GS이스토어_4월_DailyReport_200604_GS이스토어_6월_DailyReport_20060602_쭈_GS이스토어_6월_DailyReport_20060601_GS이스토어_10월온라인캠페인_DailyReport_1030_GS이스토어_1월온라인캠페인_DailyReport_070117_GS이스토어_3월온라인캠페인_DailyReport_070311" xfId="695"/>
    <cellStyle name="_GS이스토어_4월_DailyReport_200604_GS이스토어_6월_DailyReport_20060602_쭈_GS이스토어_6월_DailyReport_20060601_GS이스토어_10월온라인캠페인_DailyReport_1030_GS이스토어_1월온라인캠페인_DailyReport_070117_쉬트추가" xfId="693"/>
    <cellStyle name="_GS이스토어_4월_DailyReport_200604_GS이스토어_6월_DailyReport_20060602_쭈_GS이스토어_6월_DailyReport_20060601_GS이스토어_10월온라인캠페인_DailyReport_1030_GS이스토어_1월온라인캠페인_DailyReport_070117_쉬트추가_GS이스토어_3월온라인캠페인_DailyReport_070311" xfId="694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" xfId="696"/>
    <cellStyle name="_GS이스토어_4월_DailyReport_20060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697"/>
    <cellStyle name="_GS이스토어_4월_DailyReport_200604_GS이스토어_6월_DailyReport_20060602_쭈_GS이스토어_6월_DailyReport_20060601_GS이스토어_10월온라인캠페인_DailyReport_1030_GS이스토어_2월온라인캠페인_DailyReport_070204" xfId="698"/>
    <cellStyle name="_GS이스토어_4월_DailyReport_200604_GS이스토어_6월_DailyReport_20060602_쭈_GS이스토어_6월_DailyReport_20060601_GS이스토어_10월온라인캠페인_DailyReport_1030_GS이스토어_2월온라인캠페인_DailyReport_070204_GS이스토어_3월온라인캠페인_DailyReport_070311" xfId="699"/>
    <cellStyle name="_GS이스토어_4월_DailyReport_200604_GS이스토어_6월_DailyReport_20060602_쭈_GS이스토어_6월_DailyReport_20060601_GS이스토어_3월온라인캠페인_DailyReport_070311" xfId="700"/>
    <cellStyle name="_GS이스토어_4월_DailyReport_200604_GS이스토어_6월_DailyReport_20060602_쭈_GS이스토어_6월_DailyReport_20060601_GS이스토어_8월온라인캠페인_DailyReport_양식" xfId="701"/>
    <cellStyle name="_GS이스토어_4월_DailyReport_200604_GS이스토어_6월_DailyReport_20060602_쭈_GS이스토어_6월_DailyReport_20060601_GS이스토어_8월온라인캠페인_DailyReport_양식_GS이스토어_12월온라인캠페인_DailyReport" xfId="702"/>
    <cellStyle name="_GS이스토어_4월_DailyReport_200604_GS이스토어_6월_DailyReport_20060602_쭈_GS이스토어_6월_DailyReport_20060601_GS이스토어_8월온라인캠페인_DailyReport_양식_GS이스토어_12월온라인캠페인_DailyReport_GS이스토어_3월온라인캠페인_DailyReport_070311" xfId="703"/>
    <cellStyle name="_GS이스토어_4월_DailyReport_200604_GS이스토어_6월_DailyReport_20060602_쭈_GS이스토어_6월_DailyReport_20060601_GS이스토어_8월온라인캠페인_DailyReport_양식_GS이스토어_1월온라인캠페인_DailyReport_070102" xfId="704"/>
    <cellStyle name="_GS이스토어_4월_DailyReport_200604_GS이스토어_6월_DailyReport_20060602_쭈_GS이스토어_6월_DailyReport_20060601_GS이스토어_8월온라인캠페인_DailyReport_양식_GS이스토어_1월온라인캠페인_DailyReport_070102_GS이스토어_3월온라인캠페인_DailyReport_070311" xfId="705"/>
    <cellStyle name="_GS이스토어_4월_DailyReport_200604_GS이스토어_6월_DailyReport_20060602_쭈_GS이스토어_6월_DailyReport_20060601_GS이스토어_8월온라인캠페인_DailyReport_양식_GS이스토어_1월온라인캠페인_DailyReport_070117" xfId="706"/>
    <cellStyle name="_GS이스토어_4월_DailyReport_200604_GS이스토어_6월_DailyReport_20060602_쭈_GS이스토어_6월_DailyReport_20060601_GS이스토어_8월온라인캠페인_DailyReport_양식_GS이스토어_1월온라인캠페인_DailyReport_070117_GS이스토어_3월온라인캠페인_DailyReport_070311" xfId="709"/>
    <cellStyle name="_GS이스토어_4월_DailyReport_200604_GS이스토어_6월_DailyReport_20060602_쭈_GS이스토어_6월_DailyReport_20060601_GS이스토어_8월온라인캠페인_DailyReport_양식_GS이스토어_1월온라인캠페인_DailyReport_070117_쉬트추가" xfId="707"/>
    <cellStyle name="_GS이스토어_4월_DailyReport_200604_GS이스토어_6월_DailyReport_20060602_쭈_GS이스토어_6월_DailyReport_20060601_GS이스토어_8월온라인캠페인_DailyReport_양식_GS이스토어_1월온라인캠페인_DailyReport_070117_쉬트추가_GS이스토어_3월온라인캠페인_DailyReport_070311" xfId="708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" xfId="710"/>
    <cellStyle name="_GS이스토어_4월_DailyReport_20060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711"/>
    <cellStyle name="_GS이스토어_4월_DailyReport_200604_GS이스토어_6월_DailyReport_20060602_쭈_GS이스토어_6월_DailyReport_20060601_GS이스토어_8월온라인캠페인_DailyReport_양식_GS이스토어_2월온라인캠페인_DailyReport_070204" xfId="712"/>
    <cellStyle name="_GS이스토어_4월_DailyReport_200604_GS이스토어_6월_DailyReport_20060602_쭈_GS이스토어_6월_DailyReport_20060601_GS이스토어_8월온라인캠페인_DailyReport_양식_GS이스토어_2월온라인캠페인_DailyReport_070204_GS이스토어_3월온라인캠페인_DailyReport_070311" xfId="713"/>
    <cellStyle name="_GS이스토어_4월_DailyReport_200604_GS이스토어_8월온라인캠페인_DailyReport_양식" xfId="810"/>
    <cellStyle name="_GS이스토어_4월_DailyReport_200604_GS이스토어_8월온라인캠페인_DailyReport_양식_GS이스토어_12월온라인캠페인_DailyReport" xfId="811"/>
    <cellStyle name="_GS이스토어_4월_DailyReport_200604_GS이스토어_8월온라인캠페인_DailyReport_양식_GS이스토어_12월온라인캠페인_DailyReport_GS이스토어_3월온라인캠페인_DailyReport_070311" xfId="812"/>
    <cellStyle name="_GS이스토어_4월_DailyReport_200604_GS이스토어_8월온라인캠페인_DailyReport_양식_GS이스토어_1월온라인캠페인_DailyReport_070102" xfId="813"/>
    <cellStyle name="_GS이스토어_4월_DailyReport_200604_GS이스토어_8월온라인캠페인_DailyReport_양식_GS이스토어_1월온라인캠페인_DailyReport_070102_GS이스토어_3월온라인캠페인_DailyReport_070311" xfId="814"/>
    <cellStyle name="_GS이스토어_4월_DailyReport_200604_GS이스토어_8월온라인캠페인_DailyReport_양식_GS이스토어_1월온라인캠페인_DailyReport_070117" xfId="815"/>
    <cellStyle name="_GS이스토어_4월_DailyReport_200604_GS이스토어_8월온라인캠페인_DailyReport_양식_GS이스토어_1월온라인캠페인_DailyReport_070117_GS이스토어_3월온라인캠페인_DailyReport_070311" xfId="818"/>
    <cellStyle name="_GS이스토어_4월_DailyReport_200604_GS이스토어_8월온라인캠페인_DailyReport_양식_GS이스토어_1월온라인캠페인_DailyReport_070117_쉬트추가" xfId="816"/>
    <cellStyle name="_GS이스토어_4월_DailyReport_200604_GS이스토어_8월온라인캠페인_DailyReport_양식_GS이스토어_1월온라인캠페인_DailyReport_070117_쉬트추가_GS이스토어_3월온라인캠페인_DailyReport_070311" xfId="817"/>
    <cellStyle name="_GS이스토어_4월_DailyReport_200604_GS이스토어_8월온라인캠페인_DailyReport_양식_GS이스토어_1월온라인캠페인_DailyReport_070121_소재별쉬트수정본" xfId="819"/>
    <cellStyle name="_GS이스토어_4월_DailyReport_200604_GS이스토어_8월온라인캠페인_DailyReport_양식_GS이스토어_1월온라인캠페인_DailyReport_070121_소재별쉬트수정본_GS이스토어_3월온라인캠페인_DailyReport_070311" xfId="820"/>
    <cellStyle name="_GS이스토어_4월_DailyReport_200604_GS이스토어_8월온라인캠페인_DailyReport_양식_GS이스토어_2월온라인캠페인_DailyReport_070204" xfId="821"/>
    <cellStyle name="_GS이스토어_4월_DailyReport_200604_GS이스토어_8월온라인캠페인_DailyReport_양식_GS이스토어_2월온라인캠페인_DailyReport_070204_GS이스토어_3월온라인캠페인_DailyReport_070311" xfId="822"/>
    <cellStyle name="_GS이스토어_5월_DailyReport_20060515" xfId="823"/>
    <cellStyle name="_GS이스토어_5월_DailyReport_20060515_GS이스토어_10월온라인캠페인_DailyReport_1030" xfId="824"/>
    <cellStyle name="_GS이스토어_5월_DailyReport_20060515_GS이스토어_10월온라인캠페인_DailyReport_1030_GS이스토어_12월온라인캠페인_DailyReport" xfId="825"/>
    <cellStyle name="_GS이스토어_5월_DailyReport_20060515_GS이스토어_10월온라인캠페인_DailyReport_1030_GS이스토어_12월온라인캠페인_DailyReport_GS이스토어_3월온라인캠페인_DailyReport_070311" xfId="826"/>
    <cellStyle name="_GS이스토어_5월_DailyReport_20060515_GS이스토어_10월온라인캠페인_DailyReport_1030_GS이스토어_1월온라인캠페인_DailyReport_070102" xfId="827"/>
    <cellStyle name="_GS이스토어_5월_DailyReport_20060515_GS이스토어_10월온라인캠페인_DailyReport_1030_GS이스토어_1월온라인캠페인_DailyReport_070102_GS이스토어_3월온라인캠페인_DailyReport_070311" xfId="828"/>
    <cellStyle name="_GS이스토어_5월_DailyReport_20060515_GS이스토어_10월온라인캠페인_DailyReport_1030_GS이스토어_1월온라인캠페인_DailyReport_070117" xfId="829"/>
    <cellStyle name="_GS이스토어_5월_DailyReport_20060515_GS이스토어_10월온라인캠페인_DailyReport_1030_GS이스토어_1월온라인캠페인_DailyReport_070117_GS이스토어_3월온라인캠페인_DailyReport_070311" xfId="832"/>
    <cellStyle name="_GS이스토어_5월_DailyReport_20060515_GS이스토어_10월온라인캠페인_DailyReport_1030_GS이스토어_1월온라인캠페인_DailyReport_070117_쉬트추가" xfId="830"/>
    <cellStyle name="_GS이스토어_5월_DailyReport_20060515_GS이스토어_10월온라인캠페인_DailyReport_1030_GS이스토어_1월온라인캠페인_DailyReport_070117_쉬트추가_GS이스토어_3월온라인캠페인_DailyReport_070311" xfId="831"/>
    <cellStyle name="_GS이스토어_5월_DailyReport_20060515_GS이스토어_10월온라인캠페인_DailyReport_1030_GS이스토어_1월온라인캠페인_DailyReport_070121_소재별쉬트수정본" xfId="833"/>
    <cellStyle name="_GS이스토어_5월_DailyReport_20060515_GS이스토어_10월온라인캠페인_DailyReport_1030_GS이스토어_1월온라인캠페인_DailyReport_070121_소재별쉬트수정본_GS이스토어_3월온라인캠페인_DailyReport_070311" xfId="834"/>
    <cellStyle name="_GS이스토어_5월_DailyReport_20060515_GS이스토어_10월온라인캠페인_DailyReport_1030_GS이스토어_2월온라인캠페인_DailyReport_070204" xfId="835"/>
    <cellStyle name="_GS이스토어_5월_DailyReport_20060515_GS이스토어_10월온라인캠페인_DailyReport_1030_GS이스토어_2월온라인캠페인_DailyReport_070204_GS이스토어_3월온라인캠페인_DailyReport_070311" xfId="836"/>
    <cellStyle name="_GS이스토어_5월_DailyReport_20060515_GS이스토어_3월온라인캠페인_DailyReport_070311" xfId="837"/>
    <cellStyle name="_GS이스토어_5월_DailyReport_20060515_GS이스토어_6월_DailyReport_20060602" xfId="838"/>
    <cellStyle name="_GS이스토어_5월_DailyReport_20060515_GS이스토어_6월_DailyReport_20060602_GS이스토어_12월온라인캠페인_DailyReport" xfId="867"/>
    <cellStyle name="_GS이스토어_5월_DailyReport_20060515_GS이스토어_6월_DailyReport_20060602_GS이스토어_12월온라인캠페인_DailyReport_GS이스토어_3월온라인캠페인_DailyReport_070311" xfId="868"/>
    <cellStyle name="_GS이스토어_5월_DailyReport_20060515_GS이스토어_6월_DailyReport_20060602_GS이스토어_1월온라인캠페인_DailyReport_070102" xfId="869"/>
    <cellStyle name="_GS이스토어_5월_DailyReport_20060515_GS이스토어_6월_DailyReport_20060602_GS이스토어_1월온라인캠페인_DailyReport_070102_GS이스토어_3월온라인캠페인_DailyReport_070311" xfId="870"/>
    <cellStyle name="_GS이스토어_5월_DailyReport_20060515_GS이스토어_6월_DailyReport_20060602_GS이스토어_1월온라인캠페인_DailyReport_070117" xfId="871"/>
    <cellStyle name="_GS이스토어_5월_DailyReport_20060515_GS이스토어_6월_DailyReport_20060602_GS이스토어_1월온라인캠페인_DailyReport_070117_GS이스토어_3월온라인캠페인_DailyReport_070311" xfId="874"/>
    <cellStyle name="_GS이스토어_5월_DailyReport_20060515_GS이스토어_6월_DailyReport_20060602_GS이스토어_1월온라인캠페인_DailyReport_070117_쉬트추가" xfId="872"/>
    <cellStyle name="_GS이스토어_5월_DailyReport_20060515_GS이스토어_6월_DailyReport_20060602_GS이스토어_1월온라인캠페인_DailyReport_070117_쉬트추가_GS이스토어_3월온라인캠페인_DailyReport_070311" xfId="873"/>
    <cellStyle name="_GS이스토어_5월_DailyReport_20060515_GS이스토어_6월_DailyReport_20060602_GS이스토어_1월온라인캠페인_DailyReport_070121_소재별쉬트수정본" xfId="875"/>
    <cellStyle name="_GS이스토어_5월_DailyReport_20060515_GS이스토어_6월_DailyReport_20060602_GS이스토어_1월온라인캠페인_DailyReport_070121_소재별쉬트수정본_GS이스토어_3월온라인캠페인_DailyReport_070311" xfId="876"/>
    <cellStyle name="_GS이스토어_5월_DailyReport_20060515_GS이스토어_6월_DailyReport_20060602_GS이스토어_2월온라인캠페인_DailyReport_070204" xfId="877"/>
    <cellStyle name="_GS이스토어_5월_DailyReport_20060515_GS이스토어_6월_DailyReport_20060602_GS이스토어_2월온라인캠페인_DailyReport_070204_GS이스토어_3월온라인캠페인_DailyReport_070311" xfId="878"/>
    <cellStyle name="_GS이스토어_5월_DailyReport_20060515_GS이스토어_6월_DailyReport_20060602_GS이스토어_6월(DM)_DailyReport_20060601" xfId="879"/>
    <cellStyle name="_GS이스토어_5월_DailyReport_20060515_GS이스토어_6월_DailyReport_20060602_GS이스토어_6월(DM)_DailyReport_20060601_GS이스토어_10월온라인캠페인_DailyReport_1030" xfId="880"/>
    <cellStyle name="_GS이스토어_5월_DailyReport_20060515_GS이스토어_6월_DailyReport_20060602_GS이스토어_6월(DM)_DailyReport_20060601_GS이스토어_10월온라인캠페인_DailyReport_1030_GS이스토어_12월온라인캠페인_DailyReport" xfId="881"/>
    <cellStyle name="_GS이스토어_5월_DailyReport_20060515_GS이스토어_6월_DailyReport_20060602_GS이스토어_6월(DM)_DailyReport_20060601_GS이스토어_10월온라인캠페인_DailyReport_1030_GS이스토어_12월온라인캠페인_DailyReport_GS이스토어_3월온라인캠페인_DailyReport_070311" xfId="882"/>
    <cellStyle name="_GS이스토어_5월_DailyReport_20060515_GS이스토어_6월_DailyReport_20060602_GS이스토어_6월(DM)_DailyReport_20060601_GS이스토어_10월온라인캠페인_DailyReport_1030_GS이스토어_1월온라인캠페인_DailyReport_070102" xfId="883"/>
    <cellStyle name="_GS이스토어_5월_DailyReport_20060515_GS이스토어_6월_DailyReport_20060602_GS이스토어_6월(DM)_DailyReport_20060601_GS이스토어_10월온라인캠페인_DailyReport_1030_GS이스토어_1월온라인캠페인_DailyReport_070102_GS이스토어_3월온라인캠페인_DailyReport_070311" xfId="884"/>
    <cellStyle name="_GS이스토어_5월_DailyReport_20060515_GS이스토어_6월_DailyReport_20060602_GS이스토어_6월(DM)_DailyReport_20060601_GS이스토어_10월온라인캠페인_DailyReport_1030_GS이스토어_1월온라인캠페인_DailyReport_070117" xfId="885"/>
    <cellStyle name="_GS이스토어_5월_DailyReport_20060515_GS이스토어_6월_DailyReport_20060602_GS이스토어_6월(DM)_DailyReport_20060601_GS이스토어_10월온라인캠페인_DailyReport_1030_GS이스토어_1월온라인캠페인_DailyReport_070117_GS이스토어_3월온라인캠페인_DailyReport_070311" xfId="888"/>
    <cellStyle name="_GS이스토어_5월_DailyReport_20060515_GS이스토어_6월_DailyReport_20060602_GS이스토어_6월(DM)_DailyReport_20060601_GS이스토어_10월온라인캠페인_DailyReport_1030_GS이스토어_1월온라인캠페인_DailyReport_070117_쉬트추가" xfId="886"/>
    <cellStyle name="_GS이스토어_5월_DailyReport_20060515_GS이스토어_6월_DailyReport_20060602_GS이스토어_6월(DM)_DailyReport_20060601_GS이스토어_10월온라인캠페인_DailyReport_1030_GS이스토어_1월온라인캠페인_DailyReport_070117_쉬트추가_GS이스토어_3월온라인캠페인_DailyReport_070311" xfId="887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" xfId="889"/>
    <cellStyle name="_GS이스토어_5월_DailyReport_20060515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890"/>
    <cellStyle name="_GS이스토어_5월_DailyReport_20060515_GS이스토어_6월_DailyReport_20060602_GS이스토어_6월(DM)_DailyReport_20060601_GS이스토어_10월온라인캠페인_DailyReport_1030_GS이스토어_2월온라인캠페인_DailyReport_070204" xfId="891"/>
    <cellStyle name="_GS이스토어_5월_DailyReport_20060515_GS이스토어_6월_DailyReport_20060602_GS이스토어_6월(DM)_DailyReport_20060601_GS이스토어_10월온라인캠페인_DailyReport_1030_GS이스토어_2월온라인캠페인_DailyReport_070204_GS이스토어_3월온라인캠페인_DailyReport_070311" xfId="892"/>
    <cellStyle name="_GS이스토어_5월_DailyReport_20060515_GS이스토어_6월_DailyReport_20060602_GS이스토어_6월(DM)_DailyReport_20060601_GS이스토어_3월온라인캠페인_DailyReport_070311" xfId="893"/>
    <cellStyle name="_GS이스토어_5월_DailyReport_20060515_GS이스토어_6월_DailyReport_20060602_GS이스토어_6월(DM)_DailyReport_20060601_GS이스토어_8월온라인캠페인_DailyReport_양식" xfId="894"/>
    <cellStyle name="_GS이스토어_5월_DailyReport_20060515_GS이스토어_6월_DailyReport_20060602_GS이스토어_6월(DM)_DailyReport_20060601_GS이스토어_8월온라인캠페인_DailyReport_양식_GS이스토어_12월온라인캠페인_DailyReport" xfId="895"/>
    <cellStyle name="_GS이스토어_5월_DailyReport_20060515_GS이스토어_6월_DailyReport_20060602_GS이스토어_6월(DM)_DailyReport_20060601_GS이스토어_8월온라인캠페인_DailyReport_양식_GS이스토어_12월온라인캠페인_DailyReport_GS이스토어_3월온라인캠페인_DailyReport_070311" xfId="896"/>
    <cellStyle name="_GS이스토어_5월_DailyReport_20060515_GS이스토어_6월_DailyReport_20060602_GS이스토어_6월(DM)_DailyReport_20060601_GS이스토어_8월온라인캠페인_DailyReport_양식_GS이스토어_1월온라인캠페인_DailyReport_070102" xfId="897"/>
    <cellStyle name="_GS이스토어_5월_DailyReport_20060515_GS이스토어_6월_DailyReport_20060602_GS이스토어_6월(DM)_DailyReport_20060601_GS이스토어_8월온라인캠페인_DailyReport_양식_GS이스토어_1월온라인캠페인_DailyReport_070102_GS이스토어_3월온라인캠페인_DailyReport_070311" xfId="898"/>
    <cellStyle name="_GS이스토어_5월_DailyReport_20060515_GS이스토어_6월_DailyReport_20060602_GS이스토어_6월(DM)_DailyReport_20060601_GS이스토어_8월온라인캠페인_DailyReport_양식_GS이스토어_1월온라인캠페인_DailyReport_070117" xfId="899"/>
    <cellStyle name="_GS이스토어_5월_DailyReport_20060515_GS이스토어_6월_DailyReport_20060602_GS이스토어_6월(DM)_DailyReport_20060601_GS이스토어_8월온라인캠페인_DailyReport_양식_GS이스토어_1월온라인캠페인_DailyReport_070117_GS이스토어_3월온라인캠페인_DailyReport_070311" xfId="902"/>
    <cellStyle name="_GS이스토어_5월_DailyReport_20060515_GS이스토어_6월_DailyReport_20060602_GS이스토어_6월(DM)_DailyReport_20060601_GS이스토어_8월온라인캠페인_DailyReport_양식_GS이스토어_1월온라인캠페인_DailyReport_070117_쉬트추가" xfId="900"/>
    <cellStyle name="_GS이스토어_5월_DailyReport_20060515_GS이스토어_6월_DailyReport_20060602_GS이스토어_6월(DM)_DailyReport_20060601_GS이스토어_8월온라인캠페인_DailyReport_양식_GS이스토어_1월온라인캠페인_DailyReport_070117_쉬트추가_GS이스토어_3월온라인캠페인_DailyReport_070311" xfId="901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" xfId="903"/>
    <cellStyle name="_GS이스토어_5월_DailyReport_20060515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904"/>
    <cellStyle name="_GS이스토어_5월_DailyReport_20060515_GS이스토어_6월_DailyReport_20060602_GS이스토어_6월(DM)_DailyReport_20060601_GS이스토어_8월온라인캠페인_DailyReport_양식_GS이스토어_2월온라인캠페인_DailyReport_070204" xfId="905"/>
    <cellStyle name="_GS이스토어_5월_DailyReport_20060515_GS이스토어_6월_DailyReport_20060602_GS이스토어_6월(DM)_DailyReport_20060601_GS이스토어_8월온라인캠페인_DailyReport_양식_GS이스토어_2월온라인캠페인_DailyReport_070204_GS이스토어_3월온라인캠페인_DailyReport_070311" xfId="906"/>
    <cellStyle name="_GS이스토어_5월_DailyReport_20060515_GS이스토어_6월_DailyReport_20060602_GS이스토어_6월_DailyReport_20060601" xfId="907"/>
    <cellStyle name="_GS이스토어_5월_DailyReport_20060515_GS이스토어_6월_DailyReport_20060602_GS이스토어_6월_DailyReport_20060601_GS이스토어_10월온라인캠페인_DailyReport_1030" xfId="908"/>
    <cellStyle name="_GS이스토어_5월_DailyReport_20060515_GS이스토어_6월_DailyReport_20060602_GS이스토어_6월_DailyReport_20060601_GS이스토어_10월온라인캠페인_DailyReport_1030_GS이스토어_12월온라인캠페인_DailyReport" xfId="909"/>
    <cellStyle name="_GS이스토어_5월_DailyReport_20060515_GS이스토어_6월_DailyReport_20060602_GS이스토어_6월_DailyReport_20060601_GS이스토어_10월온라인캠페인_DailyReport_1030_GS이스토어_12월온라인캠페인_DailyReport_GS이스토어_3월온라인캠페인_DailyReport_070311" xfId="910"/>
    <cellStyle name="_GS이스토어_5월_DailyReport_20060515_GS이스토어_6월_DailyReport_20060602_GS이스토어_6월_DailyReport_20060601_GS이스토어_10월온라인캠페인_DailyReport_1030_GS이스토어_1월온라인캠페인_DailyReport_070102" xfId="911"/>
    <cellStyle name="_GS이스토어_5월_DailyReport_20060515_GS이스토어_6월_DailyReport_20060602_GS이스토어_6월_DailyReport_20060601_GS이스토어_10월온라인캠페인_DailyReport_1030_GS이스토어_1월온라인캠페인_DailyReport_070102_GS이스토어_3월온라인캠페인_DailyReport_070311" xfId="912"/>
    <cellStyle name="_GS이스토어_5월_DailyReport_20060515_GS이스토어_6월_DailyReport_20060602_GS이스토어_6월_DailyReport_20060601_GS이스토어_10월온라인캠페인_DailyReport_1030_GS이스토어_1월온라인캠페인_DailyReport_070117" xfId="913"/>
    <cellStyle name="_GS이스토어_5월_DailyReport_20060515_GS이스토어_6월_DailyReport_20060602_GS이스토어_6월_DailyReport_20060601_GS이스토어_10월온라인캠페인_DailyReport_1030_GS이스토어_1월온라인캠페인_DailyReport_070117_GS이스토어_3월온라인캠페인_DailyReport_070311" xfId="916"/>
    <cellStyle name="_GS이스토어_5월_DailyReport_20060515_GS이스토어_6월_DailyReport_20060602_GS이스토어_6월_DailyReport_20060601_GS이스토어_10월온라인캠페인_DailyReport_1030_GS이스토어_1월온라인캠페인_DailyReport_070117_쉬트추가" xfId="914"/>
    <cellStyle name="_GS이스토어_5월_DailyReport_20060515_GS이스토어_6월_DailyReport_20060602_GS이스토어_6월_DailyReport_20060601_GS이스토어_10월온라인캠페인_DailyReport_1030_GS이스토어_1월온라인캠페인_DailyReport_070117_쉬트추가_GS이스토어_3월온라인캠페인_DailyReport_070311" xfId="915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" xfId="917"/>
    <cellStyle name="_GS이스토어_5월_DailyReport_20060515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918"/>
    <cellStyle name="_GS이스토어_5월_DailyReport_20060515_GS이스토어_6월_DailyReport_20060602_GS이스토어_6월_DailyReport_20060601_GS이스토어_10월온라인캠페인_DailyReport_1030_GS이스토어_2월온라인캠페인_DailyReport_070204" xfId="919"/>
    <cellStyle name="_GS이스토어_5월_DailyReport_20060515_GS이스토어_6월_DailyReport_20060602_GS이스토어_6월_DailyReport_20060601_GS이스토어_10월온라인캠페인_DailyReport_1030_GS이스토어_2월온라인캠페인_DailyReport_070204_GS이스토어_3월온라인캠페인_DailyReport_070311" xfId="920"/>
    <cellStyle name="_GS이스토어_5월_DailyReport_20060515_GS이스토어_6월_DailyReport_20060602_GS이스토어_6월_DailyReport_20060601_GS이스토어_3월온라인캠페인_DailyReport_070311" xfId="921"/>
    <cellStyle name="_GS이스토어_5월_DailyReport_20060515_GS이스토어_6월_DailyReport_20060602_GS이스토어_6월_DailyReport_20060601_GS이스토어_8월온라인캠페인_DailyReport_양식" xfId="922"/>
    <cellStyle name="_GS이스토어_5월_DailyReport_20060515_GS이스토어_6월_DailyReport_20060602_GS이스토어_6월_DailyReport_20060601_GS이스토어_8월온라인캠페인_DailyReport_양식_GS이스토어_12월온라인캠페인_DailyReport" xfId="923"/>
    <cellStyle name="_GS이스토어_5월_DailyReport_20060515_GS이스토어_6월_DailyReport_20060602_GS이스토어_6월_DailyReport_20060601_GS이스토어_8월온라인캠페인_DailyReport_양식_GS이스토어_12월온라인캠페인_DailyReport_GS이스토어_3월온라인캠페인_DailyReport_070311" xfId="924"/>
    <cellStyle name="_GS이스토어_5월_DailyReport_20060515_GS이스토어_6월_DailyReport_20060602_GS이스토어_6월_DailyReport_20060601_GS이스토어_8월온라인캠페인_DailyReport_양식_GS이스토어_1월온라인캠페인_DailyReport_070102" xfId="925"/>
    <cellStyle name="_GS이스토어_5월_DailyReport_20060515_GS이스토어_6월_DailyReport_20060602_GS이스토어_6월_DailyReport_20060601_GS이스토어_8월온라인캠페인_DailyReport_양식_GS이스토어_1월온라인캠페인_DailyReport_070102_GS이스토어_3월온라인캠페인_DailyReport_070311" xfId="926"/>
    <cellStyle name="_GS이스토어_5월_DailyReport_20060515_GS이스토어_6월_DailyReport_20060602_GS이스토어_6월_DailyReport_20060601_GS이스토어_8월온라인캠페인_DailyReport_양식_GS이스토어_1월온라인캠페인_DailyReport_070117" xfId="927"/>
    <cellStyle name="_GS이스토어_5월_DailyReport_20060515_GS이스토어_6월_DailyReport_20060602_GS이스토어_6월_DailyReport_20060601_GS이스토어_8월온라인캠페인_DailyReport_양식_GS이스토어_1월온라인캠페인_DailyReport_070117_GS이스토어_3월온라인캠페인_DailyReport_070311" xfId="930"/>
    <cellStyle name="_GS이스토어_5월_DailyReport_20060515_GS이스토어_6월_DailyReport_20060602_GS이스토어_6월_DailyReport_20060601_GS이스토어_8월온라인캠페인_DailyReport_양식_GS이스토어_1월온라인캠페인_DailyReport_070117_쉬트추가" xfId="928"/>
    <cellStyle name="_GS이스토어_5월_DailyReport_20060515_GS이스토어_6월_DailyReport_20060602_GS이스토어_6월_DailyReport_20060601_GS이스토어_8월온라인캠페인_DailyReport_양식_GS이스토어_1월온라인캠페인_DailyReport_070117_쉬트추가_GS이스토어_3월온라인캠페인_DailyReport_070311" xfId="929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" xfId="931"/>
    <cellStyle name="_GS이스토어_5월_DailyReport_20060515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932"/>
    <cellStyle name="_GS이스토어_5월_DailyReport_20060515_GS이스토어_6월_DailyReport_20060602_GS이스토어_6월_DailyReport_20060601_GS이스토어_8월온라인캠페인_DailyReport_양식_GS이스토어_2월온라인캠페인_DailyReport_070204" xfId="933"/>
    <cellStyle name="_GS이스토어_5월_DailyReport_20060515_GS이스토어_6월_DailyReport_20060602_GS이스토어_6월_DailyReport_20060601_GS이스토어_8월온라인캠페인_DailyReport_양식_GS이스토어_2월온라인캠페인_DailyReport_070204_GS이스토어_3월온라인캠페인_DailyReport_070311" xfId="934"/>
    <cellStyle name="_GS이스토어_5월_DailyReport_20060515_GS이스토어_6월_DailyReport_20060602_GS이스토어_7월_DailyReport_원본" xfId="935"/>
    <cellStyle name="_GS이스토어_5월_DailyReport_20060515_GS이스토어_6월_DailyReport_20060602_GS이스토어_7월_DailyReport_원본_GS이스토어_10월온라인캠페인_DailyReport_1030" xfId="936"/>
    <cellStyle name="_GS이스토어_5월_DailyReport_20060515_GS이스토어_6월_DailyReport_20060602_GS이스토어_7월_DailyReport_원본_GS이스토어_10월온라인캠페인_DailyReport_1030_GS이스토어_12월온라인캠페인_DailyReport" xfId="937"/>
    <cellStyle name="_GS이스토어_5월_DailyReport_20060515_GS이스토어_6월_DailyReport_20060602_GS이스토어_7월_DailyReport_원본_GS이스토어_10월온라인캠페인_DailyReport_1030_GS이스토어_12월온라인캠페인_DailyReport_GS이스토어_3월온라인캠페인_DailyReport_070311" xfId="938"/>
    <cellStyle name="_GS이스토어_5월_DailyReport_20060515_GS이스토어_6월_DailyReport_20060602_GS이스토어_7월_DailyReport_원본_GS이스토어_10월온라인캠페인_DailyReport_1030_GS이스토어_1월온라인캠페인_DailyReport_070102" xfId="939"/>
    <cellStyle name="_GS이스토어_5월_DailyReport_20060515_GS이스토어_6월_DailyReport_20060602_GS이스토어_7월_DailyReport_원본_GS이스토어_10월온라인캠페인_DailyReport_1030_GS이스토어_1월온라인캠페인_DailyReport_070102_GS이스토어_3월온라인캠페인_DailyReport_070311" xfId="940"/>
    <cellStyle name="_GS이스토어_5월_DailyReport_20060515_GS이스토어_6월_DailyReport_20060602_GS이스토어_7월_DailyReport_원본_GS이스토어_10월온라인캠페인_DailyReport_1030_GS이스토어_1월온라인캠페인_DailyReport_070117" xfId="941"/>
    <cellStyle name="_GS이스토어_5월_DailyReport_20060515_GS이스토어_6월_DailyReport_20060602_GS이스토어_7월_DailyReport_원본_GS이스토어_10월온라인캠페인_DailyReport_1030_GS이스토어_1월온라인캠페인_DailyReport_070117_GS이스토어_3월온라인캠페인_DailyReport_070311" xfId="944"/>
    <cellStyle name="_GS이스토어_5월_DailyReport_20060515_GS이스토어_6월_DailyReport_20060602_GS이스토어_7월_DailyReport_원본_GS이스토어_10월온라인캠페인_DailyReport_1030_GS이스토어_1월온라인캠페인_DailyReport_070117_쉬트추가" xfId="942"/>
    <cellStyle name="_GS이스토어_5월_DailyReport_20060515_GS이스토어_6월_DailyReport_20060602_GS이스토어_7월_DailyReport_원본_GS이스토어_10월온라인캠페인_DailyReport_1030_GS이스토어_1월온라인캠페인_DailyReport_070117_쉬트추가_GS이스토어_3월온라인캠페인_DailyReport_070311" xfId="943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" xfId="945"/>
    <cellStyle name="_GS이스토어_5월_DailyReport_20060515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946"/>
    <cellStyle name="_GS이스토어_5월_DailyReport_20060515_GS이스토어_6월_DailyReport_20060602_GS이스토어_7월_DailyReport_원본_GS이스토어_10월온라인캠페인_DailyReport_1030_GS이스토어_2월온라인캠페인_DailyReport_070204" xfId="947"/>
    <cellStyle name="_GS이스토어_5월_DailyReport_20060515_GS이스토어_6월_DailyReport_20060602_GS이스토어_7월_DailyReport_원본_GS이스토어_10월온라인캠페인_DailyReport_1030_GS이스토어_2월온라인캠페인_DailyReport_070204_GS이스토어_3월온라인캠페인_DailyReport_070311" xfId="948"/>
    <cellStyle name="_GS이스토어_5월_DailyReport_20060515_GS이스토어_6월_DailyReport_20060602_GS이스토어_7월_DailyReport_원본_GS이스토어_3월온라인캠페인_DailyReport_070311" xfId="949"/>
    <cellStyle name="_GS이스토어_5월_DailyReport_20060515_GS이스토어_6월_DailyReport_20060602_GS이스토어_7월_DailyReport_원본_GS이스토어_8월온라인캠페인_DailyReport_양식" xfId="950"/>
    <cellStyle name="_GS이스토어_5월_DailyReport_20060515_GS이스토어_6월_DailyReport_20060602_GS이스토어_7월_DailyReport_원본_GS이스토어_8월온라인캠페인_DailyReport_양식_GS이스토어_12월온라인캠페인_DailyReport" xfId="951"/>
    <cellStyle name="_GS이스토어_5월_DailyReport_20060515_GS이스토어_6월_DailyReport_20060602_GS이스토어_7월_DailyReport_원본_GS이스토어_8월온라인캠페인_DailyReport_양식_GS이스토어_12월온라인캠페인_DailyReport_GS이스토어_3월온라인캠페인_DailyReport_070311" xfId="952"/>
    <cellStyle name="_GS이스토어_5월_DailyReport_20060515_GS이스토어_6월_DailyReport_20060602_GS이스토어_7월_DailyReport_원본_GS이스토어_8월온라인캠페인_DailyReport_양식_GS이스토어_1월온라인캠페인_DailyReport_070102" xfId="953"/>
    <cellStyle name="_GS이스토어_5월_DailyReport_20060515_GS이스토어_6월_DailyReport_20060602_GS이스토어_7월_DailyReport_원본_GS이스토어_8월온라인캠페인_DailyReport_양식_GS이스토어_1월온라인캠페인_DailyReport_070102_GS이스토어_3월온라인캠페인_DailyReport_070311" xfId="954"/>
    <cellStyle name="_GS이스토어_5월_DailyReport_20060515_GS이스토어_6월_DailyReport_20060602_GS이스토어_7월_DailyReport_원본_GS이스토어_8월온라인캠페인_DailyReport_양식_GS이스토어_1월온라인캠페인_DailyReport_070117" xfId="955"/>
    <cellStyle name="_GS이스토어_5월_DailyReport_20060515_GS이스토어_6월_DailyReport_20060602_GS이스토어_7월_DailyReport_원본_GS이스토어_8월온라인캠페인_DailyReport_양식_GS이스토어_1월온라인캠페인_DailyReport_070117_GS이스토어_3월온라인캠페인_DailyReport_070311" xfId="958"/>
    <cellStyle name="_GS이스토어_5월_DailyReport_20060515_GS이스토어_6월_DailyReport_20060602_GS이스토어_7월_DailyReport_원본_GS이스토어_8월온라인캠페인_DailyReport_양식_GS이스토어_1월온라인캠페인_DailyReport_070117_쉬트추가" xfId="956"/>
    <cellStyle name="_GS이스토어_5월_DailyReport_20060515_GS이스토어_6월_DailyReport_20060602_GS이스토어_7월_DailyReport_원본_GS이스토어_8월온라인캠페인_DailyReport_양식_GS이스토어_1월온라인캠페인_DailyReport_070117_쉬트추가_GS이스토어_3월온라인캠페인_DailyReport_070311" xfId="957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" xfId="959"/>
    <cellStyle name="_GS이스토어_5월_DailyReport_20060515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960"/>
    <cellStyle name="_GS이스토어_5월_DailyReport_20060515_GS이스토어_6월_DailyReport_20060602_GS이스토어_7월_DailyReport_원본_GS이스토어_8월온라인캠페인_DailyReport_양식_GS이스토어_2월온라인캠페인_DailyReport_070204" xfId="961"/>
    <cellStyle name="_GS이스토어_5월_DailyReport_20060515_GS이스토어_6월_DailyReport_20060602_GS이스토어_7월_DailyReport_원본_GS이스토어_8월온라인캠페인_DailyReport_양식_GS이스토어_2월온라인캠페인_DailyReport_070204_GS이스토어_3월온라인캠페인_DailyReport_070311" xfId="962"/>
    <cellStyle name="_GS이스토어_5월_DailyReport_20060515_GS이스토어_6월_DailyReport_20060602_쭈_GS이스토어_6월_DailyReport_20060601" xfId="839"/>
    <cellStyle name="_GS이스토어_5월_DailyReport_20060515_GS이스토어_6월_DailyReport_20060602_쭈_GS이스토어_6월_DailyReport_20060601_GS이스토어_10월온라인캠페인_DailyReport_1030" xfId="840"/>
    <cellStyle name="_GS이스토어_5월_DailyReport_20060515_GS이스토어_6월_DailyReport_20060602_쭈_GS이스토어_6월_DailyReport_20060601_GS이스토어_10월온라인캠페인_DailyReport_1030_GS이스토어_12월온라인캠페인_DailyReport" xfId="841"/>
    <cellStyle name="_GS이스토어_5월_DailyReport_20060515_GS이스토어_6월_DailyReport_20060602_쭈_GS이스토어_6월_DailyReport_20060601_GS이스토어_10월온라인캠페인_DailyReport_1030_GS이스토어_12월온라인캠페인_DailyReport_GS이스토어_3월온라인캠페인_DailyReport_070311" xfId="842"/>
    <cellStyle name="_GS이스토어_5월_DailyReport_20060515_GS이스토어_6월_DailyReport_20060602_쭈_GS이스토어_6월_DailyReport_20060601_GS이스토어_10월온라인캠페인_DailyReport_1030_GS이스토어_1월온라인캠페인_DailyReport_070102" xfId="843"/>
    <cellStyle name="_GS이스토어_5월_DailyReport_20060515_GS이스토어_6월_DailyReport_20060602_쭈_GS이스토어_6월_DailyReport_20060601_GS이스토어_10월온라인캠페인_DailyReport_1030_GS이스토어_1월온라인캠페인_DailyReport_070102_GS이스토어_3월온라인캠페인_DailyReport_070311" xfId="844"/>
    <cellStyle name="_GS이스토어_5월_DailyReport_20060515_GS이스토어_6월_DailyReport_20060602_쭈_GS이스토어_6월_DailyReport_20060601_GS이스토어_10월온라인캠페인_DailyReport_1030_GS이스토어_1월온라인캠페인_DailyReport_070117" xfId="845"/>
    <cellStyle name="_GS이스토어_5월_DailyReport_20060515_GS이스토어_6월_DailyReport_20060602_쭈_GS이스토어_6월_DailyReport_20060601_GS이스토어_10월온라인캠페인_DailyReport_1030_GS이스토어_1월온라인캠페인_DailyReport_070117_GS이스토어_3월온라인캠페인_DailyReport_070311" xfId="848"/>
    <cellStyle name="_GS이스토어_5월_DailyReport_20060515_GS이스토어_6월_DailyReport_20060602_쭈_GS이스토어_6월_DailyReport_20060601_GS이스토어_10월온라인캠페인_DailyReport_1030_GS이스토어_1월온라인캠페인_DailyReport_070117_쉬트추가" xfId="846"/>
    <cellStyle name="_GS이스토어_5월_DailyReport_20060515_GS이스토어_6월_DailyReport_20060602_쭈_GS이스토어_6월_DailyReport_20060601_GS이스토어_10월온라인캠페인_DailyReport_1030_GS이스토어_1월온라인캠페인_DailyReport_070117_쉬트추가_GS이스토어_3월온라인캠페인_DailyReport_070311" xfId="847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" xfId="849"/>
    <cellStyle name="_GS이스토어_5월_DailyReport_20060515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850"/>
    <cellStyle name="_GS이스토어_5월_DailyReport_20060515_GS이스토어_6월_DailyReport_20060602_쭈_GS이스토어_6월_DailyReport_20060601_GS이스토어_10월온라인캠페인_DailyReport_1030_GS이스토어_2월온라인캠페인_DailyReport_070204" xfId="851"/>
    <cellStyle name="_GS이스토어_5월_DailyReport_20060515_GS이스토어_6월_DailyReport_20060602_쭈_GS이스토어_6월_DailyReport_20060601_GS이스토어_10월온라인캠페인_DailyReport_1030_GS이스토어_2월온라인캠페인_DailyReport_070204_GS이스토어_3월온라인캠페인_DailyReport_070311" xfId="852"/>
    <cellStyle name="_GS이스토어_5월_DailyReport_20060515_GS이스토어_6월_DailyReport_20060602_쭈_GS이스토어_6월_DailyReport_20060601_GS이스토어_3월온라인캠페인_DailyReport_070311" xfId="853"/>
    <cellStyle name="_GS이스토어_5월_DailyReport_20060515_GS이스토어_6월_DailyReport_20060602_쭈_GS이스토어_6월_DailyReport_20060601_GS이스토어_8월온라인캠페인_DailyReport_양식" xfId="854"/>
    <cellStyle name="_GS이스토어_5월_DailyReport_20060515_GS이스토어_6월_DailyReport_20060602_쭈_GS이스토어_6월_DailyReport_20060601_GS이스토어_8월온라인캠페인_DailyReport_양식_GS이스토어_12월온라인캠페인_DailyReport" xfId="855"/>
    <cellStyle name="_GS이스토어_5월_DailyReport_20060515_GS이스토어_6월_DailyReport_20060602_쭈_GS이스토어_6월_DailyReport_20060601_GS이스토어_8월온라인캠페인_DailyReport_양식_GS이스토어_12월온라인캠페인_DailyReport_GS이스토어_3월온라인캠페인_DailyReport_070311" xfId="856"/>
    <cellStyle name="_GS이스토어_5월_DailyReport_20060515_GS이스토어_6월_DailyReport_20060602_쭈_GS이스토어_6월_DailyReport_20060601_GS이스토어_8월온라인캠페인_DailyReport_양식_GS이스토어_1월온라인캠페인_DailyReport_070102" xfId="857"/>
    <cellStyle name="_GS이스토어_5월_DailyReport_20060515_GS이스토어_6월_DailyReport_20060602_쭈_GS이스토어_6월_DailyReport_20060601_GS이스토어_8월온라인캠페인_DailyReport_양식_GS이스토어_1월온라인캠페인_DailyReport_070102_GS이스토어_3월온라인캠페인_DailyReport_070311" xfId="858"/>
    <cellStyle name="_GS이스토어_5월_DailyReport_20060515_GS이스토어_6월_DailyReport_20060602_쭈_GS이스토어_6월_DailyReport_20060601_GS이스토어_8월온라인캠페인_DailyReport_양식_GS이스토어_1월온라인캠페인_DailyReport_070117" xfId="859"/>
    <cellStyle name="_GS이스토어_5월_DailyReport_20060515_GS이스토어_6월_DailyReport_20060602_쭈_GS이스토어_6월_DailyReport_20060601_GS이스토어_8월온라인캠페인_DailyReport_양식_GS이스토어_1월온라인캠페인_DailyReport_070117_GS이스토어_3월온라인캠페인_DailyReport_070311" xfId="862"/>
    <cellStyle name="_GS이스토어_5월_DailyReport_20060515_GS이스토어_6월_DailyReport_20060602_쭈_GS이스토어_6월_DailyReport_20060601_GS이스토어_8월온라인캠페인_DailyReport_양식_GS이스토어_1월온라인캠페인_DailyReport_070117_쉬트추가" xfId="860"/>
    <cellStyle name="_GS이스토어_5월_DailyReport_20060515_GS이스토어_6월_DailyReport_20060602_쭈_GS이스토어_6월_DailyReport_20060601_GS이스토어_8월온라인캠페인_DailyReport_양식_GS이스토어_1월온라인캠페인_DailyReport_070117_쉬트추가_GS이스토어_3월온라인캠페인_DailyReport_070311" xfId="861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" xfId="863"/>
    <cellStyle name="_GS이스토어_5월_DailyReport_20060515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864"/>
    <cellStyle name="_GS이스토어_5월_DailyReport_20060515_GS이스토어_6월_DailyReport_20060602_쭈_GS이스토어_6월_DailyReport_20060601_GS이스토어_8월온라인캠페인_DailyReport_양식_GS이스토어_2월온라인캠페인_DailyReport_070204" xfId="865"/>
    <cellStyle name="_GS이스토어_5월_DailyReport_20060515_GS이스토어_6월_DailyReport_20060602_쭈_GS이스토어_6월_DailyReport_20060601_GS이스토어_8월온라인캠페인_DailyReport_양식_GS이스토어_2월온라인캠페인_DailyReport_070204_GS이스토어_3월온라인캠페인_DailyReport_070311" xfId="866"/>
    <cellStyle name="_GS이스토어_5월_DailyReport_20060515_GS이스토어_8월온라인캠페인_DailyReport_양식" xfId="963"/>
    <cellStyle name="_GS이스토어_5월_DailyReport_20060515_GS이스토어_8월온라인캠페인_DailyReport_양식_GS이스토어_12월온라인캠페인_DailyReport" xfId="964"/>
    <cellStyle name="_GS이스토어_5월_DailyReport_20060515_GS이스토어_8월온라인캠페인_DailyReport_양식_GS이스토어_12월온라인캠페인_DailyReport_GS이스토어_3월온라인캠페인_DailyReport_070311" xfId="965"/>
    <cellStyle name="_GS이스토어_5월_DailyReport_20060515_GS이스토어_8월온라인캠페인_DailyReport_양식_GS이스토어_1월온라인캠페인_DailyReport_070102" xfId="966"/>
    <cellStyle name="_GS이스토어_5월_DailyReport_20060515_GS이스토어_8월온라인캠페인_DailyReport_양식_GS이스토어_1월온라인캠페인_DailyReport_070102_GS이스토어_3월온라인캠페인_DailyReport_070311" xfId="967"/>
    <cellStyle name="_GS이스토어_5월_DailyReport_20060515_GS이스토어_8월온라인캠페인_DailyReport_양식_GS이스토어_1월온라인캠페인_DailyReport_070117" xfId="968"/>
    <cellStyle name="_GS이스토어_5월_DailyReport_20060515_GS이스토어_8월온라인캠페인_DailyReport_양식_GS이스토어_1월온라인캠페인_DailyReport_070117_GS이스토어_3월온라인캠페인_DailyReport_070311" xfId="971"/>
    <cellStyle name="_GS이스토어_5월_DailyReport_20060515_GS이스토어_8월온라인캠페인_DailyReport_양식_GS이스토어_1월온라인캠페인_DailyReport_070117_쉬트추가" xfId="969"/>
    <cellStyle name="_GS이스토어_5월_DailyReport_20060515_GS이스토어_8월온라인캠페인_DailyReport_양식_GS이스토어_1월온라인캠페인_DailyReport_070117_쉬트추가_GS이스토어_3월온라인캠페인_DailyReport_070311" xfId="970"/>
    <cellStyle name="_GS이스토어_5월_DailyReport_20060515_GS이스토어_8월온라인캠페인_DailyReport_양식_GS이스토어_1월온라인캠페인_DailyReport_070121_소재별쉬트수정본" xfId="972"/>
    <cellStyle name="_GS이스토어_5월_DailyReport_20060515_GS이스토어_8월온라인캠페인_DailyReport_양식_GS이스토어_1월온라인캠페인_DailyReport_070121_소재별쉬트수정본_GS이스토어_3월온라인캠페인_DailyReport_070311" xfId="973"/>
    <cellStyle name="_GS이스토어_5월_DailyReport_20060515_GS이스토어_8월온라인캠페인_DailyReport_양식_GS이스토어_2월온라인캠페인_DailyReport_070204" xfId="974"/>
    <cellStyle name="_GS이스토어_5월_DailyReport_20060515_GS이스토어_8월온라인캠페인_DailyReport_양식_GS이스토어_2월온라인캠페인_DailyReport_070204_GS이스토어_3월온라인캠페인_DailyReport_070311" xfId="975"/>
    <cellStyle name="_GS이스토어_6월(DM)_DailyReport_20060601" xfId="976"/>
    <cellStyle name="_GS이스토어_6월(DM)_DailyReport_20060601_GS이스토어_10월온라인캠페인_DailyReport_1030" xfId="977"/>
    <cellStyle name="_GS이스토어_6월(DM)_DailyReport_20060601_GS이스토어_10월온라인캠페인_DailyReport_1030_GS이스토어_12월온라인캠페인_DailyReport" xfId="978"/>
    <cellStyle name="_GS이스토어_6월(DM)_DailyReport_20060601_GS이스토어_10월온라인캠페인_DailyReport_1030_GS이스토어_12월온라인캠페인_DailyReport_GS이스토어_3월온라인캠페인_DailyReport_070311" xfId="979"/>
    <cellStyle name="_GS이스토어_6월(DM)_DailyReport_20060601_GS이스토어_10월온라인캠페인_DailyReport_1030_GS이스토어_1월온라인캠페인_DailyReport_070102" xfId="980"/>
    <cellStyle name="_GS이스토어_6월(DM)_DailyReport_20060601_GS이스토어_10월온라인캠페인_DailyReport_1030_GS이스토어_1월온라인캠페인_DailyReport_070102_GS이스토어_3월온라인캠페인_DailyReport_070311" xfId="981"/>
    <cellStyle name="_GS이스토어_6월(DM)_DailyReport_20060601_GS이스토어_10월온라인캠페인_DailyReport_1030_GS이스토어_1월온라인캠페인_DailyReport_070117" xfId="982"/>
    <cellStyle name="_GS이스토어_6월(DM)_DailyReport_20060601_GS이스토어_10월온라인캠페인_DailyReport_1030_GS이스토어_1월온라인캠페인_DailyReport_070117_GS이스토어_3월온라인캠페인_DailyReport_070311" xfId="985"/>
    <cellStyle name="_GS이스토어_6월(DM)_DailyReport_20060601_GS이스토어_10월온라인캠페인_DailyReport_1030_GS이스토어_1월온라인캠페인_DailyReport_070117_쉬트추가" xfId="983"/>
    <cellStyle name="_GS이스토어_6월(DM)_DailyReport_20060601_GS이스토어_10월온라인캠페인_DailyReport_1030_GS이스토어_1월온라인캠페인_DailyReport_070117_쉬트추가_GS이스토어_3월온라인캠페인_DailyReport_070311" xfId="984"/>
    <cellStyle name="_GS이스토어_6월(DM)_DailyReport_20060601_GS이스토어_10월온라인캠페인_DailyReport_1030_GS이스토어_1월온라인캠페인_DailyReport_070121_소재별쉬트수정본" xfId="986"/>
    <cellStyle name="_GS이스토어_6월(DM)_DailyReport_20060601_GS이스토어_10월온라인캠페인_DailyReport_1030_GS이스토어_1월온라인캠페인_DailyReport_070121_소재별쉬트수정본_GS이스토어_3월온라인캠페인_DailyReport_070311" xfId="987"/>
    <cellStyle name="_GS이스토어_6월(DM)_DailyReport_20060601_GS이스토어_10월온라인캠페인_DailyReport_1030_GS이스토어_2월온라인캠페인_DailyReport_070204" xfId="988"/>
    <cellStyle name="_GS이스토어_6월(DM)_DailyReport_20060601_GS이스토어_10월온라인캠페인_DailyReport_1030_GS이스토어_2월온라인캠페인_DailyReport_070204_GS이스토어_3월온라인캠페인_DailyReport_070311" xfId="989"/>
    <cellStyle name="_GS이스토어_6월(DM)_DailyReport_20060601_GS이스토어_3월온라인캠페인_DailyReport_070311" xfId="990"/>
    <cellStyle name="_GS이스토어_6월(DM)_DailyReport_20060601_GS이스토어_8월온라인캠페인_DailyReport_양식" xfId="991"/>
    <cellStyle name="_GS이스토어_6월(DM)_DailyReport_20060601_GS이스토어_8월온라인캠페인_DailyReport_양식_GS이스토어_12월온라인캠페인_DailyReport" xfId="992"/>
    <cellStyle name="_GS이스토어_6월(DM)_DailyReport_20060601_GS이스토어_8월온라인캠페인_DailyReport_양식_GS이스토어_12월온라인캠페인_DailyReport_GS이스토어_3월온라인캠페인_DailyReport_070311" xfId="993"/>
    <cellStyle name="_GS이스토어_6월(DM)_DailyReport_20060601_GS이스토어_8월온라인캠페인_DailyReport_양식_GS이스토어_1월온라인캠페인_DailyReport_070102" xfId="994"/>
    <cellStyle name="_GS이스토어_6월(DM)_DailyReport_20060601_GS이스토어_8월온라인캠페인_DailyReport_양식_GS이스토어_1월온라인캠페인_DailyReport_070102_GS이스토어_3월온라인캠페인_DailyReport_070311" xfId="995"/>
    <cellStyle name="_GS이스토어_6월(DM)_DailyReport_20060601_GS이스토어_8월온라인캠페인_DailyReport_양식_GS이스토어_1월온라인캠페인_DailyReport_070117" xfId="996"/>
    <cellStyle name="_GS이스토어_6월(DM)_DailyReport_20060601_GS이스토어_8월온라인캠페인_DailyReport_양식_GS이스토어_1월온라인캠페인_DailyReport_070117_GS이스토어_3월온라인캠페인_DailyReport_070311" xfId="999"/>
    <cellStyle name="_GS이스토어_6월(DM)_DailyReport_20060601_GS이스토어_8월온라인캠페인_DailyReport_양식_GS이스토어_1월온라인캠페인_DailyReport_070117_쉬트추가" xfId="997"/>
    <cellStyle name="_GS이스토어_6월(DM)_DailyReport_20060601_GS이스토어_8월온라인캠페인_DailyReport_양식_GS이스토어_1월온라인캠페인_DailyReport_070117_쉬트추가_GS이스토어_3월온라인캠페인_DailyReport_070311" xfId="998"/>
    <cellStyle name="_GS이스토어_6월(DM)_DailyReport_20060601_GS이스토어_8월온라인캠페인_DailyReport_양식_GS이스토어_1월온라인캠페인_DailyReport_070121_소재별쉬트수정본" xfId="1000"/>
    <cellStyle name="_GS이스토어_6월(DM)_DailyReport_20060601_GS이스토어_8월온라인캠페인_DailyReport_양식_GS이스토어_1월온라인캠페인_DailyReport_070121_소재별쉬트수정본_GS이스토어_3월온라인캠페인_DailyReport_070311" xfId="1001"/>
    <cellStyle name="_GS이스토어_6월(DM)_DailyReport_20060601_GS이스토어_8월온라인캠페인_DailyReport_양식_GS이스토어_2월온라인캠페인_DailyReport_070204" xfId="1002"/>
    <cellStyle name="_GS이스토어_6월(DM)_DailyReport_20060601_GS이스토어_8월온라인캠페인_DailyReport_양식_GS이스토어_2월온라인캠페인_DailyReport_070204_GS이스토어_3월온라인캠페인_DailyReport_070311" xfId="1003"/>
    <cellStyle name="_GS이스토어_6월_DailyReport_20060601" xfId="1004"/>
    <cellStyle name="_GS이스토어_6월_DailyReport_20060601_GS이스토어_10월온라인캠페인_DailyReport_1030" xfId="1005"/>
    <cellStyle name="_GS이스토어_6월_DailyReport_20060601_GS이스토어_10월온라인캠페인_DailyReport_1030_GS이스토어_12월온라인캠페인_DailyReport" xfId="1006"/>
    <cellStyle name="_GS이스토어_6월_DailyReport_20060601_GS이스토어_10월온라인캠페인_DailyReport_1030_GS이스토어_12월온라인캠페인_DailyReport_GS이스토어_3월온라인캠페인_DailyReport_070311" xfId="1007"/>
    <cellStyle name="_GS이스토어_6월_DailyReport_20060601_GS이스토어_10월온라인캠페인_DailyReport_1030_GS이스토어_1월온라인캠페인_DailyReport_070102" xfId="1008"/>
    <cellStyle name="_GS이스토어_6월_DailyReport_20060601_GS이스토어_10월온라인캠페인_DailyReport_1030_GS이스토어_1월온라인캠페인_DailyReport_070102_GS이스토어_3월온라인캠페인_DailyReport_070311" xfId="1009"/>
    <cellStyle name="_GS이스토어_6월_DailyReport_20060601_GS이스토어_10월온라인캠페인_DailyReport_1030_GS이스토어_1월온라인캠페인_DailyReport_070117" xfId="1010"/>
    <cellStyle name="_GS이스토어_6월_DailyReport_20060601_GS이스토어_10월온라인캠페인_DailyReport_1030_GS이스토어_1월온라인캠페인_DailyReport_070117_GS이스토어_3월온라인캠페인_DailyReport_070311" xfId="1013"/>
    <cellStyle name="_GS이스토어_6월_DailyReport_20060601_GS이스토어_10월온라인캠페인_DailyReport_1030_GS이스토어_1월온라인캠페인_DailyReport_070117_쉬트추가" xfId="1011"/>
    <cellStyle name="_GS이스토어_6월_DailyReport_20060601_GS이스토어_10월온라인캠페인_DailyReport_1030_GS이스토어_1월온라인캠페인_DailyReport_070117_쉬트추가_GS이스토어_3월온라인캠페인_DailyReport_070311" xfId="1012"/>
    <cellStyle name="_GS이스토어_6월_DailyReport_20060601_GS이스토어_10월온라인캠페인_DailyReport_1030_GS이스토어_1월온라인캠페인_DailyReport_070121_소재별쉬트수정본" xfId="1014"/>
    <cellStyle name="_GS이스토어_6월_DailyReport_20060601_GS이스토어_10월온라인캠페인_DailyReport_1030_GS이스토어_1월온라인캠페인_DailyReport_070121_소재별쉬트수정본_GS이스토어_3월온라인캠페인_DailyReport_070311" xfId="1015"/>
    <cellStyle name="_GS이스토어_6월_DailyReport_20060601_GS이스토어_10월온라인캠페인_DailyReport_1030_GS이스토어_2월온라인캠페인_DailyReport_070204" xfId="1016"/>
    <cellStyle name="_GS이스토어_6월_DailyReport_20060601_GS이스토어_10월온라인캠페인_DailyReport_1030_GS이스토어_2월온라인캠페인_DailyReport_070204_GS이스토어_3월온라인캠페인_DailyReport_070311" xfId="1017"/>
    <cellStyle name="_GS이스토어_6월_DailyReport_20060601_GS이스토어_3월온라인캠페인_DailyReport_070311" xfId="1018"/>
    <cellStyle name="_GS이스토어_6월_DailyReport_20060601_GS이스토어_8월온라인캠페인_DailyReport_양식" xfId="1019"/>
    <cellStyle name="_GS이스토어_6월_DailyReport_20060601_GS이스토어_8월온라인캠페인_DailyReport_양식_GS이스토어_12월온라인캠페인_DailyReport" xfId="1020"/>
    <cellStyle name="_GS이스토어_6월_DailyReport_20060601_GS이스토어_8월온라인캠페인_DailyReport_양식_GS이스토어_12월온라인캠페인_DailyReport_GS이스토어_3월온라인캠페인_DailyReport_070311" xfId="1021"/>
    <cellStyle name="_GS이스토어_6월_DailyReport_20060601_GS이스토어_8월온라인캠페인_DailyReport_양식_GS이스토어_1월온라인캠페인_DailyReport_070102" xfId="1022"/>
    <cellStyle name="_GS이스토어_6월_DailyReport_20060601_GS이스토어_8월온라인캠페인_DailyReport_양식_GS이스토어_1월온라인캠페인_DailyReport_070102_GS이스토어_3월온라인캠페인_DailyReport_070311" xfId="1023"/>
    <cellStyle name="_GS이스토어_6월_DailyReport_20060601_GS이스토어_8월온라인캠페인_DailyReport_양식_GS이스토어_1월온라인캠페인_DailyReport_070117" xfId="1024"/>
    <cellStyle name="_GS이스토어_6월_DailyReport_20060601_GS이스토어_8월온라인캠페인_DailyReport_양식_GS이스토어_1월온라인캠페인_DailyReport_070117_GS이스토어_3월온라인캠페인_DailyReport_070311" xfId="1027"/>
    <cellStyle name="_GS이스토어_6월_DailyReport_20060601_GS이스토어_8월온라인캠페인_DailyReport_양식_GS이스토어_1월온라인캠페인_DailyReport_070117_쉬트추가" xfId="1025"/>
    <cellStyle name="_GS이스토어_6월_DailyReport_20060601_GS이스토어_8월온라인캠페인_DailyReport_양식_GS이스토어_1월온라인캠페인_DailyReport_070117_쉬트추가_GS이스토어_3월온라인캠페인_DailyReport_070311" xfId="1026"/>
    <cellStyle name="_GS이스토어_6월_DailyReport_20060601_GS이스토어_8월온라인캠페인_DailyReport_양식_GS이스토어_1월온라인캠페인_DailyReport_070121_소재별쉬트수정본" xfId="1028"/>
    <cellStyle name="_GS이스토어_6월_DailyReport_20060601_GS이스토어_8월온라인캠페인_DailyReport_양식_GS이스토어_1월온라인캠페인_DailyReport_070121_소재별쉬트수정본_GS이스토어_3월온라인캠페인_DailyReport_070311" xfId="1029"/>
    <cellStyle name="_GS이스토어_6월_DailyReport_20060601_GS이스토어_8월온라인캠페인_DailyReport_양식_GS이스토어_2월온라인캠페인_DailyReport_070204" xfId="1030"/>
    <cellStyle name="_GS이스토어_6월_DailyReport_20060601_GS이스토어_8월온라인캠페인_DailyReport_양식_GS이스토어_2월온라인캠페인_DailyReport_070204_GS이스토어_3월온라인캠페인_DailyReport_070311" xfId="1031"/>
    <cellStyle name="_GS이스토어_6월_DailyReport_20060602" xfId="1032"/>
    <cellStyle name="_GS이스토어_6월_DailyReport_20060602_GS이스토어_10월온라인캠페인_DailyReport_1030" xfId="1033"/>
    <cellStyle name="_GS이스토어_6월_DailyReport_20060602_GS이스토어_10월온라인캠페인_DailyReport_1030_GS이스토어_12월온라인캠페인_DailyReport" xfId="1034"/>
    <cellStyle name="_GS이스토어_6월_DailyReport_20060602_GS이스토어_10월온라인캠페인_DailyReport_1030_GS이스토어_12월온라인캠페인_DailyReport_GS이스토어_3월온라인캠페인_DailyReport_070311" xfId="1035"/>
    <cellStyle name="_GS이스토어_6월_DailyReport_20060602_GS이스토어_10월온라인캠페인_DailyReport_1030_GS이스토어_1월온라인캠페인_DailyReport_070102" xfId="1036"/>
    <cellStyle name="_GS이스토어_6월_DailyReport_20060602_GS이스토어_10월온라인캠페인_DailyReport_1030_GS이스토어_1월온라인캠페인_DailyReport_070102_GS이스토어_3월온라인캠페인_DailyReport_070311" xfId="1037"/>
    <cellStyle name="_GS이스토어_6월_DailyReport_20060602_GS이스토어_10월온라인캠페인_DailyReport_1030_GS이스토어_1월온라인캠페인_DailyReport_070117" xfId="1038"/>
    <cellStyle name="_GS이스토어_6월_DailyReport_20060602_GS이스토어_10월온라인캠페인_DailyReport_1030_GS이스토어_1월온라인캠페인_DailyReport_070117_GS이스토어_3월온라인캠페인_DailyReport_070311" xfId="1041"/>
    <cellStyle name="_GS이스토어_6월_DailyReport_20060602_GS이스토어_10월온라인캠페인_DailyReport_1030_GS이스토어_1월온라인캠페인_DailyReport_070117_쉬트추가" xfId="1039"/>
    <cellStyle name="_GS이스토어_6월_DailyReport_20060602_GS이스토어_10월온라인캠페인_DailyReport_1030_GS이스토어_1월온라인캠페인_DailyReport_070117_쉬트추가_GS이스토어_3월온라인캠페인_DailyReport_070311" xfId="1040"/>
    <cellStyle name="_GS이스토어_6월_DailyReport_20060602_GS이스토어_10월온라인캠페인_DailyReport_1030_GS이스토어_1월온라인캠페인_DailyReport_070121_소재별쉬트수정본" xfId="1042"/>
    <cellStyle name="_GS이스토어_6월_DailyReport_20060602_GS이스토어_10월온라인캠페인_DailyReport_1030_GS이스토어_1월온라인캠페인_DailyReport_070121_소재별쉬트수정본_GS이스토어_3월온라인캠페인_DailyReport_070311" xfId="1043"/>
    <cellStyle name="_GS이스토어_6월_DailyReport_20060602_GS이스토어_10월온라인캠페인_DailyReport_1030_GS이스토어_2월온라인캠페인_DailyReport_070204" xfId="1044"/>
    <cellStyle name="_GS이스토어_6월_DailyReport_20060602_GS이스토어_10월온라인캠페인_DailyReport_1030_GS이스토어_2월온라인캠페인_DailyReport_070204_GS이스토어_3월온라인캠페인_DailyReport_070311" xfId="1045"/>
    <cellStyle name="_GS이스토어_6월_DailyReport_20060602_GS이스토어_3월온라인캠페인_DailyReport_070311" xfId="1046"/>
    <cellStyle name="_GS이스토어_6월_DailyReport_20060602_GS이스토어_6월_DailyReport_20060602" xfId="1047"/>
    <cellStyle name="_GS이스토어_6월_DailyReport_20060602_GS이스토어_6월_DailyReport_20060602_GS이스토어_12월온라인캠페인_DailyReport" xfId="1076"/>
    <cellStyle name="_GS이스토어_6월_DailyReport_20060602_GS이스토어_6월_DailyReport_20060602_GS이스토어_12월온라인캠페인_DailyReport_GS이스토어_3월온라인캠페인_DailyReport_070311" xfId="1077"/>
    <cellStyle name="_GS이스토어_6월_DailyReport_20060602_GS이스토어_6월_DailyReport_20060602_GS이스토어_1월온라인캠페인_DailyReport_070102" xfId="1078"/>
    <cellStyle name="_GS이스토어_6월_DailyReport_20060602_GS이스토어_6월_DailyReport_20060602_GS이스토어_1월온라인캠페인_DailyReport_070102_GS이스토어_3월온라인캠페인_DailyReport_070311" xfId="1079"/>
    <cellStyle name="_GS이스토어_6월_DailyReport_20060602_GS이스토어_6월_DailyReport_20060602_GS이스토어_1월온라인캠페인_DailyReport_070117" xfId="1080"/>
    <cellStyle name="_GS이스토어_6월_DailyReport_20060602_GS이스토어_6월_DailyReport_20060602_GS이스토어_1월온라인캠페인_DailyReport_070117_GS이스토어_3월온라인캠페인_DailyReport_070311" xfId="1083"/>
    <cellStyle name="_GS이스토어_6월_DailyReport_20060602_GS이스토어_6월_DailyReport_20060602_GS이스토어_1월온라인캠페인_DailyReport_070117_쉬트추가" xfId="1081"/>
    <cellStyle name="_GS이스토어_6월_DailyReport_20060602_GS이스토어_6월_DailyReport_20060602_GS이스토어_1월온라인캠페인_DailyReport_070117_쉬트추가_GS이스토어_3월온라인캠페인_DailyReport_070311" xfId="1082"/>
    <cellStyle name="_GS이스토어_6월_DailyReport_20060602_GS이스토어_6월_DailyReport_20060602_GS이스토어_1월온라인캠페인_DailyReport_070121_소재별쉬트수정본" xfId="1084"/>
    <cellStyle name="_GS이스토어_6월_DailyReport_20060602_GS이스토어_6월_DailyReport_20060602_GS이스토어_1월온라인캠페인_DailyReport_070121_소재별쉬트수정본_GS이스토어_3월온라인캠페인_DailyReport_070311" xfId="1085"/>
    <cellStyle name="_GS이스토어_6월_DailyReport_20060602_GS이스토어_6월_DailyReport_20060602_GS이스토어_2월온라인캠페인_DailyReport_070204" xfId="1086"/>
    <cellStyle name="_GS이스토어_6월_DailyReport_20060602_GS이스토어_6월_DailyReport_20060602_GS이스토어_2월온라인캠페인_DailyReport_070204_GS이스토어_3월온라인캠페인_DailyReport_070311" xfId="1087"/>
    <cellStyle name="_GS이스토어_6월_DailyReport_20060602_GS이스토어_6월_DailyReport_20060602_GS이스토어_6월(DM)_DailyReport_20060601" xfId="1088"/>
    <cellStyle name="_GS이스토어_6월_DailyReport_20060602_GS이스토어_6월_DailyReport_20060602_GS이스토어_6월(DM)_DailyReport_20060601_GS이스토어_10월온라인캠페인_DailyReport_1030" xfId="1089"/>
    <cellStyle name="_GS이스토어_6월_DailyReport_20060602_GS이스토어_6월_DailyReport_20060602_GS이스토어_6월(DM)_DailyReport_20060601_GS이스토어_10월온라인캠페인_DailyReport_1030_GS이스토어_12월온라인캠페인_DailyReport" xfId="1090"/>
    <cellStyle name="_GS이스토어_6월_DailyReport_20060602_GS이스토어_6월_DailyReport_20060602_GS이스토어_6월(DM)_DailyReport_20060601_GS이스토어_10월온라인캠페인_DailyReport_1030_GS이스토어_12월온라인캠페인_DailyReport_GS이스토어_3월온라인캠페인_DailyReport_070311" xfId="1091"/>
    <cellStyle name="_GS이스토어_6월_DailyReport_20060602_GS이스토어_6월_DailyReport_20060602_GS이스토어_6월(DM)_DailyReport_20060601_GS이스토어_10월온라인캠페인_DailyReport_1030_GS이스토어_1월온라인캠페인_DailyReport_070102" xfId="1092"/>
    <cellStyle name="_GS이스토어_6월_DailyReport_20060602_GS이스토어_6월_DailyReport_20060602_GS이스토어_6월(DM)_DailyReport_20060601_GS이스토어_10월온라인캠페인_DailyReport_1030_GS이스토어_1월온라인캠페인_DailyReport_070102_GS이스토어_3월온라인캠페인_DailyReport_070311" xfId="1093"/>
    <cellStyle name="_GS이스토어_6월_DailyReport_20060602_GS이스토어_6월_DailyReport_20060602_GS이스토어_6월(DM)_DailyReport_20060601_GS이스토어_10월온라인캠페인_DailyReport_1030_GS이스토어_1월온라인캠페인_DailyReport_070117" xfId="1094"/>
    <cellStyle name="_GS이스토어_6월_DailyReport_20060602_GS이스토어_6월_DailyReport_20060602_GS이스토어_6월(DM)_DailyReport_20060601_GS이스토어_10월온라인캠페인_DailyReport_1030_GS이스토어_1월온라인캠페인_DailyReport_070117_GS이스토어_3월온라인캠페인_DailyReport_070311" xfId="1097"/>
    <cellStyle name="_GS이스토어_6월_DailyReport_20060602_GS이스토어_6월_DailyReport_20060602_GS이스토어_6월(DM)_DailyReport_20060601_GS이스토어_10월온라인캠페인_DailyReport_1030_GS이스토어_1월온라인캠페인_DailyReport_070117_쉬트추가" xfId="1095"/>
    <cellStyle name="_GS이스토어_6월_DailyReport_20060602_GS이스토어_6월_DailyReport_20060602_GS이스토어_6월(DM)_DailyReport_20060601_GS이스토어_10월온라인캠페인_DailyReport_1030_GS이스토어_1월온라인캠페인_DailyReport_070117_쉬트추가_GS이스토어_3월온라인캠페인_DailyReport_070311" xfId="1096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" xfId="1098"/>
    <cellStyle name="_GS이스토어_6월_DailyReport_20060602_GS이스토어_6월_DailyReport_20060602_GS이스토어_6월(DM)_DailyReport_20060601_GS이스토어_10월온라인캠페인_DailyReport_1030_GS이스토어_1월온라인캠페인_DailyReport_070121_소재별쉬트수정본_GS이스토어_3월온라인캠페인_DailyReport_070311" xfId="1099"/>
    <cellStyle name="_GS이스토어_6월_DailyReport_20060602_GS이스토어_6월_DailyReport_20060602_GS이스토어_6월(DM)_DailyReport_20060601_GS이스토어_10월온라인캠페인_DailyReport_1030_GS이스토어_2월온라인캠페인_DailyReport_070204" xfId="1100"/>
    <cellStyle name="_GS이스토어_6월_DailyReport_20060602_GS이스토어_6월_DailyReport_20060602_GS이스토어_6월(DM)_DailyReport_20060601_GS이스토어_10월온라인캠페인_DailyReport_1030_GS이스토어_2월온라인캠페인_DailyReport_070204_GS이스토어_3월온라인캠페인_DailyReport_070311" xfId="1101"/>
    <cellStyle name="_GS이스토어_6월_DailyReport_20060602_GS이스토어_6월_DailyReport_20060602_GS이스토어_6월(DM)_DailyReport_20060601_GS이스토어_3월온라인캠페인_DailyReport_070311" xfId="1102"/>
    <cellStyle name="_GS이스토어_6월_DailyReport_20060602_GS이스토어_6월_DailyReport_20060602_GS이스토어_6월(DM)_DailyReport_20060601_GS이스토어_8월온라인캠페인_DailyReport_양식" xfId="1103"/>
    <cellStyle name="_GS이스토어_6월_DailyReport_20060602_GS이스토어_6월_DailyReport_20060602_GS이스토어_6월(DM)_DailyReport_20060601_GS이스토어_8월온라인캠페인_DailyReport_양식_GS이스토어_12월온라인캠페인_DailyReport" xfId="1104"/>
    <cellStyle name="_GS이스토어_6월_DailyReport_20060602_GS이스토어_6월_DailyReport_20060602_GS이스토어_6월(DM)_DailyReport_20060601_GS이스토어_8월온라인캠페인_DailyReport_양식_GS이스토어_12월온라인캠페인_DailyReport_GS이스토어_3월온라인캠페인_DailyReport_070311" xfId="1105"/>
    <cellStyle name="_GS이스토어_6월_DailyReport_20060602_GS이스토어_6월_DailyReport_20060602_GS이스토어_6월(DM)_DailyReport_20060601_GS이스토어_8월온라인캠페인_DailyReport_양식_GS이스토어_1월온라인캠페인_DailyReport_070102" xfId="1106"/>
    <cellStyle name="_GS이스토어_6월_DailyReport_20060602_GS이스토어_6월_DailyReport_20060602_GS이스토어_6월(DM)_DailyReport_20060601_GS이스토어_8월온라인캠페인_DailyReport_양식_GS이스토어_1월온라인캠페인_DailyReport_070102_GS이스토어_3월온라인캠페인_DailyReport_070311" xfId="1107"/>
    <cellStyle name="_GS이스토어_6월_DailyReport_20060602_GS이스토어_6월_DailyReport_20060602_GS이스토어_6월(DM)_DailyReport_20060601_GS이스토어_8월온라인캠페인_DailyReport_양식_GS이스토어_1월온라인캠페인_DailyReport_070117" xfId="1108"/>
    <cellStyle name="_GS이스토어_6월_DailyReport_20060602_GS이스토어_6월_DailyReport_20060602_GS이스토어_6월(DM)_DailyReport_20060601_GS이스토어_8월온라인캠페인_DailyReport_양식_GS이스토어_1월온라인캠페인_DailyReport_070117_GS이스토어_3월온라인캠페인_DailyReport_070311" xfId="1111"/>
    <cellStyle name="_GS이스토어_6월_DailyReport_20060602_GS이스토어_6월_DailyReport_20060602_GS이스토어_6월(DM)_DailyReport_20060601_GS이스토어_8월온라인캠페인_DailyReport_양식_GS이스토어_1월온라인캠페인_DailyReport_070117_쉬트추가" xfId="1109"/>
    <cellStyle name="_GS이스토어_6월_DailyReport_20060602_GS이스토어_6월_DailyReport_20060602_GS이스토어_6월(DM)_DailyReport_20060601_GS이스토어_8월온라인캠페인_DailyReport_양식_GS이스토어_1월온라인캠페인_DailyReport_070117_쉬트추가_GS이스토어_3월온라인캠페인_DailyReport_070311" xfId="1110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" xfId="1112"/>
    <cellStyle name="_GS이스토어_6월_DailyReport_20060602_GS이스토어_6월_DailyReport_20060602_GS이스토어_6월(DM)_DailyReport_20060601_GS이스토어_8월온라인캠페인_DailyReport_양식_GS이스토어_1월온라인캠페인_DailyReport_070121_소재별쉬트수정본_GS이스토어_3월온라인캠페인_DailyReport_070311" xfId="1113"/>
    <cellStyle name="_GS이스토어_6월_DailyReport_20060602_GS이스토어_6월_DailyReport_20060602_GS이스토어_6월(DM)_DailyReport_20060601_GS이스토어_8월온라인캠페인_DailyReport_양식_GS이스토어_2월온라인캠페인_DailyReport_070204" xfId="1114"/>
    <cellStyle name="_GS이스토어_6월_DailyReport_20060602_GS이스토어_6월_DailyReport_20060602_GS이스토어_6월(DM)_DailyReport_20060601_GS이스토어_8월온라인캠페인_DailyReport_양식_GS이스토어_2월온라인캠페인_DailyReport_070204_GS이스토어_3월온라인캠페인_DailyReport_070311" xfId="1115"/>
    <cellStyle name="_GS이스토어_6월_DailyReport_20060602_GS이스토어_6월_DailyReport_20060602_GS이스토어_6월_DailyReport_20060601" xfId="1116"/>
    <cellStyle name="_GS이스토어_6월_DailyReport_20060602_GS이스토어_6월_DailyReport_20060602_GS이스토어_6월_DailyReport_20060601_GS이스토어_10월온라인캠페인_DailyReport_1030" xfId="1117"/>
    <cellStyle name="_GS이스토어_6월_DailyReport_20060602_GS이스토어_6월_DailyReport_20060602_GS이스토어_6월_DailyReport_20060601_GS이스토어_10월온라인캠페인_DailyReport_1030_GS이스토어_12월온라인캠페인_DailyReport" xfId="1118"/>
    <cellStyle name="_GS이스토어_6월_DailyReport_20060602_GS이스토어_6월_DailyReport_20060602_GS이스토어_6월_DailyReport_20060601_GS이스토어_10월온라인캠페인_DailyReport_1030_GS이스토어_12월온라인캠페인_DailyReport_GS이스토어_3월온라인캠페인_DailyReport_070311" xfId="1119"/>
    <cellStyle name="_GS이스토어_6월_DailyReport_20060602_GS이스토어_6월_DailyReport_20060602_GS이스토어_6월_DailyReport_20060601_GS이스토어_10월온라인캠페인_DailyReport_1030_GS이스토어_1월온라인캠페인_DailyReport_070102" xfId="1120"/>
    <cellStyle name="_GS이스토어_6월_DailyReport_20060602_GS이스토어_6월_DailyReport_20060602_GS이스토어_6월_DailyReport_20060601_GS이스토어_10월온라인캠페인_DailyReport_1030_GS이스토어_1월온라인캠페인_DailyReport_070102_GS이스토어_3월온라인캠페인_DailyReport_070311" xfId="1121"/>
    <cellStyle name="_GS이스토어_6월_DailyReport_20060602_GS이스토어_6월_DailyReport_20060602_GS이스토어_6월_DailyReport_20060601_GS이스토어_10월온라인캠페인_DailyReport_1030_GS이스토어_1월온라인캠페인_DailyReport_070117" xfId="1122"/>
    <cellStyle name="_GS이스토어_6월_DailyReport_20060602_GS이스토어_6월_DailyReport_20060602_GS이스토어_6월_DailyReport_20060601_GS이스토어_10월온라인캠페인_DailyReport_1030_GS이스토어_1월온라인캠페인_DailyReport_070117_GS이스토어_3월온라인캠페인_DailyReport_070311" xfId="1125"/>
    <cellStyle name="_GS이스토어_6월_DailyReport_20060602_GS이스토어_6월_DailyReport_20060602_GS이스토어_6월_DailyReport_20060601_GS이스토어_10월온라인캠페인_DailyReport_1030_GS이스토어_1월온라인캠페인_DailyReport_070117_쉬트추가" xfId="1123"/>
    <cellStyle name="_GS이스토어_6월_DailyReport_20060602_GS이스토어_6월_DailyReport_20060602_GS이스토어_6월_DailyReport_20060601_GS이스토어_10월온라인캠페인_DailyReport_1030_GS이스토어_1월온라인캠페인_DailyReport_070117_쉬트추가_GS이스토어_3월온라인캠페인_DailyReport_070311" xfId="1124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" xfId="1126"/>
    <cellStyle name="_GS이스토어_6월_DailyReport_20060602_GS이스토어_6월_DailyReport_20060602_GS이스토어_6월_DailyReport_20060601_GS이스토어_10월온라인캠페인_DailyReport_1030_GS이스토어_1월온라인캠페인_DailyReport_070121_소재별쉬트수정본_GS이스토어_3월온라인캠페인_DailyReport_070311" xfId="1127"/>
    <cellStyle name="_GS이스토어_6월_DailyReport_20060602_GS이스토어_6월_DailyReport_20060602_GS이스토어_6월_DailyReport_20060601_GS이스토어_10월온라인캠페인_DailyReport_1030_GS이스토어_2월온라인캠페인_DailyReport_070204" xfId="1128"/>
    <cellStyle name="_GS이스토어_6월_DailyReport_20060602_GS이스토어_6월_DailyReport_20060602_GS이스토어_6월_DailyReport_20060601_GS이스토어_10월온라인캠페인_DailyReport_1030_GS이스토어_2월온라인캠페인_DailyReport_070204_GS이스토어_3월온라인캠페인_DailyReport_070311" xfId="1129"/>
    <cellStyle name="_GS이스토어_6월_DailyReport_20060602_GS이스토어_6월_DailyReport_20060602_GS이스토어_6월_DailyReport_20060601_GS이스토어_3월온라인캠페인_DailyReport_070311" xfId="1130"/>
    <cellStyle name="_GS이스토어_6월_DailyReport_20060602_GS이스토어_6월_DailyReport_20060602_GS이스토어_6월_DailyReport_20060601_GS이스토어_8월온라인캠페인_DailyReport_양식" xfId="1131"/>
    <cellStyle name="_GS이스토어_6월_DailyReport_20060602_GS이스토어_6월_DailyReport_20060602_GS이스토어_6월_DailyReport_20060601_GS이스토어_8월온라인캠페인_DailyReport_양식_GS이스토어_12월온라인캠페인_DailyReport" xfId="1132"/>
    <cellStyle name="_GS이스토어_6월_DailyReport_20060602_GS이스토어_6월_DailyReport_20060602_GS이스토어_6월_DailyReport_20060601_GS이스토어_8월온라인캠페인_DailyReport_양식_GS이스토어_12월온라인캠페인_DailyReport_GS이스토어_3월온라인캠페인_DailyReport_070311" xfId="1133"/>
    <cellStyle name="_GS이스토어_6월_DailyReport_20060602_GS이스토어_6월_DailyReport_20060602_GS이스토어_6월_DailyReport_20060601_GS이스토어_8월온라인캠페인_DailyReport_양식_GS이스토어_1월온라인캠페인_DailyReport_070102" xfId="1134"/>
    <cellStyle name="_GS이스토어_6월_DailyReport_20060602_GS이스토어_6월_DailyReport_20060602_GS이스토어_6월_DailyReport_20060601_GS이스토어_8월온라인캠페인_DailyReport_양식_GS이스토어_1월온라인캠페인_DailyReport_070102_GS이스토어_3월온라인캠페인_DailyReport_070311" xfId="1135"/>
    <cellStyle name="_GS이스토어_6월_DailyReport_20060602_GS이스토어_6월_DailyReport_20060602_GS이스토어_6월_DailyReport_20060601_GS이스토어_8월온라인캠페인_DailyReport_양식_GS이스토어_1월온라인캠페인_DailyReport_070117" xfId="1136"/>
    <cellStyle name="_GS이스토어_6월_DailyReport_20060602_GS이스토어_6월_DailyReport_20060602_GS이스토어_6월_DailyReport_20060601_GS이스토어_8월온라인캠페인_DailyReport_양식_GS이스토어_1월온라인캠페인_DailyReport_070117_GS이스토어_3월온라인캠페인_DailyReport_070311" xfId="1139"/>
    <cellStyle name="_GS이스토어_6월_DailyReport_20060602_GS이스토어_6월_DailyReport_20060602_GS이스토어_6월_DailyReport_20060601_GS이스토어_8월온라인캠페인_DailyReport_양식_GS이스토어_1월온라인캠페인_DailyReport_070117_쉬트추가" xfId="1137"/>
    <cellStyle name="_GS이스토어_6월_DailyReport_20060602_GS이스토어_6월_DailyReport_20060602_GS이스토어_6월_DailyReport_20060601_GS이스토어_8월온라인캠페인_DailyReport_양식_GS이스토어_1월온라인캠페인_DailyReport_070117_쉬트추가_GS이스토어_3월온라인캠페인_DailyReport_070311" xfId="1138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" xfId="1140"/>
    <cellStyle name="_GS이스토어_6월_DailyReport_20060602_GS이스토어_6월_DailyReport_20060602_GS이스토어_6월_DailyReport_20060601_GS이스토어_8월온라인캠페인_DailyReport_양식_GS이스토어_1월온라인캠페인_DailyReport_070121_소재별쉬트수정본_GS이스토어_3월온라인캠페인_DailyReport_070311" xfId="1141"/>
    <cellStyle name="_GS이스토어_6월_DailyReport_20060602_GS이스토어_6월_DailyReport_20060602_GS이스토어_6월_DailyReport_20060601_GS이스토어_8월온라인캠페인_DailyReport_양식_GS이스토어_2월온라인캠페인_DailyReport_070204" xfId="1142"/>
    <cellStyle name="_GS이스토어_6월_DailyReport_20060602_GS이스토어_6월_DailyReport_20060602_GS이스토어_6월_DailyReport_20060601_GS이스토어_8월온라인캠페인_DailyReport_양식_GS이스토어_2월온라인캠페인_DailyReport_070204_GS이스토어_3월온라인캠페인_DailyReport_070311" xfId="1143"/>
    <cellStyle name="_GS이스토어_6월_DailyReport_20060602_GS이스토어_6월_DailyReport_20060602_GS이스토어_7월_DailyReport_원본" xfId="1144"/>
    <cellStyle name="_GS이스토어_6월_DailyReport_20060602_GS이스토어_6월_DailyReport_20060602_GS이스토어_7월_DailyReport_원본_GS이스토어_10월온라인캠페인_DailyReport_1030" xfId="1145"/>
    <cellStyle name="_GS이스토어_6월_DailyReport_20060602_GS이스토어_6월_DailyReport_20060602_GS이스토어_7월_DailyReport_원본_GS이스토어_10월온라인캠페인_DailyReport_1030_GS이스토어_12월온라인캠페인_DailyReport" xfId="1146"/>
    <cellStyle name="_GS이스토어_6월_DailyReport_20060602_GS이스토어_6월_DailyReport_20060602_GS이스토어_7월_DailyReport_원본_GS이스토어_10월온라인캠페인_DailyReport_1030_GS이스토어_12월온라인캠페인_DailyReport_GS이스토어_3월온라인캠페인_DailyReport_070311" xfId="1147"/>
    <cellStyle name="_GS이스토어_6월_DailyReport_20060602_GS이스토어_6월_DailyReport_20060602_GS이스토어_7월_DailyReport_원본_GS이스토어_10월온라인캠페인_DailyReport_1030_GS이스토어_1월온라인캠페인_DailyReport_070102" xfId="1148"/>
    <cellStyle name="_GS이스토어_6월_DailyReport_20060602_GS이스토어_6월_DailyReport_20060602_GS이스토어_7월_DailyReport_원본_GS이스토어_10월온라인캠페인_DailyReport_1030_GS이스토어_1월온라인캠페인_DailyReport_070102_GS이스토어_3월온라인캠페인_DailyReport_070311" xfId="1149"/>
    <cellStyle name="_GS이스토어_6월_DailyReport_20060602_GS이스토어_6월_DailyReport_20060602_GS이스토어_7월_DailyReport_원본_GS이스토어_10월온라인캠페인_DailyReport_1030_GS이스토어_1월온라인캠페인_DailyReport_070117" xfId="1150"/>
    <cellStyle name="_GS이스토어_6월_DailyReport_20060602_GS이스토어_6월_DailyReport_20060602_GS이스토어_7월_DailyReport_원본_GS이스토어_10월온라인캠페인_DailyReport_1030_GS이스토어_1월온라인캠페인_DailyReport_070117_GS이스토어_3월온라인캠페인_DailyReport_070311" xfId="1153"/>
    <cellStyle name="_GS이스토어_6월_DailyReport_20060602_GS이스토어_6월_DailyReport_20060602_GS이스토어_7월_DailyReport_원본_GS이스토어_10월온라인캠페인_DailyReport_1030_GS이스토어_1월온라인캠페인_DailyReport_070117_쉬트추가" xfId="1151"/>
    <cellStyle name="_GS이스토어_6월_DailyReport_20060602_GS이스토어_6월_DailyReport_20060602_GS이스토어_7월_DailyReport_원본_GS이스토어_10월온라인캠페인_DailyReport_1030_GS이스토어_1월온라인캠페인_DailyReport_070117_쉬트추가_GS이스토어_3월온라인캠페인_DailyReport_070311" xfId="1152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" xfId="1154"/>
    <cellStyle name="_GS이스토어_6월_DailyReport_20060602_GS이스토어_6월_DailyReport_20060602_GS이스토어_7월_DailyReport_원본_GS이스토어_10월온라인캠페인_DailyReport_1030_GS이스토어_1월온라인캠페인_DailyReport_070121_소재별쉬트수정본_GS이스토어_3월온라인캠페인_DailyReport_070311" xfId="1155"/>
    <cellStyle name="_GS이스토어_6월_DailyReport_20060602_GS이스토어_6월_DailyReport_20060602_GS이스토어_7월_DailyReport_원본_GS이스토어_10월온라인캠페인_DailyReport_1030_GS이스토어_2월온라인캠페인_DailyReport_070204" xfId="1156"/>
    <cellStyle name="_GS이스토어_6월_DailyReport_20060602_GS이스토어_6월_DailyReport_20060602_GS이스토어_7월_DailyReport_원본_GS이스토어_10월온라인캠페인_DailyReport_1030_GS이스토어_2월온라인캠페인_DailyReport_070204_GS이스토어_3월온라인캠페인_DailyReport_070311" xfId="1157"/>
    <cellStyle name="_GS이스토어_6월_DailyReport_20060602_GS이스토어_6월_DailyReport_20060602_GS이스토어_7월_DailyReport_원본_GS이스토어_3월온라인캠페인_DailyReport_070311" xfId="1158"/>
    <cellStyle name="_GS이스토어_6월_DailyReport_20060602_GS이스토어_6월_DailyReport_20060602_GS이스토어_7월_DailyReport_원본_GS이스토어_8월온라인캠페인_DailyReport_양식" xfId="1159"/>
    <cellStyle name="_GS이스토어_6월_DailyReport_20060602_GS이스토어_6월_DailyReport_20060602_GS이스토어_7월_DailyReport_원본_GS이스토어_8월온라인캠페인_DailyReport_양식_GS이스토어_12월온라인캠페인_DailyReport" xfId="1160"/>
    <cellStyle name="_GS이스토어_6월_DailyReport_20060602_GS이스토어_6월_DailyReport_20060602_GS이스토어_7월_DailyReport_원본_GS이스토어_8월온라인캠페인_DailyReport_양식_GS이스토어_12월온라인캠페인_DailyReport_GS이스토어_3월온라인캠페인_DailyReport_070311" xfId="1161"/>
    <cellStyle name="_GS이스토어_6월_DailyReport_20060602_GS이스토어_6월_DailyReport_20060602_GS이스토어_7월_DailyReport_원본_GS이스토어_8월온라인캠페인_DailyReport_양식_GS이스토어_1월온라인캠페인_DailyReport_070102" xfId="1162"/>
    <cellStyle name="_GS이스토어_6월_DailyReport_20060602_GS이스토어_6월_DailyReport_20060602_GS이스토어_7월_DailyReport_원본_GS이스토어_8월온라인캠페인_DailyReport_양식_GS이스토어_1월온라인캠페인_DailyReport_070102_GS이스토어_3월온라인캠페인_DailyReport_070311" xfId="1163"/>
    <cellStyle name="_GS이스토어_6월_DailyReport_20060602_GS이스토어_6월_DailyReport_20060602_GS이스토어_7월_DailyReport_원본_GS이스토어_8월온라인캠페인_DailyReport_양식_GS이스토어_1월온라인캠페인_DailyReport_070117" xfId="1164"/>
    <cellStyle name="_GS이스토어_6월_DailyReport_20060602_GS이스토어_6월_DailyReport_20060602_GS이스토어_7월_DailyReport_원본_GS이스토어_8월온라인캠페인_DailyReport_양식_GS이스토어_1월온라인캠페인_DailyReport_070117_GS이스토어_3월온라인캠페인_DailyReport_070311" xfId="1167"/>
    <cellStyle name="_GS이스토어_6월_DailyReport_20060602_GS이스토어_6월_DailyReport_20060602_GS이스토어_7월_DailyReport_원본_GS이스토어_8월온라인캠페인_DailyReport_양식_GS이스토어_1월온라인캠페인_DailyReport_070117_쉬트추가" xfId="1165"/>
    <cellStyle name="_GS이스토어_6월_DailyReport_20060602_GS이스토어_6월_DailyReport_20060602_GS이스토어_7월_DailyReport_원본_GS이스토어_8월온라인캠페인_DailyReport_양식_GS이스토어_1월온라인캠페인_DailyReport_070117_쉬트추가_GS이스토어_3월온라인캠페인_DailyReport_070311" xfId="1166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" xfId="1168"/>
    <cellStyle name="_GS이스토어_6월_DailyReport_20060602_GS이스토어_6월_DailyReport_20060602_GS이스토어_7월_DailyReport_원본_GS이스토어_8월온라인캠페인_DailyReport_양식_GS이스토어_1월온라인캠페인_DailyReport_070121_소재별쉬트수정본_GS이스토어_3월온라인캠페인_DailyReport_070311" xfId="1169"/>
    <cellStyle name="_GS이스토어_6월_DailyReport_20060602_GS이스토어_6월_DailyReport_20060602_GS이스토어_7월_DailyReport_원본_GS이스토어_8월온라인캠페인_DailyReport_양식_GS이스토어_2월온라인캠페인_DailyReport_070204" xfId="1170"/>
    <cellStyle name="_GS이스토어_6월_DailyReport_20060602_GS이스토어_6월_DailyReport_20060602_GS이스토어_7월_DailyReport_원본_GS이스토어_8월온라인캠페인_DailyReport_양식_GS이스토어_2월온라인캠페인_DailyReport_070204_GS이스토어_3월온라인캠페인_DailyReport_070311" xfId="1171"/>
    <cellStyle name="_GS이스토어_6월_DailyReport_20060602_GS이스토어_6월_DailyReport_20060602_쭈_GS이스토어_6월_DailyReport_20060601" xfId="1048"/>
    <cellStyle name="_GS이스토어_6월_DailyReport_20060602_GS이스토어_6월_DailyReport_20060602_쭈_GS이스토어_6월_DailyReport_20060601_GS이스토어_10월온라인캠페인_DailyReport_1030" xfId="1049"/>
    <cellStyle name="_GS이스토어_6월_DailyReport_20060602_GS이스토어_6월_DailyReport_20060602_쭈_GS이스토어_6월_DailyReport_20060601_GS이스토어_10월온라인캠페인_DailyReport_1030_GS이스토어_12월온라인캠페인_DailyReport" xfId="1050"/>
    <cellStyle name="_GS이스토어_6월_DailyReport_20060602_GS이스토어_6월_DailyReport_20060602_쭈_GS이스토어_6월_DailyReport_20060601_GS이스토어_10월온라인캠페인_DailyReport_1030_GS이스토어_12월온라인캠페인_DailyReport_GS이스토어_3월온라인캠페인_DailyReport_070311" xfId="1051"/>
    <cellStyle name="_GS이스토어_6월_DailyReport_20060602_GS이스토어_6월_DailyReport_20060602_쭈_GS이스토어_6월_DailyReport_20060601_GS이스토어_10월온라인캠페인_DailyReport_1030_GS이스토어_1월온라인캠페인_DailyReport_070102" xfId="1052"/>
    <cellStyle name="_GS이스토어_6월_DailyReport_20060602_GS이스토어_6월_DailyReport_20060602_쭈_GS이스토어_6월_DailyReport_20060601_GS이스토어_10월온라인캠페인_DailyReport_1030_GS이스토어_1월온라인캠페인_DailyReport_070102_GS이스토어_3월온라인캠페인_DailyReport_070311" xfId="1053"/>
    <cellStyle name="_GS이스토어_6월_DailyReport_20060602_GS이스토어_6월_DailyReport_20060602_쭈_GS이스토어_6월_DailyReport_20060601_GS이스토어_10월온라인캠페인_DailyReport_1030_GS이스토어_1월온라인캠페인_DailyReport_070117" xfId="1054"/>
    <cellStyle name="_GS이스토어_6월_DailyReport_20060602_GS이스토어_6월_DailyReport_20060602_쭈_GS이스토어_6월_DailyReport_20060601_GS이스토어_10월온라인캠페인_DailyReport_1030_GS이스토어_1월온라인캠페인_DailyReport_070117_GS이스토어_3월온라인캠페인_DailyReport_070311" xfId="1057"/>
    <cellStyle name="_GS이스토어_6월_DailyReport_20060602_GS이스토어_6월_DailyReport_20060602_쭈_GS이스토어_6월_DailyReport_20060601_GS이스토어_10월온라인캠페인_DailyReport_1030_GS이스토어_1월온라인캠페인_DailyReport_070117_쉬트추가" xfId="1055"/>
    <cellStyle name="_GS이스토어_6월_DailyReport_20060602_GS이스토어_6월_DailyReport_20060602_쭈_GS이스토어_6월_DailyReport_20060601_GS이스토어_10월온라인캠페인_DailyReport_1030_GS이스토어_1월온라인캠페인_DailyReport_070117_쉬트추가_GS이스토어_3월온라인캠페인_DailyReport_070311" xfId="1056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" xfId="1058"/>
    <cellStyle name="_GS이스토어_6월_DailyReport_20060602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" xfId="1059"/>
    <cellStyle name="_GS이스토어_6월_DailyReport_20060602_GS이스토어_6월_DailyReport_20060602_쭈_GS이스토어_6월_DailyReport_20060601_GS이스토어_10월온라인캠페인_DailyReport_1030_GS이스토어_2월온라인캠페인_DailyReport_070204" xfId="1060"/>
    <cellStyle name="_GS이스토어_6월_DailyReport_20060602_GS이스토어_6월_DailyReport_20060602_쭈_GS이스토어_6월_DailyReport_20060601_GS이스토어_10월온라인캠페인_DailyReport_1030_GS이스토어_2월온라인캠페인_DailyReport_070204_GS이스토어_3월온라인캠페인_DailyReport_070311" xfId="1061"/>
    <cellStyle name="_GS이스토어_6월_DailyReport_20060602_GS이스토어_6월_DailyReport_20060602_쭈_GS이스토어_6월_DailyReport_20060601_GS이스토어_3월온라인캠페인_DailyReport_070311" xfId="1062"/>
    <cellStyle name="_GS이스토어_6월_DailyReport_20060602_GS이스토어_6월_DailyReport_20060602_쭈_GS이스토어_6월_DailyReport_20060601_GS이스토어_8월온라인캠페인_DailyReport_양식" xfId="1063"/>
    <cellStyle name="_GS이스토어_6월_DailyReport_20060602_GS이스토어_6월_DailyReport_20060602_쭈_GS이스토어_6월_DailyReport_20060601_GS이스토어_8월온라인캠페인_DailyReport_양식_GS이스토어_12월온라인캠페인_DailyReport" xfId="1064"/>
    <cellStyle name="_GS이스토어_6월_DailyReport_20060602_GS이스토어_6월_DailyReport_20060602_쭈_GS이스토어_6월_DailyReport_20060601_GS이스토어_8월온라인캠페인_DailyReport_양식_GS이스토어_12월온라인캠페인_DailyReport_GS이스토어_3월온라인캠페인_DailyReport_070311" xfId="1065"/>
    <cellStyle name="_GS이스토어_6월_DailyReport_20060602_GS이스토어_6월_DailyReport_20060602_쭈_GS이스토어_6월_DailyReport_20060601_GS이스토어_8월온라인캠페인_DailyReport_양식_GS이스토어_1월온라인캠페인_DailyReport_070102" xfId="1066"/>
    <cellStyle name="_GS이스토어_6월_DailyReport_20060602_GS이스토어_6월_DailyReport_20060602_쭈_GS이스토어_6월_DailyReport_20060601_GS이스토어_8월온라인캠페인_DailyReport_양식_GS이스토어_1월온라인캠페인_DailyReport_070102_GS이스토어_3월온라인캠페인_DailyReport_070311" xfId="1067"/>
    <cellStyle name="_GS이스토어_6월_DailyReport_20060602_GS이스토어_6월_DailyReport_20060602_쭈_GS이스토어_6월_DailyReport_20060601_GS이스토어_8월온라인캠페인_DailyReport_양식_GS이스토어_1월온라인캠페인_DailyReport_070117" xfId="1068"/>
    <cellStyle name="_GS이스토어_6월_DailyReport_20060602_GS이스토어_6월_DailyReport_20060602_쭈_GS이스토어_6월_DailyReport_20060601_GS이스토어_8월온라인캠페인_DailyReport_양식_GS이스토어_1월온라인캠페인_DailyReport_070117_GS이스토어_3월온라인캠페인_DailyReport_070311" xfId="1071"/>
    <cellStyle name="_GS이스토어_6월_DailyReport_20060602_GS이스토어_6월_DailyReport_20060602_쭈_GS이스토어_6월_DailyReport_20060601_GS이스토어_8월온라인캠페인_DailyReport_양식_GS이스토어_1월온라인캠페인_DailyReport_070117_쉬트추가" xfId="1069"/>
    <cellStyle name="_GS이스토어_6월_DailyReport_20060602_GS이스토어_6월_DailyReport_20060602_쭈_GS이스토어_6월_DailyReport_20060601_GS이스토어_8월온라인캠페인_DailyReport_양식_GS이스토어_1월온라인캠페인_DailyReport_070117_쉬트추가_GS이스토어_3월온라인캠페인_DailyReport_070311" xfId="1070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" xfId="1072"/>
    <cellStyle name="_GS이스토어_6월_DailyReport_20060602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" xfId="1073"/>
    <cellStyle name="_GS이스토어_6월_DailyReport_20060602_GS이스토어_6월_DailyReport_20060602_쭈_GS이스토어_6월_DailyReport_20060601_GS이스토어_8월온라인캠페인_DailyReport_양식_GS이스토어_2월온라인캠페인_DailyReport_070204" xfId="1074"/>
    <cellStyle name="_GS이스토어_6월_DailyReport_20060602_GS이스토어_6월_DailyReport_20060602_쭈_GS이스토어_6월_DailyReport_20060601_GS이스토어_8월온라인캠페인_DailyReport_양식_GS이스토어_2월온라인캠페인_DailyReport_070204_GS이스토어_3월온라인캠페인_DailyReport_070311" xfId="1075"/>
    <cellStyle name="_GS이스토어_6월_DailyReport_20060602_GS이스토어_8월온라인캠페인_DailyReport_양식" xfId="1172"/>
    <cellStyle name="_GS이스토어_6월_DailyReport_20060602_GS이스토어_8월온라인캠페인_DailyReport_양식_GS이스토어_12월온라인캠페인_DailyReport" xfId="1173"/>
    <cellStyle name="_GS이스토어_6월_DailyReport_20060602_GS이스토어_8월온라인캠페인_DailyReport_양식_GS이스토어_12월온라인캠페인_DailyReport_GS이스토어_3월온라인캠페인_DailyReport_070311" xfId="1174"/>
    <cellStyle name="_GS이스토어_6월_DailyReport_20060602_GS이스토어_8월온라인캠페인_DailyReport_양식_GS이스토어_1월온라인캠페인_DailyReport_070102" xfId="1175"/>
    <cellStyle name="_GS이스토어_6월_DailyReport_20060602_GS이스토어_8월온라인캠페인_DailyReport_양식_GS이스토어_1월온라인캠페인_DailyReport_070102_GS이스토어_3월온라인캠페인_DailyReport_070311" xfId="1176"/>
    <cellStyle name="_GS이스토어_6월_DailyReport_20060602_GS이스토어_8월온라인캠페인_DailyReport_양식_GS이스토어_1월온라인캠페인_DailyReport_070117" xfId="1177"/>
    <cellStyle name="_GS이스토어_6월_DailyReport_20060602_GS이스토어_8월온라인캠페인_DailyReport_양식_GS이스토어_1월온라인캠페인_DailyReport_070117_GS이스토어_3월온라인캠페인_DailyReport_070311" xfId="1180"/>
    <cellStyle name="_GS이스토어_6월_DailyReport_20060602_GS이스토어_8월온라인캠페인_DailyReport_양식_GS이스토어_1월온라인캠페인_DailyReport_070117_쉬트추가" xfId="1178"/>
    <cellStyle name="_GS이스토어_6월_DailyReport_20060602_GS이스토어_8월온라인캠페인_DailyReport_양식_GS이스토어_1월온라인캠페인_DailyReport_070117_쉬트추가_GS이스토어_3월온라인캠페인_DailyReport_070311" xfId="1179"/>
    <cellStyle name="_GS이스토어_6월_DailyReport_20060602_GS이스토어_8월온라인캠페인_DailyReport_양식_GS이스토어_1월온라인캠페인_DailyReport_070121_소재별쉬트수정본" xfId="1181"/>
    <cellStyle name="_GS이스토어_6월_DailyReport_20060602_GS이스토어_8월온라인캠페인_DailyReport_양식_GS이스토어_1월온라인캠페인_DailyReport_070121_소재별쉬트수정본_GS이스토어_3월온라인캠페인_DailyReport_070311" xfId="1182"/>
    <cellStyle name="_GS이스토어_6월_DailyReport_20060602_GS이스토어_8월온라인캠페인_DailyReport_양식_GS이스토어_2월온라인캠페인_DailyReport_070204" xfId="1183"/>
    <cellStyle name="_GS이스토어_6월_DailyReport_20060602_GS이스토어_8월온라인캠페인_DailyReport_양식_GS이스토어_2월온라인캠페인_DailyReport_070204_GS이스토어_3월온라인캠페인_DailyReport_070311" xfId="1184"/>
    <cellStyle name="_GS이스토어_7월_DailyReport_원본" xfId="1185"/>
    <cellStyle name="_GS이스토어_7월_DailyReport_원본_GS이스토어_10월온라인캠페인_DailyReport_1030" xfId="1186"/>
    <cellStyle name="_GS이스토어_7월_DailyReport_원본_GS이스토어_10월온라인캠페인_DailyReport_1030_GS이스토어_12월온라인캠페인_DailyReport" xfId="1187"/>
    <cellStyle name="_GS이스토어_7월_DailyReport_원본_GS이스토어_10월온라인캠페인_DailyReport_1030_GS이스토어_12월온라인캠페인_DailyReport_GS이스토어_3월온라인캠페인_DailyReport_070311" xfId="1188"/>
    <cellStyle name="_GS이스토어_7월_DailyReport_원본_GS이스토어_10월온라인캠페인_DailyReport_1030_GS이스토어_1월온라인캠페인_DailyReport_070102" xfId="1189"/>
    <cellStyle name="_GS이스토어_7월_DailyReport_원본_GS이스토어_10월온라인캠페인_DailyReport_1030_GS이스토어_1월온라인캠페인_DailyReport_070102_GS이스토어_3월온라인캠페인_DailyReport_070311" xfId="1190"/>
    <cellStyle name="_GS이스토어_7월_DailyReport_원본_GS이스토어_10월온라인캠페인_DailyReport_1030_GS이스토어_1월온라인캠페인_DailyReport_070117" xfId="1191"/>
    <cellStyle name="_GS이스토어_7월_DailyReport_원본_GS이스토어_10월온라인캠페인_DailyReport_1030_GS이스토어_1월온라인캠페인_DailyReport_070117_GS이스토어_3월온라인캠페인_DailyReport_070311" xfId="1194"/>
    <cellStyle name="_GS이스토어_7월_DailyReport_원본_GS이스토어_10월온라인캠페인_DailyReport_1030_GS이스토어_1월온라인캠페인_DailyReport_070117_쉬트추가" xfId="1192"/>
    <cellStyle name="_GS이스토어_7월_DailyReport_원본_GS이스토어_10월온라인캠페인_DailyReport_1030_GS이스토어_1월온라인캠페인_DailyReport_070117_쉬트추가_GS이스토어_3월온라인캠페인_DailyReport_070311" xfId="1193"/>
    <cellStyle name="_GS이스토어_7월_DailyReport_원본_GS이스토어_10월온라인캠페인_DailyReport_1030_GS이스토어_1월온라인캠페인_DailyReport_070121_소재별쉬트수정본" xfId="1195"/>
    <cellStyle name="_GS이스토어_7월_DailyReport_원본_GS이스토어_10월온라인캠페인_DailyReport_1030_GS이스토어_1월온라인캠페인_DailyReport_070121_소재별쉬트수정본_GS이스토어_3월온라인캠페인_DailyReport_070311" xfId="1196"/>
    <cellStyle name="_GS이스토어_7월_DailyReport_원본_GS이스토어_10월온라인캠페인_DailyReport_1030_GS이스토어_2월온라인캠페인_DailyReport_070204" xfId="1197"/>
    <cellStyle name="_GS이스토어_7월_DailyReport_원본_GS이스토어_10월온라인캠페인_DailyReport_1030_GS이스토어_2월온라인캠페인_DailyReport_070204_GS이스토어_3월온라인캠페인_DailyReport_070311" xfId="1198"/>
    <cellStyle name="_GS이스토어_7월_DailyReport_원본_GS이스토어_3월온라인캠페인_DailyReport_070311" xfId="1199"/>
    <cellStyle name="_GS이스토어_7월_DailyReport_원본_GS이스토어_8월온라인캠페인_DailyReport_양식" xfId="1200"/>
    <cellStyle name="_GS이스토어_7월_DailyReport_원본_GS이스토어_8월온라인캠페인_DailyReport_양식_GS이스토어_12월온라인캠페인_DailyReport" xfId="1201"/>
    <cellStyle name="_GS이스토어_7월_DailyReport_원본_GS이스토어_8월온라인캠페인_DailyReport_양식_GS이스토어_12월온라인캠페인_DailyReport_GS이스토어_3월온라인캠페인_DailyReport_070311" xfId="1202"/>
    <cellStyle name="_GS이스토어_7월_DailyReport_원본_GS이스토어_8월온라인캠페인_DailyReport_양식_GS이스토어_1월온라인캠페인_DailyReport_070102" xfId="1203"/>
    <cellStyle name="_GS이스토어_7월_DailyReport_원본_GS이스토어_8월온라인캠페인_DailyReport_양식_GS이스토어_1월온라인캠페인_DailyReport_070102_GS이스토어_3월온라인캠페인_DailyReport_070311" xfId="1204"/>
    <cellStyle name="_GS이스토어_7월_DailyReport_원본_GS이스토어_8월온라인캠페인_DailyReport_양식_GS이스토어_1월온라인캠페인_DailyReport_070117" xfId="1205"/>
    <cellStyle name="_GS이스토어_7월_DailyReport_원본_GS이스토어_8월온라인캠페인_DailyReport_양식_GS이스토어_1월온라인캠페인_DailyReport_070117_GS이스토어_3월온라인캠페인_DailyReport_070311" xfId="1208"/>
    <cellStyle name="_GS이스토어_7월_DailyReport_원본_GS이스토어_8월온라인캠페인_DailyReport_양식_GS이스토어_1월온라인캠페인_DailyReport_070117_쉬트추가" xfId="1206"/>
    <cellStyle name="_GS이스토어_7월_DailyReport_원본_GS이스토어_8월온라인캠페인_DailyReport_양식_GS이스토어_1월온라인캠페인_DailyReport_070117_쉬트추가_GS이스토어_3월온라인캠페인_DailyReport_070311" xfId="1207"/>
    <cellStyle name="_GS이스토어_7월_DailyReport_원본_GS이스토어_8월온라인캠페인_DailyReport_양식_GS이스토어_1월온라인캠페인_DailyReport_070121_소재별쉬트수정본" xfId="1209"/>
    <cellStyle name="_GS이스토어_7월_DailyReport_원본_GS이스토어_8월온라인캠페인_DailyReport_양식_GS이스토어_1월온라인캠페인_DailyReport_070121_소재별쉬트수정본_GS이스토어_3월온라인캠페인_DailyReport_070311" xfId="1210"/>
    <cellStyle name="_GS이스토어_7월_DailyReport_원본_GS이스토어_8월온라인캠페인_DailyReport_양식_GS이스토어_2월온라인캠페인_DailyReport_070204" xfId="1211"/>
    <cellStyle name="_GS이스토어_7월_DailyReport_원본_GS이스토어_8월온라인캠페인_DailyReport_양식_GS이스토어_2월온라인캠페인_DailyReport_070204_GS이스토어_3월온라인캠페인_DailyReport_070311" xfId="1212"/>
    <cellStyle name="_Media pool" xfId="3524"/>
    <cellStyle name="_Naver_본고" xfId="1213"/>
    <cellStyle name="_Summary" xfId="1214"/>
    <cellStyle name="_게이머_Daily_Report_0923" xfId="9"/>
    <cellStyle name="_르노삼성 믹스종합_070214" xfId="3493"/>
    <cellStyle name="_르노삼성 믹스종합_070214_070322_르노삼성H45_4월 캠페인_Media Mix_NAS" xfId="3494"/>
    <cellStyle name="_르노삼성 믹스종합_070214_070322_르노삼성H45_4월 캠페인_Media Mix_NAS_070912_르노삼성QMX" xfId="3495"/>
    <cellStyle name="_르노삼성 믹스종합_070214_070322_르노삼성H45_4월 캠페인_Media Mix_NAS_071001_RSM_SM7_10월 미디어믹스 제안_최종" xfId="3496"/>
    <cellStyle name="_르노삼성 믹스종합_070214_070322_르노삼성H45_4월 캠페인_Media Mix_NAS_071004_RSM_SM7_10월 미디어믹스 제안" xfId="3497"/>
    <cellStyle name="_르노삼성 믹스종합_070214_070322_르노삼성H45_4월 캠페인_Media Mix_NAS_071102_RSM_QMX_11월 미디어믹스 제안" xfId="3498"/>
    <cellStyle name="_르노삼성 믹스종합_070214_070322_르노삼성H45_4월 캠페인_Media Mix_NAS_071106_RSM_QMX_11월 미디어믹스 제안(수정)" xfId="3499"/>
    <cellStyle name="_르노삼성 믹스종합_070214_070326_르노삼성H45_4월 캠페인_Media Mix_NAS" xfId="3500"/>
    <cellStyle name="_르노삼성 믹스종합_070214_070326_르노삼성H45_4월 캠페인_Media Mix_NAS_070912_르노삼성QMX" xfId="3501"/>
    <cellStyle name="_르노삼성 믹스종합_070214_070326_르노삼성H45_4월 캠페인_Media Mix_NAS_071001_RSM_SM7_10월 미디어믹스 제안_최종" xfId="3502"/>
    <cellStyle name="_르노삼성 믹스종합_070214_070326_르노삼성H45_4월 캠페인_Media Mix_NAS_071004_RSM_SM7_10월 미디어믹스 제안" xfId="3503"/>
    <cellStyle name="_르노삼성 믹스종합_070214_070326_르노삼성H45_4월 캠페인_Media Mix_NAS_071102_RSM_QMX_11월 미디어믹스 제안" xfId="3504"/>
    <cellStyle name="_르노삼성 믹스종합_070214_070326_르노삼성H45_4월 캠페인_Media Mix_NAS_071106_RSM_QMX_11월 미디어믹스 제안(수정)" xfId="3505"/>
    <cellStyle name="_르노삼성 믹스종합_070214_070327_르노삼성H45_4월 캠페인_Media Mix_NAS" xfId="3506"/>
    <cellStyle name="_르노삼성 믹스종합_070214_070327_르노삼성H45_4월 캠페인_Media Mix_NAS_070912_르노삼성QMX" xfId="3507"/>
    <cellStyle name="_르노삼성 믹스종합_070214_070327_르노삼성H45_4월 캠페인_Media Mix_NAS_071001_RSM_SM7_10월 미디어믹스 제안_최종" xfId="3508"/>
    <cellStyle name="_르노삼성 믹스종합_070214_070327_르노삼성H45_4월 캠페인_Media Mix_NAS_071004_RSM_SM7_10월 미디어믹스 제안" xfId="3509"/>
    <cellStyle name="_르노삼성 믹스종합_070214_070327_르노삼성H45_4월 캠페인_Media Mix_NAS_071102_RSM_QMX_11월 미디어믹스 제안" xfId="3510"/>
    <cellStyle name="_르노삼성 믹스종합_070214_070327_르노삼성H45_4월 캠페인_Media Mix_NAS_071106_RSM_QMX_11월 미디어믹스 제안(수정)" xfId="3511"/>
    <cellStyle name="_르노삼성 믹스종합_070214_070328_르노삼성H45_4월 캠페인_Media Mix_NAS" xfId="3512"/>
    <cellStyle name="_르노삼성 믹스종합_070214_070328_르노삼성H45_4월 캠페인_Media Mix_NAS_070912_르노삼성QMX" xfId="3513"/>
    <cellStyle name="_르노삼성 믹스종합_070214_070328_르노삼성H45_4월 캠페인_Media Mix_NAS_071001_RSM_SM7_10월 미디어믹스 제안_최종" xfId="3514"/>
    <cellStyle name="_르노삼성 믹스종합_070214_070328_르노삼성H45_4월 캠페인_Media Mix_NAS_071004_RSM_SM7_10월 미디어믹스 제안" xfId="3515"/>
    <cellStyle name="_르노삼성 믹스종합_070214_070328_르노삼성H45_4월 캠페인_Media Mix_NAS_071102_RSM_QMX_11월 미디어믹스 제안" xfId="3516"/>
    <cellStyle name="_르노삼성 믹스종합_070214_070328_르노삼성H45_4월 캠페인_Media Mix_NAS_071106_RSM_QMX_11월 미디어믹스 제안(수정)" xfId="3517"/>
    <cellStyle name="_르노삼성 믹스종합_070214_070403_르노삼성QMX_Media Mix_NAS" xfId="3518"/>
    <cellStyle name="_르노삼성 믹스종합_070214_070403_르노삼성QMX_Media Mix_NAS_070912_르노삼성QMX" xfId="3519"/>
    <cellStyle name="_르노삼성 믹스종합_070214_070403_르노삼성QMX_Media Mix_NAS_071001_RSM_SM7_10월 미디어믹스 제안_최종" xfId="3520"/>
    <cellStyle name="_르노삼성 믹스종합_070214_070403_르노삼성QMX_Media Mix_NAS_071004_RSM_SM7_10월 미디어믹스 제안" xfId="3521"/>
    <cellStyle name="_르노삼성 믹스종합_070214_070403_르노삼성QMX_Media Mix_NAS_071102_RSM_QMX_11월 미디어믹스 제안" xfId="3522"/>
    <cellStyle name="_르노삼성 믹스종합_070214_070403_르노삼성QMX_Media Mix_NAS_071106_RSM_QMX_11월 미디어믹스 제안(수정)" xfId="3523"/>
    <cellStyle name="_비카인드리와인드_MediaMix_1215" xfId="10"/>
    <cellStyle name="_셜록홈즈 반응률 비교" xfId="11"/>
    <cellStyle name="_유달리_매직스_제작가이드_0528" xfId="12"/>
    <cellStyle name="_유달리_매직스_제작가이드_0528-1" xfId="13"/>
    <cellStyle name="_진로_Mix_스케쥴_제작가이드_0904" xfId="14"/>
    <cellStyle name="_쭈_GS이스토어_6월_DailyReport_20060601" xfId="15"/>
    <cellStyle name="_쭈_GS이스토어_6월_DailyReport_20060601_GS이스토어_10월온라인캠페인_DailyReport_1030" xfId="16"/>
    <cellStyle name="_쭈_GS이스토어_6월_DailyReport_20060601_GS이스토어_10월온라인캠페인_DailyReport_1030_GS이스토어_12월온라인캠페인_DailyReport" xfId="17"/>
    <cellStyle name="_쭈_GS이스토어_6월_DailyReport_20060601_GS이스토어_10월온라인캠페인_DailyReport_1030_GS이스토어_12월온라인캠페인_DailyReport_GS이스토어_3월온라인캠페인_DailyReport_070311" xfId="18"/>
    <cellStyle name="_쭈_GS이스토어_6월_DailyReport_20060601_GS이스토어_10월온라인캠페인_DailyReport_1030_GS이스토어_1월온라인캠페인_DailyReport_070102" xfId="19"/>
    <cellStyle name="_쭈_GS이스토어_6월_DailyReport_20060601_GS이스토어_10월온라인캠페인_DailyReport_1030_GS이스토어_1월온라인캠페인_DailyReport_070102_GS이스토어_3월온라인캠페인_DailyReport_070311" xfId="20"/>
    <cellStyle name="_쭈_GS이스토어_6월_DailyReport_20060601_GS이스토어_10월온라인캠페인_DailyReport_1030_GS이스토어_1월온라인캠페인_DailyReport_070117" xfId="21"/>
    <cellStyle name="_쭈_GS이스토어_6월_DailyReport_20060601_GS이스토어_10월온라인캠페인_DailyReport_1030_GS이스토어_1월온라인캠페인_DailyReport_070117_GS이스토어_3월온라인캠페인_DailyReport_070311" xfId="24"/>
    <cellStyle name="_쭈_GS이스토어_6월_DailyReport_20060601_GS이스토어_10월온라인캠페인_DailyReport_1030_GS이스토어_1월온라인캠페인_DailyReport_070117_쉬트추가" xfId="22"/>
    <cellStyle name="_쭈_GS이스토어_6월_DailyReport_20060601_GS이스토어_10월온라인캠페인_DailyReport_1030_GS이스토어_1월온라인캠페인_DailyReport_070117_쉬트추가_GS이스토어_3월온라인캠페인_DailyReport_070311" xfId="23"/>
    <cellStyle name="_쭈_GS이스토어_6월_DailyReport_20060601_GS이스토어_10월온라인캠페인_DailyReport_1030_GS이스토어_1월온라인캠페인_DailyReport_070121_소재별쉬트수정본" xfId="25"/>
    <cellStyle name="_쭈_GS이스토어_6월_DailyReport_20060601_GS이스토어_10월온라인캠페인_DailyReport_1030_GS이스토어_1월온라인캠페인_DailyReport_070121_소재별쉬트수정본_GS이스토어_3월온라인캠페인_DailyReport_070311" xfId="26"/>
    <cellStyle name="_쭈_GS이스토어_6월_DailyReport_20060601_GS이스토어_10월온라인캠페인_DailyReport_1030_GS이스토어_2월온라인캠페인_DailyReport_070204" xfId="27"/>
    <cellStyle name="_쭈_GS이스토어_6월_DailyReport_20060601_GS이스토어_10월온라인캠페인_DailyReport_1030_GS이스토어_2월온라인캠페인_DailyReport_070204_GS이스토어_3월온라인캠페인_DailyReport_070311" xfId="28"/>
    <cellStyle name="_쭈_GS이스토어_6월_DailyReport_20060601_GS이스토어_3월온라인캠페인_DailyReport_070311" xfId="29"/>
    <cellStyle name="_쭈_GS이스토어_6월_DailyReport_20060601_GS이스토어_8월온라인캠페인_DailyReport_양식" xfId="30"/>
    <cellStyle name="_쭈_GS이스토어_6월_DailyReport_20060601_GS이스토어_8월온라인캠페인_DailyReport_양식_GS이스토어_12월온라인캠페인_DailyReport" xfId="31"/>
    <cellStyle name="_쭈_GS이스토어_6월_DailyReport_20060601_GS이스토어_8월온라인캠페인_DailyReport_양식_GS이스토어_12월온라인캠페인_DailyReport_GS이스토어_3월온라인캠페인_DailyReport_070311" xfId="32"/>
    <cellStyle name="_쭈_GS이스토어_6월_DailyReport_20060601_GS이스토어_8월온라인캠페인_DailyReport_양식_GS이스토어_1월온라인캠페인_DailyReport_070102" xfId="33"/>
    <cellStyle name="_쭈_GS이스토어_6월_DailyReport_20060601_GS이스토어_8월온라인캠페인_DailyReport_양식_GS이스토어_1월온라인캠페인_DailyReport_070102_GS이스토어_3월온라인캠페인_DailyReport_070311" xfId="34"/>
    <cellStyle name="_쭈_GS이스토어_6월_DailyReport_20060601_GS이스토어_8월온라인캠페인_DailyReport_양식_GS이스토어_1월온라인캠페인_DailyReport_070117" xfId="35"/>
    <cellStyle name="_쭈_GS이스토어_6월_DailyReport_20060601_GS이스토어_8월온라인캠페인_DailyReport_양식_GS이스토어_1월온라인캠페인_DailyReport_070117_GS이스토어_3월온라인캠페인_DailyReport_070311" xfId="38"/>
    <cellStyle name="_쭈_GS이스토어_6월_DailyReport_20060601_GS이스토어_8월온라인캠페인_DailyReport_양식_GS이스토어_1월온라인캠페인_DailyReport_070117_쉬트추가" xfId="36"/>
    <cellStyle name="_쭈_GS이스토어_6월_DailyReport_20060601_GS이스토어_8월온라인캠페인_DailyReport_양식_GS이스토어_1월온라인캠페인_DailyReport_070117_쉬트추가_GS이스토어_3월온라인캠페인_DailyReport_070311" xfId="37"/>
    <cellStyle name="_쭈_GS이스토어_6월_DailyReport_20060601_GS이스토어_8월온라인캠페인_DailyReport_양식_GS이스토어_1월온라인캠페인_DailyReport_070121_소재별쉬트수정본" xfId="39"/>
    <cellStyle name="_쭈_GS이스토어_6월_DailyReport_20060601_GS이스토어_8월온라인캠페인_DailyReport_양식_GS이스토어_1월온라인캠페인_DailyReport_070121_소재별쉬트수정본_GS이스토어_3월온라인캠페인_DailyReport_070311" xfId="40"/>
    <cellStyle name="_쭈_GS이스토어_6월_DailyReport_20060601_GS이스토어_8월온라인캠페인_DailyReport_양식_GS이스토어_2월온라인캠페인_DailyReport_070204" xfId="41"/>
    <cellStyle name="_쭈_GS이스토어_6월_DailyReport_20060601_GS이스토어_8월온라인캠페인_DailyReport_양식_GS이스토어_2월온라인캠페인_DailyReport_070204_GS이스토어_3월온라인캠페인_DailyReport_070311" xfId="42"/>
    <cellStyle name="_풍림산업_스케쥴표_070829" xfId="43"/>
    <cellStyle name="_홀릭_4월 Media Mix 및 제작가이드_최종안_20070320" xfId="44"/>
    <cellStyle name="20% - Accent1" xfId="1215" builtinId="30" customBuiltin="1"/>
    <cellStyle name="20% - Accent2" xfId="1216" builtinId="34" customBuiltin="1"/>
    <cellStyle name="20% - Accent3" xfId="1217" builtinId="38" customBuiltin="1"/>
    <cellStyle name="20% - Accent4" xfId="1218" builtinId="42" customBuiltin="1"/>
    <cellStyle name="20% - Accent5" xfId="1219" builtinId="46" customBuiltin="1"/>
    <cellStyle name="20% - Accent6" xfId="1220" builtinId="50" customBuiltin="1"/>
    <cellStyle name="20% - 강조색1 2" xfId="1293"/>
    <cellStyle name="20% - 강조색1 3" xfId="1340"/>
    <cellStyle name="20% - 강조색2 2" xfId="1294"/>
    <cellStyle name="20% - 강조색2 3" xfId="1341"/>
    <cellStyle name="20% - 강조색3 2" xfId="1295"/>
    <cellStyle name="20% - 강조색3 3" xfId="1342"/>
    <cellStyle name="20% - 강조색4 2" xfId="1296"/>
    <cellStyle name="20% - 강조색4 3" xfId="1343"/>
    <cellStyle name="20% - 강조색5 2" xfId="1297"/>
    <cellStyle name="20% - 강조색5 3" xfId="1344"/>
    <cellStyle name="20% - 강조색6 2" xfId="1298"/>
    <cellStyle name="20% - 강조색6 3" xfId="1345"/>
    <cellStyle name="40% - Accent1" xfId="1221" builtinId="31" customBuiltin="1"/>
    <cellStyle name="40% - Accent2" xfId="1222" builtinId="35" customBuiltin="1"/>
    <cellStyle name="40% - Accent3" xfId="1223" builtinId="39" customBuiltin="1"/>
    <cellStyle name="40% - Accent4" xfId="1224" builtinId="43" customBuiltin="1"/>
    <cellStyle name="40% - Accent5" xfId="1225" builtinId="47" customBuiltin="1"/>
    <cellStyle name="40% - Accent6" xfId="1226" builtinId="51" customBuiltin="1"/>
    <cellStyle name="40% - 강조색1 2" xfId="1299"/>
    <cellStyle name="40% - 강조색1 3" xfId="1346"/>
    <cellStyle name="40% - 강조색2 2" xfId="1300"/>
    <cellStyle name="40% - 강조색2 3" xfId="1347"/>
    <cellStyle name="40% - 강조색3 2" xfId="1301"/>
    <cellStyle name="40% - 강조색3 3" xfId="1348"/>
    <cellStyle name="40% - 강조색4 2" xfId="1302"/>
    <cellStyle name="40% - 강조색4 3" xfId="1349"/>
    <cellStyle name="40% - 강조색5 2" xfId="1303"/>
    <cellStyle name="40% - 강조색5 3" xfId="1350"/>
    <cellStyle name="40% - 강조색6 2" xfId="1304"/>
    <cellStyle name="40% - 강조색6 3" xfId="1351"/>
    <cellStyle name="60% - Accent1" xfId="1227" builtinId="32" customBuiltin="1"/>
    <cellStyle name="60% - Accent2" xfId="1228" builtinId="36" customBuiltin="1"/>
    <cellStyle name="60% - Accent3" xfId="1229" builtinId="40" customBuiltin="1"/>
    <cellStyle name="60% - Accent4" xfId="1230" builtinId="44" customBuiltin="1"/>
    <cellStyle name="60% - Accent5" xfId="1231" builtinId="48" customBuiltin="1"/>
    <cellStyle name="60% - Accent6" xfId="1232" builtinId="52" customBuiltin="1"/>
    <cellStyle name="60% - 강조색1 2" xfId="1305"/>
    <cellStyle name="60% - 강조색1 3" xfId="1352"/>
    <cellStyle name="60% - 강조색2 2" xfId="1306"/>
    <cellStyle name="60% - 강조색2 3" xfId="1353"/>
    <cellStyle name="60% - 강조색3 2" xfId="1307"/>
    <cellStyle name="60% - 강조색3 3" xfId="1354"/>
    <cellStyle name="60% - 강조색4 2" xfId="1308"/>
    <cellStyle name="60% - 강조색4 3" xfId="1355"/>
    <cellStyle name="60% - 강조색5 2" xfId="1309"/>
    <cellStyle name="60% - 강조색5 3" xfId="1356"/>
    <cellStyle name="60% - 강조색6 2" xfId="1310"/>
    <cellStyle name="60% - 강조색6 3" xfId="1357"/>
    <cellStyle name="Accent1" xfId="1256" builtinId="29" customBuiltin="1"/>
    <cellStyle name="Accent2" xfId="1257" builtinId="33" customBuiltin="1"/>
    <cellStyle name="Accent3" xfId="1258" builtinId="37" customBuiltin="1"/>
    <cellStyle name="Accent4" xfId="1259" builtinId="41" customBuiltin="1"/>
    <cellStyle name="Accent5" xfId="1260" builtinId="45" customBuiltin="1"/>
    <cellStyle name="Accent6" xfId="1261" builtinId="49" customBuiltin="1"/>
    <cellStyle name="Bad" xfId="1262" builtinId="27" customBuiltin="1"/>
    <cellStyle name="Calc Currency (0)" xfId="3525"/>
    <cellStyle name="Calculation" xfId="1263" builtinId="22" customBuiltin="1"/>
    <cellStyle name="category" xfId="1264"/>
    <cellStyle name="Check Cell" xfId="1265" builtinId="23" customBuiltin="1"/>
    <cellStyle name="Comma" xfId="3527" builtinId="3"/>
    <cellStyle name="Comma [0]" xfId="1236" builtinId="6"/>
    <cellStyle name="Currency" xfId="3537" builtinId="4"/>
    <cellStyle name="Explanatory Text" xfId="1266" builtinId="53" customBuiltin="1"/>
    <cellStyle name="Good" xfId="1267" builtinId="26" customBuiltin="1"/>
    <cellStyle name="Grey" xfId="1268"/>
    <cellStyle name="HEADER" xfId="1269"/>
    <cellStyle name="Header1" xfId="1270"/>
    <cellStyle name="Header2" xfId="1271"/>
    <cellStyle name="Heading 1" xfId="1272" builtinId="16" customBuiltin="1"/>
    <cellStyle name="Heading 2" xfId="1273" builtinId="17" customBuiltin="1"/>
    <cellStyle name="Heading 3" xfId="1274" builtinId="18" customBuiltin="1"/>
    <cellStyle name="Heading 4" xfId="1275" builtinId="19" customBuiltin="1"/>
    <cellStyle name="Hyperlink" xfId="3536" builtinId="8"/>
    <cellStyle name="Hyperlink 2" xfId="3529"/>
    <cellStyle name="Input" xfId="1276" builtinId="20" customBuiltin="1"/>
    <cellStyle name="Input [yellow]" xfId="1277"/>
    <cellStyle name="Linked Cell" xfId="1278" builtinId="24" customBuiltin="1"/>
    <cellStyle name="Model" xfId="1279"/>
    <cellStyle name="Neutral" xfId="1280" builtinId="28" customBuiltin="1"/>
    <cellStyle name="Normal" xfId="0" builtinId="0"/>
    <cellStyle name="Normal - Style1" xfId="1281"/>
    <cellStyle name="Normal 2" xfId="3528"/>
    <cellStyle name="Normal 3" xfId="3530"/>
    <cellStyle name="Normal 4" xfId="3531"/>
    <cellStyle name="Normal 5" xfId="3532"/>
    <cellStyle name="Normal 6" xfId="3533"/>
    <cellStyle name="Normal 7" xfId="3534"/>
    <cellStyle name="Normal 8" xfId="3535"/>
    <cellStyle name="Note" xfId="1282" builtinId="10" customBuiltin="1"/>
    <cellStyle name="Output" xfId="1283" builtinId="21" customBuiltin="1"/>
    <cellStyle name="Percent" xfId="3526" builtinId="5"/>
    <cellStyle name="Percent [2]" xfId="1284"/>
    <cellStyle name="subhead" xfId="1285"/>
    <cellStyle name="Title" xfId="1286" builtinId="15" customBuiltin="1"/>
    <cellStyle name="Total" xfId="1287" builtinId="25" customBuiltin="1"/>
    <cellStyle name="Warning Text" xfId="1288" builtinId="11" customBuiltin="1"/>
    <cellStyle name="강조색1 2" xfId="1311"/>
    <cellStyle name="강조색1 3" xfId="1358"/>
    <cellStyle name="강조색2 2" xfId="1312"/>
    <cellStyle name="강조색2 3" xfId="1359"/>
    <cellStyle name="강조색3 2" xfId="1313"/>
    <cellStyle name="강조색3 3" xfId="1360"/>
    <cellStyle name="강조색4 2" xfId="1314"/>
    <cellStyle name="강조색4 3" xfId="1361"/>
    <cellStyle name="강조색5 2" xfId="1315"/>
    <cellStyle name="강조색5 3" xfId="1362"/>
    <cellStyle name="강조색6 2" xfId="1316"/>
    <cellStyle name="강조색6 3" xfId="1363"/>
    <cellStyle name="경고문 2" xfId="1317"/>
    <cellStyle name="경고문 3" xfId="1364"/>
    <cellStyle name="계산 2" xfId="1318"/>
    <cellStyle name="계산 3" xfId="1365"/>
    <cellStyle name="나쁨 2" xfId="1319"/>
    <cellStyle name="나쁨 3" xfId="1366"/>
    <cellStyle name="뒤에 오는 하이퍼링크_01_광고데이터종합" xfId="1233"/>
    <cellStyle name="메모 2" xfId="1320"/>
    <cellStyle name="메모 3" xfId="1367"/>
    <cellStyle name="백분율 2" xfId="1234"/>
    <cellStyle name="백분율 3" xfId="1235"/>
    <cellStyle name="보통 2" xfId="1321"/>
    <cellStyle name="보통 3" xfId="1368"/>
    <cellStyle name="설명 텍스트 2" xfId="1322"/>
    <cellStyle name="설명 텍스트 3" xfId="1369"/>
    <cellStyle name="셀 확인 2" xfId="1323"/>
    <cellStyle name="셀 확인 3" xfId="1370"/>
    <cellStyle name="쉼표 [0] 10" xfId="1237"/>
    <cellStyle name="쉼표 [0] 2" xfId="1238"/>
    <cellStyle name="쉼표 [0] 2 2" xfId="1239"/>
    <cellStyle name="쉼표 [0] 3" xfId="1240"/>
    <cellStyle name="쉼표 [0] 4" xfId="1241"/>
    <cellStyle name="쉼표 [0] 5" xfId="1324"/>
    <cellStyle name="쉼표 [0] 6" xfId="1371"/>
    <cellStyle name="쉼표 [0] 7" xfId="1389"/>
    <cellStyle name="스타일 1" xfId="1242"/>
    <cellStyle name="연결된 셀 2" xfId="1325"/>
    <cellStyle name="연결된 셀 3" xfId="1372"/>
    <cellStyle name="요약 2" xfId="1326"/>
    <cellStyle name="요약 3" xfId="1373"/>
    <cellStyle name="입력 2" xfId="1327"/>
    <cellStyle name="입력 3" xfId="1374"/>
    <cellStyle name="제목 1 2" xfId="1329"/>
    <cellStyle name="제목 1 3" xfId="1376"/>
    <cellStyle name="제목 2 2" xfId="1330"/>
    <cellStyle name="제목 2 3" xfId="1377"/>
    <cellStyle name="제목 3 2" xfId="1331"/>
    <cellStyle name="제목 3 3" xfId="1378"/>
    <cellStyle name="제목 4 2" xfId="1332"/>
    <cellStyle name="제목 4 3" xfId="1379"/>
    <cellStyle name="제목 5" xfId="1328"/>
    <cellStyle name="제목 6" xfId="1375"/>
    <cellStyle name="좋음 2" xfId="1333"/>
    <cellStyle name="좋음 3" xfId="1380"/>
    <cellStyle name="출력 2" xfId="1334"/>
    <cellStyle name="출력 3" xfId="1381"/>
    <cellStyle name="콤마 [0]_1" xfId="1243"/>
    <cellStyle name="콤마_1" xfId="1244"/>
    <cellStyle name="통화 [0] 2" xfId="1245"/>
    <cellStyle name="표준 10" xfId="1339"/>
    <cellStyle name="표준 11" xfId="1338"/>
    <cellStyle name="표준 12" xfId="1388"/>
    <cellStyle name="표준 17" xfId="1246"/>
    <cellStyle name="표준 2" xfId="1247"/>
    <cellStyle name="표준 2 2" xfId="1248"/>
    <cellStyle name="표준 3" xfId="1249"/>
    <cellStyle name="표준 3 5" xfId="1250"/>
    <cellStyle name="표준 4" xfId="1251"/>
    <cellStyle name="표준 5" xfId="1252"/>
    <cellStyle name="표준 6" xfId="1289"/>
    <cellStyle name="표준 6 2" xfId="1290"/>
    <cellStyle name="표준 6 2 2" xfId="1336"/>
    <cellStyle name="표준 6 2 2 2" xfId="1386"/>
    <cellStyle name="표준 6 2 3" xfId="1383"/>
    <cellStyle name="표준 6 3" xfId="1335"/>
    <cellStyle name="표준 6 3 2" xfId="1385"/>
    <cellStyle name="표준 6 4" xfId="1382"/>
    <cellStyle name="표준 7" xfId="1292"/>
    <cellStyle name="표준 8" xfId="1337"/>
    <cellStyle name="표준 8 2" xfId="1387"/>
    <cellStyle name="표준 9" xfId="1291"/>
    <cellStyle name="표준 9 2" xfId="1384"/>
    <cellStyle name="표준_(DMC)신부수업 Reporting_0823" xfId="1253"/>
    <cellStyle name="표준_(DMC)우아한세계_media mix_070202" xfId="1254"/>
    <cellStyle name="표준_텔레서비스_미디어pool" xfId="1255"/>
  </cellStyles>
  <dxfs count="31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  <dxf>
      <fill>
        <patternFill>
          <bgColor indexed="52"/>
        </patternFill>
      </fill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F4EEC4"/>
      <color rgb="FFEFE7AB"/>
      <color rgb="FFECE29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g"/><Relationship Id="rId2" Type="http://schemas.openxmlformats.org/officeDocument/2006/relationships/image" Target="../media/image17.jpg"/><Relationship Id="rId1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246130</xdr:colOff>
      <xdr:row>134</xdr:row>
      <xdr:rowOff>561698</xdr:rowOff>
    </xdr:from>
    <xdr:to>
      <xdr:col>7</xdr:col>
      <xdr:colOff>582958</xdr:colOff>
      <xdr:row>135</xdr:row>
      <xdr:rowOff>549648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4934" y="16588546"/>
          <a:ext cx="1948762" cy="1106101"/>
        </a:xfrm>
        <a:prstGeom prst="rect">
          <a:avLst/>
        </a:prstGeom>
      </xdr:spPr>
    </xdr:pic>
    <xdr:clientData/>
  </xdr:twoCellAnchor>
  <xdr:twoCellAnchor>
    <xdr:from>
      <xdr:col>1</xdr:col>
      <xdr:colOff>793749</xdr:colOff>
      <xdr:row>135</xdr:row>
      <xdr:rowOff>587374</xdr:rowOff>
    </xdr:from>
    <xdr:to>
      <xdr:col>2</xdr:col>
      <xdr:colOff>906627</xdr:colOff>
      <xdr:row>135</xdr:row>
      <xdr:rowOff>818166</xdr:rowOff>
    </xdr:to>
    <xdr:sp macro="" textlink="">
      <xdr:nvSpPr>
        <xdr:cNvPr id="6" name="Google Shape;196;p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968374" y="11287124"/>
          <a:ext cx="1168566" cy="23079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[Local_Birthday]</a:t>
          </a:r>
        </a:p>
      </xdr:txBody>
    </xdr:sp>
    <xdr:clientData/>
  </xdr:twoCellAnchor>
  <xdr:twoCellAnchor>
    <xdr:from>
      <xdr:col>2</xdr:col>
      <xdr:colOff>1393825</xdr:colOff>
      <xdr:row>135</xdr:row>
      <xdr:rowOff>619124</xdr:rowOff>
    </xdr:from>
    <xdr:to>
      <xdr:col>6</xdr:col>
      <xdr:colOff>27214</xdr:colOff>
      <xdr:row>135</xdr:row>
      <xdr:rowOff>844082</xdr:rowOff>
    </xdr:to>
    <xdr:sp macro="" textlink="">
      <xdr:nvSpPr>
        <xdr:cNvPr id="7" name="Google Shape;196;p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618468" y="13799910"/>
          <a:ext cx="1890032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[Local_Men's weekend]</a:t>
          </a:r>
        </a:p>
      </xdr:txBody>
    </xdr:sp>
    <xdr:clientData/>
  </xdr:twoCellAnchor>
  <xdr:twoCellAnchor>
    <xdr:from>
      <xdr:col>6</xdr:col>
      <xdr:colOff>519112</xdr:colOff>
      <xdr:row>135</xdr:row>
      <xdr:rowOff>627061</xdr:rowOff>
    </xdr:from>
    <xdr:to>
      <xdr:col>7</xdr:col>
      <xdr:colOff>68428</xdr:colOff>
      <xdr:row>135</xdr:row>
      <xdr:rowOff>852019</xdr:rowOff>
    </xdr:to>
    <xdr:sp macro="" textlink="">
      <xdr:nvSpPr>
        <xdr:cNvPr id="8" name="Google Shape;196;p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529262" y="10599736"/>
          <a:ext cx="1168566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[HQ_Safari]</a:t>
          </a:r>
        </a:p>
      </xdr:txBody>
    </xdr:sp>
    <xdr:clientData/>
  </xdr:twoCellAnchor>
  <xdr:twoCellAnchor>
    <xdr:from>
      <xdr:col>4</xdr:col>
      <xdr:colOff>31750</xdr:colOff>
      <xdr:row>134</xdr:row>
      <xdr:rowOff>126998</xdr:rowOff>
    </xdr:from>
    <xdr:to>
      <xdr:col>5</xdr:col>
      <xdr:colOff>851065</xdr:colOff>
      <xdr:row>134</xdr:row>
      <xdr:rowOff>374141</xdr:rowOff>
    </xdr:to>
    <xdr:sp macro="" textlink="">
      <xdr:nvSpPr>
        <xdr:cNvPr id="9" name="Google Shape;196;p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190875" y="97154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[Video Asset]</a:t>
          </a:r>
        </a:p>
      </xdr:txBody>
    </xdr:sp>
    <xdr:clientData/>
  </xdr:twoCellAnchor>
  <xdr:twoCellAnchor>
    <xdr:from>
      <xdr:col>11</xdr:col>
      <xdr:colOff>63500</xdr:colOff>
      <xdr:row>134</xdr:row>
      <xdr:rowOff>190498</xdr:rowOff>
    </xdr:from>
    <xdr:to>
      <xdr:col>12</xdr:col>
      <xdr:colOff>652628</xdr:colOff>
      <xdr:row>134</xdr:row>
      <xdr:rowOff>437641</xdr:rowOff>
    </xdr:to>
    <xdr:sp macro="" textlink="">
      <xdr:nvSpPr>
        <xdr:cNvPr id="10" name="Google Shape;196;p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9826625" y="9778998"/>
          <a:ext cx="1494003" cy="24714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105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[Static Asset]</a:t>
          </a:r>
        </a:p>
      </xdr:txBody>
    </xdr:sp>
    <xdr:clientData/>
  </xdr:twoCellAnchor>
  <xdr:twoCellAnchor editAs="oneCell">
    <xdr:from>
      <xdr:col>1</xdr:col>
      <xdr:colOff>201611</xdr:colOff>
      <xdr:row>134</xdr:row>
      <xdr:rowOff>557736</xdr:rowOff>
    </xdr:from>
    <xdr:to>
      <xdr:col>2</xdr:col>
      <xdr:colOff>1116568</xdr:colOff>
      <xdr:row>135</xdr:row>
      <xdr:rowOff>558803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68" y="16584584"/>
          <a:ext cx="1947108" cy="1122393"/>
        </a:xfrm>
        <a:prstGeom prst="rect">
          <a:avLst/>
        </a:prstGeom>
      </xdr:spPr>
    </xdr:pic>
    <xdr:clientData/>
  </xdr:twoCellAnchor>
  <xdr:twoCellAnchor editAs="oneCell">
    <xdr:from>
      <xdr:col>2</xdr:col>
      <xdr:colOff>1311413</xdr:colOff>
      <xdr:row>134</xdr:row>
      <xdr:rowOff>552174</xdr:rowOff>
    </xdr:from>
    <xdr:to>
      <xdr:col>6</xdr:col>
      <xdr:colOff>63773</xdr:colOff>
      <xdr:row>135</xdr:row>
      <xdr:rowOff>562177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26196" y="16579022"/>
          <a:ext cx="1999556" cy="1124979"/>
        </a:xfrm>
        <a:prstGeom prst="rect">
          <a:avLst/>
        </a:prstGeom>
      </xdr:spPr>
    </xdr:pic>
    <xdr:clientData/>
  </xdr:twoCellAnchor>
  <xdr:twoCellAnchor editAs="oneCell">
    <xdr:from>
      <xdr:col>10</xdr:col>
      <xdr:colOff>546105</xdr:colOff>
      <xdr:row>134</xdr:row>
      <xdr:rowOff>485822</xdr:rowOff>
    </xdr:from>
    <xdr:to>
      <xdr:col>11</xdr:col>
      <xdr:colOff>526844</xdr:colOff>
      <xdr:row>135</xdr:row>
      <xdr:rowOff>768577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4380" y="9353597"/>
          <a:ext cx="693826" cy="1394002"/>
        </a:xfrm>
        <a:prstGeom prst="rect">
          <a:avLst/>
        </a:prstGeom>
      </xdr:spPr>
    </xdr:pic>
    <xdr:clientData/>
  </xdr:twoCellAnchor>
  <xdr:twoCellAnchor>
    <xdr:from>
      <xdr:col>7</xdr:col>
      <xdr:colOff>867787</xdr:colOff>
      <xdr:row>134</xdr:row>
      <xdr:rowOff>469900</xdr:rowOff>
    </xdr:from>
    <xdr:to>
      <xdr:col>10</xdr:col>
      <xdr:colOff>442912</xdr:colOff>
      <xdr:row>135</xdr:row>
      <xdr:rowOff>766714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6952901" y="18834100"/>
          <a:ext cx="1991754" cy="1407157"/>
          <a:chOff x="2642851" y="4868574"/>
          <a:chExt cx="2610533" cy="176457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4868575"/>
            <a:ext cx="838787" cy="698990"/>
          </a:xfrm>
          <a:prstGeom prst="rect">
            <a:avLst/>
          </a:prstGeom>
        </xdr:spPr>
      </xdr:pic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507723" y="4868574"/>
            <a:ext cx="837931" cy="698275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4370415" y="4874556"/>
            <a:ext cx="882967" cy="692293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42851" y="5591634"/>
            <a:ext cx="2610533" cy="672817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650780" y="6302406"/>
            <a:ext cx="2579786" cy="330742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266700</xdr:colOff>
      <xdr:row>134</xdr:row>
      <xdr:rowOff>495301</xdr:rowOff>
    </xdr:from>
    <xdr:to>
      <xdr:col>14</xdr:col>
      <xdr:colOff>971550</xdr:colOff>
      <xdr:row>135</xdr:row>
      <xdr:rowOff>781053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0" y="9363076"/>
          <a:ext cx="704850" cy="1390649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134</xdr:row>
      <xdr:rowOff>1066407</xdr:rowOff>
    </xdr:from>
    <xdr:to>
      <xdr:col>14</xdr:col>
      <xdr:colOff>105611</xdr:colOff>
      <xdr:row>135</xdr:row>
      <xdr:rowOff>476253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9934182"/>
          <a:ext cx="2000249" cy="514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134</xdr:row>
      <xdr:rowOff>495301</xdr:rowOff>
    </xdr:from>
    <xdr:to>
      <xdr:col>13</xdr:col>
      <xdr:colOff>85291</xdr:colOff>
      <xdr:row>134</xdr:row>
      <xdr:rowOff>1028701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363076"/>
          <a:ext cx="640080" cy="533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245250</xdr:colOff>
      <xdr:row>134</xdr:row>
      <xdr:rowOff>492901</xdr:rowOff>
    </xdr:from>
    <xdr:to>
      <xdr:col>14</xdr:col>
      <xdr:colOff>200025</xdr:colOff>
      <xdr:row>134</xdr:row>
      <xdr:rowOff>1018775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3825" y="9360676"/>
          <a:ext cx="631049" cy="525874"/>
        </a:xfrm>
        <a:prstGeom prst="rect">
          <a:avLst/>
        </a:prstGeom>
      </xdr:spPr>
    </xdr:pic>
    <xdr:clientData/>
  </xdr:twoCellAnchor>
  <xdr:twoCellAnchor editAs="oneCell">
    <xdr:from>
      <xdr:col>11</xdr:col>
      <xdr:colOff>623850</xdr:colOff>
      <xdr:row>134</xdr:row>
      <xdr:rowOff>496025</xdr:rowOff>
    </xdr:from>
    <xdr:to>
      <xdr:col>12</xdr:col>
      <xdr:colOff>333375</xdr:colOff>
      <xdr:row>134</xdr:row>
      <xdr:rowOff>1008025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00" y="9363800"/>
          <a:ext cx="614400" cy="512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135</xdr:row>
      <xdr:rowOff>523874</xdr:rowOff>
    </xdr:from>
    <xdr:to>
      <xdr:col>14</xdr:col>
      <xdr:colOff>82751</xdr:colOff>
      <xdr:row>135</xdr:row>
      <xdr:rowOff>781049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4625" y="10496549"/>
          <a:ext cx="2005964" cy="257175"/>
        </a:xfrm>
        <a:prstGeom prst="rect">
          <a:avLst/>
        </a:prstGeom>
      </xdr:spPr>
    </xdr:pic>
    <xdr:clientData/>
  </xdr:twoCellAnchor>
  <xdr:twoCellAnchor>
    <xdr:from>
      <xdr:col>7</xdr:col>
      <xdr:colOff>938211</xdr:colOff>
      <xdr:row>135</xdr:row>
      <xdr:rowOff>760411</xdr:rowOff>
    </xdr:from>
    <xdr:to>
      <xdr:col>10</xdr:col>
      <xdr:colOff>419099</xdr:colOff>
      <xdr:row>135</xdr:row>
      <xdr:rowOff>985369</xdr:rowOff>
    </xdr:to>
    <xdr:sp macro="" textlink="">
      <xdr:nvSpPr>
        <xdr:cNvPr id="2" name="Google Shape;196;p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567611" y="10733086"/>
          <a:ext cx="1909763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[1st GDN Variation_Birthday]</a:t>
          </a:r>
        </a:p>
      </xdr:txBody>
    </xdr:sp>
    <xdr:clientData/>
  </xdr:twoCellAnchor>
  <xdr:twoCellAnchor>
    <xdr:from>
      <xdr:col>11</xdr:col>
      <xdr:colOff>604836</xdr:colOff>
      <xdr:row>135</xdr:row>
      <xdr:rowOff>760411</xdr:rowOff>
    </xdr:from>
    <xdr:to>
      <xdr:col>14</xdr:col>
      <xdr:colOff>428625</xdr:colOff>
      <xdr:row>135</xdr:row>
      <xdr:rowOff>985369</xdr:rowOff>
    </xdr:to>
    <xdr:sp macro="" textlink="">
      <xdr:nvSpPr>
        <xdr:cNvPr id="5" name="Google Shape;196;p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339386" y="10733086"/>
          <a:ext cx="2224089" cy="22495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ctr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en-US" sz="900" b="1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Arial"/>
              <a:cs typeface="Arial"/>
              <a:sym typeface="Arial"/>
            </a:rPr>
            <a:t>[2nd GDN Variation_Men's weekend]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2" name="AutoShape 1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93979</xdr:rowOff>
    </xdr:to>
    <xdr:sp macro="" textlink="">
      <xdr:nvSpPr>
        <xdr:cNvPr id="3" name="AutoShape 2" descr="blob:https://web.telegram.org/94f82435-9ce3-4392-9244-1903cb4926a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859780" y="6309360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160235</xdr:colOff>
      <xdr:row>10</xdr:row>
      <xdr:rowOff>47681</xdr:rowOff>
    </xdr:from>
    <xdr:to>
      <xdr:col>2</xdr:col>
      <xdr:colOff>1801935</xdr:colOff>
      <xdr:row>10</xdr:row>
      <xdr:rowOff>967337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AA034-1838-402B-B4B9-3DD7468AD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3476681"/>
          <a:ext cx="1641700" cy="919656"/>
        </a:xfrm>
        <a:prstGeom prst="rect">
          <a:avLst/>
        </a:prstGeom>
      </xdr:spPr>
    </xdr:pic>
    <xdr:clientData/>
  </xdr:twoCellAnchor>
  <xdr:twoCellAnchor editAs="oneCell">
    <xdr:from>
      <xdr:col>2</xdr:col>
      <xdr:colOff>142433</xdr:colOff>
      <xdr:row>9</xdr:row>
      <xdr:rowOff>47477</xdr:rowOff>
    </xdr:from>
    <xdr:to>
      <xdr:col>2</xdr:col>
      <xdr:colOff>1786309</xdr:colOff>
      <xdr:row>9</xdr:row>
      <xdr:rowOff>991559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A778C-FB41-4BAC-9771-291D4FB1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2440157"/>
          <a:ext cx="1643876" cy="944082"/>
        </a:xfrm>
        <a:prstGeom prst="rect">
          <a:avLst/>
        </a:prstGeom>
      </xdr:spPr>
    </xdr:pic>
    <xdr:clientData/>
  </xdr:twoCellAnchor>
  <xdr:twoCellAnchor editAs="oneCell">
    <xdr:from>
      <xdr:col>2</xdr:col>
      <xdr:colOff>154299</xdr:colOff>
      <xdr:row>8</xdr:row>
      <xdr:rowOff>0</xdr:rowOff>
    </xdr:from>
    <xdr:to>
      <xdr:col>2</xdr:col>
      <xdr:colOff>1786308</xdr:colOff>
      <xdr:row>8</xdr:row>
      <xdr:rowOff>914165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6929-7F4E-4A8B-A1B7-2BDE0CD2F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1402080"/>
          <a:ext cx="1632009" cy="914165"/>
        </a:xfrm>
        <a:prstGeom prst="rect">
          <a:avLst/>
        </a:prstGeom>
      </xdr:spPr>
    </xdr:pic>
    <xdr:clientData/>
  </xdr:twoCellAnchor>
  <xdr:oneCellAnchor>
    <xdr:from>
      <xdr:col>2</xdr:col>
      <xdr:colOff>160235</xdr:colOff>
      <xdr:row>13</xdr:row>
      <xdr:rowOff>47681</xdr:rowOff>
    </xdr:from>
    <xdr:ext cx="1641700" cy="919656"/>
    <xdr:pic>
      <xdr:nvPicPr>
        <xdr:cNvPr id="5" name="Picture 4">
          <a:extLst>
            <a:ext uri="{FF2B5EF4-FFF2-40B4-BE49-F238E27FC236}">
              <a16:creationId xmlns:a16="http://schemas.microsoft.com/office/drawing/2014/main" id="{A764D829-8985-4481-815A-A9144116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651706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12</xdr:row>
      <xdr:rowOff>47477</xdr:rowOff>
    </xdr:from>
    <xdr:ext cx="1643876" cy="944082"/>
    <xdr:pic>
      <xdr:nvPicPr>
        <xdr:cNvPr id="6" name="Picture 5">
          <a:extLst>
            <a:ext uri="{FF2B5EF4-FFF2-40B4-BE49-F238E27FC236}">
              <a16:creationId xmlns:a16="http://schemas.microsoft.com/office/drawing/2014/main" id="{F7118E72-4B8F-4BB8-B066-9D6E5B107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548053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11</xdr:row>
      <xdr:rowOff>0</xdr:rowOff>
    </xdr:from>
    <xdr:ext cx="1632009" cy="914165"/>
    <xdr:pic>
      <xdr:nvPicPr>
        <xdr:cNvPr id="7" name="Picture 6">
          <a:extLst>
            <a:ext uri="{FF2B5EF4-FFF2-40B4-BE49-F238E27FC236}">
              <a16:creationId xmlns:a16="http://schemas.microsoft.com/office/drawing/2014/main" id="{D513E218-A98E-40C8-91DF-2087C5B1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4442460"/>
          <a:ext cx="1632009" cy="914165"/>
        </a:xfrm>
        <a:prstGeom prst="rect">
          <a:avLst/>
        </a:prstGeom>
      </xdr:spPr>
    </xdr:pic>
    <xdr:clientData/>
  </xdr:oneCellAnchor>
  <xdr:oneCellAnchor>
    <xdr:from>
      <xdr:col>2</xdr:col>
      <xdr:colOff>160235</xdr:colOff>
      <xdr:row>16</xdr:row>
      <xdr:rowOff>47681</xdr:rowOff>
    </xdr:from>
    <xdr:ext cx="1641700" cy="919656"/>
    <xdr:pic>
      <xdr:nvPicPr>
        <xdr:cNvPr id="8" name="Picture 7">
          <a:extLst>
            <a:ext uri="{FF2B5EF4-FFF2-40B4-BE49-F238E27FC236}">
              <a16:creationId xmlns:a16="http://schemas.microsoft.com/office/drawing/2014/main" id="{CFD8C6A8-5603-47D8-B324-AEF78B34D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55" y="9557441"/>
          <a:ext cx="1641700" cy="919656"/>
        </a:xfrm>
        <a:prstGeom prst="rect">
          <a:avLst/>
        </a:prstGeom>
      </xdr:spPr>
    </xdr:pic>
    <xdr:clientData/>
  </xdr:oneCellAnchor>
  <xdr:oneCellAnchor>
    <xdr:from>
      <xdr:col>2</xdr:col>
      <xdr:colOff>142433</xdr:colOff>
      <xdr:row>15</xdr:row>
      <xdr:rowOff>47477</xdr:rowOff>
    </xdr:from>
    <xdr:ext cx="1643876" cy="944082"/>
    <xdr:pic>
      <xdr:nvPicPr>
        <xdr:cNvPr id="9" name="Picture 8">
          <a:extLst>
            <a:ext uri="{FF2B5EF4-FFF2-40B4-BE49-F238E27FC236}">
              <a16:creationId xmlns:a16="http://schemas.microsoft.com/office/drawing/2014/main" id="{412B6A93-8F00-48A2-A257-FA9EA0F44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653" y="8520917"/>
          <a:ext cx="1643876" cy="944082"/>
        </a:xfrm>
        <a:prstGeom prst="rect">
          <a:avLst/>
        </a:prstGeom>
      </xdr:spPr>
    </xdr:pic>
    <xdr:clientData/>
  </xdr:oneCellAnchor>
  <xdr:oneCellAnchor>
    <xdr:from>
      <xdr:col>2</xdr:col>
      <xdr:colOff>154299</xdr:colOff>
      <xdr:row>14</xdr:row>
      <xdr:rowOff>0</xdr:rowOff>
    </xdr:from>
    <xdr:ext cx="1632009" cy="914165"/>
    <xdr:pic>
      <xdr:nvPicPr>
        <xdr:cNvPr id="10" name="Picture 9">
          <a:extLst>
            <a:ext uri="{FF2B5EF4-FFF2-40B4-BE49-F238E27FC236}">
              <a16:creationId xmlns:a16="http://schemas.microsoft.com/office/drawing/2014/main" id="{330464BF-9867-4279-8823-CA9F05D7F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19" y="7482840"/>
          <a:ext cx="1632009" cy="91416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d12\247server\&#49324;&#54924;\Synad\&#44305;&#44256;&#51652;&#54665;&#49345;&#54889;\Accumulated%20Performance%20Data_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20.64.46.14/share/Documents%20and%20Settings/nhn/&#48148;&#53461;%20&#54868;&#47732;/fun!/&#51228;&#50504;&#49436;/NHN.Media%20Proposal.nhn.ver1.5.07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0.64.46.14\share\Documents%20and%20Settings\nhn\&#48148;&#53461;%20&#54868;&#47732;\fun!\&#51228;&#50504;&#49436;\NHN.Media%20Proposal.nhn.ver1.5.07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77e741e9987df67/Report/W6-1/W5-1/ThinQ%20Campaign_EG_Digital%20Media%20Report_19102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빼빼로"/>
      <sheetName val="엔미즈"/>
      <sheetName val="미세스키홈스쿨 (3)"/>
      <sheetName val="미세스키홈스쿨 (2)"/>
      <sheetName val="엔미즈_코리아"/>
      <sheetName val="엔미즈_타겟메일"/>
      <sheetName val="제크 (2)"/>
      <sheetName val="미세스키홈스쿨"/>
      <sheetName val="게토레이_MSN"/>
      <sheetName val="게토레이_엠파스"/>
      <sheetName val="게토레이_iMBC"/>
      <sheetName val="게토레이_코리아"/>
      <sheetName val="나뚜루"/>
      <sheetName val="팅클"/>
      <sheetName val="미세스키"/>
      <sheetName val="칸쵸_2"/>
      <sheetName val="칸쵸_1"/>
      <sheetName val="롯데제과_설레임2nd"/>
      <sheetName val="롯데제과_설레임1st"/>
      <sheetName val="롯데타운_마루"/>
      <sheetName val="도시바"/>
      <sheetName val="카마이타치의밤"/>
      <sheetName val="제크"/>
      <sheetName val="올림푸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단가표"/>
      <sheetName val="가이드모음"/>
      <sheetName val="게재지면캡쳐"/>
      <sheetName val="사용방법"/>
      <sheetName val="mediamix샘플_확정"/>
      <sheetName val="코오롱세계일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페이스북"/>
      <sheetName val="네이트"/>
      <sheetName val="Summary"/>
      <sheetName val="Daily "/>
      <sheetName val="Facebook Carousel"/>
      <sheetName val="Facebook Vid"/>
      <sheetName val="Instagram Vid"/>
      <sheetName val="Youtube Trueview"/>
      <sheetName val="GDN"/>
      <sheetName val="Influencer Overall"/>
      <sheetName val="KSA"/>
      <sheetName val="Influencer data"/>
      <sheetName val="Iraq"/>
      <sheetName val="Rawdata"/>
      <sheetName val="Influencer"/>
      <sheetName val="LG.com Overview "/>
      <sheetName val="Owned Media"/>
    </sheetNames>
    <sheetDataSet>
      <sheetData sheetId="0"/>
      <sheetData sheetId="1"/>
      <sheetData sheetId="2"/>
      <sheetData sheetId="3">
        <row r="60">
          <cell r="L60">
            <v>0</v>
          </cell>
        </row>
      </sheetData>
      <sheetData sheetId="4"/>
      <sheetData sheetId="5"/>
      <sheetData sheetId="6">
        <row r="74">
          <cell r="BT74">
            <v>0</v>
          </cell>
        </row>
      </sheetData>
      <sheetData sheetId="7"/>
      <sheetData sheetId="8">
        <row r="51">
          <cell r="T51">
            <v>1.0658266062873269E-2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shorts/m9P2zlYp5xs" TargetMode="External"/><Relationship Id="rId18" Type="http://schemas.openxmlformats.org/officeDocument/2006/relationships/hyperlink" Target="https://youtu.be/7fjKvuVNBuM" TargetMode="External"/><Relationship Id="rId26" Type="http://schemas.openxmlformats.org/officeDocument/2006/relationships/hyperlink" Target="https://www.instagram.com/reel/Ci20HIyqo0D'" TargetMode="External"/><Relationship Id="rId3" Type="http://schemas.openxmlformats.org/officeDocument/2006/relationships/hyperlink" Target="https://www.instagram.com/reel/Cj-Y1asDPRG" TargetMode="External"/><Relationship Id="rId21" Type="http://schemas.openxmlformats.org/officeDocument/2006/relationships/hyperlink" Target="https://www.instagram.com/reel/CktOE17DKRG" TargetMode="External"/><Relationship Id="rId34" Type="http://schemas.openxmlformats.org/officeDocument/2006/relationships/printerSettings" Target="../printerSettings/printerSettings12.bin"/><Relationship Id="rId7" Type="http://schemas.openxmlformats.org/officeDocument/2006/relationships/hyperlink" Target="https://youtu.be/7fjKvuVNBuM" TargetMode="External"/><Relationship Id="rId12" Type="http://schemas.openxmlformats.org/officeDocument/2006/relationships/hyperlink" Target="https://youtu.be/LDknkEAaPjE" TargetMode="External"/><Relationship Id="rId17" Type="http://schemas.openxmlformats.org/officeDocument/2006/relationships/hyperlink" Target="https://www.instagram.com/reel/Ckp0TKAI4yq" TargetMode="External"/><Relationship Id="rId25" Type="http://schemas.openxmlformats.org/officeDocument/2006/relationships/hyperlink" Target="https://www.instagram.com/reel/Ci20HIyqo0D" TargetMode="External"/><Relationship Id="rId33" Type="http://schemas.openxmlformats.org/officeDocument/2006/relationships/hyperlink" Target="https://www.instagram.com/reel/ClEWgDqAbIx" TargetMode="External"/><Relationship Id="rId2" Type="http://schemas.openxmlformats.org/officeDocument/2006/relationships/hyperlink" Target="https://youtu.be/7fjKvuVNBuM" TargetMode="External"/><Relationship Id="rId16" Type="http://schemas.openxmlformats.org/officeDocument/2006/relationships/hyperlink" Target="https://www.instagram.com/reel/Cix6F0NAVmI" TargetMode="External"/><Relationship Id="rId20" Type="http://schemas.openxmlformats.org/officeDocument/2006/relationships/hyperlink" Target="https://www.instagram.com/reel/Cix578uDONO" TargetMode="External"/><Relationship Id="rId29" Type="http://schemas.openxmlformats.org/officeDocument/2006/relationships/hyperlink" Target="https://t.me/s/Techpills/1665" TargetMode="External"/><Relationship Id="rId1" Type="http://schemas.openxmlformats.org/officeDocument/2006/relationships/hyperlink" Target="https://www.instagram.com/reel/CixRwhPj9ev" TargetMode="External"/><Relationship Id="rId6" Type="http://schemas.openxmlformats.org/officeDocument/2006/relationships/hyperlink" Target="https://youtu.be/JYki8OTuous" TargetMode="External"/><Relationship Id="rId11" Type="http://schemas.openxmlformats.org/officeDocument/2006/relationships/hyperlink" Target="https://youtu.be/HrQEqxvYEfw" TargetMode="External"/><Relationship Id="rId24" Type="http://schemas.openxmlformats.org/officeDocument/2006/relationships/hyperlink" Target="https://www.instagram.com/reel/Cixm8-8BVKA" TargetMode="External"/><Relationship Id="rId32" Type="http://schemas.openxmlformats.org/officeDocument/2006/relationships/hyperlink" Target="https://www.instagram.com/reel/Ck_BUbZIPAP/" TargetMode="External"/><Relationship Id="rId5" Type="http://schemas.openxmlformats.org/officeDocument/2006/relationships/hyperlink" Target="https://youtu.be/EPFqMk-zRIk" TargetMode="External"/><Relationship Id="rId15" Type="http://schemas.openxmlformats.org/officeDocument/2006/relationships/hyperlink" Target="https://youtu.be/5TJegvyDzUs" TargetMode="External"/><Relationship Id="rId23" Type="http://schemas.openxmlformats.org/officeDocument/2006/relationships/hyperlink" Target="https://www.instagram.com/reel/Ck_hpiZgjo7" TargetMode="External"/><Relationship Id="rId28" Type="http://schemas.openxmlformats.org/officeDocument/2006/relationships/hyperlink" Target="https://www.facebook.com/watch/?v=631117431910723" TargetMode="External"/><Relationship Id="rId10" Type="http://schemas.openxmlformats.org/officeDocument/2006/relationships/hyperlink" Target="https://youtube.com/shorts/fS1VlEOqLJI" TargetMode="External"/><Relationship Id="rId19" Type="http://schemas.openxmlformats.org/officeDocument/2006/relationships/hyperlink" Target="https://www.instagram.com/reel/Cj-Y1asDPRG" TargetMode="External"/><Relationship Id="rId31" Type="http://schemas.openxmlformats.org/officeDocument/2006/relationships/hyperlink" Target="https://www.instagram.com/reel/Ci9zGgYIC8t/" TargetMode="External"/><Relationship Id="rId4" Type="http://schemas.openxmlformats.org/officeDocument/2006/relationships/hyperlink" Target="https://youtu.be/N2bfSXtb_Ic" TargetMode="External"/><Relationship Id="rId9" Type="http://schemas.openxmlformats.org/officeDocument/2006/relationships/hyperlink" Target="https://youtu.be/DFGoLwh7A3k" TargetMode="External"/><Relationship Id="rId14" Type="http://schemas.openxmlformats.org/officeDocument/2006/relationships/hyperlink" Target="https://youtu.be/m8bnAYltuzM" TargetMode="External"/><Relationship Id="rId22" Type="http://schemas.openxmlformats.org/officeDocument/2006/relationships/hyperlink" Target="https://www.instagram.com/reel/Ci2XoDqARX-" TargetMode="External"/><Relationship Id="rId27" Type="http://schemas.openxmlformats.org/officeDocument/2006/relationships/hyperlink" Target="https://www.instagram.com/p/CkjEFQUA1Xc/" TargetMode="External"/><Relationship Id="rId30" Type="http://schemas.openxmlformats.org/officeDocument/2006/relationships/hyperlink" Target="https://twitter.com/falsaif/status/1572557340100132866" TargetMode="External"/><Relationship Id="rId8" Type="http://schemas.openxmlformats.org/officeDocument/2006/relationships/hyperlink" Target="https://youtu.be/N2bfSXtb_Ic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N2bfSXtb_Ic" TargetMode="External"/><Relationship Id="rId3" Type="http://schemas.openxmlformats.org/officeDocument/2006/relationships/hyperlink" Target="https://www.instagram.com/reel/CixRwhPj9ev" TargetMode="External"/><Relationship Id="rId7" Type="http://schemas.openxmlformats.org/officeDocument/2006/relationships/hyperlink" Target="https://www.instagram.com/reel/Ckp0TKAI4yq" TargetMode="External"/><Relationship Id="rId2" Type="http://schemas.openxmlformats.org/officeDocument/2006/relationships/hyperlink" Target="https://youtu.be/EPFqMk-zRIk" TargetMode="External"/><Relationship Id="rId1" Type="http://schemas.openxmlformats.org/officeDocument/2006/relationships/hyperlink" Target="https://www.instagram.com/reel/Cix6F0NAVmI" TargetMode="External"/><Relationship Id="rId6" Type="http://schemas.openxmlformats.org/officeDocument/2006/relationships/hyperlink" Target="https://youtu.be/JYki8OTuous" TargetMode="External"/><Relationship Id="rId5" Type="http://schemas.openxmlformats.org/officeDocument/2006/relationships/hyperlink" Target="https://www.instagram.com/reel/Cj-Y1asDPRG" TargetMode="External"/><Relationship Id="rId4" Type="http://schemas.openxmlformats.org/officeDocument/2006/relationships/hyperlink" Target="https://youtu.be/7fjKvuVNBuM" TargetMode="External"/><Relationship Id="rId9" Type="http://schemas.openxmlformats.org/officeDocument/2006/relationships/hyperlink" Target="https://www.instagram.com/reel/Ck_BUbZIPAP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tagram.com/p/Cj242RVtOfx/" TargetMode="External"/><Relationship Id="rId2" Type="http://schemas.openxmlformats.org/officeDocument/2006/relationships/hyperlink" Target="https://www.facebook.com/LGSaudi/videos/&#1575;&#1581;&#1589;&#1604;-&#1593;&#1604;&#1609;-&#1575;&#1604;&#1605;&#1586;&#1610;&#1583;-&#1605;&#1606;-&#1575;&#1604;&#1585;&#1608;&#1593;&#1577;&#1578;&#1591;&#1576;&#1610;&#1602;-&#1608;&#1575;&#1581;&#1583;-&#1604;&#1604;&#1578;&#1581;&#1603;&#1605;-&#1576;&#1607;&#1605;-&#1580;&#1605;&#1610;&#1593;&#1575;&#1611;-&#1602;&#1605;-&#1576;&#1578;&#1606;&#1586;&#1610;&#1604;-&#1578;&#1591;&#1576;&#1610;&#1602;-lg-thinq-&#1604;/645439633690236/" TargetMode="External"/><Relationship Id="rId1" Type="http://schemas.openxmlformats.org/officeDocument/2006/relationships/hyperlink" Target="https://www.facebook.com/watch/?v=804320224010187" TargetMode="External"/><Relationship Id="rId4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autoPageBreaks="0" fitToPage="1"/>
  </sheetPr>
  <dimension ref="A2:U136"/>
  <sheetViews>
    <sheetView showGridLines="0" topLeftCell="A80" zoomScale="70" zoomScaleNormal="70" workbookViewId="0">
      <selection activeCell="H101" sqref="H101"/>
    </sheetView>
  </sheetViews>
  <sheetFormatPr defaultColWidth="8.8984375" defaultRowHeight="15.6"/>
  <cols>
    <col min="1" max="1" width="2.296875" style="1" customWidth="1"/>
    <col min="2" max="2" width="13.69921875" style="2" customWidth="1"/>
    <col min="3" max="3" width="18.296875" style="3" customWidth="1"/>
    <col min="4" max="4" width="2.3984375" style="2" hidden="1" customWidth="1"/>
    <col min="5" max="5" width="8.69921875" style="3" customWidth="1"/>
    <col min="6" max="6" width="15.69921875" style="3" customWidth="1"/>
    <col min="7" max="7" width="21.09765625" style="4" bestFit="1" customWidth="1"/>
    <col min="8" max="8" width="12.69921875" style="2" customWidth="1"/>
    <col min="9" max="9" width="10.09765625" style="4" bestFit="1" customWidth="1"/>
    <col min="10" max="10" width="8.8984375" style="2" bestFit="1"/>
    <col min="11" max="11" width="9.3984375" style="2" customWidth="1"/>
    <col min="12" max="12" width="11.8984375" style="4" customWidth="1"/>
    <col min="13" max="13" width="12.09765625" style="5" customWidth="1"/>
    <col min="14" max="14" width="8.8984375" style="2"/>
    <col min="15" max="15" width="14.296875" style="2" customWidth="1"/>
    <col min="16" max="17" width="8.8984375" style="2"/>
    <col min="18" max="18" width="11.09765625" style="2" bestFit="1" customWidth="1"/>
    <col min="19" max="16384" width="8.8984375" style="2"/>
  </cols>
  <sheetData>
    <row r="2" spans="1:21">
      <c r="B2" s="1853" t="s">
        <v>0</v>
      </c>
      <c r="C2" s="1854"/>
      <c r="D2" s="1854"/>
      <c r="E2" s="1855"/>
      <c r="F2" s="11"/>
      <c r="G2" s="11"/>
      <c r="H2" s="11"/>
      <c r="I2" s="11"/>
      <c r="J2" s="11"/>
      <c r="K2" s="11"/>
      <c r="L2" s="11"/>
      <c r="M2" s="11"/>
    </row>
    <row r="3" spans="1:21" ht="15.6" customHeight="1">
      <c r="B3" s="775" t="s">
        <v>1</v>
      </c>
      <c r="C3" s="1856" t="s">
        <v>2</v>
      </c>
      <c r="D3" s="1856"/>
      <c r="E3" s="1856"/>
      <c r="F3" s="12"/>
      <c r="G3" s="12"/>
      <c r="H3" s="12"/>
      <c r="I3" s="12"/>
      <c r="J3" s="12"/>
      <c r="K3" s="12"/>
      <c r="L3" s="12"/>
      <c r="M3" s="12"/>
    </row>
    <row r="4" spans="1:21">
      <c r="B4" s="775" t="s">
        <v>3</v>
      </c>
      <c r="C4" s="1857" t="s">
        <v>4</v>
      </c>
      <c r="D4" s="1857"/>
      <c r="E4" s="1857"/>
      <c r="F4" s="13"/>
      <c r="G4" s="13"/>
      <c r="H4" s="13"/>
      <c r="I4" s="13"/>
      <c r="J4" s="13"/>
      <c r="K4" s="13"/>
      <c r="L4" s="13"/>
      <c r="M4" s="13"/>
    </row>
    <row r="5" spans="1:21" ht="21.6" customHeight="1">
      <c r="B5" s="776" t="s">
        <v>5</v>
      </c>
      <c r="C5" s="1858">
        <v>84070</v>
      </c>
      <c r="D5" s="1858"/>
      <c r="E5" s="1858"/>
      <c r="F5" s="14"/>
      <c r="G5" s="14"/>
      <c r="H5" s="667" t="s">
        <v>6</v>
      </c>
      <c r="I5" s="14"/>
      <c r="J5" s="13"/>
      <c r="K5" s="13"/>
      <c r="L5" s="667" t="s">
        <v>7</v>
      </c>
      <c r="M5" s="14"/>
    </row>
    <row r="6" spans="1:21" ht="29.25" customHeight="1">
      <c r="B6" s="6"/>
      <c r="C6" s="7"/>
      <c r="D6" s="8"/>
      <c r="E6" s="7"/>
      <c r="F6" s="7"/>
      <c r="G6" s="9"/>
      <c r="H6" s="666" t="e">
        <f>SUM('Daily_Total '!Z16,'Daily_Total '!AD16)/SUM('Daily_Total '!AA16,'Daily_Total '!AE16)</f>
        <v>#REF!</v>
      </c>
      <c r="I6" s="9"/>
      <c r="J6" s="658" t="s">
        <v>8</v>
      </c>
      <c r="K6" s="659"/>
      <c r="L6" s="666" t="e">
        <f>SUM('Daily_Total '!Z18,'Daily_Total '!AD18)/SUM('Daily_Total '!AA18,'Daily_Total '!AE18)</f>
        <v>#REF!</v>
      </c>
      <c r="M6" s="660"/>
      <c r="O6" s="658" t="s">
        <v>9</v>
      </c>
      <c r="P6" s="658" t="s">
        <v>10</v>
      </c>
      <c r="Q6" s="658" t="s">
        <v>11</v>
      </c>
      <c r="R6" s="658" t="s">
        <v>12</v>
      </c>
    </row>
    <row r="7" spans="1:21" ht="16.350000000000001" hidden="1" customHeight="1">
      <c r="B7" s="1859" t="s">
        <v>13</v>
      </c>
      <c r="C7" s="1860"/>
      <c r="D7" s="1860"/>
      <c r="E7" s="1860"/>
      <c r="F7" s="1860"/>
      <c r="G7" s="1860"/>
      <c r="H7" s="1860"/>
      <c r="I7" s="1860"/>
      <c r="J7" s="1860"/>
      <c r="K7" s="1860"/>
      <c r="L7" s="1860"/>
      <c r="M7" s="1860"/>
      <c r="N7" s="1860"/>
      <c r="O7" s="1860"/>
      <c r="P7" s="1860"/>
      <c r="Q7" s="1860"/>
      <c r="R7" s="1861"/>
      <c r="S7" s="62"/>
      <c r="T7" s="62"/>
      <c r="U7" s="62"/>
    </row>
    <row r="8" spans="1:21" ht="15.6" hidden="1" customHeight="1">
      <c r="B8" s="1959"/>
      <c r="C8" s="1877" t="s">
        <v>14</v>
      </c>
      <c r="D8" s="1877"/>
      <c r="E8" s="1877"/>
      <c r="F8" s="1867" t="s">
        <v>15</v>
      </c>
      <c r="G8" s="1883" t="s">
        <v>16</v>
      </c>
      <c r="H8" s="1883"/>
      <c r="I8" s="1883" t="s">
        <v>17</v>
      </c>
      <c r="J8" s="1883"/>
      <c r="K8" s="1890" t="s">
        <v>18</v>
      </c>
      <c r="L8" s="1890"/>
      <c r="M8" s="1883" t="s">
        <v>19</v>
      </c>
      <c r="N8" s="1865" t="s">
        <v>20</v>
      </c>
      <c r="O8" s="1865" t="s">
        <v>21</v>
      </c>
      <c r="P8" s="1865" t="s">
        <v>22</v>
      </c>
      <c r="Q8" s="1875" t="s">
        <v>23</v>
      </c>
      <c r="R8" s="1873" t="s">
        <v>24</v>
      </c>
      <c r="S8" s="62"/>
      <c r="T8" s="62"/>
      <c r="U8" s="62"/>
    </row>
    <row r="9" spans="1:21" ht="30.6" hidden="1" customHeight="1">
      <c r="B9" s="1960"/>
      <c r="C9" s="1877"/>
      <c r="D9" s="1877"/>
      <c r="E9" s="1877"/>
      <c r="F9" s="1867"/>
      <c r="G9" s="1040" t="s">
        <v>25</v>
      </c>
      <c r="H9" s="1041" t="s">
        <v>26</v>
      </c>
      <c r="I9" s="1039" t="s">
        <v>27</v>
      </c>
      <c r="J9" s="1042" t="s">
        <v>28</v>
      </c>
      <c r="K9" s="1042" t="s">
        <v>29</v>
      </c>
      <c r="L9" s="1041" t="s">
        <v>26</v>
      </c>
      <c r="M9" s="1866"/>
      <c r="N9" s="1866"/>
      <c r="O9" s="1866"/>
      <c r="P9" s="1866"/>
      <c r="Q9" s="1876"/>
      <c r="R9" s="1874"/>
      <c r="S9" s="62"/>
      <c r="T9" s="62"/>
      <c r="U9" s="62"/>
    </row>
    <row r="10" spans="1:21" ht="13.5" hidden="1" customHeight="1">
      <c r="B10" s="1922" t="s">
        <v>30</v>
      </c>
      <c r="C10" s="1878" t="s">
        <v>31</v>
      </c>
      <c r="D10" s="1878"/>
      <c r="E10" s="1878"/>
      <c r="F10" s="915" t="s">
        <v>32</v>
      </c>
      <c r="G10" s="1027">
        <f>'Facebook Video'!E65</f>
        <v>2397050</v>
      </c>
      <c r="H10" s="1028">
        <f>'Facebook Video'!AC15</f>
        <v>3.6318939393939393</v>
      </c>
      <c r="I10" s="1027">
        <f>'Facebook Video'!D65</f>
        <v>70154</v>
      </c>
      <c r="J10" s="1029">
        <f>'Facebook Video'!L65</f>
        <v>4.4781397534003837E-3</v>
      </c>
      <c r="K10" s="1030">
        <f>'Facebook Video'!Q65</f>
        <v>5449</v>
      </c>
      <c r="L10" s="1031">
        <f>'Facebook Video'!AC17</f>
        <v>0.47610310179117521</v>
      </c>
      <c r="M10" s="1032">
        <f>'Facebook Video'!J65</f>
        <v>18558.55</v>
      </c>
      <c r="N10" s="1033">
        <f>'Facebook Video'!K65</f>
        <v>0.99260037760270403</v>
      </c>
      <c r="O10" s="1034">
        <f>M10/K10</f>
        <v>3.4058634611855383</v>
      </c>
      <c r="P10" s="1035">
        <f>K10/I10</f>
        <v>7.7671978789520202E-2</v>
      </c>
      <c r="Q10" s="1036">
        <f>'Facebook Video'!Y65</f>
        <v>0.94216890809899589</v>
      </c>
      <c r="R10" s="1038">
        <f>SUM(M10/I10)</f>
        <v>0.26454015451720497</v>
      </c>
      <c r="S10" s="62"/>
      <c r="T10" s="62"/>
      <c r="U10" s="62"/>
    </row>
    <row r="11" spans="1:21" ht="15.6" hidden="1" customHeight="1">
      <c r="B11" s="1922"/>
      <c r="C11" s="1852" t="s">
        <v>33</v>
      </c>
      <c r="D11" s="1852"/>
      <c r="E11" s="1852"/>
      <c r="F11" s="919" t="s">
        <v>32</v>
      </c>
      <c r="G11" s="1015">
        <f>Twitter!E97</f>
        <v>1165644</v>
      </c>
      <c r="H11" s="1022">
        <f>Twitter!AC10</f>
        <v>3.1851794871794872</v>
      </c>
      <c r="I11" s="1015">
        <f>Twitter!D97</f>
        <v>2873</v>
      </c>
      <c r="J11" s="1023">
        <f>Twitter!L97</f>
        <v>1.0932330283468133E-3</v>
      </c>
      <c r="K11" s="1016">
        <f>Twitter!Q97</f>
        <v>620</v>
      </c>
      <c r="L11" s="1017">
        <f>Twitter!AC12</f>
        <v>0.14577944980014107</v>
      </c>
      <c r="M11" s="1018">
        <f>Twitter!J97</f>
        <v>7037.8677000000016</v>
      </c>
      <c r="N11" s="1019">
        <f>M11/Twitter!$C$5</f>
        <v>0.99312331724663472</v>
      </c>
      <c r="O11" s="878">
        <f>M11/K11</f>
        <v>11.351399516129035</v>
      </c>
      <c r="P11" s="1024">
        <f t="shared" ref="P11:P13" si="0">K11/I11</f>
        <v>0.21580229725026104</v>
      </c>
      <c r="Q11" s="1021">
        <f>Twitter!Y18</f>
        <v>0.90650568348446625</v>
      </c>
      <c r="R11" s="1037">
        <f t="shared" ref="R11:R13" si="1">SUM(M11/I11)</f>
        <v>2.4496580925861475</v>
      </c>
      <c r="S11" s="62"/>
      <c r="T11" s="62"/>
      <c r="U11" s="62"/>
    </row>
    <row r="12" spans="1:21" ht="13.5" hidden="1" customHeight="1">
      <c r="B12" s="1922"/>
      <c r="C12" s="1852" t="s">
        <v>34</v>
      </c>
      <c r="D12" s="1852"/>
      <c r="E12" s="1852"/>
      <c r="F12" s="919" t="s">
        <v>32</v>
      </c>
      <c r="G12" s="770" t="e">
        <f>'Youtube Trueview'!#REF!</f>
        <v>#REF!</v>
      </c>
      <c r="H12" s="1025" t="e">
        <f>'Youtube Trueview'!AC14</f>
        <v>#REF!</v>
      </c>
      <c r="I12" s="770" t="e">
        <f>'Youtube Trueview'!#REF!</f>
        <v>#REF!</v>
      </c>
      <c r="J12" s="1026" t="e">
        <f>'Youtube Trueview'!#REF!</f>
        <v>#REF!</v>
      </c>
      <c r="K12" s="771" t="e">
        <f>'Youtube Trueview'!#REF!</f>
        <v>#REF!</v>
      </c>
      <c r="L12" s="772" t="e">
        <f>'Youtube Trueview'!AC16</f>
        <v>#REF!</v>
      </c>
      <c r="M12" s="773" t="e">
        <f>'Youtube Trueview'!#REF!</f>
        <v>#REF!</v>
      </c>
      <c r="N12" s="774" t="e">
        <f>M12/'Youtube Trueview'!$C$9</f>
        <v>#REF!</v>
      </c>
      <c r="O12" s="878" t="e">
        <f t="shared" ref="O12:O13" si="2">M12/K12</f>
        <v>#REF!</v>
      </c>
      <c r="P12" s="1020" t="e">
        <f t="shared" si="0"/>
        <v>#REF!</v>
      </c>
      <c r="Q12" s="1021" t="e">
        <f>'Youtube Trueview'!#REF!</f>
        <v>#REF!</v>
      </c>
      <c r="R12" s="1037" t="e">
        <f t="shared" si="1"/>
        <v>#REF!</v>
      </c>
      <c r="S12" s="62"/>
      <c r="T12" s="62"/>
      <c r="U12" s="62"/>
    </row>
    <row r="13" spans="1:21" ht="13.5" hidden="1" customHeight="1" thickBot="1">
      <c r="B13" s="1923"/>
      <c r="C13" s="1961" t="s">
        <v>35</v>
      </c>
      <c r="D13" s="1961"/>
      <c r="E13" s="1961"/>
      <c r="F13" s="1045" t="s">
        <v>32</v>
      </c>
      <c r="G13" s="1046"/>
      <c r="H13" s="1047"/>
      <c r="I13" s="1048" t="e">
        <f>GDN!#REF!</f>
        <v>#REF!</v>
      </c>
      <c r="J13" s="1049" t="e">
        <f>GDN!#REF!</f>
        <v>#REF!</v>
      </c>
      <c r="K13" s="1050" t="e">
        <f>GDN!#REF!</f>
        <v>#REF!</v>
      </c>
      <c r="L13" s="1051" t="e">
        <f>GDN!T14</f>
        <v>#REF!</v>
      </c>
      <c r="M13" s="1052" t="e">
        <f>GDN!#REF!</f>
        <v>#REF!</v>
      </c>
      <c r="N13" s="1053" t="e">
        <f>M13/GDN!$C$9</f>
        <v>#REF!</v>
      </c>
      <c r="O13" s="1054" t="e">
        <f t="shared" si="2"/>
        <v>#REF!</v>
      </c>
      <c r="P13" s="1055" t="e">
        <f t="shared" si="0"/>
        <v>#REF!</v>
      </c>
      <c r="Q13" s="1056" t="e">
        <f>GDN!#REF!</f>
        <v>#REF!</v>
      </c>
      <c r="R13" s="1057" t="e">
        <f t="shared" si="1"/>
        <v>#REF!</v>
      </c>
      <c r="S13" s="62"/>
      <c r="T13" s="62"/>
      <c r="U13" s="62"/>
    </row>
    <row r="14" spans="1:21" ht="13.5" hidden="1" customHeight="1" thickBot="1">
      <c r="B14" s="1902" t="s">
        <v>36</v>
      </c>
      <c r="C14" s="1903"/>
      <c r="D14" s="1903"/>
      <c r="E14" s="1904"/>
      <c r="F14" s="1012"/>
      <c r="G14" s="1013" t="e">
        <f>SUM(G10:G13)</f>
        <v>#REF!</v>
      </c>
      <c r="H14" s="1398" t="e">
        <f>'Daily_Total '!AB16</f>
        <v>#REF!</v>
      </c>
      <c r="I14" s="1013" t="e">
        <f>SUM(I10:I13)</f>
        <v>#REF!</v>
      </c>
      <c r="J14" s="1014" t="e">
        <f>'Daily_Total '!L66</f>
        <v>#REF!</v>
      </c>
      <c r="K14" s="1013" t="e">
        <f>SUM(K10:K13)</f>
        <v>#REF!</v>
      </c>
      <c r="L14" s="1397" t="e">
        <f>'Daily_Total '!AB18</f>
        <v>#REF!</v>
      </c>
      <c r="M14" s="1399" t="e">
        <f>SUM(M10:M13)</f>
        <v>#REF!</v>
      </c>
      <c r="N14" s="1400" t="e">
        <f>M14/'Daily_Total '!$C$10</f>
        <v>#REF!</v>
      </c>
      <c r="O14" s="1401" t="e">
        <f>M14/K14</f>
        <v>#REF!</v>
      </c>
      <c r="P14" s="1402" t="e">
        <f>K14/I14</f>
        <v>#REF!</v>
      </c>
      <c r="Q14" s="1043" t="e">
        <f>AVERAGE(Q10:Q13)</f>
        <v>#REF!</v>
      </c>
      <c r="R14" s="1044" t="e">
        <f>SUM(M14/I14)</f>
        <v>#REF!</v>
      </c>
      <c r="S14" s="62"/>
      <c r="T14" s="62"/>
      <c r="U14" s="62"/>
    </row>
    <row r="15" spans="1:21" s="18" customFormat="1" ht="13.5" customHeight="1">
      <c r="A15" s="1"/>
      <c r="B15" s="1842"/>
      <c r="C15"/>
      <c r="D15"/>
      <c r="E15"/>
      <c r="F15" s="1831"/>
      <c r="G15" s="1832"/>
      <c r="H15" s="1833"/>
      <c r="I15" s="1832"/>
      <c r="J15" s="1834"/>
      <c r="K15" s="1832"/>
      <c r="L15" s="1835"/>
      <c r="M15" s="1836"/>
      <c r="N15" s="1837"/>
      <c r="O15" s="1838"/>
      <c r="P15" s="1157"/>
      <c r="Q15" s="1839"/>
      <c r="R15" s="1841"/>
      <c r="S15" s="1840"/>
      <c r="T15" s="1840"/>
      <c r="U15" s="1840"/>
    </row>
    <row r="16" spans="1:21" ht="16.95" customHeight="1">
      <c r="B16" s="1905" t="s">
        <v>37</v>
      </c>
      <c r="C16" s="1906"/>
      <c r="D16" s="1906"/>
      <c r="E16" s="1906"/>
      <c r="F16" s="1906"/>
      <c r="G16" s="1906"/>
      <c r="H16" s="1906"/>
      <c r="I16" s="1906"/>
      <c r="J16" s="1906"/>
      <c r="K16" s="1906"/>
      <c r="L16" s="1906"/>
      <c r="M16" s="1906"/>
      <c r="N16" s="1906"/>
      <c r="O16" s="1906"/>
      <c r="P16" s="1906"/>
      <c r="Q16" s="1906"/>
      <c r="R16" s="1907"/>
      <c r="S16" s="62"/>
      <c r="T16" s="62"/>
      <c r="U16" s="62"/>
    </row>
    <row r="17" spans="2:21" ht="13.5" customHeight="1">
      <c r="B17" s="1978"/>
      <c r="C17" s="1908" t="s">
        <v>38</v>
      </c>
      <c r="D17" s="1908"/>
      <c r="E17" s="1908"/>
      <c r="F17" s="1868" t="s">
        <v>39</v>
      </c>
      <c r="G17" s="1869" t="s">
        <v>16</v>
      </c>
      <c r="H17" s="1869"/>
      <c r="I17" s="1869" t="s">
        <v>40</v>
      </c>
      <c r="J17" s="1869"/>
      <c r="K17" s="1870" t="s">
        <v>18</v>
      </c>
      <c r="L17" s="1870"/>
      <c r="M17" s="1869" t="s">
        <v>19</v>
      </c>
      <c r="N17" s="1872" t="s">
        <v>20</v>
      </c>
      <c r="O17" s="1872" t="s">
        <v>41</v>
      </c>
      <c r="P17" s="1872" t="s">
        <v>42</v>
      </c>
      <c r="Q17" s="1980" t="s">
        <v>23</v>
      </c>
      <c r="R17" s="1973" t="s">
        <v>24</v>
      </c>
      <c r="S17" s="62"/>
      <c r="T17" s="62"/>
      <c r="U17" s="62"/>
    </row>
    <row r="18" spans="2:21" ht="46.2" customHeight="1">
      <c r="B18" s="1979"/>
      <c r="C18" s="1908"/>
      <c r="D18" s="1908"/>
      <c r="E18" s="1908"/>
      <c r="F18" s="1868"/>
      <c r="G18" s="1074" t="s">
        <v>43</v>
      </c>
      <c r="H18" s="1075" t="s">
        <v>26</v>
      </c>
      <c r="I18" s="1073" t="s">
        <v>44</v>
      </c>
      <c r="J18" s="1076" t="s">
        <v>45</v>
      </c>
      <c r="K18" s="1287" t="s">
        <v>46</v>
      </c>
      <c r="L18" s="1075" t="s">
        <v>26</v>
      </c>
      <c r="M18" s="1871"/>
      <c r="N18" s="1871"/>
      <c r="O18" s="1871"/>
      <c r="P18" s="1871"/>
      <c r="Q18" s="1981"/>
      <c r="R18" s="1974"/>
      <c r="S18" s="62"/>
      <c r="T18" s="62"/>
      <c r="U18" s="62"/>
    </row>
    <row r="19" spans="2:21" ht="13.5" customHeight="1">
      <c r="B19" s="1968" t="s">
        <v>47</v>
      </c>
      <c r="C19" s="1976" t="s">
        <v>48</v>
      </c>
      <c r="D19" s="1977"/>
      <c r="E19" s="1977"/>
      <c r="F19" s="1077" t="s">
        <v>49</v>
      </c>
      <c r="G19" s="1078"/>
      <c r="H19" s="1079"/>
      <c r="I19" s="1080">
        <f>'Facebook Carousel'!D63</f>
        <v>17108</v>
      </c>
      <c r="J19" s="1081">
        <f>'Facebook Carousel'!G63</f>
        <v>4.2423106260111075E-3</v>
      </c>
      <c r="K19" s="1082">
        <f>'Facebook Carousel'!H63</f>
        <v>930</v>
      </c>
      <c r="L19" s="1312">
        <f>'Facebook Carousel'!T14</f>
        <v>0.17742626484409516</v>
      </c>
      <c r="M19" s="1084">
        <f>'Facebook Carousel'!E63</f>
        <v>3282.8199999999997</v>
      </c>
      <c r="N19" s="1085">
        <f>'Facebook Carousel'!F63</f>
        <v>0.96553529411764694</v>
      </c>
      <c r="O19" s="1086">
        <f>M19/K19</f>
        <v>3.5299139784946232</v>
      </c>
      <c r="P19" s="1087">
        <f>K19/I19</f>
        <v>5.4360533083937339E-2</v>
      </c>
      <c r="Q19" s="1563">
        <f>'Facebook Carousel'!P63</f>
        <v>0.8587460422973765</v>
      </c>
      <c r="R19" s="1305">
        <f>SUM(M19/I19)</f>
        <v>0.19188800561140984</v>
      </c>
      <c r="S19" s="62"/>
      <c r="T19" s="62"/>
      <c r="U19" s="62"/>
    </row>
    <row r="20" spans="2:21" ht="13.5" customHeight="1">
      <c r="B20" s="1969"/>
      <c r="C20" s="1976" t="s">
        <v>31</v>
      </c>
      <c r="D20" s="1977"/>
      <c r="E20" s="1977"/>
      <c r="F20" s="1077" t="s">
        <v>50</v>
      </c>
      <c r="G20" s="1080">
        <f>'Facebook Video'!E104</f>
        <v>547264</v>
      </c>
      <c r="H20" s="1310">
        <f>'Facebook Video'!AG15</f>
        <v>1.3026528450543302</v>
      </c>
      <c r="I20" s="1080">
        <f>'Facebook Video'!D104</f>
        <v>151093</v>
      </c>
      <c r="J20" s="1081">
        <f>'Facebook Video'!L104</f>
        <v>2.0125857036923666E-2</v>
      </c>
      <c r="K20" s="1082">
        <f>'Facebook Video'!Q104</f>
        <v>4478</v>
      </c>
      <c r="L20" s="1083">
        <f>'Facebook Video'!AG17</f>
        <v>0.61466820592774196</v>
      </c>
      <c r="M20" s="1084">
        <f>'Facebook Video'!J104</f>
        <v>12676.7</v>
      </c>
      <c r="N20" s="1085">
        <f>'Facebook Video'!K104</f>
        <v>1.0058119007097264</v>
      </c>
      <c r="O20" s="1086">
        <f>M20/K20</f>
        <v>2.8308843233586423</v>
      </c>
      <c r="P20" s="1089">
        <f t="shared" ref="P20:P27" si="3">K20/I20</f>
        <v>2.9637375656052893E-2</v>
      </c>
      <c r="Q20" s="1563">
        <f>'Facebook Video'!Y104</f>
        <v>0.90807558295713231</v>
      </c>
      <c r="R20" s="1305">
        <f t="shared" ref="R20:R25" si="4">SUM(M20/I20)</f>
        <v>8.3899982130211201E-2</v>
      </c>
      <c r="S20" s="62"/>
      <c r="T20" s="62"/>
      <c r="U20" s="62"/>
    </row>
    <row r="21" spans="2:21" ht="16.2" customHeight="1">
      <c r="B21" s="1969"/>
      <c r="C21" s="1976" t="s">
        <v>34</v>
      </c>
      <c r="D21" s="1977"/>
      <c r="E21" s="1977"/>
      <c r="F21" s="1077" t="s">
        <v>51</v>
      </c>
      <c r="G21" s="1090" t="e">
        <f>'Youtube Trueview'!#REF!</f>
        <v>#REF!</v>
      </c>
      <c r="H21" s="1310" t="e">
        <f>'Youtube Trueview'!AG14</f>
        <v>#REF!</v>
      </c>
      <c r="I21" s="1090" t="e">
        <f>'Youtube Trueview'!#REF!</f>
        <v>#REF!</v>
      </c>
      <c r="J21" s="1091" t="e">
        <f>'Youtube Trueview'!#REF!</f>
        <v>#REF!</v>
      </c>
      <c r="K21" s="1092" t="e">
        <f>'Youtube Trueview'!#REF!</f>
        <v>#REF!</v>
      </c>
      <c r="L21" s="1310" t="e">
        <f>'Youtube Trueview'!AG16</f>
        <v>#REF!</v>
      </c>
      <c r="M21" s="1093" t="e">
        <f>'Youtube Trueview'!#REF!</f>
        <v>#REF!</v>
      </c>
      <c r="N21" s="1094" t="e">
        <f>'Youtube Trueview'!#REF!</f>
        <v>#REF!</v>
      </c>
      <c r="O21" s="1086" t="e">
        <f t="shared" ref="O21:O25" si="5">M21/K21</f>
        <v>#REF!</v>
      </c>
      <c r="P21" s="1088" t="e">
        <f t="shared" si="3"/>
        <v>#REF!</v>
      </c>
      <c r="Q21" s="1563" t="e">
        <f>'Youtube Trueview'!#REF!</f>
        <v>#REF!</v>
      </c>
      <c r="R21" s="1305" t="e">
        <f t="shared" si="4"/>
        <v>#REF!</v>
      </c>
      <c r="S21" s="62"/>
      <c r="T21" s="62"/>
      <c r="U21" s="62"/>
    </row>
    <row r="22" spans="2:21" ht="16.350000000000001" customHeight="1">
      <c r="B22" s="1969"/>
      <c r="C22" s="1976" t="s">
        <v>52</v>
      </c>
      <c r="D22" s="1977"/>
      <c r="E22" s="1977"/>
      <c r="F22" s="1077" t="s">
        <v>50</v>
      </c>
      <c r="G22" s="1080">
        <f>'IG Video'!E67</f>
        <v>247707</v>
      </c>
      <c r="H22" s="1083">
        <f>'IG Video'!AC12</f>
        <v>6.373933740752654</v>
      </c>
      <c r="I22" s="1080">
        <f>'IG Video'!D67</f>
        <v>2469</v>
      </c>
      <c r="J22" s="1081">
        <f>'IG Video'!L67</f>
        <v>1.2729244989245359E-3</v>
      </c>
      <c r="K22" s="1092">
        <f>'IG Video'!Q67</f>
        <v>811</v>
      </c>
      <c r="L22" s="1312">
        <f>'IG Video'!AC14</f>
        <v>9.7820842714699263E-2</v>
      </c>
      <c r="M22" s="1093">
        <f>'IG Video'!J67</f>
        <v>6455.47</v>
      </c>
      <c r="N22" s="1094">
        <f>'IG Video'!K67</f>
        <v>1.0381907365712448</v>
      </c>
      <c r="O22" s="1086">
        <f t="shared" si="5"/>
        <v>7.9598890258939585</v>
      </c>
      <c r="P22" s="1088">
        <f t="shared" si="3"/>
        <v>0.32847306601863102</v>
      </c>
      <c r="Q22" s="1563">
        <f>'IG Video'!Y67</f>
        <v>0.86205874813563144</v>
      </c>
      <c r="R22" s="1305">
        <f t="shared" si="4"/>
        <v>2.6146091535034426</v>
      </c>
      <c r="S22" s="62"/>
      <c r="T22" s="62"/>
      <c r="U22" s="62"/>
    </row>
    <row r="23" spans="2:21" ht="16.350000000000001" customHeight="1">
      <c r="B23" s="1969"/>
      <c r="C23" s="1976" t="s">
        <v>53</v>
      </c>
      <c r="D23" s="1977"/>
      <c r="E23" s="1977"/>
      <c r="F23" s="1077" t="s">
        <v>51</v>
      </c>
      <c r="G23" s="1078"/>
      <c r="H23" s="1079"/>
      <c r="I23" s="1080">
        <f>'Snapchat Image'!D70</f>
        <v>51606</v>
      </c>
      <c r="J23" s="1081">
        <f>'Snapchat Image'!G70</f>
        <v>1.645881325979608E-2</v>
      </c>
      <c r="K23" s="1092">
        <f>'Snapchat Image'!H70</f>
        <v>12030</v>
      </c>
      <c r="L23" s="1310">
        <f>'Snapchat Image'!T12</f>
        <v>2.7956186277211348</v>
      </c>
      <c r="M23" s="1093">
        <f>'Snapchat Image'!E70</f>
        <v>10887.839999999998</v>
      </c>
      <c r="N23" s="1094">
        <f>'Snapchat Image'!F70</f>
        <v>1.0000771562413886</v>
      </c>
      <c r="O23" s="1086">
        <f t="shared" si="5"/>
        <v>0.90505735660847864</v>
      </c>
      <c r="P23" s="1311">
        <f t="shared" si="3"/>
        <v>0.23311242878735031</v>
      </c>
      <c r="Q23" s="1563">
        <f>'Snapchat Image'!P70</f>
        <v>0.78788110034407322</v>
      </c>
      <c r="R23" s="1305">
        <f t="shared" si="4"/>
        <v>0.21098011859086149</v>
      </c>
      <c r="S23" s="62"/>
      <c r="T23" s="62"/>
      <c r="U23" s="62"/>
    </row>
    <row r="24" spans="2:21" ht="16.350000000000001" customHeight="1">
      <c r="B24" s="1969"/>
      <c r="C24" s="1976" t="s">
        <v>54</v>
      </c>
      <c r="D24" s="1977"/>
      <c r="E24" s="1977"/>
      <c r="F24" s="1077" t="s">
        <v>55</v>
      </c>
      <c r="G24" s="1080">
        <f>'Snapchat Video'!E68</f>
        <v>215190</v>
      </c>
      <c r="H24" s="1083">
        <f>'Snapchat Video'!AC13</f>
        <v>3.6318987341772151</v>
      </c>
      <c r="I24" s="1080">
        <f>'Snapchat Video'!D68</f>
        <v>30768</v>
      </c>
      <c r="J24" s="1081">
        <f>'Snapchat Video'!L68</f>
        <v>1.5253438195763363E-2</v>
      </c>
      <c r="K24" s="1092">
        <f>'Snapchat Video'!Q68</f>
        <v>5898</v>
      </c>
      <c r="L24" s="1083">
        <f>'Snapchat Video'!AC15</f>
        <v>2.0987257383966242</v>
      </c>
      <c r="M24" s="1093">
        <f>'Snapchat Video'!J68</f>
        <v>6312.17</v>
      </c>
      <c r="N24" s="1095">
        <f>'Snapchat Video'!K68</f>
        <v>0.9400104244229337</v>
      </c>
      <c r="O24" s="1086">
        <f t="shared" si="5"/>
        <v>1.0702221091895558</v>
      </c>
      <c r="P24" s="1088">
        <f t="shared" si="3"/>
        <v>0.19169266770670826</v>
      </c>
      <c r="Q24" s="1563">
        <f>'Snapchat Video'!Y68</f>
        <v>0.9344927344234526</v>
      </c>
      <c r="R24" s="1305">
        <f t="shared" si="4"/>
        <v>0.20515373114924598</v>
      </c>
      <c r="S24" s="62"/>
      <c r="T24" s="62"/>
      <c r="U24" s="62"/>
    </row>
    <row r="25" spans="2:21" ht="13.2" customHeight="1">
      <c r="B25" s="1969"/>
      <c r="C25" s="1976" t="s">
        <v>35</v>
      </c>
      <c r="D25" s="1977"/>
      <c r="E25" s="1977"/>
      <c r="F25" s="1077" t="s">
        <v>56</v>
      </c>
      <c r="G25" s="1078"/>
      <c r="H25" s="1079"/>
      <c r="I25" s="1090" t="e">
        <f>GDN!#REF!</f>
        <v>#REF!</v>
      </c>
      <c r="J25" s="1091" t="e">
        <f>GDN!#REF!</f>
        <v>#REF!</v>
      </c>
      <c r="K25" s="1092" t="e">
        <f>GDN!#REF!</f>
        <v>#REF!</v>
      </c>
      <c r="L25" s="1083" t="e">
        <f>GDN!Z14</f>
        <v>#REF!</v>
      </c>
      <c r="M25" s="1093" t="e">
        <f>GDN!#REF!</f>
        <v>#REF!</v>
      </c>
      <c r="N25" s="1094" t="e">
        <f>GDN!#REF!</f>
        <v>#REF!</v>
      </c>
      <c r="O25" s="1086" t="e">
        <f t="shared" si="5"/>
        <v>#REF!</v>
      </c>
      <c r="P25" s="1311" t="e">
        <f t="shared" si="3"/>
        <v>#REF!</v>
      </c>
      <c r="Q25" s="1563" t="e">
        <f>GDN!#REF!</f>
        <v>#REF!</v>
      </c>
      <c r="R25" s="1305" t="e">
        <f t="shared" si="4"/>
        <v>#REF!</v>
      </c>
      <c r="S25" s="62"/>
      <c r="T25" s="62"/>
      <c r="U25" s="62"/>
    </row>
    <row r="26" spans="2:21" ht="18.600000000000001" customHeight="1">
      <c r="B26" s="1969"/>
      <c r="C26" s="1976" t="s">
        <v>57</v>
      </c>
      <c r="D26" s="1977"/>
      <c r="E26" s="1977"/>
      <c r="F26" s="1077" t="s">
        <v>58</v>
      </c>
      <c r="G26" s="1078"/>
      <c r="H26" s="1079"/>
      <c r="I26" s="1090">
        <f>UAC!D21</f>
        <v>47652</v>
      </c>
      <c r="J26" s="1091">
        <f>UAC!L21</f>
        <v>3.5186692087646264E-2</v>
      </c>
      <c r="K26" s="1286">
        <f>UAC!Q21</f>
        <v>9287</v>
      </c>
      <c r="L26" s="1343">
        <f>UAC!Z12</f>
        <v>1.5093450349423045</v>
      </c>
      <c r="M26" s="1093">
        <f>UAC!J21</f>
        <v>3801.92</v>
      </c>
      <c r="N26" s="1094">
        <f>UAC!K21</f>
        <v>1.0065978289647868</v>
      </c>
      <c r="O26" s="1086">
        <f>M26/K26</f>
        <v>0.4093808549585442</v>
      </c>
      <c r="P26" s="1078"/>
      <c r="Q26" s="1078"/>
      <c r="R26" s="1305">
        <f>SUM(M26/I26)</f>
        <v>7.97851087047763E-2</v>
      </c>
      <c r="S26" s="62"/>
      <c r="T26" s="62"/>
      <c r="U26" s="62"/>
    </row>
    <row r="27" spans="2:21" ht="15" customHeight="1">
      <c r="B27" s="1969"/>
      <c r="C27" s="1982" t="s">
        <v>59</v>
      </c>
      <c r="D27" s="1983"/>
      <c r="E27" s="1984"/>
      <c r="F27" s="1693" t="s">
        <v>60</v>
      </c>
      <c r="G27" s="1679"/>
      <c r="H27" s="1680"/>
      <c r="I27" s="1090">
        <f>'FB BoostUp'!D33</f>
        <v>6203</v>
      </c>
      <c r="J27" s="1091">
        <f>'FB BoostUp'!G33</f>
        <v>1.7047765624141155E-2</v>
      </c>
      <c r="K27" s="1286">
        <f>'FB BoostUp'!H33</f>
        <v>176</v>
      </c>
      <c r="L27" s="1695" t="s">
        <v>61</v>
      </c>
      <c r="M27" s="1093">
        <f>'FB BoostUp'!E33</f>
        <v>268.48</v>
      </c>
      <c r="N27" s="1094">
        <f>'FB BoostUp'!F33</f>
        <v>0.1896045197740113</v>
      </c>
      <c r="O27" s="1086">
        <f>M27/K27</f>
        <v>1.5254545454545456</v>
      </c>
      <c r="P27" s="1088">
        <f t="shared" si="3"/>
        <v>2.8373367725294214E-2</v>
      </c>
      <c r="Q27" s="1094">
        <f>'FB BoostUp'!P33</f>
        <v>0.43840786872701765</v>
      </c>
      <c r="R27" s="1305">
        <f>SUM(M27/I27)</f>
        <v>4.3282282766403356E-2</v>
      </c>
      <c r="S27" s="62"/>
      <c r="T27" s="62"/>
      <c r="U27" s="62"/>
    </row>
    <row r="28" spans="2:21" customFormat="1" ht="13.2" customHeight="1" thickBot="1">
      <c r="B28" s="1975" t="s">
        <v>62</v>
      </c>
      <c r="C28" s="1903"/>
      <c r="D28" s="1903"/>
      <c r="E28" s="1903"/>
      <c r="F28" s="1694"/>
      <c r="G28" s="1068" t="e">
        <f>SUM(G19:G26)</f>
        <v>#REF!</v>
      </c>
      <c r="H28" s="1069" t="e">
        <f>'Daily_Total '!AF16</f>
        <v>#REF!</v>
      </c>
      <c r="I28" s="1013" t="e">
        <f>SUM(I19:I27)</f>
        <v>#REF!</v>
      </c>
      <c r="J28" s="1014" t="e">
        <f>'Daily_Total '!L111</f>
        <v>#REF!</v>
      </c>
      <c r="K28" s="1068" t="e">
        <f>SUM(K19:K25,K27)</f>
        <v>#REF!</v>
      </c>
      <c r="L28" s="1257" t="e">
        <f>'Daily_Total '!AF18</f>
        <v>#REF!</v>
      </c>
      <c r="M28" s="1070" t="e">
        <f>SUM(M19:M27)</f>
        <v>#REF!</v>
      </c>
      <c r="N28" s="1290" t="e">
        <f>M28/'Daily_Total '!D10</f>
        <v>#REF!</v>
      </c>
      <c r="O28" s="1071" t="e">
        <f>M28/K28</f>
        <v>#REF!</v>
      </c>
      <c r="P28" s="1072" t="e">
        <f>K28/SUM(I19:I25)</f>
        <v>#REF!</v>
      </c>
      <c r="Q28" s="1394" t="e">
        <f>AVERAGE(Q19:Q27)</f>
        <v>#REF!</v>
      </c>
      <c r="R28" s="1306" t="e">
        <f>SUM(M28/I28)</f>
        <v>#REF!</v>
      </c>
    </row>
    <row r="29" spans="2:21">
      <c r="B29" s="18"/>
      <c r="G29" s="10"/>
      <c r="I29" s="10"/>
      <c r="L29" s="10"/>
    </row>
    <row r="30" spans="2:21" customFormat="1" ht="4.5" customHeight="1"/>
    <row r="31" spans="2:21" ht="16.2" hidden="1" thickBot="1">
      <c r="B31" s="1914" t="s">
        <v>63</v>
      </c>
      <c r="C31" s="1915"/>
      <c r="D31" s="1915"/>
      <c r="E31" s="1915"/>
      <c r="F31" s="1915"/>
      <c r="G31" s="1915"/>
      <c r="H31" s="1915"/>
      <c r="I31" s="1915"/>
      <c r="J31" s="1915"/>
      <c r="K31" s="1915"/>
      <c r="L31" s="1915"/>
      <c r="M31" s="1915"/>
      <c r="N31" s="1915"/>
      <c r="O31" s="1916"/>
    </row>
    <row r="32" spans="2:21" hidden="1">
      <c r="B32" s="1920" t="s">
        <v>64</v>
      </c>
      <c r="C32" s="1897" t="s">
        <v>65</v>
      </c>
      <c r="D32" s="1898"/>
      <c r="E32" s="1898"/>
      <c r="F32" s="1918" t="s">
        <v>15</v>
      </c>
      <c r="G32" s="1879" t="s">
        <v>16</v>
      </c>
      <c r="H32" s="1879"/>
      <c r="I32" s="1879" t="s">
        <v>17</v>
      </c>
      <c r="J32" s="1879"/>
      <c r="K32" s="1893" t="s">
        <v>18</v>
      </c>
      <c r="L32" s="1894"/>
      <c r="M32" s="1891" t="s">
        <v>19</v>
      </c>
      <c r="N32" s="1917" t="s">
        <v>20</v>
      </c>
      <c r="O32" s="1951" t="s">
        <v>21</v>
      </c>
    </row>
    <row r="33" spans="2:16" ht="27" hidden="1" thickBot="1">
      <c r="B33" s="1921"/>
      <c r="C33" s="58" t="s">
        <v>66</v>
      </c>
      <c r="D33" s="59" t="s">
        <v>67</v>
      </c>
      <c r="E33" s="58" t="s">
        <v>68</v>
      </c>
      <c r="F33" s="1919"/>
      <c r="G33" s="289" t="s">
        <v>25</v>
      </c>
      <c r="H33" s="95" t="s">
        <v>26</v>
      </c>
      <c r="I33" s="60" t="s">
        <v>27</v>
      </c>
      <c r="J33" s="61" t="s">
        <v>28</v>
      </c>
      <c r="K33" s="61" t="s">
        <v>29</v>
      </c>
      <c r="L33" s="95" t="s">
        <v>26</v>
      </c>
      <c r="M33" s="1892"/>
      <c r="N33" s="1892"/>
      <c r="O33" s="1952"/>
    </row>
    <row r="34" spans="2:16" ht="16.350000000000001" hidden="1" customHeight="1">
      <c r="B34" s="1965" t="s">
        <v>69</v>
      </c>
      <c r="C34" s="90" t="s">
        <v>70</v>
      </c>
      <c r="D34" s="92"/>
      <c r="E34" s="67" t="s">
        <v>71</v>
      </c>
      <c r="F34" s="80" t="s">
        <v>32</v>
      </c>
      <c r="G34" s="29">
        <f>'Facebook Video'!AB65</f>
        <v>1016418</v>
      </c>
      <c r="H34" s="1887">
        <f>H10</f>
        <v>3.6318939393939393</v>
      </c>
      <c r="I34" s="29">
        <f>'Facebook Video'!AA65</f>
        <v>34623</v>
      </c>
      <c r="J34" s="240">
        <f>'Facebook Video'!AJ65</f>
        <v>4.9464269233747424E-3</v>
      </c>
      <c r="K34" s="89">
        <f>'Facebook Video'!AK65</f>
        <v>2510</v>
      </c>
      <c r="L34" s="1862">
        <f>L10</f>
        <v>0.47610310179117521</v>
      </c>
      <c r="M34" s="917">
        <f>'Facebook Video'!AG65</f>
        <v>8158.3400000000011</v>
      </c>
      <c r="N34" s="1884">
        <f>N10</f>
        <v>0.99260037760270403</v>
      </c>
      <c r="O34" s="349">
        <f>M34/K34</f>
        <v>3.2503346613545823</v>
      </c>
    </row>
    <row r="35" spans="2:16" ht="28.35" hidden="1" customHeight="1">
      <c r="B35" s="1966"/>
      <c r="C35" s="777" t="s">
        <v>72</v>
      </c>
      <c r="D35" s="93"/>
      <c r="E35" s="68" t="s">
        <v>71</v>
      </c>
      <c r="F35" s="80" t="s">
        <v>32</v>
      </c>
      <c r="G35" s="29">
        <f>'Facebook Video'!AT65</f>
        <v>873788</v>
      </c>
      <c r="H35" s="1888"/>
      <c r="I35" s="29">
        <f>'Facebook Video'!AS65</f>
        <v>26394</v>
      </c>
      <c r="J35" s="241">
        <f>'Facebook Video'!BB65</f>
        <v>4.7509486957301224E-3</v>
      </c>
      <c r="K35" s="89">
        <f>'Facebook Video'!BC65</f>
        <v>2045</v>
      </c>
      <c r="L35" s="1863"/>
      <c r="M35" s="917">
        <f>'Facebook Video'!AY65</f>
        <v>6614.2000000000007</v>
      </c>
      <c r="N35" s="1885"/>
      <c r="O35" s="349">
        <f t="shared" ref="O35:O45" si="6">M35/K35</f>
        <v>3.2343276283618585</v>
      </c>
    </row>
    <row r="36" spans="2:16" ht="16.2" hidden="1" thickBot="1">
      <c r="B36" s="1966"/>
      <c r="C36" s="91" t="s">
        <v>73</v>
      </c>
      <c r="D36" s="94"/>
      <c r="E36" s="69" t="s">
        <v>71</v>
      </c>
      <c r="F36" s="80" t="s">
        <v>32</v>
      </c>
      <c r="G36" s="38">
        <f>'Facebook Video'!BL65</f>
        <v>506844</v>
      </c>
      <c r="H36" s="1889"/>
      <c r="I36" s="38">
        <f>'Facebook Video'!BK65</f>
        <v>9137</v>
      </c>
      <c r="J36" s="241">
        <f>'Facebook Video'!BT65</f>
        <v>2.9372243438902392E-3</v>
      </c>
      <c r="K36" s="89">
        <f>'Facebook Video'!BU65</f>
        <v>894</v>
      </c>
      <c r="L36" s="1864"/>
      <c r="M36" s="917">
        <f>'Facebook Video'!BQ65</f>
        <v>3786.0099999999998</v>
      </c>
      <c r="N36" s="1886"/>
      <c r="O36" s="349">
        <f t="shared" si="6"/>
        <v>4.2349105145413866</v>
      </c>
    </row>
    <row r="37" spans="2:16" ht="16.2" hidden="1" thickBot="1">
      <c r="B37" s="1967"/>
      <c r="C37" s="1899" t="str">
        <f>B34&amp;" Total"</f>
        <v>Facebook Total</v>
      </c>
      <c r="D37" s="1900"/>
      <c r="E37" s="1901"/>
      <c r="F37" s="63"/>
      <c r="G37" s="64">
        <f>SUM(G34:G36)</f>
        <v>2397050</v>
      </c>
      <c r="H37" s="284">
        <f>H34</f>
        <v>3.6318939393939393</v>
      </c>
      <c r="I37" s="64">
        <f>SUM(I34:I36)</f>
        <v>70154</v>
      </c>
      <c r="J37" s="242">
        <f>'Facebook Video'!L65</f>
        <v>4.4781397534003837E-3</v>
      </c>
      <c r="K37" s="64">
        <f>SUM(K34:K36)</f>
        <v>5449</v>
      </c>
      <c r="L37" s="283">
        <f>L34</f>
        <v>0.47610310179117521</v>
      </c>
      <c r="M37" s="922">
        <f>SUM(M34:M36)</f>
        <v>18558.55</v>
      </c>
      <c r="N37" s="282">
        <f>N34</f>
        <v>0.99260037760270403</v>
      </c>
      <c r="O37" s="350">
        <f t="shared" si="6"/>
        <v>3.4058634611855383</v>
      </c>
    </row>
    <row r="38" spans="2:16" ht="16.350000000000001" hidden="1" customHeight="1">
      <c r="B38" s="1965" t="s">
        <v>33</v>
      </c>
      <c r="C38" s="90" t="s">
        <v>70</v>
      </c>
      <c r="D38" s="92"/>
      <c r="E38" s="67" t="s">
        <v>71</v>
      </c>
      <c r="F38" s="80" t="s">
        <v>32</v>
      </c>
      <c r="G38" s="29">
        <f>Twitter!AB97</f>
        <v>311682</v>
      </c>
      <c r="H38" s="1911">
        <f>Twitter!AC10</f>
        <v>3.1851794871794872</v>
      </c>
      <c r="I38" s="29">
        <f>Twitter!AA97</f>
        <v>888</v>
      </c>
      <c r="J38" s="240">
        <f>Twitter!AJ97</f>
        <v>1.2695870982500285E-3</v>
      </c>
      <c r="K38" s="278">
        <f>Twitter!AK97</f>
        <v>202</v>
      </c>
      <c r="L38" s="1862">
        <f>Twitter!AC12</f>
        <v>0.14577944980014107</v>
      </c>
      <c r="M38" s="917">
        <f>Twitter!AG97</f>
        <v>1850.444915</v>
      </c>
      <c r="N38" s="1862">
        <f>N11</f>
        <v>0.99312331724663472</v>
      </c>
      <c r="O38" s="349">
        <f>M38/K38</f>
        <v>9.160618391089109</v>
      </c>
      <c r="P38" s="1909"/>
    </row>
    <row r="39" spans="2:16" hidden="1">
      <c r="B39" s="1966"/>
      <c r="C39" s="777" t="s">
        <v>72</v>
      </c>
      <c r="D39" s="93"/>
      <c r="E39" s="68" t="s">
        <v>71</v>
      </c>
      <c r="F39" s="80" t="s">
        <v>32</v>
      </c>
      <c r="G39" s="29">
        <f>Twitter!AT97</f>
        <v>218098</v>
      </c>
      <c r="H39" s="1912"/>
      <c r="I39" s="29">
        <f>Twitter!AS97</f>
        <v>790</v>
      </c>
      <c r="J39" s="240">
        <f>Twitter!BB97</f>
        <v>1.5388031617535344E-3</v>
      </c>
      <c r="K39" s="278">
        <f>Twitter!BC97</f>
        <v>227</v>
      </c>
      <c r="L39" s="1863"/>
      <c r="M39" s="917">
        <f>Twitter!AY97</f>
        <v>1441.6524360000001</v>
      </c>
      <c r="N39" s="1863"/>
      <c r="O39" s="349">
        <f t="shared" si="6"/>
        <v>6.3508917885462557</v>
      </c>
      <c r="P39" s="1910"/>
    </row>
    <row r="40" spans="2:16" ht="16.2" hidden="1" thickBot="1">
      <c r="B40" s="1966"/>
      <c r="C40" s="91" t="s">
        <v>73</v>
      </c>
      <c r="D40" s="94"/>
      <c r="E40" s="69" t="s">
        <v>71</v>
      </c>
      <c r="F40" s="80" t="s">
        <v>32</v>
      </c>
      <c r="G40" s="38">
        <f>Twitter!BL97</f>
        <v>635864</v>
      </c>
      <c r="H40" s="1913"/>
      <c r="I40" s="38">
        <f>Twitter!BK97</f>
        <v>1195</v>
      </c>
      <c r="J40" s="240">
        <f>Twitter!BT97</f>
        <v>8.4442808193284293E-4</v>
      </c>
      <c r="K40" s="278">
        <f>Twitter!BU97</f>
        <v>184</v>
      </c>
      <c r="L40" s="1864"/>
      <c r="M40" s="917">
        <f>Twitter!BQ97</f>
        <v>3745.7703489999999</v>
      </c>
      <c r="N40" s="1864"/>
      <c r="O40" s="349">
        <f t="shared" si="6"/>
        <v>20.357447548913044</v>
      </c>
      <c r="P40" s="1910"/>
    </row>
    <row r="41" spans="2:16" ht="16.2" hidden="1" thickBot="1">
      <c r="B41" s="1967"/>
      <c r="C41" s="1899" t="str">
        <f>B38&amp;" Total"</f>
        <v>Twitter Total</v>
      </c>
      <c r="D41" s="1900"/>
      <c r="E41" s="1901"/>
      <c r="F41" s="63"/>
      <c r="G41" s="213">
        <f>SUM(G38:G40)</f>
        <v>1165644</v>
      </c>
      <c r="H41" s="284">
        <f>H38</f>
        <v>3.1851794871794872</v>
      </c>
      <c r="I41" s="64">
        <f>SUM(I38:I40)</f>
        <v>2873</v>
      </c>
      <c r="J41" s="242">
        <f>Twitter!L18</f>
        <v>1.0977667689696347E-3</v>
      </c>
      <c r="K41" s="285">
        <f>SUM(K38:K40)</f>
        <v>613</v>
      </c>
      <c r="L41" s="283">
        <f>L38</f>
        <v>0.14577944980014107</v>
      </c>
      <c r="M41" s="922">
        <f>SUM(M38:M40)</f>
        <v>7037.8677000000007</v>
      </c>
      <c r="N41" s="282">
        <f>N38</f>
        <v>0.99312331724663472</v>
      </c>
      <c r="O41" s="350">
        <f t="shared" si="6"/>
        <v>11.481023980424144</v>
      </c>
    </row>
    <row r="42" spans="2:16" ht="16.350000000000001" hidden="1" customHeight="1">
      <c r="B42" s="1965" t="s">
        <v>74</v>
      </c>
      <c r="C42" s="90" t="s">
        <v>70</v>
      </c>
      <c r="D42" s="92"/>
      <c r="E42" s="67" t="s">
        <v>71</v>
      </c>
      <c r="F42" s="80" t="s">
        <v>32</v>
      </c>
      <c r="G42" s="29" t="e">
        <f>'Youtube Trueview'!#REF!</f>
        <v>#REF!</v>
      </c>
      <c r="H42" s="1911" t="e">
        <f>'Youtube Trueview'!AC14</f>
        <v>#REF!</v>
      </c>
      <c r="I42" s="29" t="e">
        <f>'Youtube Trueview'!#REF!</f>
        <v>#REF!</v>
      </c>
      <c r="J42" s="240" t="e">
        <f>'Youtube Trueview'!#REF!</f>
        <v>#REF!</v>
      </c>
      <c r="K42" s="89" t="e">
        <f>'Youtube Trueview'!#REF!</f>
        <v>#REF!</v>
      </c>
      <c r="L42" s="1862" t="e">
        <f>'Youtube Trueview'!AC16</f>
        <v>#REF!</v>
      </c>
      <c r="M42" s="917" t="e">
        <f>'Youtube Trueview'!#REF!</f>
        <v>#REF!</v>
      </c>
      <c r="N42" s="1862" t="e">
        <f>N12</f>
        <v>#REF!</v>
      </c>
      <c r="O42" s="349" t="e">
        <f>M42/K42</f>
        <v>#REF!</v>
      </c>
    </row>
    <row r="43" spans="2:16" hidden="1">
      <c r="B43" s="1966"/>
      <c r="C43" s="777" t="s">
        <v>72</v>
      </c>
      <c r="D43" s="93"/>
      <c r="E43" s="68" t="s">
        <v>71</v>
      </c>
      <c r="F43" s="80" t="s">
        <v>32</v>
      </c>
      <c r="G43" s="29" t="e">
        <f>'Youtube Trueview'!#REF!</f>
        <v>#REF!</v>
      </c>
      <c r="H43" s="1912"/>
      <c r="I43" s="29" t="e">
        <f>'Youtube Trueview'!#REF!</f>
        <v>#REF!</v>
      </c>
      <c r="J43" s="241" t="e">
        <f>'Youtube Trueview'!#REF!</f>
        <v>#REF!</v>
      </c>
      <c r="K43" s="89" t="e">
        <f>'Youtube Trueview'!#REF!</f>
        <v>#REF!</v>
      </c>
      <c r="L43" s="1863"/>
      <c r="M43" s="917" t="e">
        <f>'Youtube Trueview'!#REF!</f>
        <v>#REF!</v>
      </c>
      <c r="N43" s="1863"/>
      <c r="O43" s="349" t="e">
        <f t="shared" si="6"/>
        <v>#REF!</v>
      </c>
    </row>
    <row r="44" spans="2:16" ht="16.2" hidden="1" thickBot="1">
      <c r="B44" s="1966"/>
      <c r="C44" s="91" t="s">
        <v>73</v>
      </c>
      <c r="D44" s="94"/>
      <c r="E44" s="69" t="s">
        <v>71</v>
      </c>
      <c r="F44" s="80" t="s">
        <v>32</v>
      </c>
      <c r="G44" s="38" t="e">
        <f>'Youtube Trueview'!#REF!</f>
        <v>#REF!</v>
      </c>
      <c r="H44" s="1913"/>
      <c r="I44" s="38" t="e">
        <f>'Youtube Trueview'!#REF!</f>
        <v>#REF!</v>
      </c>
      <c r="J44" s="240" t="e">
        <f>'Youtube Trueview'!#REF!</f>
        <v>#REF!</v>
      </c>
      <c r="K44" s="89" t="e">
        <f>'Youtube Trueview'!#REF!</f>
        <v>#REF!</v>
      </c>
      <c r="L44" s="1864"/>
      <c r="M44" s="917" t="e">
        <f>'Youtube Trueview'!#REF!</f>
        <v>#REF!</v>
      </c>
      <c r="N44" s="1864"/>
      <c r="O44" s="349" t="e">
        <f t="shared" si="6"/>
        <v>#REF!</v>
      </c>
    </row>
    <row r="45" spans="2:16" ht="16.2" hidden="1" thickBot="1">
      <c r="B45" s="1967"/>
      <c r="C45" s="1899" t="str">
        <f>B42&amp;" Total"</f>
        <v>YT Total</v>
      </c>
      <c r="D45" s="1900"/>
      <c r="E45" s="1901"/>
      <c r="F45" s="63"/>
      <c r="G45" s="64" t="e">
        <f>SUM(G42:G44)</f>
        <v>#REF!</v>
      </c>
      <c r="H45" s="284" t="e">
        <f>H42</f>
        <v>#REF!</v>
      </c>
      <c r="I45" s="64" t="e">
        <f>SUM(I42:I44)</f>
        <v>#REF!</v>
      </c>
      <c r="J45" s="242" t="e">
        <f>'Youtube Trueview'!#REF!</f>
        <v>#REF!</v>
      </c>
      <c r="K45" s="206" t="e">
        <f>SUM(K42:K44)</f>
        <v>#REF!</v>
      </c>
      <c r="L45" s="283" t="e">
        <f>L42</f>
        <v>#REF!</v>
      </c>
      <c r="M45" s="922" t="e">
        <f>SUM(M42:M44)</f>
        <v>#REF!</v>
      </c>
      <c r="N45" s="282" t="e">
        <f>N42</f>
        <v>#REF!</v>
      </c>
      <c r="O45" s="350" t="e">
        <f t="shared" si="6"/>
        <v>#REF!</v>
      </c>
    </row>
    <row r="46" spans="2:16" hidden="1">
      <c r="B46" s="1987" t="s">
        <v>35</v>
      </c>
      <c r="C46" s="279" t="s">
        <v>75</v>
      </c>
      <c r="D46" s="37"/>
      <c r="E46" s="281" t="s">
        <v>76</v>
      </c>
      <c r="F46" s="36" t="s">
        <v>32</v>
      </c>
      <c r="G46" s="276"/>
      <c r="H46" s="277"/>
      <c r="I46" s="29" t="e">
        <f>GDN!#REF!</f>
        <v>#REF!</v>
      </c>
      <c r="J46" s="240" t="e">
        <f>GDN!#REF!</f>
        <v>#REF!</v>
      </c>
      <c r="K46" s="89" t="e">
        <f>GDN!#REF!</f>
        <v>#REF!</v>
      </c>
      <c r="L46" s="1862" t="e">
        <f>GDN!T14</f>
        <v>#REF!</v>
      </c>
      <c r="M46" s="917" t="e">
        <f>GDN!#REF!</f>
        <v>#REF!</v>
      </c>
      <c r="N46" s="1862" t="e">
        <f>N13</f>
        <v>#REF!</v>
      </c>
      <c r="O46" s="349" t="e">
        <f>M46/K46</f>
        <v>#REF!</v>
      </c>
    </row>
    <row r="47" spans="2:16" hidden="1">
      <c r="B47" s="1988"/>
      <c r="C47" s="627" t="s">
        <v>77</v>
      </c>
      <c r="D47" s="31"/>
      <c r="E47" s="281"/>
      <c r="F47" s="36" t="s">
        <v>32</v>
      </c>
      <c r="G47" s="276"/>
      <c r="H47" s="277"/>
      <c r="I47" s="631" t="e">
        <f>I46-I48</f>
        <v>#REF!</v>
      </c>
      <c r="J47" s="630">
        <v>1.0579784050182195E-2</v>
      </c>
      <c r="K47" s="631" t="e">
        <f>K46-K48</f>
        <v>#REF!</v>
      </c>
      <c r="L47" s="1863"/>
      <c r="M47" s="1009" t="e">
        <f>M46-M48</f>
        <v>#REF!</v>
      </c>
      <c r="N47" s="1863"/>
      <c r="O47" s="632" t="e">
        <f>M47/K47</f>
        <v>#REF!</v>
      </c>
    </row>
    <row r="48" spans="2:16" hidden="1">
      <c r="B48" s="1988"/>
      <c r="C48" s="633" t="s">
        <v>78</v>
      </c>
      <c r="D48" s="634"/>
      <c r="E48" s="635"/>
      <c r="F48" s="634" t="s">
        <v>79</v>
      </c>
      <c r="G48" s="636"/>
      <c r="H48" s="637"/>
      <c r="I48" s="638">
        <v>10479</v>
      </c>
      <c r="J48" s="639">
        <v>9.0990791513083352E-3</v>
      </c>
      <c r="K48" s="654">
        <v>7219</v>
      </c>
      <c r="L48" s="1863"/>
      <c r="M48" s="1010">
        <v>262.29000000000002</v>
      </c>
      <c r="N48" s="1863"/>
      <c r="O48" s="661">
        <f>M48/K48</f>
        <v>3.6333287158886278E-2</v>
      </c>
    </row>
    <row r="49" spans="2:15" hidden="1">
      <c r="B49" s="1988"/>
      <c r="C49" s="280" t="s">
        <v>80</v>
      </c>
      <c r="D49" s="31"/>
      <c r="E49" s="281" t="s">
        <v>76</v>
      </c>
      <c r="F49" s="36" t="s">
        <v>32</v>
      </c>
      <c r="G49" s="276"/>
      <c r="H49" s="277"/>
      <c r="I49" s="29" t="e">
        <f>GDN!#REF!</f>
        <v>#REF!</v>
      </c>
      <c r="J49" s="240" t="e">
        <f>GDN!#REF!</f>
        <v>#REF!</v>
      </c>
      <c r="K49" s="89" t="e">
        <f>GDN!#REF!</f>
        <v>#REF!</v>
      </c>
      <c r="L49" s="1863"/>
      <c r="M49" s="917" t="e">
        <f>GDN!#REF!</f>
        <v>#REF!</v>
      </c>
      <c r="N49" s="1863"/>
      <c r="O49" s="349" t="e">
        <f t="shared" ref="O49:O67" si="7">M49/K49</f>
        <v>#REF!</v>
      </c>
    </row>
    <row r="50" spans="2:15" hidden="1">
      <c r="B50" s="1988"/>
      <c r="C50" s="627" t="s">
        <v>77</v>
      </c>
      <c r="D50" s="31"/>
      <c r="E50" s="281"/>
      <c r="F50" s="36" t="s">
        <v>32</v>
      </c>
      <c r="G50" s="276"/>
      <c r="H50" s="277"/>
      <c r="I50" s="629" t="e">
        <f>I49-I51</f>
        <v>#REF!</v>
      </c>
      <c r="J50" s="630">
        <v>1.7841113770021563E-2</v>
      </c>
      <c r="K50" s="631" t="e">
        <f>K49-K51</f>
        <v>#REF!</v>
      </c>
      <c r="L50" s="1863"/>
      <c r="M50" s="1009" t="e">
        <f>M49-M51</f>
        <v>#REF!</v>
      </c>
      <c r="N50" s="1863"/>
      <c r="O50" s="632" t="e">
        <f>M50/K50</f>
        <v>#REF!</v>
      </c>
    </row>
    <row r="51" spans="2:15" hidden="1">
      <c r="B51" s="1988"/>
      <c r="C51" s="633" t="s">
        <v>78</v>
      </c>
      <c r="D51" s="634"/>
      <c r="E51" s="635"/>
      <c r="F51" s="634" t="s">
        <v>79</v>
      </c>
      <c r="G51" s="636"/>
      <c r="H51" s="637"/>
      <c r="I51" s="638">
        <v>9459</v>
      </c>
      <c r="J51" s="639">
        <v>1.8703249291633466E-2</v>
      </c>
      <c r="K51" s="654">
        <v>3137</v>
      </c>
      <c r="L51" s="1863"/>
      <c r="M51" s="1010">
        <v>206.71999999999997</v>
      </c>
      <c r="N51" s="1863"/>
      <c r="O51" s="661">
        <f>M51/K51</f>
        <v>6.5897354160025498E-2</v>
      </c>
    </row>
    <row r="52" spans="2:15" hidden="1">
      <c r="B52" s="1988"/>
      <c r="C52" s="280" t="s">
        <v>81</v>
      </c>
      <c r="D52" s="31"/>
      <c r="E52" s="281" t="s">
        <v>76</v>
      </c>
      <c r="F52" s="36" t="s">
        <v>32</v>
      </c>
      <c r="G52" s="276"/>
      <c r="H52" s="277"/>
      <c r="I52" s="29" t="e">
        <f>GDN!#REF!</f>
        <v>#REF!</v>
      </c>
      <c r="J52" s="240" t="e">
        <f>GDN!#REF!</f>
        <v>#REF!</v>
      </c>
      <c r="K52" s="89" t="e">
        <f>GDN!#REF!</f>
        <v>#REF!</v>
      </c>
      <c r="L52" s="1863"/>
      <c r="M52" s="917" t="e">
        <f>GDN!#REF!</f>
        <v>#REF!</v>
      </c>
      <c r="N52" s="1863"/>
      <c r="O52" s="349" t="e">
        <f t="shared" si="7"/>
        <v>#REF!</v>
      </c>
    </row>
    <row r="53" spans="2:15" hidden="1">
      <c r="B53" s="1988"/>
      <c r="C53" s="628" t="s">
        <v>77</v>
      </c>
      <c r="D53" s="31"/>
      <c r="E53" s="281"/>
      <c r="F53" s="36" t="s">
        <v>32</v>
      </c>
      <c r="G53" s="276"/>
      <c r="H53" s="277"/>
      <c r="I53" s="629" t="e">
        <f>I52-I54</f>
        <v>#REF!</v>
      </c>
      <c r="J53" s="630">
        <v>4.2918596446494079E-3</v>
      </c>
      <c r="K53" s="631" t="e">
        <f>K52-K54</f>
        <v>#REF!</v>
      </c>
      <c r="L53" s="1863"/>
      <c r="M53" s="1009" t="e">
        <f>M52-M54</f>
        <v>#REF!</v>
      </c>
      <c r="N53" s="1863"/>
      <c r="O53" s="632" t="e">
        <f>M53/K53</f>
        <v>#REF!</v>
      </c>
    </row>
    <row r="54" spans="2:15" hidden="1">
      <c r="B54" s="1988"/>
      <c r="C54" s="640" t="s">
        <v>78</v>
      </c>
      <c r="D54" s="634"/>
      <c r="E54" s="635"/>
      <c r="F54" s="634" t="s">
        <v>79</v>
      </c>
      <c r="G54" s="636"/>
      <c r="H54" s="637"/>
      <c r="I54" s="638">
        <v>1673</v>
      </c>
      <c r="J54" s="639">
        <v>4.6239739089577406E-3</v>
      </c>
      <c r="K54" s="654">
        <v>1073</v>
      </c>
      <c r="L54" s="1863"/>
      <c r="M54" s="1010">
        <v>45.569999999999986</v>
      </c>
      <c r="N54" s="1863"/>
      <c r="O54" s="661">
        <f>M54/K54</f>
        <v>4.2469711090400736E-2</v>
      </c>
    </row>
    <row r="55" spans="2:15" hidden="1">
      <c r="B55" s="1988"/>
      <c r="C55" s="280" t="s">
        <v>82</v>
      </c>
      <c r="D55" s="31"/>
      <c r="E55" s="281" t="s">
        <v>76</v>
      </c>
      <c r="F55" s="36" t="s">
        <v>32</v>
      </c>
      <c r="G55" s="276"/>
      <c r="H55" s="277"/>
      <c r="I55" s="29" t="e">
        <f>GDN!#REF!</f>
        <v>#REF!</v>
      </c>
      <c r="J55" s="240" t="e">
        <f>GDN!#REF!</f>
        <v>#REF!</v>
      </c>
      <c r="K55" s="89" t="e">
        <f>GDN!#REF!</f>
        <v>#REF!</v>
      </c>
      <c r="L55" s="1863"/>
      <c r="M55" s="917" t="e">
        <f>GDN!#REF!</f>
        <v>#REF!</v>
      </c>
      <c r="N55" s="1863"/>
      <c r="O55" s="349" t="e">
        <f t="shared" si="7"/>
        <v>#REF!</v>
      </c>
    </row>
    <row r="56" spans="2:15" hidden="1">
      <c r="B56" s="1988"/>
      <c r="C56" s="628" t="s">
        <v>77</v>
      </c>
      <c r="D56" s="31"/>
      <c r="E56" s="281"/>
      <c r="F56" s="36" t="s">
        <v>32</v>
      </c>
      <c r="G56" s="276"/>
      <c r="H56" s="277"/>
      <c r="I56" s="629" t="e">
        <f>I55-I57</f>
        <v>#REF!</v>
      </c>
      <c r="J56" s="630">
        <v>4.2335565544445466E-2</v>
      </c>
      <c r="K56" s="631" t="e">
        <f>K55-K57</f>
        <v>#REF!</v>
      </c>
      <c r="L56" s="1863"/>
      <c r="M56" s="1009" t="e">
        <f>M55-M57</f>
        <v>#REF!</v>
      </c>
      <c r="N56" s="1863"/>
      <c r="O56" s="632" t="e">
        <f>M56/K56</f>
        <v>#REF!</v>
      </c>
    </row>
    <row r="57" spans="2:15" hidden="1">
      <c r="B57" s="1988"/>
      <c r="C57" s="640" t="s">
        <v>78</v>
      </c>
      <c r="D57" s="634"/>
      <c r="E57" s="635"/>
      <c r="F57" s="634" t="s">
        <v>79</v>
      </c>
      <c r="G57" s="636"/>
      <c r="H57" s="637"/>
      <c r="I57" s="638">
        <v>11523</v>
      </c>
      <c r="J57" s="639">
        <v>4.1196828098074408E-2</v>
      </c>
      <c r="K57" s="654">
        <v>6194</v>
      </c>
      <c r="L57" s="1863"/>
      <c r="M57" s="1010">
        <v>271.44</v>
      </c>
      <c r="N57" s="1863"/>
      <c r="O57" s="661">
        <f>M57/K57</f>
        <v>4.3823054568937682E-2</v>
      </c>
    </row>
    <row r="58" spans="2:15" hidden="1">
      <c r="B58" s="1988"/>
      <c r="C58" s="280" t="s">
        <v>83</v>
      </c>
      <c r="D58" s="31"/>
      <c r="E58" s="281" t="s">
        <v>76</v>
      </c>
      <c r="F58" s="36" t="s">
        <v>32</v>
      </c>
      <c r="G58" s="276"/>
      <c r="H58" s="277"/>
      <c r="I58" s="29" t="e">
        <f>GDN!#REF!</f>
        <v>#REF!</v>
      </c>
      <c r="J58" s="240" t="e">
        <f>GDN!#REF!</f>
        <v>#REF!</v>
      </c>
      <c r="K58" s="89" t="e">
        <f>GDN!#REF!</f>
        <v>#REF!</v>
      </c>
      <c r="L58" s="1863"/>
      <c r="M58" s="917" t="e">
        <f>GDN!#REF!</f>
        <v>#REF!</v>
      </c>
      <c r="N58" s="1863"/>
      <c r="O58" s="349" t="e">
        <f t="shared" si="7"/>
        <v>#REF!</v>
      </c>
    </row>
    <row r="59" spans="2:15" hidden="1">
      <c r="B59" s="1988"/>
      <c r="C59" s="628" t="s">
        <v>77</v>
      </c>
      <c r="D59" s="31"/>
      <c r="E59" s="281"/>
      <c r="F59" s="36" t="s">
        <v>32</v>
      </c>
      <c r="G59" s="276"/>
      <c r="H59" s="277"/>
      <c r="I59" s="629" t="e">
        <f>I58-I60</f>
        <v>#REF!</v>
      </c>
      <c r="J59" s="630">
        <v>2.2054621136004801E-2</v>
      </c>
      <c r="K59" s="631" t="e">
        <f>K58-K60</f>
        <v>#REF!</v>
      </c>
      <c r="L59" s="1863"/>
      <c r="M59" s="1009" t="e">
        <f>M58-M60</f>
        <v>#REF!</v>
      </c>
      <c r="N59" s="1863"/>
      <c r="O59" s="632" t="e">
        <f>M59/K59</f>
        <v>#REF!</v>
      </c>
    </row>
    <row r="60" spans="2:15" hidden="1">
      <c r="B60" s="1988"/>
      <c r="C60" s="640" t="s">
        <v>78</v>
      </c>
      <c r="D60" s="634"/>
      <c r="E60" s="635"/>
      <c r="F60" s="634" t="s">
        <v>79</v>
      </c>
      <c r="G60" s="636"/>
      <c r="H60" s="637"/>
      <c r="I60" s="638">
        <v>3847</v>
      </c>
      <c r="J60" s="639">
        <v>2.1858451328439284E-2</v>
      </c>
      <c r="K60" s="654">
        <v>2978</v>
      </c>
      <c r="L60" s="1863"/>
      <c r="M60" s="1010">
        <v>79.470000000000013</v>
      </c>
      <c r="N60" s="1863"/>
      <c r="O60" s="661">
        <f>M60/K60</f>
        <v>2.6685695097380797E-2</v>
      </c>
    </row>
    <row r="61" spans="2:15" hidden="1">
      <c r="B61" s="1988"/>
      <c r="C61" s="280" t="s">
        <v>84</v>
      </c>
      <c r="D61" s="31"/>
      <c r="E61" s="281" t="s">
        <v>76</v>
      </c>
      <c r="F61" s="36" t="s">
        <v>32</v>
      </c>
      <c r="G61" s="276"/>
      <c r="H61" s="277"/>
      <c r="I61" s="29" t="e">
        <f>GDN!#REF!</f>
        <v>#REF!</v>
      </c>
      <c r="J61" s="240" t="e">
        <f>GDN!#REF!</f>
        <v>#REF!</v>
      </c>
      <c r="K61" s="89" t="e">
        <f>GDN!#REF!</f>
        <v>#REF!</v>
      </c>
      <c r="L61" s="1863"/>
      <c r="M61" s="917" t="e">
        <f>GDN!#REF!</f>
        <v>#REF!</v>
      </c>
      <c r="N61" s="1863"/>
      <c r="O61" s="349" t="e">
        <f t="shared" si="7"/>
        <v>#REF!</v>
      </c>
    </row>
    <row r="62" spans="2:15" hidden="1">
      <c r="B62" s="1988"/>
      <c r="C62" s="628" t="s">
        <v>77</v>
      </c>
      <c r="D62" s="31"/>
      <c r="E62" s="281"/>
      <c r="F62" s="36" t="s">
        <v>32</v>
      </c>
      <c r="G62" s="276"/>
      <c r="H62" s="277"/>
      <c r="I62" s="629" t="e">
        <f>I61-I63</f>
        <v>#REF!</v>
      </c>
      <c r="J62" s="630">
        <v>2.2543267985631762E-2</v>
      </c>
      <c r="K62" s="631" t="e">
        <f>K61-K63</f>
        <v>#REF!</v>
      </c>
      <c r="L62" s="1863"/>
      <c r="M62" s="1009" t="e">
        <f>M61-M63</f>
        <v>#REF!</v>
      </c>
      <c r="N62" s="1863"/>
      <c r="O62" s="632" t="e">
        <f>M62/K62</f>
        <v>#REF!</v>
      </c>
    </row>
    <row r="63" spans="2:15" hidden="1">
      <c r="B63" s="1988"/>
      <c r="C63" s="640" t="s">
        <v>78</v>
      </c>
      <c r="D63" s="634"/>
      <c r="E63" s="635"/>
      <c r="F63" s="634" t="s">
        <v>79</v>
      </c>
      <c r="G63" s="636"/>
      <c r="H63" s="637"/>
      <c r="I63" s="638">
        <v>1030</v>
      </c>
      <c r="J63" s="639">
        <v>2.5672981056829511E-2</v>
      </c>
      <c r="K63" s="654">
        <v>628</v>
      </c>
      <c r="L63" s="1863"/>
      <c r="M63" s="1010">
        <v>21.119999999999997</v>
      </c>
      <c r="N63" s="1863"/>
      <c r="O63" s="661">
        <f>M63/K63</f>
        <v>3.3630573248407639E-2</v>
      </c>
    </row>
    <row r="64" spans="2:15" hidden="1">
      <c r="B64" s="1988"/>
      <c r="C64" s="280" t="s">
        <v>85</v>
      </c>
      <c r="D64" s="31"/>
      <c r="E64" s="281" t="s">
        <v>76</v>
      </c>
      <c r="F64" s="36" t="s">
        <v>32</v>
      </c>
      <c r="G64" s="276"/>
      <c r="H64" s="277"/>
      <c r="I64" s="29" t="e">
        <f>GDN!#REF!</f>
        <v>#REF!</v>
      </c>
      <c r="J64" s="240">
        <v>2.2156573116691287E-3</v>
      </c>
      <c r="K64" s="89" t="e">
        <f>GDN!#REF!</f>
        <v>#REF!</v>
      </c>
      <c r="L64" s="1863"/>
      <c r="M64" s="917" t="e">
        <f>GDN!#REF!</f>
        <v>#REF!</v>
      </c>
      <c r="N64" s="1863"/>
      <c r="O64" s="349" t="e">
        <f t="shared" si="7"/>
        <v>#REF!</v>
      </c>
    </row>
    <row r="65" spans="2:15" hidden="1">
      <c r="B65" s="1988"/>
      <c r="C65" s="280" t="s">
        <v>86</v>
      </c>
      <c r="D65" s="31"/>
      <c r="E65" s="281" t="s">
        <v>76</v>
      </c>
      <c r="F65" s="36" t="s">
        <v>32</v>
      </c>
      <c r="G65" s="276"/>
      <c r="H65" s="277"/>
      <c r="I65" s="29" t="e">
        <f>GDN!#REF!</f>
        <v>#REF!</v>
      </c>
      <c r="J65" s="240">
        <v>2.5350432448553533E-3</v>
      </c>
      <c r="K65" s="89" t="e">
        <f>GDN!#REF!</f>
        <v>#REF!</v>
      </c>
      <c r="L65" s="1863"/>
      <c r="M65" s="917" t="e">
        <f>GDN!#REF!</f>
        <v>#REF!</v>
      </c>
      <c r="N65" s="1863"/>
      <c r="O65" s="349" t="e">
        <f t="shared" si="7"/>
        <v>#REF!</v>
      </c>
    </row>
    <row r="66" spans="2:15" ht="16.2" hidden="1" thickBot="1">
      <c r="B66" s="1988"/>
      <c r="C66" s="280" t="s">
        <v>87</v>
      </c>
      <c r="D66" s="31"/>
      <c r="E66" s="281" t="s">
        <v>76</v>
      </c>
      <c r="F66" s="36" t="s">
        <v>32</v>
      </c>
      <c r="G66" s="276"/>
      <c r="H66" s="277"/>
      <c r="I66" s="29" t="e">
        <f>GDN!#REF!</f>
        <v>#REF!</v>
      </c>
      <c r="J66" s="278">
        <v>0</v>
      </c>
      <c r="K66" s="89" t="e">
        <f>GDN!#REF!</f>
        <v>#REF!</v>
      </c>
      <c r="L66" s="1864"/>
      <c r="M66" s="917" t="e">
        <f>GDN!#REF!</f>
        <v>#REF!</v>
      </c>
      <c r="N66" s="1864"/>
      <c r="O66" s="349" t="e">
        <f t="shared" si="7"/>
        <v>#REF!</v>
      </c>
    </row>
    <row r="67" spans="2:15" ht="16.2" hidden="1" thickBot="1">
      <c r="B67" s="1989"/>
      <c r="C67" s="1900" t="s">
        <v>88</v>
      </c>
      <c r="D67" s="1900"/>
      <c r="E67" s="1901"/>
      <c r="F67" s="63"/>
      <c r="G67" s="66"/>
      <c r="H67" s="65"/>
      <c r="I67" s="206" t="e">
        <f>SUM(I46,I49,I52,I55,I58,I61,I64,I65,I66)</f>
        <v>#REF!</v>
      </c>
      <c r="J67" s="242" t="e">
        <f>GDN!G24</f>
        <v>#REF!</v>
      </c>
      <c r="K67" s="206" t="e">
        <f>SUM(K46,K49,K52,K55,K58,K61,K64,K65,K66)</f>
        <v>#REF!</v>
      </c>
      <c r="L67" s="626" t="e">
        <f>L46</f>
        <v>#REF!</v>
      </c>
      <c r="M67" s="1011" t="e">
        <f>SUM(M46,M49,M52,M55,M58,M61,M64,M65,M66)</f>
        <v>#REF!</v>
      </c>
      <c r="N67" s="282" t="e">
        <f>N46</f>
        <v>#REF!</v>
      </c>
      <c r="O67" s="350" t="e">
        <f t="shared" si="7"/>
        <v>#REF!</v>
      </c>
    </row>
    <row r="68" spans="2:15" ht="16.2" hidden="1" thickBot="1">
      <c r="B68" s="1895" t="s">
        <v>89</v>
      </c>
      <c r="C68" s="1896"/>
      <c r="D68" s="1896"/>
      <c r="E68" s="1896"/>
      <c r="F68" s="351"/>
      <c r="G68" s="352" t="e">
        <f>SUM(G37,G41,G45)</f>
        <v>#REF!</v>
      </c>
      <c r="H68" s="353" t="e">
        <f>G68/'Daily_Total '!$AA$16</f>
        <v>#REF!</v>
      </c>
      <c r="I68" s="352" t="e">
        <f>SUM(I37,I41,I45,I67)</f>
        <v>#REF!</v>
      </c>
      <c r="J68" s="354" t="e">
        <f>'Daily_Total '!L26</f>
        <v>#REF!</v>
      </c>
      <c r="K68" s="352" t="e">
        <f t="shared" ref="K68:M68" si="8">SUM(K37,K41,K45,K67)</f>
        <v>#REF!</v>
      </c>
      <c r="L68" s="355" t="e">
        <f>K68/'Daily_Total '!AA18</f>
        <v>#REF!</v>
      </c>
      <c r="M68" s="932" t="e">
        <f t="shared" si="8"/>
        <v>#REF!</v>
      </c>
      <c r="N68" s="356" t="e">
        <f>M68/C5</f>
        <v>#REF!</v>
      </c>
      <c r="O68" s="357" t="e">
        <f>M68/K68</f>
        <v>#REF!</v>
      </c>
    </row>
    <row r="69" spans="2:15">
      <c r="B69" s="81"/>
      <c r="C69" s="1"/>
      <c r="D69" s="1"/>
      <c r="E69" s="1"/>
      <c r="F69" s="82"/>
      <c r="G69" s="83"/>
      <c r="H69" s="879"/>
      <c r="I69" s="83"/>
      <c r="J69" s="880"/>
      <c r="K69" s="83"/>
      <c r="L69" s="881"/>
      <c r="M69" s="882"/>
      <c r="N69" s="883"/>
      <c r="O69" s="884"/>
    </row>
    <row r="70" spans="2:15" ht="16.2" thickBot="1">
      <c r="B70" s="81"/>
      <c r="C70" s="1"/>
      <c r="D70" s="1"/>
      <c r="E70" s="1"/>
      <c r="F70" s="82"/>
      <c r="G70" s="83"/>
      <c r="H70" s="879"/>
      <c r="I70" s="83"/>
      <c r="J70" s="880"/>
      <c r="K70" s="83"/>
      <c r="L70" s="881"/>
      <c r="M70" s="882"/>
      <c r="N70" s="883"/>
      <c r="O70" s="884"/>
    </row>
    <row r="71" spans="2:15" ht="16.2" thickBot="1">
      <c r="B71" s="1914" t="s">
        <v>90</v>
      </c>
      <c r="C71" s="1915"/>
      <c r="D71" s="1915"/>
      <c r="E71" s="1915"/>
      <c r="F71" s="1915"/>
      <c r="G71" s="1915"/>
      <c r="H71" s="1915"/>
      <c r="I71" s="1915"/>
      <c r="J71" s="1915"/>
      <c r="K71" s="1915"/>
      <c r="L71" s="1915"/>
      <c r="M71" s="1915"/>
      <c r="N71" s="1915"/>
      <c r="O71" s="1916"/>
    </row>
    <row r="72" spans="2:15">
      <c r="B72" s="1920" t="s">
        <v>64</v>
      </c>
      <c r="C72" s="1897" t="s">
        <v>65</v>
      </c>
      <c r="D72" s="1898"/>
      <c r="E72" s="1898"/>
      <c r="F72" s="1918" t="s">
        <v>15</v>
      </c>
      <c r="G72" s="1879" t="s">
        <v>16</v>
      </c>
      <c r="H72" s="1879"/>
      <c r="I72" s="1879" t="s">
        <v>17</v>
      </c>
      <c r="J72" s="1879"/>
      <c r="K72" s="1893" t="s">
        <v>18</v>
      </c>
      <c r="L72" s="1894"/>
      <c r="M72" s="1891" t="s">
        <v>19</v>
      </c>
      <c r="N72" s="1917" t="s">
        <v>20</v>
      </c>
      <c r="O72" s="1951" t="s">
        <v>21</v>
      </c>
    </row>
    <row r="73" spans="2:15" ht="27" thickBot="1">
      <c r="B73" s="1921"/>
      <c r="C73" s="1266" t="s">
        <v>66</v>
      </c>
      <c r="D73" s="1267" t="s">
        <v>67</v>
      </c>
      <c r="E73" s="1266" t="s">
        <v>68</v>
      </c>
      <c r="F73" s="1962"/>
      <c r="G73" s="1268" t="s">
        <v>43</v>
      </c>
      <c r="H73" s="1269" t="s">
        <v>26</v>
      </c>
      <c r="I73" s="1270" t="s">
        <v>27</v>
      </c>
      <c r="J73" s="1271" t="s">
        <v>28</v>
      </c>
      <c r="K73" s="1271" t="s">
        <v>29</v>
      </c>
      <c r="L73" s="1269" t="s">
        <v>26</v>
      </c>
      <c r="M73" s="1963"/>
      <c r="N73" s="1963"/>
      <c r="O73" s="1964"/>
    </row>
    <row r="74" spans="2:15">
      <c r="B74" s="1928" t="s">
        <v>91</v>
      </c>
      <c r="C74" s="1456" t="s">
        <v>70</v>
      </c>
      <c r="D74" s="946"/>
      <c r="E74" s="1263" t="s">
        <v>71</v>
      </c>
      <c r="F74" s="1077" t="s">
        <v>50</v>
      </c>
      <c r="G74" s="1264">
        <f>'Facebook Video'!AB104</f>
        <v>381786</v>
      </c>
      <c r="H74" s="1888">
        <f>'Facebook Video'!AG15</f>
        <v>1.3026528450543302</v>
      </c>
      <c r="I74" s="949">
        <f>'Facebook Video'!AA104</f>
        <v>115690</v>
      </c>
      <c r="J74" s="1265">
        <f>'Facebook Video'!AJ104</f>
        <v>2.1265367486100493E-2</v>
      </c>
      <c r="K74" s="950">
        <f>'Facebook Video'!AK104</f>
        <v>3373</v>
      </c>
      <c r="L74" s="1863">
        <f>'Facebook Video'!AG17</f>
        <v>0.61466820592774196</v>
      </c>
      <c r="M74" s="951">
        <f>'Facebook Video'!AG104</f>
        <v>9249.67</v>
      </c>
      <c r="N74" s="1880">
        <f>N20</f>
        <v>1.0058119007097264</v>
      </c>
      <c r="O74" s="1281">
        <f>M74/K74</f>
        <v>2.7422680106729915</v>
      </c>
    </row>
    <row r="75" spans="2:15">
      <c r="B75" s="1929"/>
      <c r="C75" s="1457" t="s">
        <v>72</v>
      </c>
      <c r="D75" s="93"/>
      <c r="E75" s="918" t="s">
        <v>71</v>
      </c>
      <c r="F75" s="1077" t="s">
        <v>50</v>
      </c>
      <c r="G75" s="916">
        <f>'Facebook Video'!AT104</f>
        <v>119563</v>
      </c>
      <c r="H75" s="1888"/>
      <c r="I75" s="29">
        <f>'Facebook Video'!AS104</f>
        <v>30962</v>
      </c>
      <c r="J75" s="990">
        <f>'Facebook Video'!BB104</f>
        <v>1.9792094157234708E-2</v>
      </c>
      <c r="K75" s="89">
        <f>'Facebook Video'!BC104</f>
        <v>1064</v>
      </c>
      <c r="L75" s="1863"/>
      <c r="M75" s="917">
        <f>'Facebook Video'!AY104</f>
        <v>2656.08</v>
      </c>
      <c r="N75" s="1880"/>
      <c r="O75" s="1260">
        <f t="shared" ref="O75:O77" si="9">M75/K75</f>
        <v>2.4963157894736843</v>
      </c>
    </row>
    <row r="76" spans="2:15" ht="16.2" thickBot="1">
      <c r="B76" s="1929"/>
      <c r="C76" s="1458" t="s">
        <v>92</v>
      </c>
      <c r="D76" s="94"/>
      <c r="E76" s="69" t="s">
        <v>71</v>
      </c>
      <c r="F76" s="1077" t="s">
        <v>50</v>
      </c>
      <c r="G76" s="920">
        <f>'Facebook Video'!BL104</f>
        <v>45915</v>
      </c>
      <c r="H76" s="1889"/>
      <c r="I76" s="38">
        <f>'Facebook Video'!BK104</f>
        <v>4441</v>
      </c>
      <c r="J76" s="990">
        <f>'Facebook Video'!BT104</f>
        <v>8.8335216332765774E-3</v>
      </c>
      <c r="K76" s="89">
        <f>'Facebook Video'!BU104</f>
        <v>41</v>
      </c>
      <c r="L76" s="1864"/>
      <c r="M76" s="917">
        <f>'Facebook Video'!BQ104</f>
        <v>770.95</v>
      </c>
      <c r="N76" s="1881"/>
      <c r="O76" s="1460">
        <f t="shared" si="9"/>
        <v>18.803658536585367</v>
      </c>
    </row>
    <row r="77" spans="2:15" ht="16.2" thickBot="1">
      <c r="B77" s="1930"/>
      <c r="C77" s="1985" t="str">
        <f>B74&amp;" Total"</f>
        <v>Facebook
 Video Total</v>
      </c>
      <c r="D77" s="1985"/>
      <c r="E77" s="1985"/>
      <c r="F77" s="1986"/>
      <c r="G77" s="64">
        <f>SUM(G74:G76)</f>
        <v>547264</v>
      </c>
      <c r="H77" s="284">
        <f>H74</f>
        <v>1.3026528450543302</v>
      </c>
      <c r="I77" s="921">
        <f>SUM(I74:I76)</f>
        <v>151093</v>
      </c>
      <c r="J77" s="242">
        <f>'Facebook Video'!L104</f>
        <v>2.0125857036923666E-2</v>
      </c>
      <c r="K77" s="64">
        <f>SUM(K74:K76)</f>
        <v>4478</v>
      </c>
      <c r="L77" s="283">
        <f>L74</f>
        <v>0.61466820592774196</v>
      </c>
      <c r="M77" s="922">
        <f>SUM(M74:M76)</f>
        <v>12676.7</v>
      </c>
      <c r="N77" s="282">
        <f>N74</f>
        <v>1.0058119007097264</v>
      </c>
      <c r="O77" s="1461">
        <f t="shared" si="9"/>
        <v>2.8308843233586423</v>
      </c>
    </row>
    <row r="78" spans="2:15">
      <c r="B78" s="1928" t="s">
        <v>48</v>
      </c>
      <c r="C78" s="1459" t="s">
        <v>70</v>
      </c>
      <c r="D78" s="92"/>
      <c r="E78" s="67" t="s">
        <v>71</v>
      </c>
      <c r="F78" s="1077" t="s">
        <v>49</v>
      </c>
      <c r="G78" s="1843"/>
      <c r="H78" s="1845"/>
      <c r="I78" s="29">
        <f>'Facebook Carousel'!R63</f>
        <v>2860</v>
      </c>
      <c r="J78" s="240">
        <f>'Facebook Carousel'!T63</f>
        <v>4.5544809882268255E-3</v>
      </c>
      <c r="K78" s="278">
        <f>'Facebook Carousel'!U63</f>
        <v>159</v>
      </c>
      <c r="L78" s="1862">
        <f>'Facebook Carousel'!T14</f>
        <v>0.17742626484409516</v>
      </c>
      <c r="M78" s="917">
        <f>'Facebook Carousel'!S63</f>
        <v>585.21</v>
      </c>
      <c r="N78" s="1931">
        <f>N19</f>
        <v>0.96553529411764694</v>
      </c>
      <c r="O78" s="1281">
        <f>M78/K78</f>
        <v>3.6805660377358493</v>
      </c>
    </row>
    <row r="79" spans="2:15" ht="31.2" customHeight="1" thickBot="1">
      <c r="B79" s="1929"/>
      <c r="C79" s="1457" t="s">
        <v>72</v>
      </c>
      <c r="D79" s="93"/>
      <c r="E79" s="68" t="s">
        <v>71</v>
      </c>
      <c r="F79" s="1077" t="s">
        <v>49</v>
      </c>
      <c r="G79" s="1843"/>
      <c r="H79" s="1846"/>
      <c r="I79" s="29">
        <f>'Facebook Carousel'!AC63</f>
        <v>14248</v>
      </c>
      <c r="J79" s="240">
        <f>'Facebook Carousel'!AE63</f>
        <v>4.1847357592543367E-3</v>
      </c>
      <c r="K79" s="278">
        <f>'Facebook Carousel'!AF63</f>
        <v>771</v>
      </c>
      <c r="L79" s="1863"/>
      <c r="M79" s="917">
        <f>'Facebook Carousel'!AD63</f>
        <v>2697.61</v>
      </c>
      <c r="N79" s="1932"/>
      <c r="O79" s="1462">
        <f t="shared" ref="O79:O81" si="10">M79/K79</f>
        <v>3.4988456549935152</v>
      </c>
    </row>
    <row r="80" spans="2:15" ht="31.8" thickBot="1">
      <c r="B80" s="1929"/>
      <c r="C80" s="1458" t="s">
        <v>93</v>
      </c>
      <c r="D80" s="94"/>
      <c r="E80" s="923" t="s">
        <v>71</v>
      </c>
      <c r="F80" s="924" t="s">
        <v>94</v>
      </c>
      <c r="G80" s="1844"/>
      <c r="H80" s="1847"/>
      <c r="I80" s="38">
        <f>'[4]Instagram Vid'!BK139</f>
        <v>0</v>
      </c>
      <c r="J80" s="240">
        <f>'[4]Instagram Vid'!BT74</f>
        <v>0</v>
      </c>
      <c r="K80" s="278">
        <f>'[4]Instagram Vid'!BU139</f>
        <v>0</v>
      </c>
      <c r="L80" s="1864"/>
      <c r="M80" s="917">
        <f>'[4]Instagram Vid'!BQ139</f>
        <v>0</v>
      </c>
      <c r="N80" s="1933"/>
      <c r="O80" s="1281" t="e">
        <f t="shared" si="10"/>
        <v>#DIV/0!</v>
      </c>
    </row>
    <row r="81" spans="2:15" ht="16.2" thickBot="1">
      <c r="B81" s="1930"/>
      <c r="C81" s="1997" t="str">
        <f>B78&amp;" Total"</f>
        <v>Facebook Carousel Total</v>
      </c>
      <c r="D81" s="1997"/>
      <c r="E81" s="1997"/>
      <c r="F81" s="1998"/>
      <c r="G81" s="64" t="s">
        <v>61</v>
      </c>
      <c r="H81" s="933" t="s">
        <v>61</v>
      </c>
      <c r="I81" s="938">
        <f>SUM(I78:I80)</f>
        <v>17108</v>
      </c>
      <c r="J81" s="939">
        <f>'Facebook Carousel'!G63</f>
        <v>4.2423106260111075E-3</v>
      </c>
      <c r="K81" s="940">
        <f>SUM(K78:K80)</f>
        <v>930</v>
      </c>
      <c r="L81" s="936">
        <f>L78</f>
        <v>0.17742626484409516</v>
      </c>
      <c r="M81" s="943">
        <f>SUM(M78:M80)</f>
        <v>3282.82</v>
      </c>
      <c r="N81" s="1262">
        <f>N78</f>
        <v>0.96553529411764694</v>
      </c>
      <c r="O81" s="1463">
        <f t="shared" si="10"/>
        <v>3.5299139784946236</v>
      </c>
    </row>
    <row r="82" spans="2:15">
      <c r="B82" s="1928" t="s">
        <v>95</v>
      </c>
      <c r="C82" s="1459" t="s">
        <v>70</v>
      </c>
      <c r="D82" s="937"/>
      <c r="E82" s="67" t="s">
        <v>71</v>
      </c>
      <c r="F82" s="1077" t="s">
        <v>50</v>
      </c>
      <c r="G82" s="978">
        <f>'IG Video'!AB67</f>
        <v>158471</v>
      </c>
      <c r="H82" s="1887">
        <f>'IG Video'!AC12</f>
        <v>6.373933740752654</v>
      </c>
      <c r="I82" s="1467">
        <f>'IG Video'!AA67</f>
        <v>1423</v>
      </c>
      <c r="J82" s="1466">
        <f>'IG Video'!AJ67</f>
        <v>1.1770340231486115E-3</v>
      </c>
      <c r="K82" s="1465">
        <f>'IG Video'!AK67</f>
        <v>465</v>
      </c>
      <c r="L82" s="1862">
        <f>'IG Video'!AC14</f>
        <v>9.7820842714699263E-2</v>
      </c>
      <c r="M82" s="1464">
        <f>'IG Video'!AG67</f>
        <v>3664.9500000000003</v>
      </c>
      <c r="N82" s="1941">
        <f>N22</f>
        <v>1.0381907365712448</v>
      </c>
      <c r="O82" s="1281">
        <f>M82/K82</f>
        <v>7.8816129032258067</v>
      </c>
    </row>
    <row r="83" spans="2:15">
      <c r="B83" s="1929"/>
      <c r="C83" s="1457" t="s">
        <v>72</v>
      </c>
      <c r="D83" s="937"/>
      <c r="E83" s="68" t="s">
        <v>71</v>
      </c>
      <c r="F83" s="1077" t="s">
        <v>50</v>
      </c>
      <c r="G83" s="978">
        <f>'IG Video'!AT67</f>
        <v>40930</v>
      </c>
      <c r="H83" s="1888"/>
      <c r="I83" s="978">
        <f>'IG Video'!AS67</f>
        <v>520</v>
      </c>
      <c r="J83" s="240">
        <f>'IG Video'!BB67</f>
        <v>1.5864299225089998E-3</v>
      </c>
      <c r="K83" s="278">
        <f>'IG Video'!BC67</f>
        <v>179</v>
      </c>
      <c r="L83" s="1863"/>
      <c r="M83" s="917">
        <f>'IG Video'!AY67</f>
        <v>1313.74</v>
      </c>
      <c r="N83" s="1942"/>
      <c r="O83" s="1260">
        <f t="shared" ref="O83:O84" si="11">M83/K83</f>
        <v>7.3393296089385478</v>
      </c>
    </row>
    <row r="84" spans="2:15" ht="16.2" thickBot="1">
      <c r="B84" s="1929"/>
      <c r="C84" s="1458" t="s">
        <v>96</v>
      </c>
      <c r="D84" s="937"/>
      <c r="E84" s="923" t="s">
        <v>71</v>
      </c>
      <c r="F84" s="1077" t="s">
        <v>50</v>
      </c>
      <c r="G84" s="978">
        <f>'IG Video'!BL67</f>
        <v>48306</v>
      </c>
      <c r="H84" s="1889"/>
      <c r="I84" s="1469">
        <f>'IG Video'!BK67</f>
        <v>526</v>
      </c>
      <c r="J84" s="240">
        <f>'IG Video'!BT67</f>
        <v>1.3056094043591468E-3</v>
      </c>
      <c r="K84" s="278">
        <f>'IG Video'!BU67</f>
        <v>167</v>
      </c>
      <c r="L84" s="1864"/>
      <c r="M84" s="917">
        <f>'IG Video'!BQ67</f>
        <v>1476.78</v>
      </c>
      <c r="N84" s="1942"/>
      <c r="O84" s="1460">
        <f t="shared" si="11"/>
        <v>8.8429940119760477</v>
      </c>
    </row>
    <row r="85" spans="2:15" ht="16.2" thickBot="1">
      <c r="B85" s="1956"/>
      <c r="C85" s="1945" t="s">
        <v>97</v>
      </c>
      <c r="D85" s="1946"/>
      <c r="E85" s="1946"/>
      <c r="F85" s="1947"/>
      <c r="G85" s="64">
        <f>SUM(G82:G84)</f>
        <v>247707</v>
      </c>
      <c r="H85" s="941">
        <f>H82</f>
        <v>6.373933740752654</v>
      </c>
      <c r="I85" s="1470">
        <f>SUM(I82:I84)</f>
        <v>2469</v>
      </c>
      <c r="J85" s="1471">
        <f>'IG Video'!L67</f>
        <v>1.2729244989245359E-3</v>
      </c>
      <c r="K85" s="1470">
        <f>SUM(K82:K84)</f>
        <v>811</v>
      </c>
      <c r="L85" s="942">
        <f>L82</f>
        <v>9.7820842714699263E-2</v>
      </c>
      <c r="M85" s="1473">
        <f>SUM(M82:M84)</f>
        <v>6455.47</v>
      </c>
      <c r="N85" s="1472">
        <f>N82</f>
        <v>1.0381907365712448</v>
      </c>
      <c r="O85" s="1474">
        <f t="shared" ref="O85" si="12">M85/K85</f>
        <v>7.9598890258939585</v>
      </c>
    </row>
    <row r="86" spans="2:15">
      <c r="B86" s="1958" t="s">
        <v>98</v>
      </c>
      <c r="C86" s="1456" t="s">
        <v>70</v>
      </c>
      <c r="D86" s="1468"/>
      <c r="E86" s="947" t="s">
        <v>71</v>
      </c>
      <c r="F86" s="1077" t="s">
        <v>50</v>
      </c>
      <c r="G86" s="978">
        <f>'Snapchat Video'!AB68</f>
        <v>55504</v>
      </c>
      <c r="H86" s="1887">
        <f>'Snapchat Video'!AC13</f>
        <v>3.6318987341772151</v>
      </c>
      <c r="I86" s="1467">
        <f>'Snapchat Video'!AA68</f>
        <v>7374</v>
      </c>
      <c r="J86" s="1466">
        <f>'Snapchat Video'!AJ68</f>
        <v>1.3307034465832826E-2</v>
      </c>
      <c r="K86" s="1465">
        <f>'Snapchat Video'!AK68</f>
        <v>1361</v>
      </c>
      <c r="L86" s="1862">
        <f>'Snapchat Video'!AC15</f>
        <v>2.0987257383966242</v>
      </c>
      <c r="M86" s="1464">
        <f>'Snapchat Video'!AG68</f>
        <v>1537.75</v>
      </c>
      <c r="N86" s="1941">
        <f>N24</f>
        <v>0.9400104244229337</v>
      </c>
      <c r="O86" s="1475">
        <f>M86/K86</f>
        <v>1.1298677443056575</v>
      </c>
    </row>
    <row r="87" spans="2:15">
      <c r="B87" s="1929"/>
      <c r="C87" s="1457" t="s">
        <v>72</v>
      </c>
      <c r="D87" s="937"/>
      <c r="E87" s="68" t="s">
        <v>71</v>
      </c>
      <c r="F87" s="1077" t="s">
        <v>50</v>
      </c>
      <c r="G87" s="978">
        <f>'Snapchat Video'!AT68</f>
        <v>47425</v>
      </c>
      <c r="H87" s="1888"/>
      <c r="I87" s="978">
        <f>'Snapchat Video'!AS68</f>
        <v>8450</v>
      </c>
      <c r="J87" s="240">
        <f>'Snapchat Video'!BB68</f>
        <v>1.7766097240473063E-2</v>
      </c>
      <c r="K87" s="278">
        <f>'Snapchat Video'!BC68</f>
        <v>2171</v>
      </c>
      <c r="L87" s="1863"/>
      <c r="M87" s="917">
        <f>'Snapchat Video'!AY68</f>
        <v>1603.69</v>
      </c>
      <c r="N87" s="1942"/>
      <c r="O87" s="1260">
        <f t="shared" ref="O87:O88" si="13">M87/K87</f>
        <v>0.73868724090280979</v>
      </c>
    </row>
    <row r="88" spans="2:15" ht="16.2" thickBot="1">
      <c r="B88" s="1929"/>
      <c r="C88" s="1458" t="s">
        <v>92</v>
      </c>
      <c r="D88" s="937"/>
      <c r="E88" s="923" t="s">
        <v>71</v>
      </c>
      <c r="F88" s="1077" t="s">
        <v>50</v>
      </c>
      <c r="G88" s="978">
        <f>'Snapchat Video'!BL68</f>
        <v>112261</v>
      </c>
      <c r="H88" s="1889"/>
      <c r="I88" s="1469">
        <f>'Snapchat Video'!BK68</f>
        <v>14944</v>
      </c>
      <c r="J88" s="1476">
        <f>'Snapchat Video'!BT68</f>
        <v>1.5135448285361537E-2</v>
      </c>
      <c r="K88" s="278">
        <f>'Snapchat Video'!BU68</f>
        <v>2366</v>
      </c>
      <c r="L88" s="1996"/>
      <c r="M88" s="917">
        <f>'Snapchat Video'!BQ68</f>
        <v>3170.7300000000005</v>
      </c>
      <c r="N88" s="1942"/>
      <c r="O88" s="1462">
        <f t="shared" si="13"/>
        <v>1.3401225697379546</v>
      </c>
    </row>
    <row r="89" spans="2:15" ht="16.2" thickBot="1">
      <c r="B89" s="1956"/>
      <c r="C89" s="1945" t="s">
        <v>99</v>
      </c>
      <c r="D89" s="1946"/>
      <c r="E89" s="1946"/>
      <c r="F89" s="1957"/>
      <c r="G89" s="1479">
        <f>SUM(G86:G88)</f>
        <v>215190</v>
      </c>
      <c r="H89" s="941">
        <f>H86</f>
        <v>3.6318987341772151</v>
      </c>
      <c r="I89" s="1470">
        <f>SUM(I86:I88)</f>
        <v>30768</v>
      </c>
      <c r="J89" s="935">
        <f>'Snapchat Video'!L68</f>
        <v>1.5253438195763363E-2</v>
      </c>
      <c r="K89" s="1470">
        <f>SUM(K86:K88)</f>
        <v>5898</v>
      </c>
      <c r="L89" s="942">
        <f>L86</f>
        <v>2.0987257383966242</v>
      </c>
      <c r="M89" s="1478">
        <f>SUM(M86:M88)</f>
        <v>6312.17</v>
      </c>
      <c r="N89" s="1472">
        <f>N86</f>
        <v>0.9400104244229337</v>
      </c>
      <c r="O89" s="1477">
        <f t="shared" ref="O89" si="14">M89/K89</f>
        <v>1.0702221091895558</v>
      </c>
    </row>
    <row r="90" spans="2:15">
      <c r="B90" s="1970" t="s">
        <v>100</v>
      </c>
      <c r="C90" s="945" t="s">
        <v>70</v>
      </c>
      <c r="D90" s="1468"/>
      <c r="E90" s="1480" t="s">
        <v>76</v>
      </c>
      <c r="F90" s="948" t="s">
        <v>51</v>
      </c>
      <c r="G90" s="1848"/>
      <c r="H90" s="1849"/>
      <c r="I90" s="1467">
        <f>'Snapchat Image'!R70</f>
        <v>4498</v>
      </c>
      <c r="J90" s="1466">
        <f>'Snapchat Image'!T70</f>
        <v>1.7875949336904815E-2</v>
      </c>
      <c r="K90" s="1465">
        <f>'Snapchat Image'!U70</f>
        <v>1257</v>
      </c>
      <c r="L90" s="1862">
        <f>'Snapchat Image'!T12</f>
        <v>2.7956186277211348</v>
      </c>
      <c r="M90" s="1464">
        <f>'Snapchat Image'!S70</f>
        <v>968.34999999999991</v>
      </c>
      <c r="N90" s="1941">
        <f>N23</f>
        <v>1.0000771562413886</v>
      </c>
      <c r="O90" s="1281">
        <f>M90/K90</f>
        <v>0.77036595067621316</v>
      </c>
    </row>
    <row r="91" spans="2:15" ht="16.2" thickBot="1">
      <c r="B91" s="1971"/>
      <c r="C91" s="1492" t="s">
        <v>72</v>
      </c>
      <c r="D91" s="1493"/>
      <c r="E91" s="1494" t="s">
        <v>76</v>
      </c>
      <c r="F91" s="948" t="s">
        <v>51</v>
      </c>
      <c r="G91" s="1850"/>
      <c r="H91" s="1851"/>
      <c r="I91" s="1469">
        <f>'Snapchat Image'!AC70</f>
        <v>47108</v>
      </c>
      <c r="J91" s="240">
        <f>'Snapchat Image'!AE70</f>
        <v>1.6335164225477143E-2</v>
      </c>
      <c r="K91" s="1489">
        <f>'Snapchat Image'!AF70</f>
        <v>10773</v>
      </c>
      <c r="L91" s="1996"/>
      <c r="M91" s="1488">
        <f>'Snapchat Image'!AD70</f>
        <v>9919.49</v>
      </c>
      <c r="N91" s="1953"/>
      <c r="O91" s="1462">
        <f t="shared" ref="O91:O92" si="15">M91/K91</f>
        <v>0.92077322936972061</v>
      </c>
    </row>
    <row r="92" spans="2:15" ht="16.2" thickBot="1">
      <c r="B92" s="1972"/>
      <c r="C92" s="1990" t="s">
        <v>101</v>
      </c>
      <c r="D92" s="1991"/>
      <c r="E92" s="1991"/>
      <c r="F92" s="1992"/>
      <c r="G92" s="1255" t="s">
        <v>61</v>
      </c>
      <c r="H92" s="941" t="s">
        <v>61</v>
      </c>
      <c r="I92" s="1491">
        <f>SUM(I90:I91)</f>
        <v>51606</v>
      </c>
      <c r="J92" s="1490">
        <f>'Snapchat Image'!G70</f>
        <v>1.645881325979608E-2</v>
      </c>
      <c r="K92" s="934">
        <f>SUM(K90:K91)</f>
        <v>12030</v>
      </c>
      <c r="L92" s="1485">
        <f>L90</f>
        <v>2.7956186277211348</v>
      </c>
      <c r="M92" s="1486">
        <f>SUM(M90:M91)</f>
        <v>10887.84</v>
      </c>
      <c r="N92" s="944">
        <f>N90</f>
        <v>1.0000771562413886</v>
      </c>
      <c r="O92" s="1487">
        <f t="shared" si="15"/>
        <v>0.90505735660847886</v>
      </c>
    </row>
    <row r="93" spans="2:15">
      <c r="B93" s="1928" t="s">
        <v>74</v>
      </c>
      <c r="C93" s="1481" t="s">
        <v>70</v>
      </c>
      <c r="D93" s="946"/>
      <c r="E93" s="947" t="s">
        <v>71</v>
      </c>
      <c r="F93" s="948" t="s">
        <v>51</v>
      </c>
      <c r="G93" s="949" t="e">
        <f>'Youtube Trueview'!#REF!</f>
        <v>#REF!</v>
      </c>
      <c r="H93" s="1937" t="e">
        <f>'Youtube Trueview'!AG14</f>
        <v>#REF!</v>
      </c>
      <c r="I93" s="1482" t="e">
        <f>'Youtube Trueview'!#REF!</f>
        <v>#REF!</v>
      </c>
      <c r="J93" s="1483" t="e">
        <f>'Youtube Trueview'!#REF!</f>
        <v>#REF!</v>
      </c>
      <c r="K93" s="1484" t="e">
        <f>'Youtube Trueview'!#REF!</f>
        <v>#REF!</v>
      </c>
      <c r="L93" s="1863" t="e">
        <f>'Youtube Trueview'!AG16</f>
        <v>#REF!</v>
      </c>
      <c r="M93" s="951" t="e">
        <f>'Youtube Trueview'!#REF!</f>
        <v>#REF!</v>
      </c>
      <c r="N93" s="1938" t="e">
        <f>N21</f>
        <v>#REF!</v>
      </c>
      <c r="O93" s="1475" t="e">
        <f>M93/K93</f>
        <v>#REF!</v>
      </c>
    </row>
    <row r="94" spans="2:15">
      <c r="B94" s="1929"/>
      <c r="C94" s="1457" t="s">
        <v>72</v>
      </c>
      <c r="D94" s="93"/>
      <c r="E94" s="68" t="s">
        <v>71</v>
      </c>
      <c r="F94" s="948" t="s">
        <v>51</v>
      </c>
      <c r="G94" s="29" t="e">
        <f>'Youtube Trueview'!#REF!</f>
        <v>#REF!</v>
      </c>
      <c r="H94" s="1912"/>
      <c r="I94" s="29" t="e">
        <f>'Youtube Trueview'!#REF!</f>
        <v>#REF!</v>
      </c>
      <c r="J94" s="241" t="e">
        <f>'Youtube Trueview'!#REF!</f>
        <v>#REF!</v>
      </c>
      <c r="K94" s="89" t="e">
        <f>'Youtube Trueview'!#REF!</f>
        <v>#REF!</v>
      </c>
      <c r="L94" s="1863"/>
      <c r="M94" s="917" t="e">
        <f>'Youtube Trueview'!#REF!</f>
        <v>#REF!</v>
      </c>
      <c r="N94" s="1939"/>
      <c r="O94" s="1260" t="e">
        <f t="shared" ref="O94" si="16">M94/K94</f>
        <v>#REF!</v>
      </c>
    </row>
    <row r="95" spans="2:15" ht="16.2" thickBot="1">
      <c r="B95" s="1929"/>
      <c r="C95" s="1458" t="s">
        <v>92</v>
      </c>
      <c r="D95" s="94"/>
      <c r="E95" s="923" t="s">
        <v>71</v>
      </c>
      <c r="F95" s="80" t="s">
        <v>58</v>
      </c>
      <c r="G95" s="38" t="e">
        <f>'Youtube Trueview'!#REF!</f>
        <v>#REF!</v>
      </c>
      <c r="H95" s="1913"/>
      <c r="I95" s="38" t="e">
        <f>'Youtube Trueview'!#REF!</f>
        <v>#REF!</v>
      </c>
      <c r="J95" s="930" t="e">
        <f>'Youtube Trueview'!#REF!</f>
        <v>#REF!</v>
      </c>
      <c r="K95" s="89" t="e">
        <f>'Youtube Trueview'!#REF!</f>
        <v>#REF!</v>
      </c>
      <c r="L95" s="1864"/>
      <c r="M95" s="917" t="e">
        <f>'Youtube Trueview'!#REF!</f>
        <v>#REF!</v>
      </c>
      <c r="N95" s="1940"/>
      <c r="O95" s="1495" t="e">
        <f>M95/K95</f>
        <v>#REF!</v>
      </c>
    </row>
    <row r="96" spans="2:15">
      <c r="B96" s="1930"/>
      <c r="C96" s="1900" t="str">
        <f>B93&amp;" Total"</f>
        <v>YT Total</v>
      </c>
      <c r="D96" s="1900"/>
      <c r="E96" s="1900"/>
      <c r="F96" s="1901"/>
      <c r="G96" s="64" t="e">
        <f>SUM(G93:G95)</f>
        <v>#REF!</v>
      </c>
      <c r="H96" s="284" t="e">
        <f>H93</f>
        <v>#REF!</v>
      </c>
      <c r="I96" s="921" t="e">
        <f>SUM(I93:I95)</f>
        <v>#REF!</v>
      </c>
      <c r="J96" s="242" t="e">
        <f>'Youtube Trueview'!#REF!</f>
        <v>#REF!</v>
      </c>
      <c r="K96" s="206" t="e">
        <f>SUM(K93:K95)</f>
        <v>#REF!</v>
      </c>
      <c r="L96" s="283" t="e">
        <f>L93</f>
        <v>#REF!</v>
      </c>
      <c r="M96" s="922" t="e">
        <f>SUM(M93:M95)</f>
        <v>#REF!</v>
      </c>
      <c r="N96" s="282" t="e">
        <f>N93</f>
        <v>#REF!</v>
      </c>
      <c r="O96" s="1461" t="e">
        <f>M96/K96</f>
        <v>#REF!</v>
      </c>
    </row>
    <row r="97" spans="2:15">
      <c r="B97" s="1993" t="s">
        <v>35</v>
      </c>
      <c r="C97" s="279" t="s">
        <v>75</v>
      </c>
      <c r="D97" s="1372"/>
      <c r="E97" s="1373" t="s">
        <v>76</v>
      </c>
      <c r="F97" s="36" t="s">
        <v>51</v>
      </c>
      <c r="G97" s="1843"/>
      <c r="H97" s="1843"/>
      <c r="I97" s="29" t="e">
        <f>GDN!#REF!</f>
        <v>#REF!</v>
      </c>
      <c r="J97" s="1740" t="e">
        <f>GDN!#REF!</f>
        <v>#REF!</v>
      </c>
      <c r="K97" s="29" t="e">
        <f>GDN!#REF!</f>
        <v>#REF!</v>
      </c>
      <c r="L97" s="1926" t="e">
        <f>GDN!Z14</f>
        <v>#REF!</v>
      </c>
      <c r="M97" s="917" t="e">
        <f>GDN!#REF!</f>
        <v>#REF!</v>
      </c>
      <c r="N97" s="1954" t="e">
        <f>N25</f>
        <v>#REF!</v>
      </c>
      <c r="O97" s="1281" t="e">
        <f>M97/K97</f>
        <v>#REF!</v>
      </c>
    </row>
    <row r="98" spans="2:15" ht="15.6" customHeight="1">
      <c r="B98" s="1994"/>
      <c r="C98" s="1374" t="s">
        <v>77</v>
      </c>
      <c r="D98" s="1375"/>
      <c r="E98" s="926"/>
      <c r="F98" s="1375" t="s">
        <v>51</v>
      </c>
      <c r="G98" s="1843"/>
      <c r="H98" s="1843"/>
      <c r="I98" s="925">
        <v>35826</v>
      </c>
      <c r="J98" s="1376">
        <v>4.0157563456146477E-3</v>
      </c>
      <c r="K98" s="1377">
        <v>24140</v>
      </c>
      <c r="L98" s="1927"/>
      <c r="M98" s="1378">
        <v>3947.9642770000019</v>
      </c>
      <c r="N98" s="1955"/>
      <c r="O98" s="1379">
        <f>M98/K98</f>
        <v>0.16354450194697606</v>
      </c>
    </row>
    <row r="99" spans="2:15" ht="15.6" customHeight="1">
      <c r="B99" s="1994"/>
      <c r="C99" s="1374" t="s">
        <v>78</v>
      </c>
      <c r="D99" s="1375"/>
      <c r="E99" s="926"/>
      <c r="F99" s="1375" t="s">
        <v>51</v>
      </c>
      <c r="G99" s="1843"/>
      <c r="H99" s="1843"/>
      <c r="I99" s="1395">
        <v>31114</v>
      </c>
      <c r="J99" s="928">
        <v>4.0616948392299098E-3</v>
      </c>
      <c r="K99" s="1377">
        <v>21905</v>
      </c>
      <c r="L99" s="1927"/>
      <c r="M99" s="1378">
        <v>3491.1210529999989</v>
      </c>
      <c r="N99" s="1955"/>
      <c r="O99" s="1379">
        <f>M99/K99</f>
        <v>0.15937553312029212</v>
      </c>
    </row>
    <row r="100" spans="2:15" ht="15.6" customHeight="1">
      <c r="B100" s="1994"/>
      <c r="C100" s="1374" t="s">
        <v>102</v>
      </c>
      <c r="D100" s="1375"/>
      <c r="E100" s="926"/>
      <c r="F100" s="1375" t="s">
        <v>103</v>
      </c>
      <c r="G100" s="1843"/>
      <c r="H100" s="1843"/>
      <c r="I100" s="927"/>
      <c r="J100" s="928"/>
      <c r="K100" s="1380"/>
      <c r="L100" s="1927"/>
      <c r="M100" s="1378"/>
      <c r="N100" s="1955"/>
      <c r="O100" s="1379"/>
    </row>
    <row r="101" spans="2:15">
      <c r="B101" s="1994"/>
      <c r="C101" s="1381" t="s">
        <v>80</v>
      </c>
      <c r="D101" s="36"/>
      <c r="E101" s="1373" t="s">
        <v>76</v>
      </c>
      <c r="F101" s="36" t="s">
        <v>51</v>
      </c>
      <c r="G101" s="1843"/>
      <c r="H101" s="1843"/>
      <c r="I101" s="929" t="e">
        <f>GDN!#REF!</f>
        <v>#REF!</v>
      </c>
      <c r="J101" s="1741" t="e">
        <f>GDN!#REF!</f>
        <v>#REF!</v>
      </c>
      <c r="K101" s="929" t="e">
        <f>GDN!#REF!</f>
        <v>#REF!</v>
      </c>
      <c r="L101" s="1927"/>
      <c r="M101" s="1501" t="e">
        <f>GDN!#REF!</f>
        <v>#REF!</v>
      </c>
      <c r="N101" s="1955"/>
      <c r="O101" s="1260" t="e">
        <f t="shared" ref="O101" si="17">M101/K101</f>
        <v>#REF!</v>
      </c>
    </row>
    <row r="102" spans="2:15" ht="15.6" customHeight="1">
      <c r="B102" s="1994"/>
      <c r="C102" s="1374" t="s">
        <v>77</v>
      </c>
      <c r="D102" s="1375"/>
      <c r="E102" s="926"/>
      <c r="F102" s="1375" t="s">
        <v>51</v>
      </c>
      <c r="G102" s="1843"/>
      <c r="H102" s="1843"/>
      <c r="I102" s="925">
        <v>3073</v>
      </c>
      <c r="J102" s="1376">
        <v>7.2884153803827074E-3</v>
      </c>
      <c r="K102" s="1377">
        <v>3389</v>
      </c>
      <c r="L102" s="1927"/>
      <c r="M102" s="1378">
        <v>229.97615700000037</v>
      </c>
      <c r="N102" s="1955"/>
      <c r="O102" s="1379">
        <f>M102/K102</f>
        <v>6.7859591915019293E-2</v>
      </c>
    </row>
    <row r="103" spans="2:15" ht="15.6" customHeight="1">
      <c r="B103" s="1994"/>
      <c r="C103" s="1374" t="s">
        <v>78</v>
      </c>
      <c r="D103" s="1375"/>
      <c r="E103" s="926"/>
      <c r="F103" s="1375" t="s">
        <v>51</v>
      </c>
      <c r="G103" s="1843"/>
      <c r="H103" s="1843"/>
      <c r="I103" s="925">
        <v>6735</v>
      </c>
      <c r="J103" s="1376">
        <v>7.8870725786335874E-3</v>
      </c>
      <c r="K103" s="1377">
        <v>4700</v>
      </c>
      <c r="L103" s="1927"/>
      <c r="M103" s="1378">
        <v>369.05617099999989</v>
      </c>
      <c r="N103" s="1955"/>
      <c r="O103" s="1379">
        <f>M103/K103</f>
        <v>7.852258957446806E-2</v>
      </c>
    </row>
    <row r="104" spans="2:15" ht="15.6" customHeight="1">
      <c r="B104" s="1994"/>
      <c r="C104" s="1374" t="s">
        <v>102</v>
      </c>
      <c r="D104" s="1375"/>
      <c r="E104" s="926"/>
      <c r="F104" s="1375" t="s">
        <v>51</v>
      </c>
      <c r="G104" s="1843"/>
      <c r="H104" s="1843"/>
      <c r="I104" s="925">
        <v>13028</v>
      </c>
      <c r="J104" s="1376">
        <v>7.8218341324476429E-3</v>
      </c>
      <c r="K104" s="1377">
        <v>6743</v>
      </c>
      <c r="L104" s="1927"/>
      <c r="M104" s="1378">
        <v>810.14429100000007</v>
      </c>
      <c r="N104" s="1955"/>
      <c r="O104" s="1379">
        <f>M104/K104</f>
        <v>0.12014597226753672</v>
      </c>
    </row>
    <row r="105" spans="2:15">
      <c r="B105" s="1994"/>
      <c r="C105" s="1381" t="s">
        <v>81</v>
      </c>
      <c r="D105" s="1375"/>
      <c r="E105" s="926" t="s">
        <v>76</v>
      </c>
      <c r="F105" s="36" t="s">
        <v>51</v>
      </c>
      <c r="G105" s="1843"/>
      <c r="H105" s="1843"/>
      <c r="I105" s="29" t="e">
        <f>GDN!#REF!</f>
        <v>#REF!</v>
      </c>
      <c r="J105" s="1740" t="e">
        <f>GDN!#REF!</f>
        <v>#REF!</v>
      </c>
      <c r="K105" s="29" t="e">
        <f>GDN!#REF!</f>
        <v>#REF!</v>
      </c>
      <c r="L105" s="1927"/>
      <c r="M105" s="917" t="e">
        <f>GDN!#REF!</f>
        <v>#REF!</v>
      </c>
      <c r="N105" s="1955"/>
      <c r="O105" s="1260" t="e">
        <f t="shared" ref="O105" si="18">M105/K105</f>
        <v>#REF!</v>
      </c>
    </row>
    <row r="106" spans="2:15" ht="15.6" customHeight="1">
      <c r="B106" s="1994"/>
      <c r="C106" s="1374" t="s">
        <v>77</v>
      </c>
      <c r="D106" s="1375"/>
      <c r="E106" s="926"/>
      <c r="F106" s="1375" t="s">
        <v>51</v>
      </c>
      <c r="G106" s="1843"/>
      <c r="H106" s="1843"/>
      <c r="I106" s="931">
        <v>12164</v>
      </c>
      <c r="J106" s="1376">
        <v>3.7200346681297253E-3</v>
      </c>
      <c r="K106" s="1382">
        <v>7775</v>
      </c>
      <c r="L106" s="1927"/>
      <c r="M106" s="1378">
        <v>1453.434821999999</v>
      </c>
      <c r="N106" s="1955"/>
      <c r="O106" s="1379">
        <f>M106/K106</f>
        <v>0.18693695459807061</v>
      </c>
    </row>
    <row r="107" spans="2:15" ht="15.6" customHeight="1">
      <c r="B107" s="1994"/>
      <c r="C107" s="1374" t="s">
        <v>78</v>
      </c>
      <c r="D107" s="1375"/>
      <c r="E107" s="926"/>
      <c r="F107" s="1375" t="s">
        <v>51</v>
      </c>
      <c r="G107" s="1843"/>
      <c r="H107" s="1843"/>
      <c r="I107" s="925">
        <v>7062</v>
      </c>
      <c r="J107" s="1376">
        <v>3.5580429051002144E-3</v>
      </c>
      <c r="K107" s="1377">
        <v>4904</v>
      </c>
      <c r="L107" s="1927"/>
      <c r="M107" s="1378">
        <v>964.95023500000104</v>
      </c>
      <c r="N107" s="1955"/>
      <c r="O107" s="1379">
        <f>M107/K107</f>
        <v>0.19676799245513887</v>
      </c>
    </row>
    <row r="108" spans="2:15" ht="15.6" customHeight="1">
      <c r="B108" s="1994"/>
      <c r="C108" s="1374" t="s">
        <v>102</v>
      </c>
      <c r="D108" s="1375"/>
      <c r="E108" s="926"/>
      <c r="F108" s="1375" t="s">
        <v>51</v>
      </c>
      <c r="G108" s="1843"/>
      <c r="H108" s="1843"/>
      <c r="I108" s="925">
        <v>20320</v>
      </c>
      <c r="J108" s="1376">
        <v>3.2140095385855922E-3</v>
      </c>
      <c r="K108" s="1377">
        <v>13031</v>
      </c>
      <c r="L108" s="1927"/>
      <c r="M108" s="1378">
        <v>2760.9531119999992</v>
      </c>
      <c r="N108" s="1955"/>
      <c r="O108" s="1379">
        <f>M108/K108</f>
        <v>0.21187576640319233</v>
      </c>
    </row>
    <row r="109" spans="2:15">
      <c r="B109" s="1994"/>
      <c r="C109" s="1381" t="s">
        <v>82</v>
      </c>
      <c r="D109" s="36"/>
      <c r="E109" s="1373" t="s">
        <v>76</v>
      </c>
      <c r="F109" s="36" t="s">
        <v>51</v>
      </c>
      <c r="G109" s="1843"/>
      <c r="H109" s="1843"/>
      <c r="I109" s="29" t="e">
        <f>GDN!#REF!</f>
        <v>#REF!</v>
      </c>
      <c r="J109" s="1740" t="e">
        <f>GDN!#REF!</f>
        <v>#REF!</v>
      </c>
      <c r="K109" s="29" t="e">
        <f>GDN!#REF!</f>
        <v>#REF!</v>
      </c>
      <c r="L109" s="1927"/>
      <c r="M109" s="917" t="e">
        <f>GDN!#REF!</f>
        <v>#REF!</v>
      </c>
      <c r="N109" s="1955"/>
      <c r="O109" s="1260" t="e">
        <f t="shared" ref="O109" si="19">M109/K109</f>
        <v>#REF!</v>
      </c>
    </row>
    <row r="110" spans="2:15" ht="15.6" customHeight="1">
      <c r="B110" s="1994"/>
      <c r="C110" s="1374" t="s">
        <v>77</v>
      </c>
      <c r="D110" s="1375"/>
      <c r="E110" s="926"/>
      <c r="F110" s="1375" t="s">
        <v>51</v>
      </c>
      <c r="G110" s="1843"/>
      <c r="H110" s="1843"/>
      <c r="I110" s="931">
        <v>9672</v>
      </c>
      <c r="J110" s="1376">
        <v>2.8990285616658024E-2</v>
      </c>
      <c r="K110" s="1382">
        <v>8099</v>
      </c>
      <c r="L110" s="1927"/>
      <c r="M110" s="1378">
        <v>525.58532799999989</v>
      </c>
      <c r="N110" s="1955"/>
      <c r="O110" s="1379">
        <f>M110/K110</f>
        <v>6.4895089270280273E-2</v>
      </c>
    </row>
    <row r="111" spans="2:15" ht="15.6" customHeight="1">
      <c r="B111" s="1994"/>
      <c r="C111" s="1374" t="s">
        <v>78</v>
      </c>
      <c r="D111" s="1375"/>
      <c r="E111" s="926"/>
      <c r="F111" s="1375" t="s">
        <v>51</v>
      </c>
      <c r="G111" s="1843"/>
      <c r="H111" s="1843"/>
      <c r="I111" s="925">
        <v>11444</v>
      </c>
      <c r="J111" s="1376">
        <v>3.2079835171766158E-2</v>
      </c>
      <c r="K111" s="1377">
        <v>9476</v>
      </c>
      <c r="L111" s="1927"/>
      <c r="M111" s="1378">
        <v>593.92166000000032</v>
      </c>
      <c r="N111" s="1955"/>
      <c r="O111" s="1379">
        <f>M111/K111</f>
        <v>6.2676409877585507E-2</v>
      </c>
    </row>
    <row r="112" spans="2:15" ht="15.6" customHeight="1">
      <c r="B112" s="1994"/>
      <c r="C112" s="1453" t="s">
        <v>102</v>
      </c>
      <c r="D112" s="1375"/>
      <c r="E112" s="926"/>
      <c r="F112" s="1375" t="s">
        <v>51</v>
      </c>
      <c r="G112" s="1843"/>
      <c r="H112" s="1843"/>
      <c r="I112" s="925">
        <v>20372</v>
      </c>
      <c r="J112" s="1376">
        <v>9.3883558948201825E-3</v>
      </c>
      <c r="K112" s="1377">
        <v>7599</v>
      </c>
      <c r="L112" s="1927"/>
      <c r="M112" s="1378">
        <v>1167.0688289999996</v>
      </c>
      <c r="N112" s="1955"/>
      <c r="O112" s="1379">
        <f>M112/K112</f>
        <v>0.15358189617054871</v>
      </c>
    </row>
    <row r="113" spans="2:15">
      <c r="B113" s="1994"/>
      <c r="C113" s="1381" t="s">
        <v>83</v>
      </c>
      <c r="D113" s="36"/>
      <c r="E113" s="1373" t="s">
        <v>76</v>
      </c>
      <c r="F113" s="36" t="s">
        <v>51</v>
      </c>
      <c r="G113" s="1843"/>
      <c r="H113" s="1843"/>
      <c r="I113" s="29" t="e">
        <f>GDN!#REF!</f>
        <v>#REF!</v>
      </c>
      <c r="J113" s="1740" t="e">
        <f>GDN!#REF!</f>
        <v>#REF!</v>
      </c>
      <c r="K113" s="29" t="e">
        <f>GDN!#REF!</f>
        <v>#REF!</v>
      </c>
      <c r="L113" s="1927"/>
      <c r="M113" s="917" t="e">
        <f>GDN!#REF!</f>
        <v>#REF!</v>
      </c>
      <c r="N113" s="1955"/>
      <c r="O113" s="1260" t="e">
        <f t="shared" ref="O113" si="20">M113/K113</f>
        <v>#REF!</v>
      </c>
    </row>
    <row r="114" spans="2:15" ht="15.6" customHeight="1">
      <c r="B114" s="1994"/>
      <c r="C114" s="1374" t="s">
        <v>77</v>
      </c>
      <c r="D114" s="1375"/>
      <c r="E114" s="926"/>
      <c r="F114" s="1375" t="s">
        <v>51</v>
      </c>
      <c r="G114" s="1843"/>
      <c r="H114" s="1843"/>
      <c r="I114" s="931">
        <v>3052</v>
      </c>
      <c r="J114" s="1376">
        <v>4.0042193871392658E-3</v>
      </c>
      <c r="K114" s="1382">
        <v>2578</v>
      </c>
      <c r="L114" s="1927"/>
      <c r="M114" s="1378">
        <v>355.10386700000021</v>
      </c>
      <c r="N114" s="1955"/>
      <c r="O114" s="1379">
        <f>M114/K114</f>
        <v>0.13774393599689691</v>
      </c>
    </row>
    <row r="115" spans="2:15" ht="15.6" customHeight="1">
      <c r="B115" s="1994"/>
      <c r="C115" s="1374" t="s">
        <v>78</v>
      </c>
      <c r="D115" s="1375"/>
      <c r="E115" s="926"/>
      <c r="F115" s="1375" t="s">
        <v>51</v>
      </c>
      <c r="G115" s="1843"/>
      <c r="H115" s="1843"/>
      <c r="I115" s="925">
        <v>2902</v>
      </c>
      <c r="J115" s="1376">
        <v>4.5713673618232543E-3</v>
      </c>
      <c r="K115" s="1377">
        <v>2368</v>
      </c>
      <c r="L115" s="1927"/>
      <c r="M115" s="1378">
        <v>305.65426700000023</v>
      </c>
      <c r="N115" s="1955"/>
      <c r="O115" s="1379">
        <f>M115/K115</f>
        <v>0.12907697086148659</v>
      </c>
    </row>
    <row r="116" spans="2:15" ht="15.6" customHeight="1">
      <c r="B116" s="1994"/>
      <c r="C116" s="1374" t="s">
        <v>102</v>
      </c>
      <c r="D116" s="1375"/>
      <c r="E116" s="926"/>
      <c r="F116" s="1375" t="s">
        <v>103</v>
      </c>
      <c r="G116" s="1843"/>
      <c r="H116" s="1843"/>
      <c r="I116" s="925"/>
      <c r="J116" s="1739"/>
      <c r="K116" s="1377"/>
      <c r="L116" s="1927"/>
      <c r="M116" s="1378"/>
      <c r="N116" s="1955"/>
      <c r="O116" s="1379"/>
    </row>
    <row r="117" spans="2:15">
      <c r="B117" s="1994"/>
      <c r="C117" s="1381" t="s">
        <v>84</v>
      </c>
      <c r="D117" s="36"/>
      <c r="E117" s="1373" t="s">
        <v>76</v>
      </c>
      <c r="F117" s="36" t="s">
        <v>51</v>
      </c>
      <c r="G117" s="1843"/>
      <c r="H117" s="1843"/>
      <c r="I117" s="29" t="e">
        <f>GDN!#REF!</f>
        <v>#REF!</v>
      </c>
      <c r="J117" s="1740" t="e">
        <f>GDN!#REF!</f>
        <v>#REF!</v>
      </c>
      <c r="K117" s="29" t="e">
        <f>GDN!#REF!</f>
        <v>#REF!</v>
      </c>
      <c r="L117" s="1927"/>
      <c r="M117" s="1383" t="e">
        <f>GDN!#REF!</f>
        <v>#REF!</v>
      </c>
      <c r="N117" s="1955"/>
      <c r="O117" s="1260" t="e">
        <f t="shared" ref="O117" si="21">M117/K117</f>
        <v>#REF!</v>
      </c>
    </row>
    <row r="118" spans="2:15" ht="15.6" customHeight="1">
      <c r="B118" s="1994"/>
      <c r="C118" s="1374" t="s">
        <v>77</v>
      </c>
      <c r="D118" s="1375"/>
      <c r="E118" s="926"/>
      <c r="F118" s="1375" t="s">
        <v>51</v>
      </c>
      <c r="G118" s="1843"/>
      <c r="H118" s="1843"/>
      <c r="I118" s="931">
        <v>1127</v>
      </c>
      <c r="J118" s="1376">
        <v>1.3990441313388368E-2</v>
      </c>
      <c r="K118" s="1382">
        <v>727</v>
      </c>
      <c r="L118" s="1927"/>
      <c r="M118" s="1384">
        <v>51.383563999999993</v>
      </c>
      <c r="N118" s="1955"/>
      <c r="O118" s="1379">
        <f>M118/K118</f>
        <v>7.0678905089408522E-2</v>
      </c>
    </row>
    <row r="119" spans="2:15" ht="15.6" customHeight="1">
      <c r="B119" s="1994"/>
      <c r="C119" s="1374" t="s">
        <v>78</v>
      </c>
      <c r="D119" s="1375"/>
      <c r="E119" s="926"/>
      <c r="F119" s="1375" t="s">
        <v>51</v>
      </c>
      <c r="G119" s="1843"/>
      <c r="H119" s="1843"/>
      <c r="I119" s="925">
        <v>1098</v>
      </c>
      <c r="J119" s="1376">
        <v>1.3014413047600986E-2</v>
      </c>
      <c r="K119" s="1377">
        <v>815</v>
      </c>
      <c r="L119" s="1927"/>
      <c r="M119" s="1384">
        <v>51.826253999999985</v>
      </c>
      <c r="N119" s="1955"/>
      <c r="O119" s="1379">
        <f>M119/K119</f>
        <v>6.3590495705521458E-2</v>
      </c>
    </row>
    <row r="120" spans="2:15" ht="15.6" customHeight="1">
      <c r="B120" s="1994"/>
      <c r="C120" s="1385" t="s">
        <v>102</v>
      </c>
      <c r="D120" s="1386"/>
      <c r="E120" s="1387"/>
      <c r="F120" s="1386" t="s">
        <v>103</v>
      </c>
      <c r="G120" s="1843"/>
      <c r="H120" s="1843"/>
      <c r="I120" s="925"/>
      <c r="J120" s="1739"/>
      <c r="K120" s="1377"/>
      <c r="L120" s="1927"/>
      <c r="M120" s="1384"/>
      <c r="N120" s="1955"/>
      <c r="O120" s="1388"/>
    </row>
    <row r="121" spans="2:15" ht="15.6" customHeight="1">
      <c r="B121" s="1994"/>
      <c r="C121" s="1389" t="s">
        <v>85</v>
      </c>
      <c r="D121" s="1390"/>
      <c r="E121" s="1391" t="s">
        <v>76</v>
      </c>
      <c r="F121" s="36" t="s">
        <v>51</v>
      </c>
      <c r="G121" s="1843"/>
      <c r="H121" s="1843"/>
      <c r="I121" s="1393" t="e">
        <f>GDN!#REF!</f>
        <v>#REF!</v>
      </c>
      <c r="J121" s="1742" t="e">
        <f>GDN!#REF!</f>
        <v>#REF!</v>
      </c>
      <c r="K121" s="1393" t="e">
        <f>GDN!#REF!</f>
        <v>#REF!</v>
      </c>
      <c r="L121" s="1927"/>
      <c r="M121" s="1383" t="e">
        <f>GDN!#REF!</f>
        <v>#REF!</v>
      </c>
      <c r="N121" s="1955"/>
      <c r="O121" s="1260" t="e">
        <f t="shared" ref="O121:O124" si="22">M121/K121</f>
        <v>#REF!</v>
      </c>
    </row>
    <row r="122" spans="2:15" ht="15.6" customHeight="1">
      <c r="B122" s="1994"/>
      <c r="C122" s="1455" t="s">
        <v>86</v>
      </c>
      <c r="D122" s="1390"/>
      <c r="E122" s="1391" t="s">
        <v>76</v>
      </c>
      <c r="F122" s="36" t="s">
        <v>51</v>
      </c>
      <c r="G122" s="1843"/>
      <c r="H122" s="1843"/>
      <c r="I122" s="1393" t="e">
        <f>GDN!#REF!</f>
        <v>#REF!</v>
      </c>
      <c r="J122" s="1742" t="e">
        <f>GDN!#REF!</f>
        <v>#REF!</v>
      </c>
      <c r="K122" s="1393" t="e">
        <f>GDN!#REF!</f>
        <v>#REF!</v>
      </c>
      <c r="L122" s="1927"/>
      <c r="M122" s="1383" t="e">
        <f>GDN!#REF!</f>
        <v>#REF!</v>
      </c>
      <c r="N122" s="1955"/>
      <c r="O122" s="1260" t="e">
        <f t="shared" si="22"/>
        <v>#REF!</v>
      </c>
    </row>
    <row r="123" spans="2:15" ht="15.6" customHeight="1">
      <c r="B123" s="1994"/>
      <c r="C123" s="1455" t="s">
        <v>87</v>
      </c>
      <c r="D123" s="1690"/>
      <c r="E123" s="1391" t="s">
        <v>76</v>
      </c>
      <c r="F123" s="1392" t="s">
        <v>103</v>
      </c>
      <c r="G123" s="1843"/>
      <c r="H123" s="1843"/>
      <c r="I123" s="1393" t="e">
        <f>GDN!#REF!</f>
        <v>#REF!</v>
      </c>
      <c r="J123" s="1742" t="e">
        <f>GDN!#REF!</f>
        <v>#REF!</v>
      </c>
      <c r="K123" s="1393" t="e">
        <f>GDN!#REF!</f>
        <v>#REF!</v>
      </c>
      <c r="L123" s="1927"/>
      <c r="M123" s="1383">
        <v>5.4</v>
      </c>
      <c r="N123" s="1955"/>
      <c r="O123" s="1260" t="e">
        <f t="shared" si="22"/>
        <v>#REF!</v>
      </c>
    </row>
    <row r="124" spans="2:15" ht="15.6" customHeight="1">
      <c r="B124" s="1994"/>
      <c r="C124" s="1500" t="s">
        <v>104</v>
      </c>
      <c r="D124" s="1690"/>
      <c r="E124" s="1499" t="s">
        <v>76</v>
      </c>
      <c r="F124" s="1498" t="s">
        <v>105</v>
      </c>
      <c r="G124" s="1843"/>
      <c r="H124" s="1843"/>
      <c r="I124" s="1497" t="e">
        <f>GDN!#REF!</f>
        <v>#REF!</v>
      </c>
      <c r="J124" s="1743" t="e">
        <f>GDN!#REF!</f>
        <v>#REF!</v>
      </c>
      <c r="K124" s="1497" t="e">
        <f>GDN!#REF!</f>
        <v>#REF!</v>
      </c>
      <c r="L124" s="1927"/>
      <c r="M124" s="1496" t="e">
        <f>GDN!#REF!</f>
        <v>#REF!</v>
      </c>
      <c r="N124" s="1955"/>
      <c r="O124" s="1460" t="e">
        <f t="shared" si="22"/>
        <v>#REF!</v>
      </c>
    </row>
    <row r="125" spans="2:15">
      <c r="B125" s="1995"/>
      <c r="C125" s="1934" t="s">
        <v>88</v>
      </c>
      <c r="D125" s="1935"/>
      <c r="E125" s="1935"/>
      <c r="F125" s="1936"/>
      <c r="G125" s="1691" t="s">
        <v>61</v>
      </c>
      <c r="H125" s="1692" t="s">
        <v>106</v>
      </c>
      <c r="I125" s="1734" t="e">
        <f>SUM(I97,I101,I105,I109,I113,I117,I121,I122,I123,I124)</f>
        <v>#REF!</v>
      </c>
      <c r="J125" s="1735" t="e">
        <f>GDN!#REF!</f>
        <v>#REF!</v>
      </c>
      <c r="K125" s="1734" t="e">
        <f>SUM(K97,K101,K105,K109,K113,K117,K121,K122,K123,K124)</f>
        <v>#REF!</v>
      </c>
      <c r="L125" s="1736" t="e">
        <f>L97</f>
        <v>#REF!</v>
      </c>
      <c r="M125" s="1737">
        <v>17229</v>
      </c>
      <c r="N125" s="1738" t="e">
        <f>N97</f>
        <v>#REF!</v>
      </c>
      <c r="O125" s="1461" t="e">
        <f t="shared" ref="O125" si="23">M125/K125</f>
        <v>#REF!</v>
      </c>
    </row>
    <row r="126" spans="2:15">
      <c r="B126" s="1681" t="s">
        <v>57</v>
      </c>
      <c r="C126" s="1943" t="s">
        <v>107</v>
      </c>
      <c r="D126" s="1943"/>
      <c r="E126" s="1943"/>
      <c r="F126" s="1944"/>
      <c r="G126" s="1682" t="s">
        <v>61</v>
      </c>
      <c r="H126" s="1683" t="s">
        <v>106</v>
      </c>
      <c r="I126" s="1684">
        <f>UAC!D21</f>
        <v>47652</v>
      </c>
      <c r="J126" s="1685">
        <f>J26</f>
        <v>3.5186692087646264E-2</v>
      </c>
      <c r="K126" s="1684">
        <f>UAC!Q21</f>
        <v>9287</v>
      </c>
      <c r="L126" s="1686">
        <f>UAC!Z12</f>
        <v>1.5093450349423045</v>
      </c>
      <c r="M126" s="1687">
        <f>UAC!J21</f>
        <v>3801.92</v>
      </c>
      <c r="N126" s="1688">
        <f>UAC!K21</f>
        <v>1.0065978289647868</v>
      </c>
      <c r="O126" s="1689">
        <f>O26</f>
        <v>0.4093808549585442</v>
      </c>
    </row>
    <row r="127" spans="2:15" ht="16.95" customHeight="1">
      <c r="B127" s="1301" t="s">
        <v>59</v>
      </c>
      <c r="C127" s="1500" t="s">
        <v>108</v>
      </c>
      <c r="D127" s="1690"/>
      <c r="E127" s="1499" t="s">
        <v>76</v>
      </c>
      <c r="F127" s="1498" t="s">
        <v>60</v>
      </c>
      <c r="G127" s="1255">
        <f>'FB BoostUp'!C33</f>
        <v>363860</v>
      </c>
      <c r="H127" s="1256" t="s">
        <v>106</v>
      </c>
      <c r="I127" s="1302">
        <f>'FB BoostUp'!D33</f>
        <v>6203</v>
      </c>
      <c r="J127" s="935">
        <f>'FB BoostUp'!G33</f>
        <v>1.7047765624141155E-2</v>
      </c>
      <c r="K127" s="1302">
        <f>'FB BoostUp'!H33</f>
        <v>176</v>
      </c>
      <c r="L127" s="942" t="s">
        <v>109</v>
      </c>
      <c r="M127" s="1303">
        <f>'FB BoostUp'!E33</f>
        <v>268.48</v>
      </c>
      <c r="N127" s="1304">
        <f>'FB BoostUp'!F33</f>
        <v>0.1896045197740113</v>
      </c>
      <c r="O127" s="1261">
        <f>M127/K127</f>
        <v>1.5254545454545456</v>
      </c>
    </row>
    <row r="128" spans="2:15">
      <c r="B128" s="1948" t="s">
        <v>89</v>
      </c>
      <c r="C128" s="1949"/>
      <c r="D128" s="1949"/>
      <c r="E128" s="1949"/>
      <c r="F128" s="1950"/>
      <c r="G128" s="352" t="e">
        <f>SUM(G77,G81,G85,G89,G92,G96)</f>
        <v>#REF!</v>
      </c>
      <c r="H128" s="991" t="e">
        <f>'Daily_Total '!AF16</f>
        <v>#REF!</v>
      </c>
      <c r="I128" s="352" t="e">
        <f>SUM(I77,I81,I85,I89,I92,I96,I125,I126:I127)</f>
        <v>#REF!</v>
      </c>
      <c r="J128" s="354" t="e">
        <f>'Daily_Total '!L111</f>
        <v>#REF!</v>
      </c>
      <c r="K128" s="352" t="e">
        <f>SUM(K77,K81,K85,K8,K92,K9,K125,K96,K89,K127)</f>
        <v>#REF!</v>
      </c>
      <c r="L128" s="1258" t="e">
        <f>'Daily_Total '!AF18</f>
        <v>#REF!</v>
      </c>
      <c r="M128" s="932" t="e">
        <f>SUM(M77,M81,M85,M89,M92,M96,M1236,M125,M126:M127)</f>
        <v>#REF!</v>
      </c>
      <c r="N128" s="356" t="e">
        <f>M128/'Daily_Total '!D10</f>
        <v>#REF!</v>
      </c>
      <c r="O128" s="1259" t="e">
        <f>M128/K128</f>
        <v>#REF!</v>
      </c>
    </row>
    <row r="129" spans="1:18">
      <c r="B129" s="81"/>
      <c r="C129" s="1"/>
      <c r="D129" s="1"/>
      <c r="E129" s="1"/>
      <c r="F129" s="82"/>
      <c r="G129" s="83"/>
      <c r="H129" s="879"/>
      <c r="I129" s="83"/>
      <c r="J129" s="880"/>
      <c r="K129" s="83"/>
      <c r="L129" s="881"/>
      <c r="M129" s="882"/>
      <c r="N129" s="883"/>
      <c r="O129" s="884"/>
    </row>
    <row r="130" spans="1:18">
      <c r="B130" s="81"/>
      <c r="C130" s="1"/>
      <c r="D130" s="1"/>
      <c r="E130" s="1"/>
      <c r="F130" s="82"/>
      <c r="G130" s="83"/>
      <c r="H130" s="879"/>
      <c r="I130" s="83"/>
      <c r="J130" s="880"/>
      <c r="K130" s="83"/>
      <c r="L130" s="881"/>
      <c r="M130" s="882"/>
      <c r="N130" s="883"/>
      <c r="O130" s="884"/>
    </row>
    <row r="131" spans="1:18">
      <c r="B131" s="81"/>
      <c r="C131" s="1300"/>
      <c r="D131" s="1300"/>
      <c r="E131" s="1300"/>
      <c r="F131" s="1299"/>
      <c r="G131" s="1298"/>
      <c r="H131" s="1297"/>
      <c r="I131" s="1298"/>
      <c r="J131" s="1296"/>
      <c r="K131" s="1298"/>
      <c r="L131" s="1295"/>
      <c r="M131" s="1294"/>
      <c r="N131" s="1293"/>
      <c r="O131" s="1292"/>
      <c r="P131" s="1291"/>
      <c r="Q131" s="1291"/>
      <c r="R131" s="1291"/>
    </row>
    <row r="132" spans="1:18" s="18" customFormat="1">
      <c r="A132" s="1"/>
      <c r="B132" s="81"/>
      <c r="C132" s="1"/>
      <c r="D132" s="1"/>
      <c r="E132" s="1"/>
      <c r="F132" s="82"/>
      <c r="G132" s="83"/>
      <c r="H132" s="84"/>
      <c r="I132" s="83"/>
      <c r="J132" s="85"/>
      <c r="K132" s="85"/>
      <c r="L132" s="83"/>
      <c r="M132" s="86"/>
    </row>
    <row r="134" spans="1:18">
      <c r="B134" s="1924" t="s">
        <v>110</v>
      </c>
      <c r="C134" s="1925"/>
      <c r="D134" s="1925"/>
      <c r="E134" s="1925"/>
      <c r="F134" s="1925"/>
      <c r="G134" s="1925"/>
      <c r="H134" s="1925"/>
      <c r="I134" s="1925"/>
      <c r="J134" s="1925"/>
      <c r="K134" s="1925"/>
      <c r="L134" s="1925"/>
      <c r="M134" s="1925"/>
      <c r="N134" s="1925"/>
      <c r="O134" s="1925"/>
    </row>
    <row r="135" spans="1:18" ht="87.6" customHeight="1">
      <c r="B135" s="1882"/>
      <c r="C135" s="1882"/>
      <c r="D135" s="1882"/>
      <c r="E135" s="1882"/>
      <c r="F135" s="1882"/>
      <c r="G135" s="1882"/>
      <c r="H135" s="1882"/>
      <c r="I135" s="1882"/>
      <c r="J135" s="1882"/>
      <c r="K135" s="1882"/>
      <c r="L135" s="1882"/>
      <c r="M135" s="1882"/>
      <c r="N135" s="1882"/>
      <c r="O135" s="1882"/>
    </row>
    <row r="136" spans="1:18" ht="87.6" customHeight="1">
      <c r="B136" s="1882"/>
      <c r="C136" s="1882"/>
      <c r="D136" s="1882"/>
      <c r="E136" s="1882"/>
      <c r="F136" s="1882"/>
      <c r="G136" s="1882"/>
      <c r="H136" s="1882"/>
      <c r="I136" s="1882"/>
      <c r="J136" s="1882"/>
      <c r="K136" s="1882"/>
      <c r="L136" s="1882"/>
      <c r="M136" s="1882"/>
      <c r="N136" s="1882"/>
      <c r="O136" s="1882"/>
    </row>
  </sheetData>
  <mergeCells count="124">
    <mergeCell ref="C77:F77"/>
    <mergeCell ref="B46:B67"/>
    <mergeCell ref="C67:E67"/>
    <mergeCell ref="H38:H40"/>
    <mergeCell ref="C92:F92"/>
    <mergeCell ref="B97:B125"/>
    <mergeCell ref="L82:L84"/>
    <mergeCell ref="L86:L88"/>
    <mergeCell ref="L90:L91"/>
    <mergeCell ref="C41:E41"/>
    <mergeCell ref="C81:F81"/>
    <mergeCell ref="B74:B77"/>
    <mergeCell ref="H74:H76"/>
    <mergeCell ref="L74:L76"/>
    <mergeCell ref="B38:B41"/>
    <mergeCell ref="R17:R18"/>
    <mergeCell ref="B28:E28"/>
    <mergeCell ref="C22:E22"/>
    <mergeCell ref="C23:E23"/>
    <mergeCell ref="C24:E24"/>
    <mergeCell ref="C19:E19"/>
    <mergeCell ref="C20:E20"/>
    <mergeCell ref="C21:E21"/>
    <mergeCell ref="C25:E25"/>
    <mergeCell ref="C26:E26"/>
    <mergeCell ref="B17:B18"/>
    <mergeCell ref="Q17:Q18"/>
    <mergeCell ref="C27:E27"/>
    <mergeCell ref="N86:N88"/>
    <mergeCell ref="N97:N124"/>
    <mergeCell ref="B82:B85"/>
    <mergeCell ref="C89:F89"/>
    <mergeCell ref="B86:B89"/>
    <mergeCell ref="B8:B9"/>
    <mergeCell ref="C13:E13"/>
    <mergeCell ref="B71:O71"/>
    <mergeCell ref="B72:B73"/>
    <mergeCell ref="C72:E72"/>
    <mergeCell ref="F72:F73"/>
    <mergeCell ref="G72:H72"/>
    <mergeCell ref="I72:J72"/>
    <mergeCell ref="K72:L72"/>
    <mergeCell ref="M72:M73"/>
    <mergeCell ref="N72:N73"/>
    <mergeCell ref="O72:O73"/>
    <mergeCell ref="L46:L66"/>
    <mergeCell ref="N46:N66"/>
    <mergeCell ref="C37:E37"/>
    <mergeCell ref="B34:B37"/>
    <mergeCell ref="B42:B45"/>
    <mergeCell ref="B19:B27"/>
    <mergeCell ref="B90:B92"/>
    <mergeCell ref="N32:N33"/>
    <mergeCell ref="F32:F33"/>
    <mergeCell ref="B32:B33"/>
    <mergeCell ref="B10:B13"/>
    <mergeCell ref="C12:E12"/>
    <mergeCell ref="B134:O134"/>
    <mergeCell ref="L97:L124"/>
    <mergeCell ref="B78:B81"/>
    <mergeCell ref="L78:L80"/>
    <mergeCell ref="N78:N80"/>
    <mergeCell ref="C125:F125"/>
    <mergeCell ref="B93:B96"/>
    <mergeCell ref="H93:H95"/>
    <mergeCell ref="L93:L95"/>
    <mergeCell ref="N93:N95"/>
    <mergeCell ref="C96:F96"/>
    <mergeCell ref="N82:N84"/>
    <mergeCell ref="C126:F126"/>
    <mergeCell ref="H82:H84"/>
    <mergeCell ref="H86:H88"/>
    <mergeCell ref="C85:F85"/>
    <mergeCell ref="B128:F128"/>
    <mergeCell ref="O32:O33"/>
    <mergeCell ref="N90:N91"/>
    <mergeCell ref="N74:N76"/>
    <mergeCell ref="B135:O136"/>
    <mergeCell ref="P8:P9"/>
    <mergeCell ref="G8:H8"/>
    <mergeCell ref="N34:N36"/>
    <mergeCell ref="H34:H36"/>
    <mergeCell ref="L34:L36"/>
    <mergeCell ref="M8:M9"/>
    <mergeCell ref="I8:J8"/>
    <mergeCell ref="K8:L8"/>
    <mergeCell ref="M32:M33"/>
    <mergeCell ref="I32:J32"/>
    <mergeCell ref="K32:L32"/>
    <mergeCell ref="B68:E68"/>
    <mergeCell ref="C32:E32"/>
    <mergeCell ref="C45:E45"/>
    <mergeCell ref="B14:E14"/>
    <mergeCell ref="B16:R16"/>
    <mergeCell ref="C17:E18"/>
    <mergeCell ref="P38:P40"/>
    <mergeCell ref="H42:H44"/>
    <mergeCell ref="L42:L44"/>
    <mergeCell ref="N42:N44"/>
    <mergeCell ref="B31:O31"/>
    <mergeCell ref="C11:E11"/>
    <mergeCell ref="B2:E2"/>
    <mergeCell ref="C3:E3"/>
    <mergeCell ref="C4:E4"/>
    <mergeCell ref="C5:E5"/>
    <mergeCell ref="B7:R7"/>
    <mergeCell ref="L38:L40"/>
    <mergeCell ref="N38:N40"/>
    <mergeCell ref="N8:N9"/>
    <mergeCell ref="F8:F9"/>
    <mergeCell ref="F17:F18"/>
    <mergeCell ref="G17:H17"/>
    <mergeCell ref="I17:J17"/>
    <mergeCell ref="K17:L17"/>
    <mergeCell ref="M17:M18"/>
    <mergeCell ref="N17:N18"/>
    <mergeCell ref="O17:O18"/>
    <mergeCell ref="P17:P18"/>
    <mergeCell ref="R8:R9"/>
    <mergeCell ref="Q8:Q9"/>
    <mergeCell ref="O8:O9"/>
    <mergeCell ref="C8:E9"/>
    <mergeCell ref="C10:E10"/>
    <mergeCell ref="G32:H32"/>
  </mergeCells>
  <phoneticPr fontId="6" type="noConversion"/>
  <conditionalFormatting sqref="H37 H46:H70 H14:H15 H129:H132 H81 H85 H89:H92 H118:H124">
    <cfRule type="cellIs" dxfId="30" priority="33" stopIfTrue="1" operator="greaterThan">
      <formula>1</formula>
    </cfRule>
  </conditionalFormatting>
  <conditionalFormatting sqref="H46:H66 H11:H12">
    <cfRule type="cellIs" dxfId="29" priority="34" stopIfTrue="1" operator="greaterThan">
      <formula>1</formula>
    </cfRule>
  </conditionalFormatting>
  <conditionalFormatting sqref="H41">
    <cfRule type="cellIs" dxfId="28" priority="27" stopIfTrue="1" operator="greaterThan">
      <formula>1</formula>
    </cfRule>
  </conditionalFormatting>
  <conditionalFormatting sqref="H38">
    <cfRule type="cellIs" dxfId="27" priority="28" stopIfTrue="1" operator="greaterThan">
      <formula>1</formula>
    </cfRule>
  </conditionalFormatting>
  <conditionalFormatting sqref="H45">
    <cfRule type="cellIs" dxfId="26" priority="25" stopIfTrue="1" operator="greaterThan">
      <formula>1</formula>
    </cfRule>
  </conditionalFormatting>
  <conditionalFormatting sqref="H42">
    <cfRule type="cellIs" dxfId="25" priority="26" stopIfTrue="1" operator="greaterThan">
      <formula>1</formula>
    </cfRule>
  </conditionalFormatting>
  <conditionalFormatting sqref="H28">
    <cfRule type="cellIs" dxfId="24" priority="20" stopIfTrue="1" operator="greaterThan">
      <formula>1</formula>
    </cfRule>
  </conditionalFormatting>
  <conditionalFormatting sqref="H77 H125:H128">
    <cfRule type="cellIs" dxfId="23" priority="19" stopIfTrue="1" operator="greaterThan">
      <formula>1</formula>
    </cfRule>
  </conditionalFormatting>
  <conditionalFormatting sqref="H78">
    <cfRule type="cellIs" dxfId="22" priority="17" stopIfTrue="1" operator="greaterThan">
      <formula>1</formula>
    </cfRule>
  </conditionalFormatting>
  <conditionalFormatting sqref="H96">
    <cfRule type="cellIs" dxfId="21" priority="14" stopIfTrue="1" operator="greaterThan">
      <formula>1</formula>
    </cfRule>
  </conditionalFormatting>
  <conditionalFormatting sqref="H93">
    <cfRule type="cellIs" dxfId="20" priority="15" stopIfTrue="1" operator="greaterThan">
      <formula>1</formula>
    </cfRule>
  </conditionalFormatting>
  <conditionalFormatting sqref="H97:H98">
    <cfRule type="cellIs" dxfId="19" priority="13" stopIfTrue="1" operator="greaterThan">
      <formula>1</formula>
    </cfRule>
  </conditionalFormatting>
  <conditionalFormatting sqref="H99:H100">
    <cfRule type="cellIs" dxfId="18" priority="12" stopIfTrue="1" operator="greaterThan">
      <formula>1</formula>
    </cfRule>
  </conditionalFormatting>
  <conditionalFormatting sqref="H101:H102">
    <cfRule type="cellIs" dxfId="17" priority="11" stopIfTrue="1" operator="greaterThan">
      <formula>1</formula>
    </cfRule>
  </conditionalFormatting>
  <conditionalFormatting sqref="H103:H104">
    <cfRule type="cellIs" dxfId="16" priority="10" stopIfTrue="1" operator="greaterThan">
      <formula>1</formula>
    </cfRule>
  </conditionalFormatting>
  <conditionalFormatting sqref="H105:H106">
    <cfRule type="cellIs" dxfId="15" priority="9" stopIfTrue="1" operator="greaterThan">
      <formula>1</formula>
    </cfRule>
  </conditionalFormatting>
  <conditionalFormatting sqref="H107:H108">
    <cfRule type="cellIs" dxfId="14" priority="8" stopIfTrue="1" operator="greaterThan">
      <formula>1</formula>
    </cfRule>
  </conditionalFormatting>
  <conditionalFormatting sqref="H109:H110">
    <cfRule type="cellIs" dxfId="13" priority="7" stopIfTrue="1" operator="greaterThan">
      <formula>1</formula>
    </cfRule>
  </conditionalFormatting>
  <conditionalFormatting sqref="H111:H112">
    <cfRule type="cellIs" dxfId="12" priority="6" stopIfTrue="1" operator="greaterThan">
      <formula>1</formula>
    </cfRule>
  </conditionalFormatting>
  <conditionalFormatting sqref="H113:H114">
    <cfRule type="cellIs" dxfId="11" priority="5" stopIfTrue="1" operator="greaterThan">
      <formula>1</formula>
    </cfRule>
  </conditionalFormatting>
  <conditionalFormatting sqref="H115:H116">
    <cfRule type="cellIs" dxfId="10" priority="4" stopIfTrue="1" operator="greaterThan">
      <formula>1</formula>
    </cfRule>
  </conditionalFormatting>
  <conditionalFormatting sqref="H117">
    <cfRule type="cellIs" dxfId="9" priority="3" stopIfTrue="1" operator="greaterThan">
      <formula>1</formula>
    </cfRule>
  </conditionalFormatting>
  <printOptions horizontalCentered="1" verticalCentered="1"/>
  <pageMargins left="0" right="0" top="0" bottom="0" header="0" footer="0"/>
  <pageSetup paperSize="9" scale="98" orientation="landscape" r:id="rId1"/>
  <headerFooter alignWithMargins="0"/>
  <colBreaks count="1" manualBreakCount="1">
    <brk id="13" max="1048575" man="1"/>
  </colBreaks>
  <ignoredErrors>
    <ignoredError sqref="M30 B37:E37 A44:A46 C29:F29 G29 L30 A38 A40:A42 B33 D33 B32 M33 J32 I33 H32:I32 H30:I30 G30 J33 J30 B30:F30 F33 D32:F32" formula="1"/>
    <ignoredError sqref="B67 D67:E67 B68:E68 L29:M29 I29 J29" evalError="1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70"/>
  <sheetViews>
    <sheetView showGridLines="0" topLeftCell="A59" zoomScale="80" zoomScaleNormal="80" workbookViewId="0">
      <selection activeCell="M78" sqref="M78"/>
    </sheetView>
  </sheetViews>
  <sheetFormatPr defaultColWidth="8.8984375" defaultRowHeight="15.6"/>
  <cols>
    <col min="1" max="1" width="1.69921875" style="17" customWidth="1"/>
    <col min="2" max="2" width="26.19921875" style="17" customWidth="1"/>
    <col min="3" max="3" width="15.69921875" style="17" customWidth="1"/>
    <col min="4" max="4" width="10.69921875" style="17" customWidth="1"/>
    <col min="5" max="5" width="12.296875" style="473" customWidth="1"/>
    <col min="6" max="6" width="10.69921875" style="60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486" customWidth="1"/>
    <col min="16" max="18" width="10.69921875" style="17" customWidth="1"/>
    <col min="19" max="19" width="10.69921875" style="473" customWidth="1"/>
    <col min="20" max="21" width="10.69921875" style="17" customWidth="1"/>
    <col min="22" max="23" width="10.69921875" style="17" hidden="1" customWidth="1"/>
    <col min="24" max="24" width="10.69921875" style="473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473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38" width="10.69921875" style="17" hidden="1" customWidth="1"/>
    <col min="39" max="40" width="10.69921875" style="17" customWidth="1"/>
    <col min="41" max="41" width="10.69921875" style="473" customWidth="1"/>
    <col min="42" max="43" width="10.69921875" style="17" customWidth="1"/>
    <col min="44" max="45" width="10.69921875" style="17" hidden="1" customWidth="1"/>
    <col min="46" max="47" width="10.69921875" style="17" customWidth="1"/>
    <col min="48" max="49" width="10.69921875" style="17" hidden="1" customWidth="1"/>
    <col min="50" max="16384" width="8.8984375" style="17"/>
  </cols>
  <sheetData>
    <row r="1" spans="2:41" s="2" customFormat="1" ht="16.2" thickBot="1">
      <c r="E1" s="472"/>
      <c r="F1" s="600"/>
      <c r="O1" s="485"/>
      <c r="S1" s="472"/>
      <c r="X1" s="472"/>
      <c r="AD1" s="472"/>
      <c r="AO1" s="472"/>
    </row>
    <row r="2" spans="2:41" s="2" customFormat="1">
      <c r="B2" s="43" t="s">
        <v>14</v>
      </c>
      <c r="C2" s="45" t="s">
        <v>53</v>
      </c>
      <c r="E2" s="472"/>
      <c r="F2" s="600"/>
      <c r="O2" s="485"/>
      <c r="S2" s="472"/>
      <c r="X2" s="472"/>
      <c r="AD2" s="472"/>
      <c r="AO2" s="472"/>
    </row>
    <row r="3" spans="2:41" s="2" customFormat="1" ht="15" customHeight="1" thickBot="1">
      <c r="B3" s="1307" t="s">
        <v>193</v>
      </c>
      <c r="C3" s="205">
        <v>11530</v>
      </c>
      <c r="E3" s="472"/>
      <c r="F3" s="600"/>
      <c r="O3" s="485"/>
      <c r="S3" s="472"/>
      <c r="X3" s="472"/>
      <c r="AD3" s="472"/>
      <c r="AO3" s="472"/>
    </row>
    <row r="4" spans="2:41" s="2" customFormat="1">
      <c r="E4" s="472"/>
      <c r="F4" s="600"/>
      <c r="O4" s="485"/>
      <c r="S4" s="472"/>
      <c r="X4" s="472"/>
      <c r="AD4" s="472"/>
      <c r="AO4" s="472"/>
    </row>
    <row r="5" spans="2:41" ht="16.2" hidden="1" customHeight="1"/>
    <row r="6" spans="2:41" hidden="1">
      <c r="B6" s="43" t="s">
        <v>14</v>
      </c>
      <c r="C6" s="45" t="s">
        <v>53</v>
      </c>
      <c r="D6" s="76"/>
      <c r="E6" s="474"/>
      <c r="F6" s="602"/>
      <c r="G6" s="19"/>
      <c r="H6" s="19"/>
      <c r="I6" s="19"/>
      <c r="J6" s="19"/>
      <c r="K6" s="19"/>
      <c r="L6" s="19"/>
      <c r="M6" s="19"/>
      <c r="N6" s="19"/>
      <c r="O6" s="487"/>
      <c r="P6" s="19"/>
    </row>
    <row r="7" spans="2:41" ht="16.2" hidden="1" thickBot="1">
      <c r="B7" s="44" t="s">
        <v>113</v>
      </c>
      <c r="C7" s="205">
        <v>10887</v>
      </c>
      <c r="D7" s="76"/>
      <c r="E7" s="474"/>
      <c r="F7" s="602"/>
      <c r="G7" s="19"/>
      <c r="H7" s="19"/>
      <c r="I7" s="19"/>
      <c r="J7" s="19"/>
      <c r="K7" s="19"/>
      <c r="L7" s="19"/>
      <c r="M7" s="19"/>
      <c r="N7" s="19"/>
      <c r="O7" s="487"/>
      <c r="P7" s="19"/>
      <c r="Q7" s="20"/>
      <c r="R7" s="20"/>
      <c r="S7" s="507"/>
      <c r="T7" s="20"/>
      <c r="U7" s="20"/>
      <c r="V7" s="20"/>
      <c r="W7" s="20"/>
      <c r="X7" s="507"/>
      <c r="Y7" s="20"/>
    </row>
    <row r="8" spans="2:41" ht="16.2" thickBot="1">
      <c r="B8" s="21"/>
      <c r="C8" s="21"/>
      <c r="D8" s="21"/>
      <c r="E8" s="475"/>
      <c r="F8" s="603"/>
      <c r="G8" s="21"/>
      <c r="H8" s="21"/>
      <c r="I8" s="21"/>
      <c r="J8" s="21"/>
      <c r="K8" s="21"/>
      <c r="L8" s="21"/>
      <c r="M8" s="21"/>
      <c r="N8" s="21"/>
      <c r="O8" s="488"/>
      <c r="P8" s="21"/>
      <c r="Q8" s="20"/>
      <c r="R8" s="20"/>
      <c r="S8" s="507"/>
      <c r="T8" s="20"/>
      <c r="U8" s="20"/>
      <c r="V8" s="20"/>
      <c r="W8" s="20"/>
      <c r="X8" s="507"/>
      <c r="Y8" s="20"/>
    </row>
    <row r="9" spans="2:41" ht="16.2" thickBot="1">
      <c r="B9" s="2001" t="s">
        <v>115</v>
      </c>
      <c r="C9" s="2002"/>
      <c r="D9" s="2002"/>
      <c r="E9" s="2002"/>
      <c r="F9" s="2002"/>
      <c r="G9" s="2002"/>
      <c r="H9" s="2002"/>
      <c r="I9" s="2002"/>
      <c r="J9" s="2002"/>
      <c r="K9" s="2002"/>
      <c r="L9" s="2002"/>
      <c r="M9" s="2002"/>
      <c r="N9" s="2002"/>
      <c r="O9" s="2002"/>
      <c r="P9" s="2003"/>
      <c r="Q9" s="20"/>
      <c r="R9" s="20"/>
      <c r="S9" s="507"/>
      <c r="T9" s="20"/>
      <c r="U9" s="20"/>
      <c r="V9" s="20"/>
      <c r="W9" s="20"/>
      <c r="X9" s="507"/>
      <c r="Y9" s="20"/>
    </row>
    <row r="10" spans="2:41">
      <c r="B10" s="116"/>
      <c r="C10" s="2023" t="s">
        <v>14</v>
      </c>
      <c r="D10" s="2023"/>
      <c r="E10" s="2023"/>
      <c r="F10" s="2023"/>
      <c r="G10" s="2023"/>
      <c r="H10" s="2005" t="s">
        <v>116</v>
      </c>
      <c r="I10" s="2005"/>
      <c r="J10" s="2005"/>
      <c r="K10" s="2005"/>
      <c r="L10" s="2005"/>
      <c r="M10" s="2005"/>
      <c r="N10" s="2005"/>
      <c r="O10" s="2005"/>
      <c r="P10" s="2006"/>
      <c r="Q10" s="20"/>
      <c r="R10" s="2065" t="s">
        <v>164</v>
      </c>
      <c r="S10" s="2066"/>
      <c r="T10" s="2067"/>
      <c r="U10" s="20"/>
      <c r="Y10" s="20"/>
      <c r="Z10" s="20"/>
      <c r="AA10" s="20"/>
    </row>
    <row r="11" spans="2:41" s="22" customFormat="1" ht="46.8">
      <c r="B11" s="115" t="s">
        <v>119</v>
      </c>
      <c r="C11" s="438" t="s">
        <v>120</v>
      </c>
      <c r="D11" s="438" t="s">
        <v>121</v>
      </c>
      <c r="E11" s="476" t="s">
        <v>127</v>
      </c>
      <c r="F11" s="613" t="s">
        <v>128</v>
      </c>
      <c r="G11" s="439" t="s">
        <v>129</v>
      </c>
      <c r="H11" s="440" t="s">
        <v>132</v>
      </c>
      <c r="I11" s="440" t="s">
        <v>133</v>
      </c>
      <c r="J11" s="440" t="s">
        <v>134</v>
      </c>
      <c r="K11" s="440" t="s">
        <v>135</v>
      </c>
      <c r="L11" s="137" t="s">
        <v>165</v>
      </c>
      <c r="M11" s="441" t="s">
        <v>21</v>
      </c>
      <c r="N11" s="440" t="s">
        <v>137</v>
      </c>
      <c r="O11" s="489" t="s">
        <v>138</v>
      </c>
      <c r="P11" s="442" t="s">
        <v>23</v>
      </c>
      <c r="R11" s="985" t="s">
        <v>132</v>
      </c>
      <c r="S11" s="199" t="s">
        <v>166</v>
      </c>
      <c r="T11" s="986" t="s">
        <v>141</v>
      </c>
      <c r="X11" s="480"/>
      <c r="AD11" s="480"/>
      <c r="AO11" s="480"/>
    </row>
    <row r="12" spans="2:41" ht="31.8" thickBot="1">
      <c r="B12" s="103" t="s">
        <v>174</v>
      </c>
      <c r="C12" s="15">
        <f>SUM(C27:C33)</f>
        <v>628195</v>
      </c>
      <c r="D12" s="15">
        <f t="shared" ref="D12" si="0">SUM(D27:D33)</f>
        <v>8712</v>
      </c>
      <c r="E12" s="77">
        <f>SUM(E27:E33)</f>
        <v>1836.1100000000001</v>
      </c>
      <c r="F12" s="73">
        <f t="shared" ref="F12:F17" si="1">E12/$C$7</f>
        <v>0.16865160282906219</v>
      </c>
      <c r="G12" s="79">
        <f t="shared" ref="G12:G17" si="2">D12/C12</f>
        <v>1.3868305223696463E-2</v>
      </c>
      <c r="H12" s="131">
        <f>SUM(H27:H33)</f>
        <v>4123</v>
      </c>
      <c r="I12" s="132"/>
      <c r="J12" s="132"/>
      <c r="K12" s="293">
        <f t="shared" ref="K12:K17" si="3">$S$12/30*7</f>
        <v>1004.0711462450594</v>
      </c>
      <c r="L12" s="139">
        <f t="shared" ref="L12:L17" si="4">H12/K12</f>
        <v>4.1062827225130887</v>
      </c>
      <c r="M12" s="224">
        <f t="shared" ref="M12:M17" si="5">E12/H12</f>
        <v>0.44533349502789232</v>
      </c>
      <c r="N12" s="333">
        <f t="shared" ref="N12:N17" si="6">H12/D12</f>
        <v>0.4732552800734619</v>
      </c>
      <c r="O12" s="382">
        <f t="shared" ref="O12:P12" si="7">O34</f>
        <v>43.785714285714285</v>
      </c>
      <c r="P12" s="348">
        <f t="shared" si="7"/>
        <v>0.73497549464512613</v>
      </c>
      <c r="R12" s="987">
        <f>H70</f>
        <v>12030</v>
      </c>
      <c r="S12" s="988">
        <f>C7/2.53</f>
        <v>4303.1620553359689</v>
      </c>
      <c r="T12" s="989">
        <f>R12/S12</f>
        <v>2.7956186277211348</v>
      </c>
    </row>
    <row r="13" spans="2:41" ht="31.2">
      <c r="B13" s="103" t="s">
        <v>175</v>
      </c>
      <c r="C13" s="15">
        <f>SUM(C35:C41)</f>
        <v>510054</v>
      </c>
      <c r="D13" s="15">
        <f>SUM(D35:D41)</f>
        <v>8462</v>
      </c>
      <c r="E13" s="77">
        <f>SUM(E35:E41)</f>
        <v>1830.89</v>
      </c>
      <c r="F13" s="73">
        <f t="shared" si="1"/>
        <v>0.1681721319004317</v>
      </c>
      <c r="G13" s="79">
        <f t="shared" si="2"/>
        <v>1.6590400232132284E-2</v>
      </c>
      <c r="H13" s="131">
        <f>SUM(H35:H41)</f>
        <v>2011</v>
      </c>
      <c r="I13" s="132"/>
      <c r="J13" s="132"/>
      <c r="K13" s="293">
        <f t="shared" si="3"/>
        <v>1004.0711462450594</v>
      </c>
      <c r="L13" s="139">
        <f t="shared" si="4"/>
        <v>2.0028461205369443</v>
      </c>
      <c r="M13" s="224">
        <f t="shared" si="5"/>
        <v>0.91043759323719542</v>
      </c>
      <c r="N13" s="333">
        <f t="shared" si="6"/>
        <v>0.23765067359962183</v>
      </c>
      <c r="O13" s="382">
        <f>O42</f>
        <v>29.75301710104554</v>
      </c>
      <c r="P13" s="348">
        <f>P42</f>
        <v>0.82635756271311778</v>
      </c>
      <c r="R13" s="983" t="s">
        <v>132</v>
      </c>
    </row>
    <row r="14" spans="2:41" ht="31.2">
      <c r="B14" s="105" t="s">
        <v>168</v>
      </c>
      <c r="C14" s="15">
        <f>SUM(C43:C49)</f>
        <v>506222</v>
      </c>
      <c r="D14" s="15">
        <f t="shared" ref="D14" si="8">SUM(D43:D49)</f>
        <v>8897</v>
      </c>
      <c r="E14" s="77">
        <f>SUM(E43:E49)</f>
        <v>1703.5500000000002</v>
      </c>
      <c r="F14" s="73">
        <f t="shared" si="1"/>
        <v>0.15647561311656105</v>
      </c>
      <c r="G14" s="79">
        <f t="shared" si="2"/>
        <v>1.7575293053245414E-2</v>
      </c>
      <c r="H14" s="52">
        <f>SUM(H43:H49)</f>
        <v>1310</v>
      </c>
      <c r="I14" s="52"/>
      <c r="J14" s="52"/>
      <c r="K14" s="293">
        <f t="shared" si="3"/>
        <v>1004.0711462450594</v>
      </c>
      <c r="L14" s="139">
        <f t="shared" si="4"/>
        <v>1.3046884226272486</v>
      </c>
      <c r="M14" s="224">
        <f t="shared" si="5"/>
        <v>1.3004198473282444</v>
      </c>
      <c r="N14" s="333">
        <f t="shared" si="6"/>
        <v>0.14724064291334157</v>
      </c>
      <c r="O14" s="705">
        <f>AVERAGE(O43:O49)</f>
        <v>17.792606618300166</v>
      </c>
      <c r="P14" s="617">
        <f>AVERAGE(P43:P49)</f>
        <v>0.79547618772303852</v>
      </c>
      <c r="Q14" s="40"/>
      <c r="R14" s="984"/>
      <c r="S14" s="597"/>
      <c r="T14" s="40"/>
      <c r="U14" s="40"/>
    </row>
    <row r="15" spans="2:41" ht="31.2">
      <c r="B15" s="105" t="s">
        <v>169</v>
      </c>
      <c r="C15" s="15">
        <f>SUM(C51:C57)</f>
        <v>694672</v>
      </c>
      <c r="D15" s="15">
        <f t="shared" ref="D15:E15" si="9">SUM(D51:D57)</f>
        <v>11898</v>
      </c>
      <c r="E15" s="72">
        <f t="shared" si="9"/>
        <v>2448.8499999999995</v>
      </c>
      <c r="F15" s="73">
        <f t="shared" si="1"/>
        <v>0.22493340681546795</v>
      </c>
      <c r="G15" s="79">
        <f t="shared" si="2"/>
        <v>1.712750765829053E-2</v>
      </c>
      <c r="H15" s="52">
        <f>SUM(H51:H57)</f>
        <v>1757</v>
      </c>
      <c r="I15" s="52"/>
      <c r="J15" s="52"/>
      <c r="K15" s="293">
        <f t="shared" si="3"/>
        <v>1004.0711462450594</v>
      </c>
      <c r="L15" s="139">
        <f t="shared" si="4"/>
        <v>1.7498759988977679</v>
      </c>
      <c r="M15" s="224">
        <f t="shared" si="5"/>
        <v>1.3937677859988613</v>
      </c>
      <c r="N15" s="333">
        <f t="shared" si="6"/>
        <v>0.14767187762649184</v>
      </c>
      <c r="O15" s="705">
        <f>AVERAGE(O51:O57)</f>
        <v>24.102897097158714</v>
      </c>
      <c r="P15" s="617">
        <f>AVERAGE(P51:P57)</f>
        <v>0.81841504379245422</v>
      </c>
      <c r="R15" s="100"/>
    </row>
    <row r="16" spans="2:41" ht="31.2">
      <c r="B16" s="105" t="s">
        <v>194</v>
      </c>
      <c r="C16" s="15">
        <f>SUM(C59:C65)</f>
        <v>623225</v>
      </c>
      <c r="D16" s="15">
        <f t="shared" ref="D16:E16" si="10">SUM(D59:D65)</f>
        <v>10687</v>
      </c>
      <c r="E16" s="72">
        <f t="shared" si="10"/>
        <v>2260.52</v>
      </c>
      <c r="F16" s="73">
        <f t="shared" si="1"/>
        <v>0.20763479379075961</v>
      </c>
      <c r="G16" s="79">
        <f t="shared" si="2"/>
        <v>1.7147900036102531E-2</v>
      </c>
      <c r="H16" s="15">
        <f t="shared" ref="H16" si="11">SUM(H59:H65)</f>
        <v>1696</v>
      </c>
      <c r="I16" s="52"/>
      <c r="J16" s="52"/>
      <c r="K16" s="293">
        <f t="shared" si="3"/>
        <v>1004.0711462450594</v>
      </c>
      <c r="L16" s="139">
        <f t="shared" si="4"/>
        <v>1.6891233318899341</v>
      </c>
      <c r="M16" s="224">
        <f t="shared" si="5"/>
        <v>1.3328537735849058</v>
      </c>
      <c r="N16" s="333">
        <f t="shared" si="6"/>
        <v>0.1586974829231777</v>
      </c>
      <c r="O16" s="705">
        <f>AVERAGE(O59:O65)</f>
        <v>20.299979287289737</v>
      </c>
      <c r="P16" s="617">
        <f>AVERAGE(P59:P65)</f>
        <v>0.74544807434708027</v>
      </c>
    </row>
    <row r="17" spans="2:49" ht="31.8" thickBot="1">
      <c r="B17" s="103" t="s">
        <v>205</v>
      </c>
      <c r="C17" s="15">
        <f>SUM(C67:C69)</f>
        <v>173095</v>
      </c>
      <c r="D17" s="15">
        <f t="shared" ref="D17:E17" si="12">SUM(D67:D69)</f>
        <v>2950</v>
      </c>
      <c r="E17" s="72">
        <f t="shared" si="12"/>
        <v>807.92000000000007</v>
      </c>
      <c r="F17" s="73">
        <f t="shared" si="1"/>
        <v>7.4209607789106277E-2</v>
      </c>
      <c r="G17" s="79">
        <f t="shared" si="2"/>
        <v>1.7042664432825906E-2</v>
      </c>
      <c r="H17" s="15">
        <f>SUM(H67:H69)</f>
        <v>1133</v>
      </c>
      <c r="I17" s="52"/>
      <c r="J17" s="52"/>
      <c r="K17" s="293">
        <f t="shared" si="3"/>
        <v>1004.0711462450594</v>
      </c>
      <c r="L17" s="139">
        <f t="shared" si="4"/>
        <v>1.1284060937684524</v>
      </c>
      <c r="M17" s="224">
        <f t="shared" si="5"/>
        <v>0.71308031774051195</v>
      </c>
      <c r="N17" s="333">
        <f t="shared" si="6"/>
        <v>0.38406779661016949</v>
      </c>
      <c r="O17" s="705">
        <f>AVERAGE(O67:O69)</f>
        <v>24.907788613169078</v>
      </c>
      <c r="P17" s="617">
        <f>AVERAGE(P67:P69)</f>
        <v>0.7286385595117012</v>
      </c>
    </row>
    <row r="18" spans="2:49" hidden="1">
      <c r="B18" s="103" t="s">
        <v>196</v>
      </c>
      <c r="C18" s="102"/>
      <c r="D18" s="102"/>
      <c r="E18" s="77"/>
      <c r="F18" s="605"/>
      <c r="G18" s="52"/>
      <c r="H18" s="52"/>
      <c r="I18" s="52"/>
      <c r="J18" s="52"/>
      <c r="K18" s="52"/>
      <c r="L18" s="52"/>
      <c r="M18" s="52"/>
      <c r="N18" s="52"/>
      <c r="O18" s="622"/>
      <c r="P18" s="104"/>
    </row>
    <row r="19" spans="2:49" ht="16.2" hidden="1" thickBot="1">
      <c r="B19" s="106" t="s">
        <v>197</v>
      </c>
      <c r="C19" s="35"/>
      <c r="D19" s="35"/>
      <c r="E19" s="77"/>
      <c r="F19" s="605"/>
      <c r="G19" s="52"/>
      <c r="H19" s="52"/>
      <c r="I19" s="52"/>
      <c r="J19" s="52"/>
      <c r="K19" s="52"/>
      <c r="L19" s="52"/>
      <c r="M19" s="52"/>
      <c r="N19" s="52"/>
      <c r="O19" s="622"/>
      <c r="P19" s="104"/>
    </row>
    <row r="20" spans="2:49" ht="16.2" thickBot="1">
      <c r="B20" s="107" t="s">
        <v>153</v>
      </c>
      <c r="C20" s="108">
        <f>SUM(C12:C19)</f>
        <v>3135463</v>
      </c>
      <c r="D20" s="108">
        <f t="shared" ref="D20" si="13">SUM(D12:D19)</f>
        <v>51606</v>
      </c>
      <c r="E20" s="109">
        <f>SUM(E12:E19)</f>
        <v>10887.84</v>
      </c>
      <c r="F20" s="111">
        <f>E20/C7</f>
        <v>1.0000771562413888</v>
      </c>
      <c r="G20" s="110">
        <f>D20/C20</f>
        <v>1.645881325979608E-2</v>
      </c>
      <c r="H20" s="108">
        <f>SUM(H12:H19)</f>
        <v>12030</v>
      </c>
      <c r="I20" s="112"/>
      <c r="J20" s="112"/>
      <c r="K20" s="108">
        <f>SUM(K12:K19)</f>
        <v>6024.426877470356</v>
      </c>
      <c r="L20" s="138">
        <f>H20/K20</f>
        <v>1.9968704483722395</v>
      </c>
      <c r="M20" s="340">
        <f>E20/H20</f>
        <v>0.90505735660847886</v>
      </c>
      <c r="N20" s="336">
        <f>H20/D20</f>
        <v>0.23311242878735031</v>
      </c>
      <c r="O20" s="623">
        <f>AVERAGE(O12:O19)</f>
        <v>26.773667167112922</v>
      </c>
      <c r="P20" s="618">
        <f>AVERAGE(P12:P19)</f>
        <v>0.774885153788753</v>
      </c>
      <c r="Q20" s="18"/>
      <c r="R20" s="18"/>
      <c r="S20" s="508"/>
      <c r="T20" s="18"/>
      <c r="U20" s="18"/>
      <c r="V20" s="18"/>
      <c r="W20" s="18"/>
      <c r="X20" s="508"/>
      <c r="Y20" s="18"/>
      <c r="Z20" s="18"/>
      <c r="AA20" s="18"/>
    </row>
    <row r="21" spans="2:49" customFormat="1" ht="14.4">
      <c r="E21" s="477"/>
      <c r="F21" s="607"/>
      <c r="O21" s="482"/>
      <c r="S21" s="477"/>
      <c r="X21" s="477"/>
      <c r="AD21" s="477"/>
      <c r="AO21" s="477"/>
    </row>
    <row r="22" spans="2:49">
      <c r="L22" s="30"/>
      <c r="M22" s="30"/>
      <c r="N22" s="30"/>
      <c r="O22" s="490"/>
      <c r="P22" s="30"/>
      <c r="Q22" s="57" t="s">
        <v>171</v>
      </c>
      <c r="R22" s="57"/>
      <c r="S22" s="509"/>
      <c r="T22" s="57"/>
      <c r="U22" s="57" t="s">
        <v>29</v>
      </c>
      <c r="V22" s="57"/>
      <c r="W22" s="57"/>
      <c r="X22" s="509"/>
      <c r="Y22" s="57"/>
      <c r="Z22" s="57" t="s">
        <v>166</v>
      </c>
      <c r="AA22" s="57" t="s">
        <v>172</v>
      </c>
    </row>
    <row r="23" spans="2:49" ht="16.2" thickBot="1">
      <c r="L23" s="30"/>
      <c r="M23" s="30"/>
      <c r="N23" s="30"/>
      <c r="O23" s="490"/>
      <c r="P23" s="30"/>
      <c r="Q23" s="32"/>
      <c r="R23" s="32"/>
      <c r="S23" s="510"/>
      <c r="T23" s="32"/>
      <c r="U23" s="32"/>
      <c r="V23" s="32"/>
      <c r="W23" s="32"/>
      <c r="X23" s="510"/>
      <c r="Y23" s="32"/>
      <c r="Z23" s="32"/>
      <c r="AA23" s="33"/>
    </row>
    <row r="24" spans="2:49" ht="13.5" customHeight="1" thickBot="1">
      <c r="B24" s="2020" t="s">
        <v>154</v>
      </c>
      <c r="C24" s="2021"/>
      <c r="D24" s="2021"/>
      <c r="E24" s="2021"/>
      <c r="F24" s="2021"/>
      <c r="G24" s="2021"/>
      <c r="H24" s="2021"/>
      <c r="I24" s="2021"/>
      <c r="J24" s="2021"/>
      <c r="K24" s="2021"/>
      <c r="L24" s="2021"/>
      <c r="M24" s="2021"/>
      <c r="N24" s="2021"/>
      <c r="O24" s="2021"/>
      <c r="P24" s="2022"/>
      <c r="Q24" s="2028" t="s">
        <v>70</v>
      </c>
      <c r="R24" s="2029"/>
      <c r="S24" s="2029"/>
      <c r="T24" s="2029"/>
      <c r="U24" s="2029"/>
      <c r="V24" s="2029"/>
      <c r="W24" s="2029"/>
      <c r="X24" s="2029"/>
      <c r="Y24" s="2029"/>
      <c r="Z24" s="2029"/>
      <c r="AA24" s="2030"/>
      <c r="AB24" s="2025" t="s">
        <v>72</v>
      </c>
      <c r="AC24" s="2026"/>
      <c r="AD24" s="2026"/>
      <c r="AE24" s="2026"/>
      <c r="AF24" s="2026"/>
      <c r="AG24" s="2026"/>
      <c r="AH24" s="2026"/>
      <c r="AI24" s="2026"/>
      <c r="AJ24" s="2026"/>
      <c r="AK24" s="2026"/>
      <c r="AL24" s="2027"/>
      <c r="AM24" s="2028" t="s">
        <v>73</v>
      </c>
      <c r="AN24" s="2029"/>
      <c r="AO24" s="2029"/>
      <c r="AP24" s="2029"/>
      <c r="AQ24" s="2029"/>
      <c r="AR24" s="2029"/>
      <c r="AS24" s="2029"/>
      <c r="AT24" s="2029"/>
      <c r="AU24" s="2029"/>
      <c r="AV24" s="2029"/>
      <c r="AW24" s="2030"/>
    </row>
    <row r="25" spans="2:49" ht="13.5" customHeight="1">
      <c r="B25" s="185"/>
      <c r="C25" s="2023" t="s">
        <v>14</v>
      </c>
      <c r="D25" s="2023"/>
      <c r="E25" s="2023"/>
      <c r="F25" s="2023"/>
      <c r="G25" s="2023"/>
      <c r="H25" s="2005" t="s">
        <v>116</v>
      </c>
      <c r="I25" s="2005"/>
      <c r="J25" s="2005"/>
      <c r="K25" s="2005"/>
      <c r="L25" s="2005"/>
      <c r="M25" s="2005"/>
      <c r="N25" s="2005"/>
      <c r="O25" s="2005"/>
      <c r="P25" s="2024"/>
      <c r="Q25" s="2031" t="s">
        <v>14</v>
      </c>
      <c r="R25" s="2032"/>
      <c r="S25" s="2032"/>
      <c r="T25" s="2032"/>
      <c r="U25" s="2032" t="s">
        <v>116</v>
      </c>
      <c r="V25" s="2032"/>
      <c r="W25" s="2032"/>
      <c r="X25" s="2032"/>
      <c r="Y25" s="2032"/>
      <c r="Z25" s="2032"/>
      <c r="AA25" s="2033"/>
      <c r="AB25" s="2034" t="s">
        <v>14</v>
      </c>
      <c r="AC25" s="2035"/>
      <c r="AD25" s="2035"/>
      <c r="AE25" s="2035"/>
      <c r="AF25" s="2035" t="s">
        <v>116</v>
      </c>
      <c r="AG25" s="2035"/>
      <c r="AH25" s="2035"/>
      <c r="AI25" s="2035"/>
      <c r="AJ25" s="2035"/>
      <c r="AK25" s="2035"/>
      <c r="AL25" s="2036"/>
      <c r="AM25" s="2031" t="s">
        <v>14</v>
      </c>
      <c r="AN25" s="2032"/>
      <c r="AO25" s="2032"/>
      <c r="AP25" s="2032"/>
      <c r="AQ25" s="2032" t="s">
        <v>116</v>
      </c>
      <c r="AR25" s="2032"/>
      <c r="AS25" s="2032"/>
      <c r="AT25" s="2032"/>
      <c r="AU25" s="2032"/>
      <c r="AV25" s="2032"/>
      <c r="AW25" s="2033"/>
    </row>
    <row r="26" spans="2:49" s="22" customFormat="1" ht="46.8">
      <c r="B26" s="186" t="s">
        <v>119</v>
      </c>
      <c r="C26" s="445" t="s">
        <v>120</v>
      </c>
      <c r="D26" s="445" t="s">
        <v>121</v>
      </c>
      <c r="E26" s="478" t="s">
        <v>127</v>
      </c>
      <c r="F26" s="614" t="s">
        <v>128</v>
      </c>
      <c r="G26" s="1097" t="s">
        <v>129</v>
      </c>
      <c r="H26" s="443" t="s">
        <v>132</v>
      </c>
      <c r="I26" s="440" t="s">
        <v>133</v>
      </c>
      <c r="J26" s="440" t="s">
        <v>134</v>
      </c>
      <c r="K26" s="440" t="s">
        <v>157</v>
      </c>
      <c r="L26" s="137" t="s">
        <v>158</v>
      </c>
      <c r="M26" s="441" t="s">
        <v>21</v>
      </c>
      <c r="N26" s="440" t="s">
        <v>137</v>
      </c>
      <c r="O26" s="489" t="s">
        <v>173</v>
      </c>
      <c r="P26" s="447" t="s">
        <v>23</v>
      </c>
      <c r="Q26" s="155" t="s">
        <v>120</v>
      </c>
      <c r="R26" s="1183" t="s">
        <v>121</v>
      </c>
      <c r="S26" s="1185" t="s">
        <v>127</v>
      </c>
      <c r="T26" s="1196" t="s">
        <v>129</v>
      </c>
      <c r="U26" s="1197" t="s">
        <v>132</v>
      </c>
      <c r="V26" s="133" t="s">
        <v>133</v>
      </c>
      <c r="W26" s="133" t="s">
        <v>134</v>
      </c>
      <c r="X26" s="643" t="s">
        <v>21</v>
      </c>
      <c r="Y26" s="133" t="s">
        <v>137</v>
      </c>
      <c r="Z26" s="134" t="s">
        <v>138</v>
      </c>
      <c r="AA26" s="156" t="s">
        <v>23</v>
      </c>
      <c r="AB26" s="155" t="s">
        <v>120</v>
      </c>
      <c r="AC26" s="1183" t="s">
        <v>121</v>
      </c>
      <c r="AD26" s="1185" t="s">
        <v>127</v>
      </c>
      <c r="AE26" s="1196" t="s">
        <v>129</v>
      </c>
      <c r="AF26" s="1197" t="s">
        <v>132</v>
      </c>
      <c r="AG26" s="133" t="s">
        <v>133</v>
      </c>
      <c r="AH26" s="133" t="s">
        <v>134</v>
      </c>
      <c r="AI26" s="133" t="s">
        <v>21</v>
      </c>
      <c r="AJ26" s="133" t="s">
        <v>137</v>
      </c>
      <c r="AK26" s="134" t="s">
        <v>138</v>
      </c>
      <c r="AL26" s="156" t="s">
        <v>23</v>
      </c>
      <c r="AM26" s="155" t="s">
        <v>120</v>
      </c>
      <c r="AN26" s="1183" t="s">
        <v>121</v>
      </c>
      <c r="AO26" s="1185" t="s">
        <v>127</v>
      </c>
      <c r="AP26" s="1196" t="s">
        <v>129</v>
      </c>
      <c r="AQ26" s="1197" t="s">
        <v>132</v>
      </c>
      <c r="AR26" s="133" t="s">
        <v>133</v>
      </c>
      <c r="AS26" s="133" t="s">
        <v>134</v>
      </c>
      <c r="AT26" s="133" t="s">
        <v>21</v>
      </c>
      <c r="AU26" s="133" t="s">
        <v>137</v>
      </c>
      <c r="AV26" s="134" t="s">
        <v>138</v>
      </c>
      <c r="AW26" s="178" t="s">
        <v>23</v>
      </c>
    </row>
    <row r="27" spans="2:49">
      <c r="B27" s="188">
        <v>44852</v>
      </c>
      <c r="C27" s="303">
        <v>59926</v>
      </c>
      <c r="D27" s="303">
        <v>1004</v>
      </c>
      <c r="E27" s="304">
        <v>205.04999999999998</v>
      </c>
      <c r="F27" s="308">
        <f>SUM($E$27)/$C$7</f>
        <v>1.8834389639019011E-2</v>
      </c>
      <c r="G27" s="1098">
        <f t="shared" ref="G27:G69" si="14">D27/C27</f>
        <v>1.6753996595801488E-2</v>
      </c>
      <c r="H27" s="150">
        <v>787</v>
      </c>
      <c r="I27" s="132"/>
      <c r="J27" s="132"/>
      <c r="K27" s="293">
        <f>$S$12/30</f>
        <v>143.43873517786562</v>
      </c>
      <c r="L27" s="139">
        <f>H27/K27</f>
        <v>5.4866629925599337</v>
      </c>
      <c r="M27" s="225">
        <f t="shared" ref="M27:M65" si="15">E27/H27</f>
        <v>0.26054637865311309</v>
      </c>
      <c r="N27" s="316">
        <f t="shared" ref="N27:N65" si="16">H27/D27</f>
        <v>0.78386454183266929</v>
      </c>
      <c r="O27" s="681">
        <v>27.5</v>
      </c>
      <c r="P27" s="318">
        <v>0.60482846251588307</v>
      </c>
      <c r="Q27" s="1208">
        <v>8333</v>
      </c>
      <c r="R27" s="1187">
        <v>99</v>
      </c>
      <c r="S27" s="554">
        <v>25.51</v>
      </c>
      <c r="T27" s="555">
        <f t="shared" ref="T27:T69" si="17">R27/Q27</f>
        <v>1.188047521900876E-2</v>
      </c>
      <c r="U27" s="1187">
        <v>62</v>
      </c>
      <c r="V27" s="322"/>
      <c r="W27" s="132"/>
      <c r="X27" s="312">
        <f t="shared" ref="X27:X65" si="18">S27/U27</f>
        <v>0.41145161290322585</v>
      </c>
      <c r="Y27" s="316">
        <f t="shared" ref="Y27:Y65" si="19">U27/R27</f>
        <v>0.6262626262626263</v>
      </c>
      <c r="Z27" s="132"/>
      <c r="AA27" s="158"/>
      <c r="AB27" s="1208">
        <v>51593</v>
      </c>
      <c r="AC27" s="1187">
        <v>905</v>
      </c>
      <c r="AD27" s="554">
        <v>179.54</v>
      </c>
      <c r="AE27" s="555">
        <f t="shared" ref="AE27:AE69" si="20">AC27/AB27</f>
        <v>1.7541139301843273E-2</v>
      </c>
      <c r="AF27" s="1187">
        <v>725</v>
      </c>
      <c r="AG27" s="322"/>
      <c r="AH27" s="132"/>
      <c r="AI27" s="228">
        <f t="shared" ref="AI27:AI65" si="21">AD27/AF27</f>
        <v>0.24764137931034483</v>
      </c>
      <c r="AJ27" s="316">
        <f t="shared" ref="AJ27:AJ65" si="22">AF27/AC27</f>
        <v>0.80110497237569056</v>
      </c>
      <c r="AK27" s="132"/>
      <c r="AL27" s="158"/>
      <c r="AM27" s="1208"/>
      <c r="AN27" s="1187"/>
      <c r="AO27" s="554"/>
      <c r="AP27" s="555" t="e">
        <f t="shared" ref="AP27:AP58" si="23">AN27/AM27</f>
        <v>#DIV/0!</v>
      </c>
      <c r="AQ27" s="1187"/>
      <c r="AR27" s="322"/>
      <c r="AS27" s="132"/>
      <c r="AT27" s="228" t="e">
        <f t="shared" ref="AT27:AT58" si="24">AO27/AQ27</f>
        <v>#DIV/0!</v>
      </c>
      <c r="AU27" s="316" t="e">
        <f t="shared" ref="AU27:AU58" si="25">AQ27/AN27</f>
        <v>#DIV/0!</v>
      </c>
      <c r="AV27" s="132"/>
      <c r="AW27" s="179"/>
    </row>
    <row r="28" spans="2:49" s="24" customFormat="1">
      <c r="B28" s="188">
        <v>44853</v>
      </c>
      <c r="C28" s="303">
        <v>78855</v>
      </c>
      <c r="D28" s="303">
        <v>1252</v>
      </c>
      <c r="E28" s="304">
        <v>258.28000000000003</v>
      </c>
      <c r="F28" s="308">
        <f>SUM($E$27:E28)/$C$7</f>
        <v>4.2558096812712415E-2</v>
      </c>
      <c r="G28" s="1098">
        <f t="shared" si="14"/>
        <v>1.5877243041024666E-2</v>
      </c>
      <c r="H28" s="143">
        <v>793</v>
      </c>
      <c r="I28" s="132"/>
      <c r="J28" s="132"/>
      <c r="K28" s="293">
        <f t="shared" ref="K28:K69" si="26">$S$12/30</f>
        <v>143.43873517786562</v>
      </c>
      <c r="L28" s="73">
        <f t="shared" ref="L28:L33" si="27">H28/K28</f>
        <v>5.5284926977128679</v>
      </c>
      <c r="M28" s="225">
        <f t="shared" si="15"/>
        <v>0.32569987389659527</v>
      </c>
      <c r="N28" s="316">
        <f t="shared" si="16"/>
        <v>0.63338658146964855</v>
      </c>
      <c r="O28" s="681">
        <v>83</v>
      </c>
      <c r="P28" s="319">
        <v>0.66</v>
      </c>
      <c r="Q28" s="1209">
        <v>4628</v>
      </c>
      <c r="R28" s="1187">
        <v>60</v>
      </c>
      <c r="S28" s="554">
        <v>12.32</v>
      </c>
      <c r="T28" s="555">
        <f t="shared" si="17"/>
        <v>1.2964563526361279E-2</v>
      </c>
      <c r="U28" s="1187">
        <v>32</v>
      </c>
      <c r="V28" s="322"/>
      <c r="W28" s="132"/>
      <c r="X28" s="312">
        <f t="shared" si="18"/>
        <v>0.38500000000000001</v>
      </c>
      <c r="Y28" s="316">
        <f t="shared" si="19"/>
        <v>0.53333333333333333</v>
      </c>
      <c r="Z28" s="132"/>
      <c r="AA28" s="158"/>
      <c r="AB28" s="1209">
        <v>74227</v>
      </c>
      <c r="AC28" s="1187">
        <v>1192</v>
      </c>
      <c r="AD28" s="554">
        <v>245.96</v>
      </c>
      <c r="AE28" s="555">
        <f t="shared" si="20"/>
        <v>1.6058846511377262E-2</v>
      </c>
      <c r="AF28" s="1187">
        <v>761</v>
      </c>
      <c r="AG28" s="322"/>
      <c r="AH28" s="132"/>
      <c r="AI28" s="228">
        <f t="shared" si="21"/>
        <v>0.32320630749014456</v>
      </c>
      <c r="AJ28" s="316">
        <f t="shared" si="22"/>
        <v>0.63842281879194629</v>
      </c>
      <c r="AK28" s="132"/>
      <c r="AL28" s="158"/>
      <c r="AM28" s="1209"/>
      <c r="AN28" s="1187"/>
      <c r="AO28" s="554"/>
      <c r="AP28" s="555" t="e">
        <f t="shared" si="23"/>
        <v>#DIV/0!</v>
      </c>
      <c r="AQ28" s="1187"/>
      <c r="AR28" s="322"/>
      <c r="AS28" s="132"/>
      <c r="AT28" s="228" t="e">
        <f t="shared" si="24"/>
        <v>#DIV/0!</v>
      </c>
      <c r="AU28" s="316" t="e">
        <f t="shared" si="25"/>
        <v>#DIV/0!</v>
      </c>
      <c r="AV28" s="132"/>
      <c r="AW28" s="158"/>
    </row>
    <row r="29" spans="2:49" s="26" customFormat="1">
      <c r="B29" s="188">
        <v>44854</v>
      </c>
      <c r="C29" s="303">
        <v>86915</v>
      </c>
      <c r="D29" s="303">
        <v>1197</v>
      </c>
      <c r="E29" s="304">
        <v>254.48000000000002</v>
      </c>
      <c r="F29" s="308">
        <f>SUM($E$27:E29)/$C$7</f>
        <v>6.5932763846789755E-2</v>
      </c>
      <c r="G29" s="1098">
        <f t="shared" si="14"/>
        <v>1.3772076166369442E-2</v>
      </c>
      <c r="H29" s="143">
        <v>509</v>
      </c>
      <c r="I29" s="132"/>
      <c r="J29" s="132"/>
      <c r="K29" s="293">
        <f t="shared" si="26"/>
        <v>143.43873517786562</v>
      </c>
      <c r="L29" s="73">
        <f t="shared" si="27"/>
        <v>3.5485533204739594</v>
      </c>
      <c r="M29" s="225">
        <f t="shared" si="15"/>
        <v>0.49996070726915526</v>
      </c>
      <c r="N29" s="316">
        <f t="shared" si="16"/>
        <v>0.42522974101921468</v>
      </c>
      <c r="O29" s="681">
        <v>41</v>
      </c>
      <c r="P29" s="319">
        <v>0.74</v>
      </c>
      <c r="Q29" s="1209">
        <v>6306</v>
      </c>
      <c r="R29" s="1187">
        <v>83</v>
      </c>
      <c r="S29" s="554">
        <v>18.64</v>
      </c>
      <c r="T29" s="555">
        <f t="shared" si="17"/>
        <v>1.3162067871868062E-2</v>
      </c>
      <c r="U29" s="1187">
        <v>41</v>
      </c>
      <c r="V29" s="322"/>
      <c r="W29" s="132"/>
      <c r="X29" s="312">
        <f t="shared" si="18"/>
        <v>0.45463414634146343</v>
      </c>
      <c r="Y29" s="316">
        <f t="shared" si="19"/>
        <v>0.49397590361445781</v>
      </c>
      <c r="Z29" s="132"/>
      <c r="AA29" s="158"/>
      <c r="AB29" s="1209">
        <v>80609</v>
      </c>
      <c r="AC29" s="1187">
        <v>1114</v>
      </c>
      <c r="AD29" s="554">
        <v>235.84</v>
      </c>
      <c r="AE29" s="555">
        <f t="shared" si="20"/>
        <v>1.3819796796883723E-2</v>
      </c>
      <c r="AF29" s="1187">
        <v>468</v>
      </c>
      <c r="AG29" s="322"/>
      <c r="AH29" s="132"/>
      <c r="AI29" s="228">
        <f t="shared" si="21"/>
        <v>0.50393162393162394</v>
      </c>
      <c r="AJ29" s="316">
        <f t="shared" si="22"/>
        <v>0.42010771992818674</v>
      </c>
      <c r="AK29" s="132"/>
      <c r="AL29" s="158"/>
      <c r="AM29" s="1209"/>
      <c r="AN29" s="1187"/>
      <c r="AO29" s="554"/>
      <c r="AP29" s="555" t="e">
        <f t="shared" si="23"/>
        <v>#DIV/0!</v>
      </c>
      <c r="AQ29" s="1187"/>
      <c r="AR29" s="322"/>
      <c r="AS29" s="132"/>
      <c r="AT29" s="228" t="e">
        <f t="shared" si="24"/>
        <v>#DIV/0!</v>
      </c>
      <c r="AU29" s="316" t="e">
        <f t="shared" si="25"/>
        <v>#DIV/0!</v>
      </c>
      <c r="AV29" s="132"/>
      <c r="AW29" s="158"/>
    </row>
    <row r="30" spans="2:49">
      <c r="B30" s="295">
        <v>44855</v>
      </c>
      <c r="C30" s="309">
        <v>103494</v>
      </c>
      <c r="D30" s="309">
        <v>1490</v>
      </c>
      <c r="E30" s="310">
        <v>322.85000000000002</v>
      </c>
      <c r="F30" s="308">
        <f>SUM($E$27:E30)/$C$7</f>
        <v>9.5587397813906502E-2</v>
      </c>
      <c r="G30" s="1098">
        <f t="shared" si="14"/>
        <v>1.4396969872649622E-2</v>
      </c>
      <c r="H30" s="34">
        <v>526</v>
      </c>
      <c r="I30" s="132"/>
      <c r="J30" s="132"/>
      <c r="K30" s="293">
        <f t="shared" si="26"/>
        <v>143.43873517786562</v>
      </c>
      <c r="L30" s="139">
        <f t="shared" si="27"/>
        <v>3.6670708184072742</v>
      </c>
      <c r="M30" s="225">
        <f t="shared" si="15"/>
        <v>0.61378326996197718</v>
      </c>
      <c r="N30" s="316">
        <f t="shared" si="16"/>
        <v>0.3530201342281879</v>
      </c>
      <c r="O30" s="681">
        <v>39</v>
      </c>
      <c r="P30" s="319">
        <v>0.76</v>
      </c>
      <c r="Q30" s="1209">
        <v>17623</v>
      </c>
      <c r="R30" s="1187">
        <v>222</v>
      </c>
      <c r="S30" s="554">
        <v>47.24</v>
      </c>
      <c r="T30" s="555">
        <f t="shared" si="17"/>
        <v>1.2597174147420984E-2</v>
      </c>
      <c r="U30" s="1187">
        <v>74</v>
      </c>
      <c r="V30" s="322"/>
      <c r="W30" s="132"/>
      <c r="X30" s="312">
        <f t="shared" si="18"/>
        <v>0.63837837837837841</v>
      </c>
      <c r="Y30" s="316">
        <f t="shared" si="19"/>
        <v>0.33333333333333331</v>
      </c>
      <c r="Z30" s="132"/>
      <c r="AA30" s="158"/>
      <c r="AB30" s="1209">
        <v>85871</v>
      </c>
      <c r="AC30" s="1187">
        <v>1268</v>
      </c>
      <c r="AD30" s="554">
        <v>275.61</v>
      </c>
      <c r="AE30" s="555">
        <f t="shared" si="20"/>
        <v>1.4766335549836383E-2</v>
      </c>
      <c r="AF30" s="1187">
        <v>452</v>
      </c>
      <c r="AG30" s="322"/>
      <c r="AH30" s="132"/>
      <c r="AI30" s="228">
        <f t="shared" si="21"/>
        <v>0.60975663716814166</v>
      </c>
      <c r="AJ30" s="316">
        <f t="shared" si="22"/>
        <v>0.35646687697160884</v>
      </c>
      <c r="AK30" s="132"/>
      <c r="AL30" s="158"/>
      <c r="AM30" s="1209"/>
      <c r="AN30" s="1187"/>
      <c r="AO30" s="554"/>
      <c r="AP30" s="555" t="e">
        <f t="shared" si="23"/>
        <v>#DIV/0!</v>
      </c>
      <c r="AQ30" s="1187"/>
      <c r="AR30" s="322"/>
      <c r="AS30" s="132"/>
      <c r="AT30" s="228" t="e">
        <f t="shared" si="24"/>
        <v>#DIV/0!</v>
      </c>
      <c r="AU30" s="316" t="e">
        <f t="shared" si="25"/>
        <v>#DIV/0!</v>
      </c>
      <c r="AV30" s="132"/>
      <c r="AW30" s="158"/>
    </row>
    <row r="31" spans="2:49">
      <c r="B31" s="295">
        <v>44856</v>
      </c>
      <c r="C31" s="309">
        <v>112787</v>
      </c>
      <c r="D31" s="309">
        <v>1460</v>
      </c>
      <c r="E31" s="310">
        <v>310.59000000000003</v>
      </c>
      <c r="F31" s="308">
        <f>SUM($E$27:E31)/$C$7</f>
        <v>0.12411591806741985</v>
      </c>
      <c r="G31" s="1098">
        <f t="shared" si="14"/>
        <v>1.2944754271325597E-2</v>
      </c>
      <c r="H31" s="953">
        <v>553</v>
      </c>
      <c r="I31" s="132"/>
      <c r="J31" s="132"/>
      <c r="K31" s="293">
        <f t="shared" si="26"/>
        <v>143.43873517786562</v>
      </c>
      <c r="L31" s="73">
        <f t="shared" si="27"/>
        <v>3.8553044915954806</v>
      </c>
      <c r="M31" s="225">
        <f t="shared" si="15"/>
        <v>0.56164556962025325</v>
      </c>
      <c r="N31" s="316">
        <f t="shared" si="16"/>
        <v>0.37876712328767126</v>
      </c>
      <c r="O31" s="681">
        <v>47</v>
      </c>
      <c r="P31" s="319">
        <v>0.71</v>
      </c>
      <c r="Q31" s="1209">
        <v>15814</v>
      </c>
      <c r="R31" s="1187">
        <v>177</v>
      </c>
      <c r="S31" s="554">
        <v>40.86</v>
      </c>
      <c r="T31" s="555">
        <f t="shared" si="17"/>
        <v>1.1192614139370179E-2</v>
      </c>
      <c r="U31" s="1187">
        <v>54</v>
      </c>
      <c r="V31" s="322"/>
      <c r="W31" s="132"/>
      <c r="X31" s="312">
        <f t="shared" si="18"/>
        <v>0.75666666666666671</v>
      </c>
      <c r="Y31" s="316">
        <f t="shared" si="19"/>
        <v>0.30508474576271188</v>
      </c>
      <c r="Z31" s="132"/>
      <c r="AA31" s="158"/>
      <c r="AB31" s="1209">
        <v>96973</v>
      </c>
      <c r="AC31" s="1187">
        <v>1283</v>
      </c>
      <c r="AD31" s="554">
        <v>269.73</v>
      </c>
      <c r="AE31" s="555">
        <f t="shared" si="20"/>
        <v>1.323048683654213E-2</v>
      </c>
      <c r="AF31" s="1187">
        <v>499</v>
      </c>
      <c r="AG31" s="322"/>
      <c r="AH31" s="132"/>
      <c r="AI31" s="228">
        <f t="shared" si="21"/>
        <v>0.54054108216432872</v>
      </c>
      <c r="AJ31" s="316">
        <f t="shared" si="22"/>
        <v>0.38893219017926733</v>
      </c>
      <c r="AK31" s="132"/>
      <c r="AL31" s="158"/>
      <c r="AM31" s="1209"/>
      <c r="AN31" s="1187"/>
      <c r="AO31" s="554"/>
      <c r="AP31" s="555" t="e">
        <f t="shared" si="23"/>
        <v>#DIV/0!</v>
      </c>
      <c r="AQ31" s="1187"/>
      <c r="AR31" s="322"/>
      <c r="AS31" s="132"/>
      <c r="AT31" s="228" t="e">
        <f t="shared" si="24"/>
        <v>#DIV/0!</v>
      </c>
      <c r="AU31" s="316" t="e">
        <f t="shared" si="25"/>
        <v>#DIV/0!</v>
      </c>
      <c r="AV31" s="132"/>
      <c r="AW31" s="158"/>
    </row>
    <row r="32" spans="2:49">
      <c r="B32" s="188">
        <v>44857</v>
      </c>
      <c r="C32" s="309">
        <v>94902</v>
      </c>
      <c r="D32" s="309">
        <v>1159</v>
      </c>
      <c r="E32" s="310">
        <v>248.63</v>
      </c>
      <c r="F32" s="308">
        <f>SUM($E$27:E32)/$C$7</f>
        <v>0.14695324699182513</v>
      </c>
      <c r="G32" s="1098">
        <f t="shared" si="14"/>
        <v>1.2212598259256918E-2</v>
      </c>
      <c r="H32" s="953">
        <v>493</v>
      </c>
      <c r="I32" s="132"/>
      <c r="J32" s="132"/>
      <c r="K32" s="293">
        <f t="shared" si="26"/>
        <v>143.43873517786562</v>
      </c>
      <c r="L32" s="73">
        <f t="shared" si="27"/>
        <v>3.4370074400661337</v>
      </c>
      <c r="M32" s="225">
        <f t="shared" si="15"/>
        <v>0.50432048681541586</v>
      </c>
      <c r="N32" s="316">
        <f t="shared" si="16"/>
        <v>0.42536669542709232</v>
      </c>
      <c r="O32" s="681">
        <v>45</v>
      </c>
      <c r="P32" s="319">
        <v>0.85</v>
      </c>
      <c r="Q32" s="1209">
        <v>4730</v>
      </c>
      <c r="R32" s="1187">
        <v>63</v>
      </c>
      <c r="S32" s="554">
        <v>12.48</v>
      </c>
      <c r="T32" s="555">
        <f t="shared" si="17"/>
        <v>1.331923890063425E-2</v>
      </c>
      <c r="U32" s="1187">
        <v>26</v>
      </c>
      <c r="V32" s="322"/>
      <c r="W32" s="132"/>
      <c r="X32" s="312">
        <f t="shared" si="18"/>
        <v>0.48000000000000004</v>
      </c>
      <c r="Y32" s="316">
        <f t="shared" si="19"/>
        <v>0.41269841269841268</v>
      </c>
      <c r="Z32" s="132"/>
      <c r="AA32" s="158"/>
      <c r="AB32" s="1209">
        <v>90172</v>
      </c>
      <c r="AC32" s="1187">
        <v>1096</v>
      </c>
      <c r="AD32" s="554">
        <v>236.15</v>
      </c>
      <c r="AE32" s="555">
        <f t="shared" si="20"/>
        <v>1.2154549083972852E-2</v>
      </c>
      <c r="AF32" s="1187">
        <v>467</v>
      </c>
      <c r="AG32" s="322"/>
      <c r="AH32" s="132"/>
      <c r="AI32" s="228">
        <f t="shared" si="21"/>
        <v>0.50567451820128484</v>
      </c>
      <c r="AJ32" s="316">
        <f t="shared" si="22"/>
        <v>0.4260948905109489</v>
      </c>
      <c r="AK32" s="132"/>
      <c r="AL32" s="158"/>
      <c r="AM32" s="1209"/>
      <c r="AN32" s="1187"/>
      <c r="AO32" s="554"/>
      <c r="AP32" s="555" t="e">
        <f t="shared" si="23"/>
        <v>#DIV/0!</v>
      </c>
      <c r="AQ32" s="1187"/>
      <c r="AR32" s="322"/>
      <c r="AS32" s="132"/>
      <c r="AT32" s="228" t="e">
        <f t="shared" si="24"/>
        <v>#DIV/0!</v>
      </c>
      <c r="AU32" s="316" t="e">
        <f t="shared" si="25"/>
        <v>#DIV/0!</v>
      </c>
      <c r="AV32" s="132"/>
      <c r="AW32" s="158"/>
    </row>
    <row r="33" spans="2:49">
      <c r="B33" s="188">
        <v>44858</v>
      </c>
      <c r="C33" s="309">
        <v>91316</v>
      </c>
      <c r="D33" s="309">
        <v>1150</v>
      </c>
      <c r="E33" s="310">
        <v>236.23</v>
      </c>
      <c r="F33" s="308">
        <f>SUM($E$27:E33)/$C$7</f>
        <v>0.16865160282906219</v>
      </c>
      <c r="G33" s="1098">
        <f t="shared" si="14"/>
        <v>1.2593630908055544E-2</v>
      </c>
      <c r="H33" s="457">
        <v>462</v>
      </c>
      <c r="I33" s="132"/>
      <c r="J33" s="132"/>
      <c r="K33" s="293">
        <f t="shared" si="26"/>
        <v>143.43873517786562</v>
      </c>
      <c r="L33" s="462">
        <f t="shared" si="27"/>
        <v>3.2208872967759712</v>
      </c>
      <c r="M33" s="225">
        <f t="shared" si="15"/>
        <v>0.51132034632034629</v>
      </c>
      <c r="N33" s="316">
        <f t="shared" si="16"/>
        <v>0.4017391304347826</v>
      </c>
      <c r="O33" s="681">
        <v>24</v>
      </c>
      <c r="P33" s="319">
        <v>0.82</v>
      </c>
      <c r="Q33" s="1207">
        <v>2229</v>
      </c>
      <c r="R33" s="1187">
        <v>33</v>
      </c>
      <c r="S33" s="554">
        <v>6.54</v>
      </c>
      <c r="T33" s="555">
        <f t="shared" si="17"/>
        <v>1.4804845222072678E-2</v>
      </c>
      <c r="U33" s="1187">
        <v>28</v>
      </c>
      <c r="V33" s="322"/>
      <c r="W33" s="132"/>
      <c r="X33" s="312">
        <f t="shared" si="18"/>
        <v>0.23357142857142857</v>
      </c>
      <c r="Y33" s="316">
        <f t="shared" si="19"/>
        <v>0.84848484848484851</v>
      </c>
      <c r="Z33" s="132"/>
      <c r="AA33" s="158"/>
      <c r="AB33" s="1207">
        <v>89087</v>
      </c>
      <c r="AC33" s="1187">
        <v>1117</v>
      </c>
      <c r="AD33" s="554">
        <v>229.69</v>
      </c>
      <c r="AE33" s="555">
        <f t="shared" si="20"/>
        <v>1.2538305252169228E-2</v>
      </c>
      <c r="AF33" s="1187">
        <v>434</v>
      </c>
      <c r="AG33" s="322"/>
      <c r="AH33" s="132"/>
      <c r="AI33" s="228">
        <f t="shared" si="21"/>
        <v>0.5292396313364055</v>
      </c>
      <c r="AJ33" s="316">
        <f t="shared" si="22"/>
        <v>0.38854073410922113</v>
      </c>
      <c r="AK33" s="132"/>
      <c r="AL33" s="158"/>
      <c r="AM33" s="1207"/>
      <c r="AN33" s="1187"/>
      <c r="AO33" s="554"/>
      <c r="AP33" s="555" t="e">
        <f t="shared" si="23"/>
        <v>#DIV/0!</v>
      </c>
      <c r="AQ33" s="1187"/>
      <c r="AR33" s="322"/>
      <c r="AS33" s="132"/>
      <c r="AT33" s="228" t="e">
        <f t="shared" si="24"/>
        <v>#DIV/0!</v>
      </c>
      <c r="AU33" s="316" t="e">
        <f t="shared" si="25"/>
        <v>#DIV/0!</v>
      </c>
      <c r="AV33" s="132"/>
      <c r="AW33" s="158"/>
    </row>
    <row r="34" spans="2:49">
      <c r="B34" s="190" t="s">
        <v>160</v>
      </c>
      <c r="C34" s="298">
        <f>SUM(C27:C33)</f>
        <v>628195</v>
      </c>
      <c r="D34" s="298">
        <f t="shared" ref="D34:E34" si="28">SUM(D27:D33)</f>
        <v>8712</v>
      </c>
      <c r="E34" s="479">
        <f t="shared" si="28"/>
        <v>1836.1100000000001</v>
      </c>
      <c r="F34" s="599">
        <f>E34/$C$7</f>
        <v>0.16865160282906219</v>
      </c>
      <c r="G34" s="550">
        <f t="shared" si="14"/>
        <v>1.3868305223696463E-2</v>
      </c>
      <c r="H34" s="121">
        <f>SUM(H27:H33)</f>
        <v>4123</v>
      </c>
      <c r="I34" s="27"/>
      <c r="J34" s="27"/>
      <c r="K34" s="27">
        <f>SUM(K27:K33)</f>
        <v>1004.0711462450594</v>
      </c>
      <c r="L34" s="140">
        <f>H34/K34</f>
        <v>4.1062827225130887</v>
      </c>
      <c r="M34" s="237">
        <f t="shared" si="15"/>
        <v>0.44533349502789232</v>
      </c>
      <c r="N34" s="317">
        <f t="shared" si="16"/>
        <v>0.4732552800734619</v>
      </c>
      <c r="O34" s="682">
        <f>AVERAGE(O27:O33)</f>
        <v>43.785714285714285</v>
      </c>
      <c r="P34" s="317">
        <f>AVERAGE(P27:P33)</f>
        <v>0.73497549464512613</v>
      </c>
      <c r="Q34" s="164">
        <f>SUM(Q27:Q33)</f>
        <v>59663</v>
      </c>
      <c r="R34" s="298">
        <f t="shared" ref="R34:U34" si="29">SUM(R27:R33)</f>
        <v>737</v>
      </c>
      <c r="S34" s="479">
        <f t="shared" si="29"/>
        <v>163.58999999999997</v>
      </c>
      <c r="T34" s="1180">
        <f t="shared" si="17"/>
        <v>1.2352714412617535E-2</v>
      </c>
      <c r="U34" s="551">
        <f t="shared" si="29"/>
        <v>317</v>
      </c>
      <c r="V34" s="27"/>
      <c r="W34" s="27"/>
      <c r="X34" s="227">
        <f t="shared" si="18"/>
        <v>0.51605678233438479</v>
      </c>
      <c r="Y34" s="147">
        <f t="shared" si="19"/>
        <v>0.43012211668928085</v>
      </c>
      <c r="Z34" s="130"/>
      <c r="AA34" s="165"/>
      <c r="AB34" s="164">
        <f>SUM(AB27:AB33)</f>
        <v>568532</v>
      </c>
      <c r="AC34" s="298">
        <f t="shared" ref="AC34:AD34" si="30">SUM(AC27:AC33)</f>
        <v>7975</v>
      </c>
      <c r="AD34" s="479">
        <f t="shared" si="30"/>
        <v>1672.5200000000002</v>
      </c>
      <c r="AE34" s="1180">
        <f t="shared" si="20"/>
        <v>1.4027354660775471E-2</v>
      </c>
      <c r="AF34" s="551">
        <f t="shared" ref="AF34" si="31">SUM(AF27:AF33)</f>
        <v>3806</v>
      </c>
      <c r="AG34" s="27"/>
      <c r="AH34" s="27"/>
      <c r="AI34" s="227">
        <f t="shared" si="21"/>
        <v>0.43944298476090388</v>
      </c>
      <c r="AJ34" s="147">
        <f t="shared" si="22"/>
        <v>0.47724137931034483</v>
      </c>
      <c r="AK34" s="130"/>
      <c r="AL34" s="165"/>
      <c r="AM34" s="164">
        <f>SUM(AM27:AM33)</f>
        <v>0</v>
      </c>
      <c r="AN34" s="298">
        <f t="shared" ref="AN34:AO34" si="32">SUM(AN27:AN33)</f>
        <v>0</v>
      </c>
      <c r="AO34" s="479">
        <f t="shared" si="32"/>
        <v>0</v>
      </c>
      <c r="AP34" s="1180" t="e">
        <f t="shared" si="23"/>
        <v>#DIV/0!</v>
      </c>
      <c r="AQ34" s="551">
        <f t="shared" ref="AQ34" si="33">SUM(AQ27:AQ33)</f>
        <v>0</v>
      </c>
      <c r="AR34" s="27"/>
      <c r="AS34" s="27"/>
      <c r="AT34" s="227" t="e">
        <f t="shared" si="24"/>
        <v>#DIV/0!</v>
      </c>
      <c r="AU34" s="147" t="e">
        <f t="shared" si="25"/>
        <v>#DIV/0!</v>
      </c>
      <c r="AV34" s="130"/>
      <c r="AW34" s="165"/>
    </row>
    <row r="35" spans="2:49">
      <c r="B35" s="187">
        <v>44859</v>
      </c>
      <c r="C35" s="15">
        <v>71748</v>
      </c>
      <c r="D35" s="15">
        <v>1102</v>
      </c>
      <c r="E35" s="77">
        <v>238</v>
      </c>
      <c r="F35" s="308">
        <f>SUM($E$34:E35)/$C$7</f>
        <v>0.1905125378892257</v>
      </c>
      <c r="G35" s="1098">
        <f t="shared" si="14"/>
        <v>1.5359313151586108E-2</v>
      </c>
      <c r="H35" s="143">
        <v>391</v>
      </c>
      <c r="I35" s="52"/>
      <c r="J35" s="52"/>
      <c r="K35" s="293">
        <f t="shared" si="26"/>
        <v>143.43873517786562</v>
      </c>
      <c r="L35" s="455">
        <f>H35/K35</f>
        <v>2.7259024524662441</v>
      </c>
      <c r="M35" s="225">
        <f t="shared" si="15"/>
        <v>0.60869565217391308</v>
      </c>
      <c r="N35" s="560">
        <f t="shared" si="16"/>
        <v>0.35480943738656989</v>
      </c>
      <c r="O35" s="683">
        <v>52</v>
      </c>
      <c r="P35" s="458">
        <v>0.8</v>
      </c>
      <c r="Q35" s="166">
        <v>3817</v>
      </c>
      <c r="R35" s="15">
        <v>59</v>
      </c>
      <c r="S35" s="77">
        <v>10.78</v>
      </c>
      <c r="T35" s="555">
        <f t="shared" si="17"/>
        <v>1.5457165313073094E-2</v>
      </c>
      <c r="U35" s="1178">
        <v>26</v>
      </c>
      <c r="V35" s="132"/>
      <c r="W35" s="132"/>
      <c r="X35" s="312">
        <f t="shared" si="18"/>
        <v>0.41461538461538461</v>
      </c>
      <c r="Y35" s="316">
        <f t="shared" si="19"/>
        <v>0.44067796610169491</v>
      </c>
      <c r="Z35" s="122"/>
      <c r="AA35" s="167"/>
      <c r="AB35" s="166">
        <v>67931</v>
      </c>
      <c r="AC35" s="15">
        <v>1043</v>
      </c>
      <c r="AD35" s="77">
        <v>227.22</v>
      </c>
      <c r="AE35" s="555">
        <f t="shared" si="20"/>
        <v>1.5353814900413655E-2</v>
      </c>
      <c r="AF35" s="1178">
        <v>365</v>
      </c>
      <c r="AG35" s="132"/>
      <c r="AH35" s="132"/>
      <c r="AI35" s="228">
        <f t="shared" si="21"/>
        <v>0.6225205479452055</v>
      </c>
      <c r="AJ35" s="316">
        <f t="shared" si="22"/>
        <v>0.34995206136145734</v>
      </c>
      <c r="AK35" s="122"/>
      <c r="AL35" s="167"/>
      <c r="AM35" s="166"/>
      <c r="AN35" s="15"/>
      <c r="AO35" s="562"/>
      <c r="AP35" s="555" t="e">
        <f t="shared" si="23"/>
        <v>#DIV/0!</v>
      </c>
      <c r="AQ35" s="1195"/>
      <c r="AR35" s="132"/>
      <c r="AS35" s="132"/>
      <c r="AT35" s="228" t="e">
        <f t="shared" si="24"/>
        <v>#DIV/0!</v>
      </c>
      <c r="AU35" s="316" t="e">
        <f t="shared" si="25"/>
        <v>#DIV/0!</v>
      </c>
      <c r="AV35" s="122"/>
      <c r="AW35" s="167"/>
    </row>
    <row r="36" spans="2:49" s="24" customFormat="1">
      <c r="B36" s="187">
        <v>44860</v>
      </c>
      <c r="C36" s="15">
        <v>71194</v>
      </c>
      <c r="D36" s="15">
        <v>1109</v>
      </c>
      <c r="E36" s="77">
        <v>246.34</v>
      </c>
      <c r="F36" s="308">
        <f>SUM($E$34:E36)/$C$7</f>
        <v>0.21313952420317814</v>
      </c>
      <c r="G36" s="1098">
        <f t="shared" si="14"/>
        <v>1.5577155378262214E-2</v>
      </c>
      <c r="H36" s="143">
        <v>356</v>
      </c>
      <c r="I36" s="52"/>
      <c r="J36" s="52"/>
      <c r="K36" s="293">
        <f t="shared" si="26"/>
        <v>143.43873517786562</v>
      </c>
      <c r="L36" s="463">
        <f t="shared" ref="L36:L41" si="34">H36/K36</f>
        <v>2.481895839074125</v>
      </c>
      <c r="M36" s="225">
        <f t="shared" si="15"/>
        <v>0.69196629213483152</v>
      </c>
      <c r="N36" s="308">
        <f t="shared" si="16"/>
        <v>0.32100991884580704</v>
      </c>
      <c r="O36" s="684">
        <v>20.703747225486357</v>
      </c>
      <c r="P36" s="392">
        <v>0.80558819689254468</v>
      </c>
      <c r="Q36" s="166">
        <v>3512</v>
      </c>
      <c r="R36" s="15">
        <v>49</v>
      </c>
      <c r="S36" s="77">
        <v>10.48</v>
      </c>
      <c r="T36" s="555">
        <f t="shared" si="17"/>
        <v>1.3952164009111617E-2</v>
      </c>
      <c r="U36" s="1178">
        <v>23</v>
      </c>
      <c r="V36" s="132"/>
      <c r="W36" s="132"/>
      <c r="X36" s="312">
        <f t="shared" si="18"/>
        <v>0.45565217391304352</v>
      </c>
      <c r="Y36" s="316">
        <f t="shared" si="19"/>
        <v>0.46938775510204084</v>
      </c>
      <c r="Z36" s="123"/>
      <c r="AA36" s="168"/>
      <c r="AB36" s="166">
        <v>67682</v>
      </c>
      <c r="AC36" s="15">
        <v>1060</v>
      </c>
      <c r="AD36" s="77">
        <v>235.86</v>
      </c>
      <c r="AE36" s="555">
        <f t="shared" si="20"/>
        <v>1.5661475724712628E-2</v>
      </c>
      <c r="AF36" s="1178">
        <v>333</v>
      </c>
      <c r="AG36" s="132"/>
      <c r="AH36" s="132"/>
      <c r="AI36" s="228">
        <f t="shared" si="21"/>
        <v>0.70828828828828838</v>
      </c>
      <c r="AJ36" s="316">
        <f t="shared" si="22"/>
        <v>0.3141509433962264</v>
      </c>
      <c r="AK36" s="123"/>
      <c r="AL36" s="168"/>
      <c r="AM36" s="166"/>
      <c r="AN36" s="15"/>
      <c r="AO36" s="563"/>
      <c r="AP36" s="555" t="e">
        <f t="shared" si="23"/>
        <v>#DIV/0!</v>
      </c>
      <c r="AQ36" s="1195"/>
      <c r="AR36" s="132"/>
      <c r="AS36" s="132"/>
      <c r="AT36" s="228" t="e">
        <f t="shared" si="24"/>
        <v>#DIV/0!</v>
      </c>
      <c r="AU36" s="316" t="e">
        <f t="shared" si="25"/>
        <v>#DIV/0!</v>
      </c>
      <c r="AV36" s="123"/>
      <c r="AW36" s="168"/>
    </row>
    <row r="37" spans="2:49" s="26" customFormat="1">
      <c r="B37" s="187">
        <v>44861</v>
      </c>
      <c r="C37" s="15">
        <v>63151</v>
      </c>
      <c r="D37" s="15">
        <v>1022</v>
      </c>
      <c r="E37" s="77">
        <v>231.35</v>
      </c>
      <c r="F37" s="308">
        <f>SUM($E$34:E37)/$C$7</f>
        <v>0.23438963901901352</v>
      </c>
      <c r="G37" s="1098">
        <f t="shared" si="14"/>
        <v>1.6183433358141597E-2</v>
      </c>
      <c r="H37" s="143">
        <v>235</v>
      </c>
      <c r="I37" s="52"/>
      <c r="J37" s="52"/>
      <c r="K37" s="293">
        <f t="shared" si="26"/>
        <v>143.43873517786562</v>
      </c>
      <c r="L37" s="139">
        <f t="shared" si="34"/>
        <v>1.6383301184899419</v>
      </c>
      <c r="M37" s="225">
        <f t="shared" si="15"/>
        <v>0.98446808510638295</v>
      </c>
      <c r="N37" s="308">
        <f t="shared" si="16"/>
        <v>0.22994129158512719</v>
      </c>
      <c r="O37" s="684">
        <v>44.63604651162791</v>
      </c>
      <c r="P37" s="392">
        <v>0.79651162790697683</v>
      </c>
      <c r="Q37" s="166">
        <v>1341</v>
      </c>
      <c r="R37" s="15">
        <v>28</v>
      </c>
      <c r="S37" s="77">
        <v>5.35</v>
      </c>
      <c r="T37" s="555">
        <f t="shared" si="17"/>
        <v>2.0879940343027592E-2</v>
      </c>
      <c r="U37" s="1178">
        <v>20</v>
      </c>
      <c r="V37" s="132"/>
      <c r="W37" s="132"/>
      <c r="X37" s="312">
        <f t="shared" si="18"/>
        <v>0.26749999999999996</v>
      </c>
      <c r="Y37" s="316">
        <f t="shared" si="19"/>
        <v>0.7142857142857143</v>
      </c>
      <c r="Z37" s="124"/>
      <c r="AA37" s="169"/>
      <c r="AB37" s="166">
        <v>61810</v>
      </c>
      <c r="AC37" s="15">
        <v>994</v>
      </c>
      <c r="AD37" s="77">
        <v>226</v>
      </c>
      <c r="AE37" s="555">
        <f t="shared" si="20"/>
        <v>1.6081540203850511E-2</v>
      </c>
      <c r="AF37" s="1178">
        <v>215</v>
      </c>
      <c r="AG37" s="132"/>
      <c r="AH37" s="132"/>
      <c r="AI37" s="228">
        <f t="shared" si="21"/>
        <v>1.0511627906976744</v>
      </c>
      <c r="AJ37" s="316">
        <f t="shared" si="22"/>
        <v>0.21629778672032193</v>
      </c>
      <c r="AK37" s="124"/>
      <c r="AL37" s="169"/>
      <c r="AM37" s="166"/>
      <c r="AN37" s="15"/>
      <c r="AO37" s="77"/>
      <c r="AP37" s="555" t="e">
        <f t="shared" si="23"/>
        <v>#DIV/0!</v>
      </c>
      <c r="AQ37" s="1195"/>
      <c r="AR37" s="132"/>
      <c r="AS37" s="132"/>
      <c r="AT37" s="228" t="e">
        <f t="shared" si="24"/>
        <v>#DIV/0!</v>
      </c>
      <c r="AU37" s="316" t="e">
        <f t="shared" si="25"/>
        <v>#DIV/0!</v>
      </c>
      <c r="AV37" s="124"/>
      <c r="AW37" s="169"/>
    </row>
    <row r="38" spans="2:49">
      <c r="B38" s="189">
        <v>44862</v>
      </c>
      <c r="C38" s="15">
        <v>85213</v>
      </c>
      <c r="D38" s="15">
        <v>1147</v>
      </c>
      <c r="E38" s="77">
        <v>314.19</v>
      </c>
      <c r="F38" s="308">
        <f>SUM($E$34:E38)/$C$7</f>
        <v>0.26324882887847895</v>
      </c>
      <c r="G38" s="1098">
        <f t="shared" si="14"/>
        <v>1.3460387499559927E-2</v>
      </c>
      <c r="H38" s="143">
        <v>291</v>
      </c>
      <c r="I38" s="52"/>
      <c r="J38" s="52"/>
      <c r="K38" s="293">
        <f t="shared" si="26"/>
        <v>143.43873517786562</v>
      </c>
      <c r="L38" s="139">
        <f t="shared" si="34"/>
        <v>2.0287406999173325</v>
      </c>
      <c r="M38" s="225">
        <f t="shared" si="15"/>
        <v>1.0796907216494844</v>
      </c>
      <c r="N38" s="308">
        <f t="shared" si="16"/>
        <v>0.25370531822144726</v>
      </c>
      <c r="O38" s="684">
        <v>29.981549815498155</v>
      </c>
      <c r="P38" s="392">
        <v>0.8384686346863468</v>
      </c>
      <c r="Q38" s="166">
        <v>2065</v>
      </c>
      <c r="R38" s="15">
        <v>24</v>
      </c>
      <c r="S38" s="77">
        <v>7.53</v>
      </c>
      <c r="T38" s="555">
        <f t="shared" si="17"/>
        <v>1.1622276029055689E-2</v>
      </c>
      <c r="U38" s="1178">
        <v>20</v>
      </c>
      <c r="V38" s="132"/>
      <c r="W38" s="132"/>
      <c r="X38" s="312">
        <f t="shared" si="18"/>
        <v>0.3765</v>
      </c>
      <c r="Y38" s="316">
        <f t="shared" si="19"/>
        <v>0.83333333333333337</v>
      </c>
      <c r="Z38" s="125"/>
      <c r="AA38" s="170"/>
      <c r="AB38" s="166">
        <v>83148</v>
      </c>
      <c r="AC38" s="15">
        <v>1123</v>
      </c>
      <c r="AD38" s="77">
        <v>306.66000000000003</v>
      </c>
      <c r="AE38" s="555">
        <f t="shared" si="20"/>
        <v>1.3506037427238177E-2</v>
      </c>
      <c r="AF38" s="1178">
        <v>271</v>
      </c>
      <c r="AG38" s="132"/>
      <c r="AH38" s="132"/>
      <c r="AI38" s="228">
        <f t="shared" si="21"/>
        <v>1.1315867158671589</v>
      </c>
      <c r="AJ38" s="316">
        <f t="shared" si="22"/>
        <v>0.2413178984861977</v>
      </c>
      <c r="AK38" s="125"/>
      <c r="AL38" s="170"/>
      <c r="AM38" s="166"/>
      <c r="AN38" s="15"/>
      <c r="AO38" s="77"/>
      <c r="AP38" s="555" t="e">
        <f t="shared" si="23"/>
        <v>#DIV/0!</v>
      </c>
      <c r="AQ38" s="1195"/>
      <c r="AR38" s="132"/>
      <c r="AS38" s="132"/>
      <c r="AT38" s="228" t="e">
        <f t="shared" si="24"/>
        <v>#DIV/0!</v>
      </c>
      <c r="AU38" s="316" t="e">
        <f t="shared" si="25"/>
        <v>#DIV/0!</v>
      </c>
      <c r="AV38" s="125"/>
      <c r="AW38" s="170"/>
    </row>
    <row r="39" spans="2:49">
      <c r="B39" s="189">
        <v>44863</v>
      </c>
      <c r="C39" s="15">
        <v>86341</v>
      </c>
      <c r="D39" s="15">
        <v>1503</v>
      </c>
      <c r="E39" s="77">
        <v>312.25</v>
      </c>
      <c r="F39" s="308">
        <f>SUM($E$34:E39)/$C$7</f>
        <v>0.29192982456140354</v>
      </c>
      <c r="G39" s="1098">
        <f t="shared" si="14"/>
        <v>1.7407720549912555E-2</v>
      </c>
      <c r="H39" s="143">
        <v>288</v>
      </c>
      <c r="I39" s="52"/>
      <c r="J39" s="52"/>
      <c r="K39" s="293">
        <f t="shared" si="26"/>
        <v>143.43873517786562</v>
      </c>
      <c r="L39" s="139">
        <f t="shared" si="34"/>
        <v>2.007825847340865</v>
      </c>
      <c r="M39" s="225">
        <f t="shared" si="15"/>
        <v>1.0842013888888888</v>
      </c>
      <c r="N39" s="308">
        <f t="shared" si="16"/>
        <v>0.19161676646706588</v>
      </c>
      <c r="O39" s="684">
        <v>30.703527481542249</v>
      </c>
      <c r="P39" s="392">
        <v>0.85274815422477435</v>
      </c>
      <c r="Q39" s="166">
        <v>1713</v>
      </c>
      <c r="R39" s="15">
        <v>32</v>
      </c>
      <c r="S39" s="77">
        <v>6.71</v>
      </c>
      <c r="T39" s="555">
        <f t="shared" si="17"/>
        <v>1.8680677174547577E-2</v>
      </c>
      <c r="U39" s="1178">
        <v>23</v>
      </c>
      <c r="V39" s="132"/>
      <c r="W39" s="132"/>
      <c r="X39" s="312">
        <f t="shared" si="18"/>
        <v>0.29173913043478261</v>
      </c>
      <c r="Y39" s="316">
        <f t="shared" si="19"/>
        <v>0.71875</v>
      </c>
      <c r="Z39" s="125"/>
      <c r="AA39" s="170"/>
      <c r="AB39" s="166">
        <v>84628</v>
      </c>
      <c r="AC39" s="15">
        <v>1471</v>
      </c>
      <c r="AD39" s="77">
        <v>305.54000000000002</v>
      </c>
      <c r="AE39" s="555">
        <f t="shared" si="20"/>
        <v>1.7381953963227302E-2</v>
      </c>
      <c r="AF39" s="1178">
        <v>265</v>
      </c>
      <c r="AG39" s="132"/>
      <c r="AH39" s="132"/>
      <c r="AI39" s="228">
        <f t="shared" si="21"/>
        <v>1.1529811320754717</v>
      </c>
      <c r="AJ39" s="316">
        <f t="shared" si="22"/>
        <v>0.18014955812372535</v>
      </c>
      <c r="AK39" s="125"/>
      <c r="AL39" s="170"/>
      <c r="AM39" s="166"/>
      <c r="AN39" s="15"/>
      <c r="AO39" s="564"/>
      <c r="AP39" s="555" t="e">
        <f t="shared" si="23"/>
        <v>#DIV/0!</v>
      </c>
      <c r="AQ39" s="1195"/>
      <c r="AR39" s="132"/>
      <c r="AS39" s="132"/>
      <c r="AT39" s="228" t="e">
        <f t="shared" si="24"/>
        <v>#DIV/0!</v>
      </c>
      <c r="AU39" s="316" t="e">
        <f t="shared" si="25"/>
        <v>#DIV/0!</v>
      </c>
      <c r="AV39" s="125"/>
      <c r="AW39" s="170"/>
    </row>
    <row r="40" spans="2:49">
      <c r="B40" s="187">
        <v>44864</v>
      </c>
      <c r="C40" s="15">
        <v>67635</v>
      </c>
      <c r="D40" s="15">
        <v>1355</v>
      </c>
      <c r="E40" s="77">
        <v>248.77</v>
      </c>
      <c r="F40" s="308">
        <f>SUM($E$34:E40)/$C$7</f>
        <v>0.31478001285937357</v>
      </c>
      <c r="G40" s="1098">
        <f t="shared" si="14"/>
        <v>2.0034006061950174E-2</v>
      </c>
      <c r="H40" s="143">
        <v>259</v>
      </c>
      <c r="I40" s="52"/>
      <c r="J40" s="52"/>
      <c r="K40" s="293">
        <f t="shared" si="26"/>
        <v>143.43873517786562</v>
      </c>
      <c r="L40" s="139">
        <f t="shared" si="34"/>
        <v>1.8056489391016808</v>
      </c>
      <c r="M40" s="225">
        <f t="shared" si="15"/>
        <v>0.96050193050193056</v>
      </c>
      <c r="N40" s="308">
        <f t="shared" si="16"/>
        <v>0.19114391143911438</v>
      </c>
      <c r="O40" s="684">
        <v>15.516597510373444</v>
      </c>
      <c r="P40" s="392">
        <v>0.83944213923467037</v>
      </c>
      <c r="Q40" s="166">
        <v>1149</v>
      </c>
      <c r="R40" s="15">
        <v>26</v>
      </c>
      <c r="S40" s="77">
        <v>5.16</v>
      </c>
      <c r="T40" s="555">
        <f t="shared" si="17"/>
        <v>2.2628372497824196E-2</v>
      </c>
      <c r="U40" s="1178">
        <v>18</v>
      </c>
      <c r="V40" s="132"/>
      <c r="W40" s="132"/>
      <c r="X40" s="312">
        <f t="shared" si="18"/>
        <v>0.28666666666666668</v>
      </c>
      <c r="Y40" s="316">
        <f t="shared" si="19"/>
        <v>0.69230769230769229</v>
      </c>
      <c r="Z40" s="125"/>
      <c r="AA40" s="170"/>
      <c r="AB40" s="166">
        <v>66486</v>
      </c>
      <c r="AC40" s="15">
        <v>1329</v>
      </c>
      <c r="AD40" s="77">
        <v>243.61</v>
      </c>
      <c r="AE40" s="555">
        <f t="shared" si="20"/>
        <v>1.9989170652468188E-2</v>
      </c>
      <c r="AF40" s="1178">
        <v>241</v>
      </c>
      <c r="AG40" s="132"/>
      <c r="AH40" s="132"/>
      <c r="AI40" s="228">
        <f t="shared" si="21"/>
        <v>1.0108298755186722</v>
      </c>
      <c r="AJ40" s="316">
        <f t="shared" si="22"/>
        <v>0.18133935289691497</v>
      </c>
      <c r="AK40" s="125"/>
      <c r="AL40" s="170"/>
      <c r="AM40" s="166"/>
      <c r="AN40" s="15"/>
      <c r="AO40" s="338"/>
      <c r="AP40" s="555" t="e">
        <f t="shared" si="23"/>
        <v>#DIV/0!</v>
      </c>
      <c r="AQ40" s="1195"/>
      <c r="AR40" s="132"/>
      <c r="AS40" s="132"/>
      <c r="AT40" s="228" t="e">
        <f t="shared" si="24"/>
        <v>#DIV/0!</v>
      </c>
      <c r="AU40" s="316" t="e">
        <f t="shared" si="25"/>
        <v>#DIV/0!</v>
      </c>
      <c r="AV40" s="125"/>
      <c r="AW40" s="170"/>
    </row>
    <row r="41" spans="2:49">
      <c r="B41" s="187">
        <v>44865</v>
      </c>
      <c r="C41" s="15">
        <v>64772</v>
      </c>
      <c r="D41" s="15">
        <v>1224</v>
      </c>
      <c r="E41" s="77">
        <v>239.99</v>
      </c>
      <c r="F41" s="308">
        <f>SUM($E$34:E41)/$C$7</f>
        <v>0.3368237347294939</v>
      </c>
      <c r="G41" s="1098">
        <f t="shared" si="14"/>
        <v>1.8897054282714754E-2</v>
      </c>
      <c r="H41" s="143">
        <v>191</v>
      </c>
      <c r="I41" s="52"/>
      <c r="J41" s="52"/>
      <c r="K41" s="293">
        <f t="shared" si="26"/>
        <v>143.43873517786562</v>
      </c>
      <c r="L41" s="139">
        <f t="shared" si="34"/>
        <v>1.331578947368421</v>
      </c>
      <c r="M41" s="225">
        <f t="shared" si="15"/>
        <v>1.2564921465968586</v>
      </c>
      <c r="N41" s="308">
        <f t="shared" si="16"/>
        <v>0.15604575163398693</v>
      </c>
      <c r="O41" s="684">
        <v>14.729651162790697</v>
      </c>
      <c r="P41" s="392">
        <v>0.85174418604651159</v>
      </c>
      <c r="Q41" s="166">
        <v>1228</v>
      </c>
      <c r="R41" s="15">
        <v>20</v>
      </c>
      <c r="S41" s="77">
        <v>4.8099999999999996</v>
      </c>
      <c r="T41" s="555">
        <f t="shared" si="17"/>
        <v>1.6286644951140065E-2</v>
      </c>
      <c r="U41" s="1178">
        <v>19</v>
      </c>
      <c r="V41" s="132"/>
      <c r="W41" s="132"/>
      <c r="X41" s="312">
        <f t="shared" si="18"/>
        <v>0.25315789473684208</v>
      </c>
      <c r="Y41" s="560">
        <f t="shared" si="19"/>
        <v>0.95</v>
      </c>
      <c r="Z41" s="125"/>
      <c r="AA41" s="170"/>
      <c r="AB41" s="166">
        <v>63544</v>
      </c>
      <c r="AC41" s="15">
        <v>1204</v>
      </c>
      <c r="AD41" s="77">
        <v>235.18</v>
      </c>
      <c r="AE41" s="555">
        <f t="shared" si="20"/>
        <v>1.8947500944227622E-2</v>
      </c>
      <c r="AF41" s="1178">
        <v>172</v>
      </c>
      <c r="AG41" s="132"/>
      <c r="AH41" s="132"/>
      <c r="AI41" s="976">
        <f t="shared" si="21"/>
        <v>1.3673255813953489</v>
      </c>
      <c r="AJ41" s="560">
        <f t="shared" si="22"/>
        <v>0.14285714285714285</v>
      </c>
      <c r="AK41" s="125"/>
      <c r="AL41" s="170"/>
      <c r="AM41" s="166"/>
      <c r="AN41" s="15"/>
      <c r="AO41" s="77"/>
      <c r="AP41" s="555" t="e">
        <f t="shared" si="23"/>
        <v>#DIV/0!</v>
      </c>
      <c r="AQ41" s="1195"/>
      <c r="AR41" s="132"/>
      <c r="AS41" s="132"/>
      <c r="AT41" s="976" t="e">
        <f t="shared" si="24"/>
        <v>#DIV/0!</v>
      </c>
      <c r="AU41" s="560" t="e">
        <f t="shared" si="25"/>
        <v>#DIV/0!</v>
      </c>
      <c r="AV41" s="125"/>
      <c r="AW41" s="170"/>
    </row>
    <row r="42" spans="2:49">
      <c r="B42" s="190" t="s">
        <v>160</v>
      </c>
      <c r="C42" s="298">
        <f>SUM(C35:C41)</f>
        <v>510054</v>
      </c>
      <c r="D42" s="298">
        <f t="shared" ref="D42:E42" si="35">SUM(D35:D41)</f>
        <v>8462</v>
      </c>
      <c r="E42" s="479">
        <f t="shared" si="35"/>
        <v>1830.89</v>
      </c>
      <c r="F42" s="599">
        <f>SUM($E$34,E42)/C$7</f>
        <v>0.3368237347294939</v>
      </c>
      <c r="G42" s="550">
        <f t="shared" si="14"/>
        <v>1.6590400232132284E-2</v>
      </c>
      <c r="H42" s="121">
        <f>SUM(H35:H41)</f>
        <v>2011</v>
      </c>
      <c r="I42" s="27"/>
      <c r="J42" s="27"/>
      <c r="K42" s="27">
        <f>SUM(K35:K41)</f>
        <v>1004.0711462450594</v>
      </c>
      <c r="L42" s="140">
        <f>H42/K42</f>
        <v>2.0028461205369443</v>
      </c>
      <c r="M42" s="227">
        <f t="shared" si="15"/>
        <v>0.91043759323719542</v>
      </c>
      <c r="N42" s="437">
        <f t="shared" si="16"/>
        <v>0.23765067359962183</v>
      </c>
      <c r="O42" s="685">
        <f>AVERAGE(O35:O41)</f>
        <v>29.75301710104554</v>
      </c>
      <c r="P42" s="566">
        <f>AVERAGE(P35:P41)</f>
        <v>0.82635756271311778</v>
      </c>
      <c r="Q42" s="164">
        <f>SUM(Q35:Q41)</f>
        <v>14825</v>
      </c>
      <c r="R42" s="27">
        <f t="shared" ref="R42:U42" si="36">SUM(R35:R41)</f>
        <v>238</v>
      </c>
      <c r="S42" s="598">
        <f t="shared" si="36"/>
        <v>50.820000000000007</v>
      </c>
      <c r="T42" s="1180">
        <f t="shared" si="17"/>
        <v>1.60539629005059E-2</v>
      </c>
      <c r="U42" s="379">
        <f t="shared" si="36"/>
        <v>149</v>
      </c>
      <c r="V42" s="376"/>
      <c r="W42" s="376"/>
      <c r="X42" s="548">
        <f t="shared" si="18"/>
        <v>0.34107382550335574</v>
      </c>
      <c r="Y42" s="900">
        <f t="shared" si="19"/>
        <v>0.62605042016806722</v>
      </c>
      <c r="Z42" s="130"/>
      <c r="AA42" s="165"/>
      <c r="AB42" s="164">
        <f>SUM(AB35:AB41)</f>
        <v>495229</v>
      </c>
      <c r="AC42" s="27">
        <f t="shared" ref="AC42:AD42" si="37">SUM(AC35:AC41)</f>
        <v>8224</v>
      </c>
      <c r="AD42" s="74">
        <f t="shared" si="37"/>
        <v>1780.07</v>
      </c>
      <c r="AE42" s="1180">
        <f t="shared" si="20"/>
        <v>1.6606458830157361E-2</v>
      </c>
      <c r="AF42" s="379">
        <f t="shared" ref="AF42" si="38">SUM(AF35:AF41)</f>
        <v>1862</v>
      </c>
      <c r="AG42" s="376"/>
      <c r="AH42" s="1190"/>
      <c r="AI42" s="899">
        <f t="shared" si="21"/>
        <v>0.95599892588614388</v>
      </c>
      <c r="AJ42" s="900">
        <f t="shared" si="22"/>
        <v>0.22641050583657588</v>
      </c>
      <c r="AK42" s="130"/>
      <c r="AL42" s="165"/>
      <c r="AM42" s="164">
        <f>SUM(AM35:AM41)</f>
        <v>0</v>
      </c>
      <c r="AN42" s="27">
        <f t="shared" ref="AN42:AO42" si="39">SUM(AN35:AN41)</f>
        <v>0</v>
      </c>
      <c r="AO42" s="74">
        <f t="shared" si="39"/>
        <v>0</v>
      </c>
      <c r="AP42" s="1180" t="e">
        <f t="shared" si="23"/>
        <v>#DIV/0!</v>
      </c>
      <c r="AQ42" s="379">
        <f t="shared" ref="AQ42" si="40">SUM(AQ35:AQ41)</f>
        <v>0</v>
      </c>
      <c r="AR42" s="376"/>
      <c r="AS42" s="1190"/>
      <c r="AT42" s="899" t="e">
        <f t="shared" si="24"/>
        <v>#DIV/0!</v>
      </c>
      <c r="AU42" s="900" t="e">
        <f t="shared" si="25"/>
        <v>#DIV/0!</v>
      </c>
      <c r="AV42" s="126"/>
      <c r="AW42" s="171"/>
    </row>
    <row r="43" spans="2:49">
      <c r="B43" s="187">
        <v>44866</v>
      </c>
      <c r="C43" s="15">
        <v>73020</v>
      </c>
      <c r="D43" s="15">
        <v>1145</v>
      </c>
      <c r="E43" s="77">
        <v>222.91</v>
      </c>
      <c r="F43" s="73">
        <f>SUM($E$34,$E$42:E43)/$C$7</f>
        <v>0.35729861302470833</v>
      </c>
      <c r="G43" s="1098">
        <f t="shared" si="14"/>
        <v>1.5680635442344562E-2</v>
      </c>
      <c r="H43" s="143">
        <v>188</v>
      </c>
      <c r="I43" s="52"/>
      <c r="J43" s="52"/>
      <c r="K43" s="293">
        <f t="shared" si="26"/>
        <v>143.43873517786562</v>
      </c>
      <c r="L43" s="455">
        <f>H43/K43</f>
        <v>1.3106640947919537</v>
      </c>
      <c r="M43" s="225">
        <f t="shared" si="15"/>
        <v>1.1856914893617021</v>
      </c>
      <c r="N43" s="308">
        <f t="shared" si="16"/>
        <v>0.16419213973799127</v>
      </c>
      <c r="O43" s="684">
        <v>11.44564417177914</v>
      </c>
      <c r="P43" s="392">
        <v>0.80957055214723928</v>
      </c>
      <c r="Q43" s="166">
        <v>1734</v>
      </c>
      <c r="R43" s="15">
        <v>36</v>
      </c>
      <c r="S43" s="642">
        <v>6.57</v>
      </c>
      <c r="T43" s="555">
        <f t="shared" si="17"/>
        <v>2.0761245674740483E-2</v>
      </c>
      <c r="U43" s="565">
        <v>25</v>
      </c>
      <c r="V43" s="553"/>
      <c r="W43" s="553"/>
      <c r="X43" s="644">
        <f t="shared" si="18"/>
        <v>0.26280000000000003</v>
      </c>
      <c r="Y43" s="316">
        <f t="shared" si="19"/>
        <v>0.69444444444444442</v>
      </c>
      <c r="Z43" s="125"/>
      <c r="AA43" s="170"/>
      <c r="AB43" s="166">
        <v>71286</v>
      </c>
      <c r="AC43" s="15">
        <v>1109</v>
      </c>
      <c r="AD43" s="77">
        <v>216.34</v>
      </c>
      <c r="AE43" s="555">
        <f t="shared" si="20"/>
        <v>1.5557051875543584E-2</v>
      </c>
      <c r="AF43" s="902">
        <v>163</v>
      </c>
      <c r="AG43" s="553"/>
      <c r="AH43" s="553"/>
      <c r="AI43" s="228">
        <f t="shared" si="21"/>
        <v>1.327239263803681</v>
      </c>
      <c r="AJ43" s="316">
        <f t="shared" si="22"/>
        <v>0.14697926059513075</v>
      </c>
      <c r="AK43" s="125"/>
      <c r="AL43" s="170"/>
      <c r="AM43" s="166"/>
      <c r="AN43" s="15"/>
      <c r="AO43" s="77"/>
      <c r="AP43" s="555" t="e">
        <f t="shared" si="23"/>
        <v>#DIV/0!</v>
      </c>
      <c r="AQ43" s="902"/>
      <c r="AR43" s="553"/>
      <c r="AS43" s="553"/>
      <c r="AT43" s="228" t="e">
        <f t="shared" si="24"/>
        <v>#DIV/0!</v>
      </c>
      <c r="AU43" s="316" t="e">
        <f t="shared" si="25"/>
        <v>#DIV/0!</v>
      </c>
      <c r="AV43" s="125"/>
      <c r="AW43" s="170"/>
    </row>
    <row r="44" spans="2:49" s="24" customFormat="1">
      <c r="B44" s="187">
        <v>44867</v>
      </c>
      <c r="C44" s="15">
        <v>71303</v>
      </c>
      <c r="D44" s="15">
        <v>1112</v>
      </c>
      <c r="E44" s="77">
        <v>220.05</v>
      </c>
      <c r="F44" s="73">
        <f>SUM($E$34,$E$42:E44)/$C$7</f>
        <v>0.37751079268852761</v>
      </c>
      <c r="G44" s="1098">
        <f t="shared" si="14"/>
        <v>1.5595416742633549E-2</v>
      </c>
      <c r="H44" s="143">
        <v>180</v>
      </c>
      <c r="I44" s="52"/>
      <c r="J44" s="52"/>
      <c r="K44" s="293">
        <f t="shared" si="26"/>
        <v>143.43873517786562</v>
      </c>
      <c r="L44" s="455">
        <f t="shared" ref="L44:L49" si="41">H44/K44</f>
        <v>1.2548911545880408</v>
      </c>
      <c r="M44" s="225">
        <f t="shared" si="15"/>
        <v>1.2225000000000001</v>
      </c>
      <c r="N44" s="308">
        <f t="shared" si="16"/>
        <v>0.16187050359712229</v>
      </c>
      <c r="O44" s="684">
        <v>14.947741935483872</v>
      </c>
      <c r="P44" s="392">
        <v>0.82000000000000006</v>
      </c>
      <c r="Q44" s="166">
        <v>3320</v>
      </c>
      <c r="R44" s="15">
        <v>56</v>
      </c>
      <c r="S44" s="642">
        <v>14.68</v>
      </c>
      <c r="T44" s="555">
        <f t="shared" si="17"/>
        <v>1.6867469879518072E-2</v>
      </c>
      <c r="U44" s="553">
        <v>25</v>
      </c>
      <c r="V44" s="553"/>
      <c r="W44" s="553"/>
      <c r="X44" s="312">
        <f t="shared" si="18"/>
        <v>0.58719999999999994</v>
      </c>
      <c r="Y44" s="316">
        <f t="shared" si="19"/>
        <v>0.44642857142857145</v>
      </c>
      <c r="Z44" s="123"/>
      <c r="AA44" s="168"/>
      <c r="AB44" s="166">
        <v>67983</v>
      </c>
      <c r="AC44" s="15">
        <v>1056</v>
      </c>
      <c r="AD44" s="77">
        <v>205.37</v>
      </c>
      <c r="AE44" s="555">
        <f t="shared" si="20"/>
        <v>1.5533295088478002E-2</v>
      </c>
      <c r="AF44" s="902">
        <v>155</v>
      </c>
      <c r="AG44" s="553"/>
      <c r="AH44" s="553"/>
      <c r="AI44" s="228">
        <f t="shared" si="21"/>
        <v>1.3249677419354839</v>
      </c>
      <c r="AJ44" s="316">
        <f t="shared" si="22"/>
        <v>0.14678030303030304</v>
      </c>
      <c r="AK44" s="123"/>
      <c r="AL44" s="168"/>
      <c r="AM44" s="166"/>
      <c r="AN44" s="15"/>
      <c r="AO44" s="77"/>
      <c r="AP44" s="555" t="e">
        <f t="shared" si="23"/>
        <v>#DIV/0!</v>
      </c>
      <c r="AQ44" s="902"/>
      <c r="AR44" s="553"/>
      <c r="AS44" s="553"/>
      <c r="AT44" s="228" t="e">
        <f t="shared" si="24"/>
        <v>#DIV/0!</v>
      </c>
      <c r="AU44" s="316" t="e">
        <f t="shared" si="25"/>
        <v>#DIV/0!</v>
      </c>
      <c r="AV44" s="123"/>
      <c r="AW44" s="168"/>
    </row>
    <row r="45" spans="2:49" s="26" customFormat="1">
      <c r="B45" s="187">
        <v>44868</v>
      </c>
      <c r="C45" s="15">
        <v>61878</v>
      </c>
      <c r="D45" s="15">
        <v>1208</v>
      </c>
      <c r="E45" s="77">
        <v>224.19</v>
      </c>
      <c r="F45" s="73">
        <f>SUM($E$34,$E$42:E45)/$C$7</f>
        <v>0.39810324239919165</v>
      </c>
      <c r="G45" s="1098">
        <f t="shared" si="14"/>
        <v>1.9522285788163805E-2</v>
      </c>
      <c r="H45" s="143">
        <v>185</v>
      </c>
      <c r="I45" s="52"/>
      <c r="J45" s="52"/>
      <c r="K45" s="293">
        <f t="shared" si="26"/>
        <v>143.43873517786562</v>
      </c>
      <c r="L45" s="455">
        <f t="shared" si="41"/>
        <v>1.2897492422154864</v>
      </c>
      <c r="M45" s="225">
        <f t="shared" si="15"/>
        <v>1.2118378378378378</v>
      </c>
      <c r="N45" s="308">
        <f t="shared" si="16"/>
        <v>0.15314569536423842</v>
      </c>
      <c r="O45" s="684">
        <v>10.99104774535809</v>
      </c>
      <c r="P45" s="392">
        <v>0.79520335985853219</v>
      </c>
      <c r="Q45" s="166">
        <v>3522</v>
      </c>
      <c r="R45" s="15">
        <v>87</v>
      </c>
      <c r="S45" s="642">
        <v>16.96</v>
      </c>
      <c r="T45" s="555">
        <f t="shared" si="17"/>
        <v>2.4701873935264053E-2</v>
      </c>
      <c r="U45" s="553">
        <v>29</v>
      </c>
      <c r="V45" s="553"/>
      <c r="W45" s="553"/>
      <c r="X45" s="312">
        <f t="shared" si="18"/>
        <v>0.58482758620689657</v>
      </c>
      <c r="Y45" s="316">
        <f t="shared" si="19"/>
        <v>0.33333333333333331</v>
      </c>
      <c r="Z45" s="124"/>
      <c r="AA45" s="169"/>
      <c r="AB45" s="166">
        <v>58356</v>
      </c>
      <c r="AC45" s="15">
        <v>1121</v>
      </c>
      <c r="AD45" s="77">
        <v>207.23</v>
      </c>
      <c r="AE45" s="555">
        <f t="shared" si="20"/>
        <v>1.9209678524916032E-2</v>
      </c>
      <c r="AF45" s="902">
        <v>156</v>
      </c>
      <c r="AG45" s="553"/>
      <c r="AH45" s="553"/>
      <c r="AI45" s="228">
        <f t="shared" si="21"/>
        <v>1.3283974358974358</v>
      </c>
      <c r="AJ45" s="316">
        <f t="shared" si="22"/>
        <v>0.13916146297948259</v>
      </c>
      <c r="AK45" s="124"/>
      <c r="AL45" s="169"/>
      <c r="AM45" s="166"/>
      <c r="AN45" s="15"/>
      <c r="AO45" s="77"/>
      <c r="AP45" s="555" t="e">
        <f t="shared" si="23"/>
        <v>#DIV/0!</v>
      </c>
      <c r="AQ45" s="902"/>
      <c r="AR45" s="553"/>
      <c r="AS45" s="553"/>
      <c r="AT45" s="228" t="e">
        <f t="shared" si="24"/>
        <v>#DIV/0!</v>
      </c>
      <c r="AU45" s="316" t="e">
        <f t="shared" si="25"/>
        <v>#DIV/0!</v>
      </c>
      <c r="AV45" s="124"/>
      <c r="AW45" s="169"/>
    </row>
    <row r="46" spans="2:49">
      <c r="B46" s="189">
        <v>44869</v>
      </c>
      <c r="C46" s="15">
        <v>74262</v>
      </c>
      <c r="D46" s="15">
        <v>1405</v>
      </c>
      <c r="E46" s="77">
        <v>274.26</v>
      </c>
      <c r="F46" s="73">
        <f>SUM($E$34,$E$42:E46)/$C$7</f>
        <v>0.42329475521263893</v>
      </c>
      <c r="G46" s="1098">
        <f t="shared" si="14"/>
        <v>1.8919501225391183E-2</v>
      </c>
      <c r="H46" s="143">
        <v>241</v>
      </c>
      <c r="I46" s="52"/>
      <c r="J46" s="52"/>
      <c r="K46" s="293">
        <f t="shared" si="26"/>
        <v>143.43873517786562</v>
      </c>
      <c r="L46" s="455">
        <f t="shared" si="41"/>
        <v>1.6801598236428767</v>
      </c>
      <c r="M46" s="225">
        <f t="shared" si="15"/>
        <v>1.1380082987551867</v>
      </c>
      <c r="N46" s="308">
        <f t="shared" si="16"/>
        <v>0.17153024911032028</v>
      </c>
      <c r="O46" s="684">
        <v>28.570060975609756</v>
      </c>
      <c r="P46" s="392">
        <v>0.78682926829268296</v>
      </c>
      <c r="Q46" s="166">
        <v>7093</v>
      </c>
      <c r="R46" s="15">
        <v>178</v>
      </c>
      <c r="S46" s="642">
        <v>34.68</v>
      </c>
      <c r="T46" s="555">
        <f t="shared" si="17"/>
        <v>2.5095164246440153E-2</v>
      </c>
      <c r="U46" s="553">
        <v>41</v>
      </c>
      <c r="V46" s="553"/>
      <c r="W46" s="553"/>
      <c r="X46" s="581">
        <f t="shared" si="18"/>
        <v>0.84585365853658534</v>
      </c>
      <c r="Y46" s="595">
        <f t="shared" si="19"/>
        <v>0.2303370786516854</v>
      </c>
      <c r="Z46" s="125"/>
      <c r="AA46" s="170"/>
      <c r="AB46" s="166">
        <v>67169</v>
      </c>
      <c r="AC46" s="15">
        <v>1227</v>
      </c>
      <c r="AD46" s="77">
        <v>239.58</v>
      </c>
      <c r="AE46" s="1177">
        <f t="shared" si="20"/>
        <v>1.8267355476484688E-2</v>
      </c>
      <c r="AF46" s="902">
        <v>200</v>
      </c>
      <c r="AG46" s="553"/>
      <c r="AH46" s="553"/>
      <c r="AI46" s="594">
        <f t="shared" si="21"/>
        <v>1.1979</v>
      </c>
      <c r="AJ46" s="595">
        <f t="shared" si="22"/>
        <v>0.16299918500407498</v>
      </c>
      <c r="AK46" s="125"/>
      <c r="AL46" s="170"/>
      <c r="AM46" s="166"/>
      <c r="AN46" s="15"/>
      <c r="AO46" s="77"/>
      <c r="AP46" s="1177" t="e">
        <f t="shared" si="23"/>
        <v>#DIV/0!</v>
      </c>
      <c r="AQ46" s="902"/>
      <c r="AR46" s="553"/>
      <c r="AS46" s="553"/>
      <c r="AT46" s="594" t="e">
        <f t="shared" si="24"/>
        <v>#DIV/0!</v>
      </c>
      <c r="AU46" s="595" t="e">
        <f t="shared" si="25"/>
        <v>#DIV/0!</v>
      </c>
      <c r="AV46" s="125"/>
      <c r="AW46" s="170"/>
    </row>
    <row r="47" spans="2:49">
      <c r="B47" s="189">
        <v>44870</v>
      </c>
      <c r="C47" s="15">
        <v>77193</v>
      </c>
      <c r="D47" s="15">
        <v>1469</v>
      </c>
      <c r="E47" s="77">
        <v>276.95999999999998</v>
      </c>
      <c r="F47" s="73">
        <f>SUM($E$34,$E$42:E47)/$C$7</f>
        <v>0.44873427023055018</v>
      </c>
      <c r="G47" s="1098">
        <f t="shared" si="14"/>
        <v>1.9030222947676603E-2</v>
      </c>
      <c r="H47" s="143">
        <v>205</v>
      </c>
      <c r="I47" s="52"/>
      <c r="J47" s="52"/>
      <c r="K47" s="293">
        <f t="shared" si="26"/>
        <v>143.43873517786562</v>
      </c>
      <c r="L47" s="455">
        <f t="shared" si="41"/>
        <v>1.4291815927252685</v>
      </c>
      <c r="M47" s="225">
        <f t="shared" si="15"/>
        <v>1.3510243902439023</v>
      </c>
      <c r="N47" s="308">
        <f t="shared" si="16"/>
        <v>0.13955071477195372</v>
      </c>
      <c r="O47" s="684">
        <v>14.454485138004246</v>
      </c>
      <c r="P47" s="392">
        <v>0.80752388535031849</v>
      </c>
      <c r="Q47" s="166">
        <v>9705</v>
      </c>
      <c r="R47" s="15">
        <v>251</v>
      </c>
      <c r="S47" s="642">
        <v>47.8</v>
      </c>
      <c r="T47" s="555">
        <f t="shared" si="17"/>
        <v>2.5862957238536835E-2</v>
      </c>
      <c r="U47" s="553">
        <v>48</v>
      </c>
      <c r="V47" s="553"/>
      <c r="W47" s="553"/>
      <c r="X47" s="581">
        <f t="shared" si="18"/>
        <v>0.99583333333333324</v>
      </c>
      <c r="Y47" s="595">
        <f t="shared" si="19"/>
        <v>0.19123505976095617</v>
      </c>
      <c r="Z47" s="125"/>
      <c r="AA47" s="170"/>
      <c r="AB47" s="166">
        <v>67488</v>
      </c>
      <c r="AC47" s="15">
        <v>1218</v>
      </c>
      <c r="AD47" s="77">
        <v>229.16</v>
      </c>
      <c r="AE47" s="1177">
        <f t="shared" si="20"/>
        <v>1.8047652916073968E-2</v>
      </c>
      <c r="AF47" s="902">
        <v>157</v>
      </c>
      <c r="AG47" s="553"/>
      <c r="AH47" s="553"/>
      <c r="AI47" s="594">
        <f t="shared" si="21"/>
        <v>1.4596178343949044</v>
      </c>
      <c r="AJ47" s="595">
        <f t="shared" si="22"/>
        <v>0.12889983579638753</v>
      </c>
      <c r="AK47" s="125"/>
      <c r="AL47" s="170"/>
      <c r="AM47" s="166"/>
      <c r="AN47" s="15"/>
      <c r="AO47" s="77"/>
      <c r="AP47" s="1177" t="e">
        <f t="shared" si="23"/>
        <v>#DIV/0!</v>
      </c>
      <c r="AQ47" s="902"/>
      <c r="AR47" s="553"/>
      <c r="AS47" s="553"/>
      <c r="AT47" s="594" t="e">
        <f t="shared" si="24"/>
        <v>#DIV/0!</v>
      </c>
      <c r="AU47" s="595" t="e">
        <f t="shared" si="25"/>
        <v>#DIV/0!</v>
      </c>
      <c r="AV47" s="125"/>
      <c r="AW47" s="170"/>
    </row>
    <row r="48" spans="2:49">
      <c r="B48" s="187">
        <v>44871</v>
      </c>
      <c r="C48" s="15">
        <v>62990</v>
      </c>
      <c r="D48" s="15">
        <v>1121</v>
      </c>
      <c r="E48" s="77">
        <v>212.51000000000002</v>
      </c>
      <c r="F48" s="73">
        <f>SUM($E$34,$E$42:E48)/$C$7</f>
        <v>0.46825388077523655</v>
      </c>
      <c r="G48" s="1098">
        <f t="shared" si="14"/>
        <v>1.779647563105255E-2</v>
      </c>
      <c r="H48" s="143">
        <v>154</v>
      </c>
      <c r="I48" s="52"/>
      <c r="J48" s="52"/>
      <c r="K48" s="293">
        <f t="shared" si="26"/>
        <v>143.43873517786562</v>
      </c>
      <c r="L48" s="455">
        <f t="shared" si="41"/>
        <v>1.0736290989253237</v>
      </c>
      <c r="M48" s="225">
        <f t="shared" si="15"/>
        <v>1.379935064935065</v>
      </c>
      <c r="N48" s="316">
        <f t="shared" si="16"/>
        <v>0.13737734165923282</v>
      </c>
      <c r="O48" s="686">
        <v>22.440053763440861</v>
      </c>
      <c r="P48" s="392">
        <v>0.79973118279569899</v>
      </c>
      <c r="Q48" s="166">
        <v>4147</v>
      </c>
      <c r="R48" s="15">
        <v>124</v>
      </c>
      <c r="S48" s="642">
        <v>21.3</v>
      </c>
      <c r="T48" s="555">
        <f t="shared" si="17"/>
        <v>2.990113334940921E-2</v>
      </c>
      <c r="U48" s="553">
        <v>30</v>
      </c>
      <c r="V48" s="553"/>
      <c r="W48" s="553"/>
      <c r="X48" s="581">
        <f t="shared" si="18"/>
        <v>0.71000000000000008</v>
      </c>
      <c r="Y48" s="595">
        <f t="shared" si="19"/>
        <v>0.24193548387096775</v>
      </c>
      <c r="Z48" s="125"/>
      <c r="AA48" s="170"/>
      <c r="AB48" s="166">
        <v>58843</v>
      </c>
      <c r="AC48" s="15">
        <v>997</v>
      </c>
      <c r="AD48" s="77">
        <v>191.21</v>
      </c>
      <c r="AE48" s="1177">
        <f t="shared" si="20"/>
        <v>1.6943391737334942E-2</v>
      </c>
      <c r="AF48" s="902">
        <v>124</v>
      </c>
      <c r="AG48" s="553"/>
      <c r="AH48" s="553"/>
      <c r="AI48" s="594">
        <f t="shared" si="21"/>
        <v>1.542016129032258</v>
      </c>
      <c r="AJ48" s="595">
        <f t="shared" si="22"/>
        <v>0.12437311935807423</v>
      </c>
      <c r="AK48" s="125"/>
      <c r="AL48" s="170"/>
      <c r="AM48" s="166"/>
      <c r="AN48" s="15"/>
      <c r="AO48" s="77"/>
      <c r="AP48" s="1177" t="e">
        <f t="shared" si="23"/>
        <v>#DIV/0!</v>
      </c>
      <c r="AQ48" s="902"/>
      <c r="AR48" s="553"/>
      <c r="AS48" s="553"/>
      <c r="AT48" s="594" t="e">
        <f t="shared" si="24"/>
        <v>#DIV/0!</v>
      </c>
      <c r="AU48" s="595" t="e">
        <f t="shared" si="25"/>
        <v>#DIV/0!</v>
      </c>
      <c r="AV48" s="125"/>
      <c r="AW48" s="170"/>
    </row>
    <row r="49" spans="2:49">
      <c r="B49" s="187">
        <v>44872</v>
      </c>
      <c r="C49" s="15">
        <v>85576</v>
      </c>
      <c r="D49" s="15">
        <v>1437</v>
      </c>
      <c r="E49" s="77">
        <v>272.67</v>
      </c>
      <c r="F49" s="73">
        <f>SUM($E$34,$E$42:E49)/$C$7</f>
        <v>0.49329934784605495</v>
      </c>
      <c r="G49" s="1098">
        <f t="shared" si="14"/>
        <v>1.679209124053473E-2</v>
      </c>
      <c r="H49" s="143">
        <v>157</v>
      </c>
      <c r="I49" s="52"/>
      <c r="J49" s="52"/>
      <c r="K49" s="293">
        <f t="shared" si="26"/>
        <v>143.43873517786562</v>
      </c>
      <c r="L49" s="1348">
        <f t="shared" si="41"/>
        <v>1.094543951501791</v>
      </c>
      <c r="M49" s="225">
        <f t="shared" si="15"/>
        <v>1.7367515923566881</v>
      </c>
      <c r="N49" s="561">
        <f t="shared" si="16"/>
        <v>0.10925539318023661</v>
      </c>
      <c r="O49" s="687">
        <v>21.699212598425198</v>
      </c>
      <c r="P49" s="392">
        <v>0.74947506561679789</v>
      </c>
      <c r="Q49" s="166">
        <v>5231</v>
      </c>
      <c r="R49" s="15">
        <v>114</v>
      </c>
      <c r="S49" s="642">
        <v>23.23</v>
      </c>
      <c r="T49" s="555">
        <f t="shared" si="17"/>
        <v>2.1793156184285987E-2</v>
      </c>
      <c r="U49" s="553">
        <v>30</v>
      </c>
      <c r="V49" s="553"/>
      <c r="W49" s="553"/>
      <c r="X49" s="581">
        <f t="shared" si="18"/>
        <v>0.77433333333333332</v>
      </c>
      <c r="Y49" s="595">
        <f t="shared" si="19"/>
        <v>0.26315789473684209</v>
      </c>
      <c r="Z49" s="125"/>
      <c r="AA49" s="170"/>
      <c r="AB49" s="166">
        <v>80345</v>
      </c>
      <c r="AC49" s="15">
        <v>1323</v>
      </c>
      <c r="AD49" s="77">
        <v>249.44</v>
      </c>
      <c r="AE49" s="1177">
        <f t="shared" si="20"/>
        <v>1.6466488269338476E-2</v>
      </c>
      <c r="AF49" s="902">
        <v>127</v>
      </c>
      <c r="AG49" s="553"/>
      <c r="AH49" s="553"/>
      <c r="AI49" s="594">
        <f t="shared" si="21"/>
        <v>1.9640944881889764</v>
      </c>
      <c r="AJ49" s="595">
        <f t="shared" si="22"/>
        <v>9.5993953136810278E-2</v>
      </c>
      <c r="AK49" s="125"/>
      <c r="AL49" s="170"/>
      <c r="AM49" s="166"/>
      <c r="AN49" s="15"/>
      <c r="AO49" s="77"/>
      <c r="AP49" s="1177" t="e">
        <f t="shared" si="23"/>
        <v>#DIV/0!</v>
      </c>
      <c r="AQ49" s="902"/>
      <c r="AR49" s="553"/>
      <c r="AS49" s="553"/>
      <c r="AT49" s="594" t="e">
        <f t="shared" si="24"/>
        <v>#DIV/0!</v>
      </c>
      <c r="AU49" s="1349" t="e">
        <f t="shared" si="25"/>
        <v>#DIV/0!</v>
      </c>
      <c r="AV49" s="125"/>
      <c r="AW49" s="170"/>
    </row>
    <row r="50" spans="2:49">
      <c r="B50" s="190" t="s">
        <v>160</v>
      </c>
      <c r="C50" s="298">
        <f>SUM(C43:C49)</f>
        <v>506222</v>
      </c>
      <c r="D50" s="298">
        <f t="shared" ref="D50:E50" si="42">SUM(D43:D49)</f>
        <v>8897</v>
      </c>
      <c r="E50" s="479">
        <f t="shared" si="42"/>
        <v>1703.5500000000002</v>
      </c>
      <c r="F50" s="599">
        <f>SUM($E$34,$E$42:E49)/C$7</f>
        <v>0.49329934784605495</v>
      </c>
      <c r="G50" s="550">
        <f t="shared" si="14"/>
        <v>1.7575293053245414E-2</v>
      </c>
      <c r="H50" s="121">
        <f>SUM(H43:H49)</f>
        <v>1310</v>
      </c>
      <c r="I50" s="27"/>
      <c r="J50" s="27"/>
      <c r="K50" s="56">
        <f>SUM(K43:K49)</f>
        <v>1004.0711462450594</v>
      </c>
      <c r="L50" s="1337">
        <f>H50/K50</f>
        <v>1.3046884226272486</v>
      </c>
      <c r="M50" s="573">
        <f t="shared" si="15"/>
        <v>1.3004198473282444</v>
      </c>
      <c r="N50" s="317">
        <f t="shared" si="16"/>
        <v>0.14724064291334157</v>
      </c>
      <c r="O50" s="682">
        <f>AVERAGE(O43:O49)</f>
        <v>17.792606618300166</v>
      </c>
      <c r="P50" s="317">
        <f>AVERAGE(P43:P49)</f>
        <v>0.79547618772303852</v>
      </c>
      <c r="Q50" s="164">
        <f>SUM(Q43:Q49)</f>
        <v>34752</v>
      </c>
      <c r="R50" s="27">
        <f t="shared" ref="R50:U50" si="43">SUM(R43:R49)</f>
        <v>846</v>
      </c>
      <c r="S50" s="479">
        <f t="shared" si="43"/>
        <v>165.22</v>
      </c>
      <c r="T50" s="550">
        <f t="shared" si="17"/>
        <v>2.4343922651933702E-2</v>
      </c>
      <c r="U50" s="551">
        <f t="shared" si="43"/>
        <v>228</v>
      </c>
      <c r="V50" s="298"/>
      <c r="W50" s="298"/>
      <c r="X50" s="552">
        <f t="shared" si="18"/>
        <v>0.72464912280701754</v>
      </c>
      <c r="Y50" s="550">
        <f t="shared" si="19"/>
        <v>0.26950354609929078</v>
      </c>
      <c r="Z50" s="130"/>
      <c r="AA50" s="165"/>
      <c r="AB50" s="164">
        <f>SUM(AB43:AB49)</f>
        <v>471470</v>
      </c>
      <c r="AC50" s="27">
        <f t="shared" ref="AC50:AD50" si="44">SUM(AC43:AC49)</f>
        <v>8051</v>
      </c>
      <c r="AD50" s="74">
        <f t="shared" si="44"/>
        <v>1538.3300000000002</v>
      </c>
      <c r="AE50" s="1180">
        <f t="shared" si="20"/>
        <v>1.7076378136466796E-2</v>
      </c>
      <c r="AF50" s="551">
        <f t="shared" ref="AF50" si="45">SUM(AF43:AF49)</f>
        <v>1082</v>
      </c>
      <c r="AG50" s="298"/>
      <c r="AH50" s="298"/>
      <c r="AI50" s="552">
        <f t="shared" si="21"/>
        <v>1.4217467652495381</v>
      </c>
      <c r="AJ50" s="550">
        <f t="shared" si="22"/>
        <v>0.13439324307539435</v>
      </c>
      <c r="AK50" s="130"/>
      <c r="AL50" s="165"/>
      <c r="AM50" s="164">
        <f>SUM(AM43:AM49)</f>
        <v>0</v>
      </c>
      <c r="AN50" s="27">
        <f t="shared" ref="AN50:AO50" si="46">SUM(AN43:AN49)</f>
        <v>0</v>
      </c>
      <c r="AO50" s="74">
        <f t="shared" si="46"/>
        <v>0</v>
      </c>
      <c r="AP50" s="1180" t="e">
        <f t="shared" si="23"/>
        <v>#DIV/0!</v>
      </c>
      <c r="AQ50" s="551">
        <f t="shared" ref="AQ50" si="47">SUM(AQ43:AQ49)</f>
        <v>0</v>
      </c>
      <c r="AR50" s="298"/>
      <c r="AS50" s="298"/>
      <c r="AT50" s="552" t="e">
        <f t="shared" si="24"/>
        <v>#DIV/0!</v>
      </c>
      <c r="AU50" s="900" t="e">
        <f t="shared" si="25"/>
        <v>#DIV/0!</v>
      </c>
      <c r="AV50" s="126"/>
      <c r="AW50" s="171"/>
    </row>
    <row r="51" spans="2:49">
      <c r="B51" s="187">
        <v>44873</v>
      </c>
      <c r="C51" s="15">
        <v>101891</v>
      </c>
      <c r="D51" s="15">
        <v>1730</v>
      </c>
      <c r="E51" s="77">
        <v>337.12</v>
      </c>
      <c r="F51" s="73">
        <f>SUM($E$34,$E$42,$E$50:E51)/$C$7</f>
        <v>0.52426471939009833</v>
      </c>
      <c r="G51" s="1098">
        <f t="shared" si="14"/>
        <v>1.6978928462769039E-2</v>
      </c>
      <c r="H51" s="143">
        <v>229</v>
      </c>
      <c r="I51" s="52"/>
      <c r="J51" s="52"/>
      <c r="K51" s="293">
        <f t="shared" si="26"/>
        <v>143.43873517786562</v>
      </c>
      <c r="L51" s="139">
        <f>H51/K51</f>
        <v>1.5965004133370073</v>
      </c>
      <c r="M51" s="225">
        <f t="shared" si="15"/>
        <v>1.4721397379912664</v>
      </c>
      <c r="N51" s="561">
        <f t="shared" si="16"/>
        <v>0.13236994219653178</v>
      </c>
      <c r="O51" s="687">
        <v>9.4000736377025049</v>
      </c>
      <c r="P51" s="392">
        <v>0.8631811487481591</v>
      </c>
      <c r="Q51" s="166">
        <v>7119</v>
      </c>
      <c r="R51" s="15">
        <v>136</v>
      </c>
      <c r="S51" s="641">
        <v>28.69</v>
      </c>
      <c r="T51" s="715">
        <f t="shared" si="17"/>
        <v>1.9103806714426182E-2</v>
      </c>
      <c r="U51" s="143">
        <v>35</v>
      </c>
      <c r="V51" s="52"/>
      <c r="W51" s="52"/>
      <c r="X51" s="312">
        <f t="shared" si="18"/>
        <v>0.81971428571428573</v>
      </c>
      <c r="Y51" s="316">
        <f t="shared" si="19"/>
        <v>0.25735294117647056</v>
      </c>
      <c r="Z51" s="125"/>
      <c r="AA51" s="170"/>
      <c r="AB51" s="166">
        <v>94772</v>
      </c>
      <c r="AC51" s="15">
        <v>1594</v>
      </c>
      <c r="AD51" s="77">
        <v>308.43</v>
      </c>
      <c r="AE51" s="555">
        <f t="shared" si="20"/>
        <v>1.68193137213523E-2</v>
      </c>
      <c r="AF51" s="143">
        <v>194</v>
      </c>
      <c r="AG51" s="52"/>
      <c r="AH51" s="52"/>
      <c r="AI51" s="228">
        <f t="shared" si="21"/>
        <v>1.5898453608247423</v>
      </c>
      <c r="AJ51" s="316">
        <f t="shared" si="22"/>
        <v>0.12170639899623588</v>
      </c>
      <c r="AK51" s="125"/>
      <c r="AL51" s="170"/>
      <c r="AM51" s="166"/>
      <c r="AN51" s="15"/>
      <c r="AO51" s="77"/>
      <c r="AP51" s="555"/>
      <c r="AQ51" s="143"/>
      <c r="AR51" s="52"/>
      <c r="AS51" s="52"/>
      <c r="AT51" s="228"/>
      <c r="AU51" s="544"/>
      <c r="AV51" s="125"/>
      <c r="AW51" s="170"/>
    </row>
    <row r="52" spans="2:49" s="24" customFormat="1">
      <c r="B52" s="187">
        <v>44874</v>
      </c>
      <c r="C52" s="15">
        <v>98309</v>
      </c>
      <c r="D52" s="15">
        <v>1821</v>
      </c>
      <c r="E52" s="77">
        <v>344.65999999999997</v>
      </c>
      <c r="F52" s="73">
        <f>SUM($E$34,$E$42,$E$50:E52)/$C$7</f>
        <v>0.55592266005327451</v>
      </c>
      <c r="G52" s="1098">
        <f t="shared" si="14"/>
        <v>1.852322778179007E-2</v>
      </c>
      <c r="H52" s="143">
        <v>229</v>
      </c>
      <c r="I52" s="52"/>
      <c r="J52" s="52"/>
      <c r="K52" s="293">
        <f t="shared" si="26"/>
        <v>143.43873517786562</v>
      </c>
      <c r="L52" s="139">
        <f t="shared" ref="L52:L65" si="48">H52/K52</f>
        <v>1.5965004133370073</v>
      </c>
      <c r="M52" s="225">
        <f t="shared" si="15"/>
        <v>1.5050655021834061</v>
      </c>
      <c r="N52" s="561">
        <f t="shared" si="16"/>
        <v>0.12575507962657881</v>
      </c>
      <c r="O52" s="687">
        <v>52.784690799396685</v>
      </c>
      <c r="P52" s="392">
        <v>0.8180995475113122</v>
      </c>
      <c r="Q52" s="166">
        <v>8175</v>
      </c>
      <c r="R52" s="15">
        <v>238</v>
      </c>
      <c r="S52" s="641">
        <v>38.83</v>
      </c>
      <c r="T52" s="715">
        <f t="shared" si="17"/>
        <v>2.9113149847094802E-2</v>
      </c>
      <c r="U52" s="143">
        <v>34</v>
      </c>
      <c r="V52" s="52"/>
      <c r="W52" s="52"/>
      <c r="X52" s="312">
        <f t="shared" si="18"/>
        <v>1.1420588235294118</v>
      </c>
      <c r="Y52" s="316">
        <f t="shared" si="19"/>
        <v>0.14285714285714285</v>
      </c>
      <c r="Z52" s="123"/>
      <c r="AA52" s="168"/>
      <c r="AB52" s="166">
        <v>90134</v>
      </c>
      <c r="AC52" s="15">
        <v>1583</v>
      </c>
      <c r="AD52" s="77">
        <v>305.83</v>
      </c>
      <c r="AE52" s="555">
        <f t="shared" si="20"/>
        <v>1.7562739920562717E-2</v>
      </c>
      <c r="AF52" s="143">
        <v>195</v>
      </c>
      <c r="AG52" s="52"/>
      <c r="AH52" s="52"/>
      <c r="AI52" s="228">
        <f t="shared" si="21"/>
        <v>1.5683589743589743</v>
      </c>
      <c r="AJ52" s="316">
        <f t="shared" si="22"/>
        <v>0.1231838281743525</v>
      </c>
      <c r="AK52" s="123"/>
      <c r="AL52" s="168"/>
      <c r="AM52" s="166"/>
      <c r="AN52" s="15"/>
      <c r="AO52" s="77"/>
      <c r="AP52" s="555"/>
      <c r="AQ52" s="143"/>
      <c r="AR52" s="52"/>
      <c r="AS52" s="52"/>
      <c r="AT52" s="228"/>
      <c r="AU52" s="544"/>
      <c r="AV52" s="123"/>
      <c r="AW52" s="168"/>
    </row>
    <row r="53" spans="2:49" s="26" customFormat="1">
      <c r="B53" s="187">
        <v>44875</v>
      </c>
      <c r="C53" s="15">
        <v>93791</v>
      </c>
      <c r="D53" s="15">
        <v>1581</v>
      </c>
      <c r="E53" s="77">
        <v>337.96000000000004</v>
      </c>
      <c r="F53" s="73">
        <f>SUM($E$34,$E$42,$E$50:E53)/$C$7</f>
        <v>0.58696518783870666</v>
      </c>
      <c r="G53" s="1098">
        <f t="shared" si="14"/>
        <v>1.6856628034672836E-2</v>
      </c>
      <c r="H53" s="143">
        <v>229</v>
      </c>
      <c r="I53" s="52"/>
      <c r="J53" s="52"/>
      <c r="K53" s="293">
        <f t="shared" si="26"/>
        <v>143.43873517786562</v>
      </c>
      <c r="L53" s="139">
        <f t="shared" si="48"/>
        <v>1.5965004133370073</v>
      </c>
      <c r="M53" s="225">
        <f t="shared" si="15"/>
        <v>1.4758078602620088</v>
      </c>
      <c r="N53" s="561">
        <f t="shared" si="16"/>
        <v>0.14484503478810878</v>
      </c>
      <c r="O53" s="687">
        <v>18.660859728506789</v>
      </c>
      <c r="P53" s="392">
        <v>0.81297134238310709</v>
      </c>
      <c r="Q53" s="166">
        <v>8205</v>
      </c>
      <c r="R53" s="15">
        <v>179</v>
      </c>
      <c r="S53" s="641">
        <v>39.049999999999997</v>
      </c>
      <c r="T53" s="715">
        <f t="shared" si="17"/>
        <v>2.1815965874466787E-2</v>
      </c>
      <c r="U53" s="143">
        <v>34</v>
      </c>
      <c r="V53" s="52"/>
      <c r="W53" s="52"/>
      <c r="X53" s="312">
        <f t="shared" si="18"/>
        <v>1.1485294117647058</v>
      </c>
      <c r="Y53" s="316">
        <f t="shared" si="19"/>
        <v>0.18994413407821228</v>
      </c>
      <c r="Z53" s="124"/>
      <c r="AA53" s="169"/>
      <c r="AB53" s="166">
        <v>85586</v>
      </c>
      <c r="AC53" s="15">
        <v>1402</v>
      </c>
      <c r="AD53" s="77">
        <v>298.91000000000003</v>
      </c>
      <c r="AE53" s="555">
        <f t="shared" si="20"/>
        <v>1.6381183838478256E-2</v>
      </c>
      <c r="AF53" s="143">
        <v>195</v>
      </c>
      <c r="AG53" s="52"/>
      <c r="AH53" s="52"/>
      <c r="AI53" s="228">
        <f t="shared" si="21"/>
        <v>1.5328717948717949</v>
      </c>
      <c r="AJ53" s="316">
        <f t="shared" si="22"/>
        <v>0.1390870185449358</v>
      </c>
      <c r="AK53" s="124"/>
      <c r="AL53" s="169"/>
      <c r="AM53" s="166"/>
      <c r="AN53" s="15"/>
      <c r="AO53" s="77"/>
      <c r="AP53" s="555"/>
      <c r="AQ53" s="143"/>
      <c r="AR53" s="52"/>
      <c r="AS53" s="52"/>
      <c r="AT53" s="228"/>
      <c r="AU53" s="544"/>
      <c r="AV53" s="124"/>
      <c r="AW53" s="169"/>
    </row>
    <row r="54" spans="2:49">
      <c r="B54" s="189">
        <v>44876</v>
      </c>
      <c r="C54" s="15">
        <v>110700</v>
      </c>
      <c r="D54" s="15">
        <v>1804</v>
      </c>
      <c r="E54" s="77">
        <v>406.61</v>
      </c>
      <c r="F54" s="73">
        <f>SUM($E$34,$E$42,$E$50:E54)/$C$7</f>
        <v>0.6243134013043079</v>
      </c>
      <c r="G54" s="1098">
        <f t="shared" si="14"/>
        <v>1.6296296296296295E-2</v>
      </c>
      <c r="H54" s="143">
        <v>295</v>
      </c>
      <c r="I54" s="52"/>
      <c r="J54" s="52"/>
      <c r="K54" s="293">
        <f t="shared" si="26"/>
        <v>143.43873517786562</v>
      </c>
      <c r="L54" s="139">
        <f t="shared" si="48"/>
        <v>2.0566271700192891</v>
      </c>
      <c r="M54" s="225">
        <f t="shared" si="15"/>
        <v>1.3783389830508475</v>
      </c>
      <c r="N54" s="561">
        <f t="shared" si="16"/>
        <v>0.16352549889135254</v>
      </c>
      <c r="O54" s="687">
        <v>21.128089353612168</v>
      </c>
      <c r="P54" s="392">
        <v>0.82343155893536124</v>
      </c>
      <c r="Q54" s="166">
        <v>12132</v>
      </c>
      <c r="R54" s="15">
        <v>192</v>
      </c>
      <c r="S54" s="641">
        <v>49.35</v>
      </c>
      <c r="T54" s="715">
        <f t="shared" si="17"/>
        <v>1.582591493570722E-2</v>
      </c>
      <c r="U54" s="143">
        <v>32</v>
      </c>
      <c r="V54" s="52"/>
      <c r="W54" s="52"/>
      <c r="X54" s="312">
        <f t="shared" si="18"/>
        <v>1.5421875</v>
      </c>
      <c r="Y54" s="316">
        <f t="shared" si="19"/>
        <v>0.16666666666666666</v>
      </c>
      <c r="Z54" s="125"/>
      <c r="AA54" s="170"/>
      <c r="AB54" s="166">
        <v>98568</v>
      </c>
      <c r="AC54" s="15">
        <v>1612</v>
      </c>
      <c r="AD54" s="77">
        <v>357.26</v>
      </c>
      <c r="AE54" s="555">
        <f t="shared" si="20"/>
        <v>1.6354192029867706E-2</v>
      </c>
      <c r="AF54" s="143">
        <v>263</v>
      </c>
      <c r="AG54" s="52"/>
      <c r="AH54" s="52"/>
      <c r="AI54" s="228">
        <f t="shared" si="21"/>
        <v>1.358403041825095</v>
      </c>
      <c r="AJ54" s="316">
        <f t="shared" si="22"/>
        <v>0.163151364764268</v>
      </c>
      <c r="AK54" s="125"/>
      <c r="AL54" s="170"/>
      <c r="AM54" s="166"/>
      <c r="AN54" s="15"/>
      <c r="AO54" s="77"/>
      <c r="AP54" s="555"/>
      <c r="AQ54" s="143"/>
      <c r="AR54" s="52"/>
      <c r="AS54" s="52"/>
      <c r="AT54" s="228"/>
      <c r="AU54" s="544"/>
      <c r="AV54" s="125"/>
      <c r="AW54" s="170"/>
    </row>
    <row r="55" spans="2:49">
      <c r="B55" s="189">
        <v>44877</v>
      </c>
      <c r="C55" s="15">
        <v>108222</v>
      </c>
      <c r="D55" s="15">
        <v>1853</v>
      </c>
      <c r="E55" s="77">
        <v>401.55999999999995</v>
      </c>
      <c r="F55" s="73">
        <f>SUM($E$34,$E$42,$E$50:E55)/$C$7</f>
        <v>0.66119775879489295</v>
      </c>
      <c r="G55" s="1098">
        <f t="shared" si="14"/>
        <v>1.7122211749921457E-2</v>
      </c>
      <c r="H55" s="143">
        <v>299</v>
      </c>
      <c r="I55" s="52"/>
      <c r="J55" s="52"/>
      <c r="K55" s="293">
        <f t="shared" si="26"/>
        <v>143.43873517786562</v>
      </c>
      <c r="L55" s="139">
        <f t="shared" si="48"/>
        <v>2.0845136401212452</v>
      </c>
      <c r="M55" s="225">
        <f t="shared" si="15"/>
        <v>1.3430100334448158</v>
      </c>
      <c r="N55" s="561">
        <f t="shared" si="16"/>
        <v>0.1613599568267674</v>
      </c>
      <c r="O55" s="711">
        <v>29.546669884169887</v>
      </c>
      <c r="P55" s="392">
        <v>0.80053088803088801</v>
      </c>
      <c r="Q55" s="166">
        <v>11638</v>
      </c>
      <c r="R55" s="15">
        <v>193</v>
      </c>
      <c r="S55" s="641">
        <v>48.22</v>
      </c>
      <c r="T55" s="715">
        <f t="shared" si="17"/>
        <v>1.6583605430486339E-2</v>
      </c>
      <c r="U55" s="143">
        <v>40</v>
      </c>
      <c r="V55" s="52"/>
      <c r="W55" s="52"/>
      <c r="X55" s="312">
        <f t="shared" si="18"/>
        <v>1.2055</v>
      </c>
      <c r="Y55" s="316">
        <f t="shared" si="19"/>
        <v>0.20725388601036268</v>
      </c>
      <c r="Z55" s="125"/>
      <c r="AA55" s="170"/>
      <c r="AB55" s="166">
        <v>96584</v>
      </c>
      <c r="AC55" s="15">
        <v>1660</v>
      </c>
      <c r="AD55" s="77">
        <v>353.34</v>
      </c>
      <c r="AE55" s="555">
        <f t="shared" si="20"/>
        <v>1.7187111736933654E-2</v>
      </c>
      <c r="AF55" s="143">
        <v>259</v>
      </c>
      <c r="AG55" s="52"/>
      <c r="AH55" s="52"/>
      <c r="AI55" s="228">
        <f t="shared" si="21"/>
        <v>1.364247104247104</v>
      </c>
      <c r="AJ55" s="316">
        <f t="shared" si="22"/>
        <v>0.15602409638554218</v>
      </c>
      <c r="AK55" s="125"/>
      <c r="AL55" s="170"/>
      <c r="AM55" s="166"/>
      <c r="AN55" s="15"/>
      <c r="AO55" s="77"/>
      <c r="AP55" s="555"/>
      <c r="AQ55" s="143"/>
      <c r="AR55" s="52"/>
      <c r="AS55" s="52"/>
      <c r="AT55" s="228"/>
      <c r="AU55" s="544"/>
      <c r="AV55" s="125"/>
      <c r="AW55" s="170"/>
    </row>
    <row r="56" spans="2:49">
      <c r="B56" s="187">
        <v>44878</v>
      </c>
      <c r="C56" s="15">
        <v>93508</v>
      </c>
      <c r="D56" s="15">
        <v>1576</v>
      </c>
      <c r="E56" s="77">
        <v>323.95</v>
      </c>
      <c r="F56" s="73">
        <f>SUM($E$34,$E$42,$E$50:E56)/$C$7</f>
        <v>0.69095343069716164</v>
      </c>
      <c r="G56" s="1098">
        <f t="shared" si="14"/>
        <v>1.6854172904992085E-2</v>
      </c>
      <c r="H56" s="143">
        <v>241</v>
      </c>
      <c r="I56" s="52"/>
      <c r="J56" s="52"/>
      <c r="K56" s="293">
        <f t="shared" si="26"/>
        <v>143.43873517786562</v>
      </c>
      <c r="L56" s="139">
        <f t="shared" si="48"/>
        <v>1.6801598236428767</v>
      </c>
      <c r="M56" s="225">
        <f t="shared" si="15"/>
        <v>1.3441908713692945</v>
      </c>
      <c r="N56" s="561">
        <f t="shared" si="16"/>
        <v>0.15291878172588833</v>
      </c>
      <c r="O56" s="687">
        <v>18.096601941747572</v>
      </c>
      <c r="P56" s="392">
        <v>0.79965325936199716</v>
      </c>
      <c r="Q56" s="166">
        <v>10815</v>
      </c>
      <c r="R56" s="15">
        <v>169</v>
      </c>
      <c r="S56" s="641">
        <v>40.619999999999997</v>
      </c>
      <c r="T56" s="715">
        <f t="shared" si="17"/>
        <v>1.5626444752658345E-2</v>
      </c>
      <c r="U56" s="143">
        <v>35</v>
      </c>
      <c r="V56" s="52"/>
      <c r="W56" s="52"/>
      <c r="X56" s="312">
        <f t="shared" ref="X56:X57" si="49">S56/U56</f>
        <v>1.1605714285714286</v>
      </c>
      <c r="Y56" s="316">
        <f t="shared" ref="Y56:Y57" si="50">U56/R56</f>
        <v>0.20710059171597633</v>
      </c>
      <c r="Z56" s="125"/>
      <c r="AA56" s="170"/>
      <c r="AB56" s="166">
        <v>82693</v>
      </c>
      <c r="AC56" s="15">
        <v>1407</v>
      </c>
      <c r="AD56" s="77">
        <v>283.33</v>
      </c>
      <c r="AE56" s="555">
        <f t="shared" si="20"/>
        <v>1.7014741271933538E-2</v>
      </c>
      <c r="AF56" s="143">
        <v>206</v>
      </c>
      <c r="AG56" s="52"/>
      <c r="AH56" s="52"/>
      <c r="AI56" s="228">
        <f t="shared" ref="AI56:AI57" si="51">AD56/AF56</f>
        <v>1.3753883495145631</v>
      </c>
      <c r="AJ56" s="316">
        <f t="shared" ref="AJ56:AJ57" si="52">AF56/AC56</f>
        <v>0.14641080312722105</v>
      </c>
      <c r="AK56" s="125"/>
      <c r="AL56" s="170"/>
      <c r="AM56" s="166"/>
      <c r="AN56" s="15"/>
      <c r="AO56" s="77"/>
      <c r="AP56" s="555"/>
      <c r="AQ56" s="143"/>
      <c r="AR56" s="52"/>
      <c r="AS56" s="52"/>
      <c r="AT56" s="228"/>
      <c r="AU56" s="544"/>
      <c r="AV56" s="125"/>
      <c r="AW56" s="170"/>
    </row>
    <row r="57" spans="2:49">
      <c r="B57" s="187">
        <v>44879</v>
      </c>
      <c r="C57" s="15">
        <v>88251</v>
      </c>
      <c r="D57" s="15">
        <v>1533</v>
      </c>
      <c r="E57" s="77">
        <v>296.99</v>
      </c>
      <c r="F57" s="73">
        <f>SUM($E$34,$E$42,$E$50:E57)/$C$7</f>
        <v>0.71823275466152281</v>
      </c>
      <c r="G57" s="1098">
        <f t="shared" si="14"/>
        <v>1.7370907978379847E-2</v>
      </c>
      <c r="H57" s="143">
        <v>235</v>
      </c>
      <c r="I57" s="52"/>
      <c r="J57" s="52"/>
      <c r="K57" s="293">
        <f t="shared" si="26"/>
        <v>143.43873517786562</v>
      </c>
      <c r="L57" s="139">
        <f t="shared" si="48"/>
        <v>1.6383301184899419</v>
      </c>
      <c r="M57" s="225">
        <f t="shared" si="15"/>
        <v>1.2637872340425533</v>
      </c>
      <c r="N57" s="561">
        <f t="shared" si="16"/>
        <v>0.15329419439008479</v>
      </c>
      <c r="O57" s="687">
        <v>19.10329433497537</v>
      </c>
      <c r="P57" s="392">
        <v>0.81103756157635476</v>
      </c>
      <c r="Q57" s="166">
        <v>9015</v>
      </c>
      <c r="R57" s="15">
        <v>129</v>
      </c>
      <c r="S57" s="641">
        <v>31.95</v>
      </c>
      <c r="T57" s="715">
        <f t="shared" si="17"/>
        <v>1.4309484193011647E-2</v>
      </c>
      <c r="U57" s="143">
        <v>32</v>
      </c>
      <c r="V57" s="52"/>
      <c r="W57" s="52"/>
      <c r="X57" s="312">
        <f t="shared" si="49"/>
        <v>0.99843749999999998</v>
      </c>
      <c r="Y57" s="316">
        <f t="shared" si="50"/>
        <v>0.24806201550387597</v>
      </c>
      <c r="Z57" s="125"/>
      <c r="AA57" s="170"/>
      <c r="AB57" s="166">
        <v>79236</v>
      </c>
      <c r="AC57" s="15">
        <v>1404</v>
      </c>
      <c r="AD57" s="77">
        <v>265.04000000000002</v>
      </c>
      <c r="AE57" s="555">
        <f t="shared" si="20"/>
        <v>1.7719218537028625E-2</v>
      </c>
      <c r="AF57" s="143">
        <v>203</v>
      </c>
      <c r="AG57" s="52"/>
      <c r="AH57" s="52"/>
      <c r="AI57" s="228">
        <f t="shared" si="51"/>
        <v>1.3056157635467982</v>
      </c>
      <c r="AJ57" s="316">
        <f t="shared" si="52"/>
        <v>0.14458689458689458</v>
      </c>
      <c r="AK57" s="125"/>
      <c r="AL57" s="170"/>
      <c r="AM57" s="166"/>
      <c r="AN57" s="15"/>
      <c r="AO57" s="77"/>
      <c r="AP57" s="555"/>
      <c r="AQ57" s="143"/>
      <c r="AR57" s="52"/>
      <c r="AS57" s="52"/>
      <c r="AT57" s="228"/>
      <c r="AU57" s="544"/>
      <c r="AV57" s="125"/>
      <c r="AW57" s="170"/>
    </row>
    <row r="58" spans="2:49">
      <c r="B58" s="190" t="s">
        <v>160</v>
      </c>
      <c r="C58" s="298">
        <f>SUM(C51:C57)</f>
        <v>694672</v>
      </c>
      <c r="D58" s="298">
        <f t="shared" ref="D58:E58" si="53">SUM(D51:D57)</f>
        <v>11898</v>
      </c>
      <c r="E58" s="479">
        <f t="shared" si="53"/>
        <v>2448.8499999999995</v>
      </c>
      <c r="F58" s="599">
        <f>SUM($E$34,$E$42,$E$50,$E$58)/$C$7</f>
        <v>0.71823275466152292</v>
      </c>
      <c r="G58" s="550">
        <f t="shared" si="14"/>
        <v>1.712750765829053E-2</v>
      </c>
      <c r="H58" s="121">
        <f>SUM(H51:H57)</f>
        <v>1757</v>
      </c>
      <c r="I58" s="27"/>
      <c r="J58" s="27"/>
      <c r="K58" s="27">
        <f>SUM(K51:K57)</f>
        <v>1004.0711462450594</v>
      </c>
      <c r="L58" s="572">
        <f>H58/K58</f>
        <v>1.7498759988977679</v>
      </c>
      <c r="M58" s="237">
        <f t="shared" si="15"/>
        <v>1.3937677859988613</v>
      </c>
      <c r="N58" s="317">
        <f t="shared" si="16"/>
        <v>0.14767187762649184</v>
      </c>
      <c r="O58" s="682">
        <f>AVERAGE(O51:O57)</f>
        <v>24.102897097158714</v>
      </c>
      <c r="P58" s="317">
        <f>AVERAGE(P51:P57)</f>
        <v>0.81841504379245422</v>
      </c>
      <c r="Q58" s="164">
        <f>SUM(Q51:Q57)</f>
        <v>67099</v>
      </c>
      <c r="R58" s="27">
        <f t="shared" ref="R58:U58" si="54">SUM(R51:R57)</f>
        <v>1236</v>
      </c>
      <c r="S58" s="479">
        <f t="shared" si="54"/>
        <v>276.70999999999998</v>
      </c>
      <c r="T58" s="550">
        <f t="shared" si="17"/>
        <v>1.8420542780071238E-2</v>
      </c>
      <c r="U58" s="551">
        <f t="shared" si="54"/>
        <v>242</v>
      </c>
      <c r="V58" s="298"/>
      <c r="W58" s="298"/>
      <c r="X58" s="552">
        <f t="shared" si="18"/>
        <v>1.1434297520661156</v>
      </c>
      <c r="Y58" s="550">
        <f t="shared" si="19"/>
        <v>0.19579288025889968</v>
      </c>
      <c r="Z58" s="130"/>
      <c r="AA58" s="165"/>
      <c r="AB58" s="164">
        <f>SUM(AB51:AB57)</f>
        <v>627573</v>
      </c>
      <c r="AC58" s="27">
        <f t="shared" ref="AC58:AD58" si="55">SUM(AC51:AC57)</f>
        <v>10662</v>
      </c>
      <c r="AD58" s="74">
        <f t="shared" si="55"/>
        <v>2172.14</v>
      </c>
      <c r="AE58" s="550">
        <f t="shared" si="20"/>
        <v>1.6989258620112718E-2</v>
      </c>
      <c r="AF58" s="551">
        <f t="shared" ref="AF58" si="56">SUM(AF51:AF57)</f>
        <v>1515</v>
      </c>
      <c r="AG58" s="298"/>
      <c r="AH58" s="298"/>
      <c r="AI58" s="552">
        <f t="shared" si="21"/>
        <v>1.4337557755775576</v>
      </c>
      <c r="AJ58" s="550">
        <f t="shared" si="22"/>
        <v>0.14209341586944288</v>
      </c>
      <c r="AK58" s="130"/>
      <c r="AL58" s="165"/>
      <c r="AM58" s="164">
        <f>SUM(AM51:AM57)</f>
        <v>0</v>
      </c>
      <c r="AN58" s="27">
        <f t="shared" ref="AN58:AO58" si="57">SUM(AN51:AN57)</f>
        <v>0</v>
      </c>
      <c r="AO58" s="74">
        <f t="shared" si="57"/>
        <v>0</v>
      </c>
      <c r="AP58" s="550" t="e">
        <f t="shared" si="23"/>
        <v>#DIV/0!</v>
      </c>
      <c r="AQ58" s="551">
        <f t="shared" ref="AQ58" si="58">SUM(AQ51:AQ57)</f>
        <v>0</v>
      </c>
      <c r="AR58" s="298"/>
      <c r="AS58" s="298"/>
      <c r="AT58" s="552" t="e">
        <f t="shared" si="24"/>
        <v>#DIV/0!</v>
      </c>
      <c r="AU58" s="900" t="e">
        <f t="shared" si="25"/>
        <v>#DIV/0!</v>
      </c>
      <c r="AV58" s="126"/>
      <c r="AW58" s="171"/>
    </row>
    <row r="59" spans="2:49">
      <c r="B59" s="187">
        <v>44880</v>
      </c>
      <c r="C59" s="15">
        <v>18715</v>
      </c>
      <c r="D59" s="15">
        <v>393</v>
      </c>
      <c r="E59" s="77">
        <v>74.17</v>
      </c>
      <c r="F59" s="662">
        <f>SUM($E$34,$E$42,$E$50,$E$58:E59)/$C$7</f>
        <v>0.72504546707081841</v>
      </c>
      <c r="G59" s="1098">
        <f t="shared" si="14"/>
        <v>2.0999198503873898E-2</v>
      </c>
      <c r="H59" s="143">
        <v>67</v>
      </c>
      <c r="I59" s="52"/>
      <c r="J59" s="52"/>
      <c r="K59" s="293">
        <f t="shared" si="26"/>
        <v>143.43873517786562</v>
      </c>
      <c r="L59" s="139">
        <f t="shared" si="48"/>
        <v>0.46709837420777067</v>
      </c>
      <c r="M59" s="225">
        <f t="shared" si="15"/>
        <v>1.1070149253731343</v>
      </c>
      <c r="N59" s="561">
        <f t="shared" si="16"/>
        <v>0.17048346055979643</v>
      </c>
      <c r="O59" s="687">
        <v>8.7213983050847457</v>
      </c>
      <c r="P59" s="392">
        <v>0.81885593220338981</v>
      </c>
      <c r="Q59" s="166">
        <v>1653</v>
      </c>
      <c r="R59" s="15">
        <v>28</v>
      </c>
      <c r="S59" s="77">
        <v>6.34</v>
      </c>
      <c r="T59" s="715">
        <f t="shared" si="17"/>
        <v>1.6938898971566849E-2</v>
      </c>
      <c r="U59" s="1543">
        <v>8</v>
      </c>
      <c r="V59" s="143"/>
      <c r="W59" s="52"/>
      <c r="X59" s="312">
        <f t="shared" si="18"/>
        <v>0.79249999999999998</v>
      </c>
      <c r="Y59" s="316">
        <f t="shared" si="19"/>
        <v>0.2857142857142857</v>
      </c>
      <c r="Z59" s="125"/>
      <c r="AA59" s="170"/>
      <c r="AB59" s="166">
        <v>17062</v>
      </c>
      <c r="AC59" s="15">
        <v>365</v>
      </c>
      <c r="AD59" s="77">
        <v>67.83</v>
      </c>
      <c r="AE59" s="555">
        <f t="shared" si="20"/>
        <v>2.1392568280389167E-2</v>
      </c>
      <c r="AF59" s="1543">
        <v>59</v>
      </c>
      <c r="AG59" s="143"/>
      <c r="AH59" s="52"/>
      <c r="AI59" s="228">
        <f t="shared" si="21"/>
        <v>1.1496610169491526</v>
      </c>
      <c r="AJ59" s="316">
        <f t="shared" si="22"/>
        <v>0.16164383561643836</v>
      </c>
      <c r="AK59" s="125"/>
      <c r="AL59" s="170"/>
      <c r="AM59" s="166"/>
      <c r="AN59" s="15"/>
      <c r="AO59" s="77"/>
      <c r="AP59" s="148"/>
      <c r="AQ59" s="1543"/>
      <c r="AR59" s="143"/>
      <c r="AS59" s="52"/>
      <c r="AT59" s="1544"/>
      <c r="AU59" s="122"/>
      <c r="AV59" s="125"/>
      <c r="AW59" s="170"/>
    </row>
    <row r="60" spans="2:49" s="24" customFormat="1">
      <c r="B60" s="187">
        <v>44881</v>
      </c>
      <c r="C60" s="15">
        <v>65827</v>
      </c>
      <c r="D60" s="15">
        <v>1000</v>
      </c>
      <c r="E60" s="77">
        <v>199.1</v>
      </c>
      <c r="F60" s="662">
        <f>SUM($E$34,$E$42,$E$50,$E$58:E60)/$C$7</f>
        <v>0.74333333333333329</v>
      </c>
      <c r="G60" s="1098">
        <f t="shared" si="14"/>
        <v>1.5191334862594377E-2</v>
      </c>
      <c r="H60" s="143">
        <v>142</v>
      </c>
      <c r="I60" s="52"/>
      <c r="J60" s="52"/>
      <c r="K60" s="293">
        <f t="shared" si="26"/>
        <v>143.43873517786562</v>
      </c>
      <c r="L60" s="139">
        <f t="shared" si="48"/>
        <v>0.98996968861945434</v>
      </c>
      <c r="M60" s="225">
        <f t="shared" si="15"/>
        <v>1.402112676056338</v>
      </c>
      <c r="N60" s="561">
        <f t="shared" si="16"/>
        <v>0.14199999999999999</v>
      </c>
      <c r="O60" s="1200">
        <v>14.067045454545454</v>
      </c>
      <c r="P60" s="392">
        <v>0.67007575757575755</v>
      </c>
      <c r="Q60" s="166">
        <v>8959</v>
      </c>
      <c r="R60" s="15">
        <v>101</v>
      </c>
      <c r="S60" s="77">
        <v>26.35</v>
      </c>
      <c r="T60" s="715">
        <f t="shared" si="17"/>
        <v>1.1273579640584886E-2</v>
      </c>
      <c r="U60" s="1543">
        <v>22</v>
      </c>
      <c r="V60" s="143"/>
      <c r="W60" s="52"/>
      <c r="X60" s="312">
        <f t="shared" si="18"/>
        <v>1.1977272727272728</v>
      </c>
      <c r="Y60" s="316">
        <f t="shared" si="19"/>
        <v>0.21782178217821782</v>
      </c>
      <c r="Z60" s="123"/>
      <c r="AA60" s="168"/>
      <c r="AB60" s="166">
        <v>56868</v>
      </c>
      <c r="AC60" s="15">
        <v>899</v>
      </c>
      <c r="AD60" s="77">
        <v>172.75</v>
      </c>
      <c r="AE60" s="555">
        <f t="shared" si="20"/>
        <v>1.5808539072940844E-2</v>
      </c>
      <c r="AF60" s="1543">
        <v>120</v>
      </c>
      <c r="AG60" s="143"/>
      <c r="AH60" s="52"/>
      <c r="AI60" s="228">
        <f t="shared" si="21"/>
        <v>1.4395833333333334</v>
      </c>
      <c r="AJ60" s="316">
        <f t="shared" si="22"/>
        <v>0.13348164627363737</v>
      </c>
      <c r="AK60" s="123"/>
      <c r="AL60" s="168"/>
      <c r="AM60" s="166"/>
      <c r="AN60" s="15"/>
      <c r="AO60" s="77"/>
      <c r="AP60" s="148"/>
      <c r="AQ60" s="1543"/>
      <c r="AR60" s="143"/>
      <c r="AS60" s="52"/>
      <c r="AT60" s="1544"/>
      <c r="AU60" s="123"/>
      <c r="AV60" s="123"/>
      <c r="AW60" s="168"/>
    </row>
    <row r="61" spans="2:49" s="26" customFormat="1">
      <c r="B61" s="187">
        <v>44882</v>
      </c>
      <c r="C61" s="15">
        <v>99442</v>
      </c>
      <c r="D61" s="15">
        <v>1776</v>
      </c>
      <c r="E61" s="77">
        <v>361</v>
      </c>
      <c r="F61" s="662">
        <f>SUM($E$34,$E$42,$E$50,$E$58:E61)/$C$7</f>
        <v>0.77649214659685861</v>
      </c>
      <c r="G61" s="1098">
        <f t="shared" si="14"/>
        <v>1.7859656885420648E-2</v>
      </c>
      <c r="H61" s="143">
        <v>317</v>
      </c>
      <c r="I61" s="52"/>
      <c r="J61" s="52"/>
      <c r="K61" s="293">
        <f t="shared" si="26"/>
        <v>143.43873517786562</v>
      </c>
      <c r="L61" s="139">
        <f t="shared" si="48"/>
        <v>2.2100027555800494</v>
      </c>
      <c r="M61" s="225">
        <f t="shared" si="15"/>
        <v>1.138801261829653</v>
      </c>
      <c r="N61" s="561">
        <f t="shared" si="16"/>
        <v>0.178490990990991</v>
      </c>
      <c r="O61" s="1200">
        <v>22.108969029307836</v>
      </c>
      <c r="P61" s="392">
        <v>0.75275410517563912</v>
      </c>
      <c r="Q61" s="166">
        <v>6916</v>
      </c>
      <c r="R61" s="15">
        <v>125</v>
      </c>
      <c r="S61" s="77">
        <v>26.55</v>
      </c>
      <c r="T61" s="715">
        <f t="shared" si="17"/>
        <v>1.8074031231925969E-2</v>
      </c>
      <c r="U61" s="1543">
        <v>34</v>
      </c>
      <c r="V61" s="143"/>
      <c r="W61" s="52"/>
      <c r="X61" s="312">
        <f t="shared" si="18"/>
        <v>0.78088235294117647</v>
      </c>
      <c r="Y61" s="316">
        <f t="shared" si="19"/>
        <v>0.27200000000000002</v>
      </c>
      <c r="Z61" s="124"/>
      <c r="AA61" s="169"/>
      <c r="AB61" s="166">
        <v>92526</v>
      </c>
      <c r="AC61" s="15">
        <v>1651</v>
      </c>
      <c r="AD61" s="77">
        <v>334.45</v>
      </c>
      <c r="AE61" s="555">
        <f t="shared" si="20"/>
        <v>1.7843633140954974E-2</v>
      </c>
      <c r="AF61" s="1543">
        <v>283</v>
      </c>
      <c r="AG61" s="143"/>
      <c r="AH61" s="52"/>
      <c r="AI61" s="228">
        <f t="shared" si="21"/>
        <v>1.1818021201413427</v>
      </c>
      <c r="AJ61" s="316">
        <f t="shared" si="22"/>
        <v>0.17141126589945488</v>
      </c>
      <c r="AK61" s="124"/>
      <c r="AL61" s="169"/>
      <c r="AM61" s="166"/>
      <c r="AN61" s="15"/>
      <c r="AO61" s="77"/>
      <c r="AP61" s="148"/>
      <c r="AQ61" s="1543"/>
      <c r="AR61" s="143"/>
      <c r="AS61" s="52"/>
      <c r="AT61" s="1544"/>
      <c r="AU61" s="124"/>
      <c r="AV61" s="124"/>
      <c r="AW61" s="169"/>
    </row>
    <row r="62" spans="2:49">
      <c r="B62" s="189">
        <v>44883</v>
      </c>
      <c r="C62" s="15">
        <v>122591</v>
      </c>
      <c r="D62" s="15">
        <v>1980</v>
      </c>
      <c r="E62" s="77">
        <v>459.12</v>
      </c>
      <c r="F62" s="662">
        <f>SUM($E$34,$E$42,$E$50,$E$58:E62)/$C$7</f>
        <v>0.81866354367594385</v>
      </c>
      <c r="G62" s="1098">
        <f t="shared" si="14"/>
        <v>1.6151267221900467E-2</v>
      </c>
      <c r="H62" s="143">
        <v>370</v>
      </c>
      <c r="I62" s="52"/>
      <c r="J62" s="52"/>
      <c r="K62" s="293">
        <f t="shared" si="26"/>
        <v>143.43873517786562</v>
      </c>
      <c r="L62" s="139">
        <f t="shared" si="48"/>
        <v>2.5794984844309727</v>
      </c>
      <c r="M62" s="225">
        <f t="shared" si="15"/>
        <v>1.2408648648648648</v>
      </c>
      <c r="N62" s="561">
        <f t="shared" si="16"/>
        <v>0.18686868686868688</v>
      </c>
      <c r="O62" s="1200">
        <v>23.764393939393937</v>
      </c>
      <c r="P62" s="392">
        <v>0.7439393939393939</v>
      </c>
      <c r="Q62" s="166">
        <v>8610</v>
      </c>
      <c r="R62" s="15">
        <v>162</v>
      </c>
      <c r="S62" s="77">
        <v>36.26</v>
      </c>
      <c r="T62" s="715">
        <f t="shared" si="17"/>
        <v>1.8815331010452963E-2</v>
      </c>
      <c r="U62" s="1543">
        <v>40</v>
      </c>
      <c r="V62" s="143"/>
      <c r="W62" s="52"/>
      <c r="X62" s="312">
        <f t="shared" si="18"/>
        <v>0.90649999999999997</v>
      </c>
      <c r="Y62" s="316">
        <f t="shared" si="19"/>
        <v>0.24691358024691357</v>
      </c>
      <c r="Z62" s="125"/>
      <c r="AA62" s="170"/>
      <c r="AB62" s="166">
        <v>113981</v>
      </c>
      <c r="AC62" s="15">
        <v>1818</v>
      </c>
      <c r="AD62" s="77">
        <v>422.86</v>
      </c>
      <c r="AE62" s="555">
        <f t="shared" si="20"/>
        <v>1.5950026758845774E-2</v>
      </c>
      <c r="AF62" s="1543">
        <v>330</v>
      </c>
      <c r="AG62" s="143"/>
      <c r="AH62" s="52"/>
      <c r="AI62" s="228">
        <f t="shared" si="21"/>
        <v>1.2813939393939395</v>
      </c>
      <c r="AJ62" s="316">
        <f t="shared" si="22"/>
        <v>0.18151815181518152</v>
      </c>
      <c r="AK62" s="125"/>
      <c r="AL62" s="170"/>
      <c r="AM62" s="166"/>
      <c r="AN62" s="15"/>
      <c r="AO62" s="77"/>
      <c r="AP62" s="148"/>
      <c r="AQ62" s="1543"/>
      <c r="AR62" s="143"/>
      <c r="AS62" s="52"/>
      <c r="AT62" s="1544"/>
      <c r="AU62" s="125"/>
      <c r="AV62" s="125"/>
      <c r="AW62" s="170"/>
    </row>
    <row r="63" spans="2:49">
      <c r="B63" s="189">
        <v>44884</v>
      </c>
      <c r="C63" s="15">
        <v>130580</v>
      </c>
      <c r="D63" s="15">
        <v>2166</v>
      </c>
      <c r="E63" s="77">
        <v>468.2</v>
      </c>
      <c r="F63" s="662">
        <f>SUM($E$34,$E$42,$E$50,$E$58:E63)/$C$7</f>
        <v>0.86166896298337481</v>
      </c>
      <c r="G63" s="1098">
        <f t="shared" si="14"/>
        <v>1.6587532547097564E-2</v>
      </c>
      <c r="H63" s="143">
        <v>356</v>
      </c>
      <c r="I63" s="52"/>
      <c r="J63" s="52"/>
      <c r="K63" s="293">
        <f t="shared" si="26"/>
        <v>143.43873517786562</v>
      </c>
      <c r="L63" s="139">
        <f t="shared" si="48"/>
        <v>2.481895839074125</v>
      </c>
      <c r="M63" s="225">
        <f t="shared" si="15"/>
        <v>1.3151685393258428</v>
      </c>
      <c r="N63" s="561">
        <f t="shared" si="16"/>
        <v>0.16435826408125578</v>
      </c>
      <c r="O63" s="1200">
        <v>28.993929359823401</v>
      </c>
      <c r="P63" s="392">
        <v>0.70480745646308551</v>
      </c>
      <c r="Q63" s="166">
        <v>16585</v>
      </c>
      <c r="R63" s="15">
        <v>292</v>
      </c>
      <c r="S63" s="77">
        <v>65.680000000000007</v>
      </c>
      <c r="T63" s="715">
        <f t="shared" si="17"/>
        <v>1.7606270726560146E-2</v>
      </c>
      <c r="U63" s="1543">
        <v>54</v>
      </c>
      <c r="V63" s="143"/>
      <c r="W63" s="52"/>
      <c r="X63" s="312">
        <f t="shared" si="18"/>
        <v>1.2162962962962964</v>
      </c>
      <c r="Y63" s="316">
        <f t="shared" si="19"/>
        <v>0.18493150684931506</v>
      </c>
      <c r="Z63" s="125"/>
      <c r="AA63" s="170"/>
      <c r="AB63" s="166">
        <v>113995</v>
      </c>
      <c r="AC63" s="15">
        <v>1874</v>
      </c>
      <c r="AD63" s="77">
        <v>402.52</v>
      </c>
      <c r="AE63" s="555">
        <f t="shared" si="20"/>
        <v>1.6439317513926049E-2</v>
      </c>
      <c r="AF63" s="1543">
        <v>302</v>
      </c>
      <c r="AG63" s="143"/>
      <c r="AH63" s="52"/>
      <c r="AI63" s="228">
        <f t="shared" si="21"/>
        <v>1.3328476821192052</v>
      </c>
      <c r="AJ63" s="316">
        <f t="shared" si="22"/>
        <v>0.16115261472785486</v>
      </c>
      <c r="AK63" s="125"/>
      <c r="AL63" s="170"/>
      <c r="AM63" s="166"/>
      <c r="AN63" s="15"/>
      <c r="AO63" s="77"/>
      <c r="AP63" s="148"/>
      <c r="AQ63" s="1543"/>
      <c r="AR63" s="143"/>
      <c r="AS63" s="52"/>
      <c r="AT63" s="1544"/>
      <c r="AU63" s="125"/>
      <c r="AV63" s="125"/>
      <c r="AW63" s="170"/>
    </row>
    <row r="64" spans="2:49">
      <c r="B64" s="187">
        <v>44885</v>
      </c>
      <c r="C64" s="15">
        <v>99265</v>
      </c>
      <c r="D64" s="15">
        <v>1755</v>
      </c>
      <c r="E64" s="77">
        <v>364.43</v>
      </c>
      <c r="F64" s="662">
        <f>SUM($E$34,$E$42,$E$50,$E$58:E64)/$C$7</f>
        <v>0.89514283089923785</v>
      </c>
      <c r="G64" s="1098">
        <f t="shared" si="14"/>
        <v>1.7679947614970031E-2</v>
      </c>
      <c r="H64" s="143">
        <v>246</v>
      </c>
      <c r="I64" s="52"/>
      <c r="J64" s="52"/>
      <c r="K64" s="293">
        <f t="shared" si="26"/>
        <v>143.43873517786562</v>
      </c>
      <c r="L64" s="139">
        <f t="shared" si="48"/>
        <v>1.7150179112703223</v>
      </c>
      <c r="M64" s="225">
        <f t="shared" si="15"/>
        <v>1.4814227642276423</v>
      </c>
      <c r="N64" s="561">
        <f t="shared" si="16"/>
        <v>0.14017094017094017</v>
      </c>
      <c r="O64" s="687">
        <v>27.170799595141698</v>
      </c>
      <c r="P64" s="392">
        <v>0.73127530364372473</v>
      </c>
      <c r="Q64" s="166">
        <v>11544</v>
      </c>
      <c r="R64" s="15">
        <v>223</v>
      </c>
      <c r="S64" s="77">
        <v>48.93</v>
      </c>
      <c r="T64" s="715">
        <f t="shared" si="17"/>
        <v>1.9317394317394317E-2</v>
      </c>
      <c r="U64" s="1543">
        <v>38</v>
      </c>
      <c r="V64" s="143"/>
      <c r="W64" s="52"/>
      <c r="X64" s="312">
        <f t="shared" si="18"/>
        <v>1.2876315789473685</v>
      </c>
      <c r="Y64" s="316">
        <f t="shared" si="19"/>
        <v>0.17040358744394618</v>
      </c>
      <c r="Z64" s="125"/>
      <c r="AA64" s="170"/>
      <c r="AB64" s="166">
        <v>87721</v>
      </c>
      <c r="AC64" s="15">
        <v>1532</v>
      </c>
      <c r="AD64" s="77">
        <v>315.5</v>
      </c>
      <c r="AE64" s="555">
        <f t="shared" si="20"/>
        <v>1.7464461189452926E-2</v>
      </c>
      <c r="AF64" s="1543">
        <v>208</v>
      </c>
      <c r="AG64" s="143"/>
      <c r="AH64" s="52"/>
      <c r="AI64" s="228">
        <f t="shared" si="21"/>
        <v>1.5168269230769231</v>
      </c>
      <c r="AJ64" s="316">
        <f t="shared" si="22"/>
        <v>0.13577023498694518</v>
      </c>
      <c r="AK64" s="125"/>
      <c r="AL64" s="170"/>
      <c r="AM64" s="166"/>
      <c r="AN64" s="15"/>
      <c r="AO64" s="77"/>
      <c r="AP64" s="148"/>
      <c r="AQ64" s="1543"/>
      <c r="AR64" s="143"/>
      <c r="AS64" s="52"/>
      <c r="AT64" s="1544"/>
      <c r="AU64" s="125"/>
      <c r="AV64" s="125"/>
      <c r="AW64" s="170"/>
    </row>
    <row r="65" spans="2:49">
      <c r="B65" s="187">
        <v>44886</v>
      </c>
      <c r="C65" s="15">
        <v>86805</v>
      </c>
      <c r="D65" s="15">
        <v>1617</v>
      </c>
      <c r="E65" s="77">
        <v>334.5</v>
      </c>
      <c r="F65" s="662">
        <f>SUM($E$34,$E$42,$E$50,$E$58:E65)/$C$7</f>
        <v>0.9258675484522827</v>
      </c>
      <c r="G65" s="1098">
        <f t="shared" si="14"/>
        <v>1.8627959218939002E-2</v>
      </c>
      <c r="H65" s="143">
        <v>198</v>
      </c>
      <c r="I65" s="52"/>
      <c r="J65" s="52"/>
      <c r="K65" s="293">
        <f t="shared" si="26"/>
        <v>143.43873517786562</v>
      </c>
      <c r="L65" s="139">
        <f t="shared" si="48"/>
        <v>1.3803802700468448</v>
      </c>
      <c r="M65" s="225">
        <f t="shared" si="15"/>
        <v>1.6893939393939394</v>
      </c>
      <c r="N65" s="561">
        <f t="shared" si="16"/>
        <v>0.12244897959183673</v>
      </c>
      <c r="O65" s="687">
        <v>17.273319327731095</v>
      </c>
      <c r="P65" s="392">
        <v>0.79642857142857149</v>
      </c>
      <c r="Q65" s="166">
        <v>10487</v>
      </c>
      <c r="R65" s="15">
        <v>194</v>
      </c>
      <c r="S65" s="77">
        <v>43.66</v>
      </c>
      <c r="T65" s="715">
        <f t="shared" si="17"/>
        <v>1.8499094116525221E-2</v>
      </c>
      <c r="U65" s="1543">
        <v>28</v>
      </c>
      <c r="V65" s="143"/>
      <c r="W65" s="52"/>
      <c r="X65" s="312">
        <f t="shared" si="18"/>
        <v>1.5592857142857142</v>
      </c>
      <c r="Y65" s="316">
        <f t="shared" si="19"/>
        <v>0.14432989690721648</v>
      </c>
      <c r="Z65" s="125"/>
      <c r="AA65" s="170"/>
      <c r="AB65" s="166">
        <v>76318</v>
      </c>
      <c r="AC65" s="15">
        <v>1423</v>
      </c>
      <c r="AD65" s="77">
        <v>290.83999999999997</v>
      </c>
      <c r="AE65" s="555">
        <f t="shared" si="20"/>
        <v>1.8645666815168112E-2</v>
      </c>
      <c r="AF65" s="1543">
        <v>170</v>
      </c>
      <c r="AG65" s="143"/>
      <c r="AH65" s="52"/>
      <c r="AI65" s="228">
        <f t="shared" si="21"/>
        <v>1.7108235294117646</v>
      </c>
      <c r="AJ65" s="316">
        <f t="shared" si="22"/>
        <v>0.11946591707659873</v>
      </c>
      <c r="AK65" s="125"/>
      <c r="AL65" s="170"/>
      <c r="AM65" s="166"/>
      <c r="AN65" s="15"/>
      <c r="AO65" s="77"/>
      <c r="AP65" s="148"/>
      <c r="AQ65" s="1543"/>
      <c r="AR65" s="143"/>
      <c r="AS65" s="52"/>
      <c r="AT65" s="1544"/>
      <c r="AU65" s="125"/>
      <c r="AV65" s="125"/>
      <c r="AW65" s="170"/>
    </row>
    <row r="66" spans="2:49">
      <c r="B66" s="190" t="s">
        <v>160</v>
      </c>
      <c r="C66" s="298">
        <f>SUM(C59:C65)</f>
        <v>623225</v>
      </c>
      <c r="D66" s="298">
        <f>SUM(D59:D65)</f>
        <v>10687</v>
      </c>
      <c r="E66" s="479">
        <f>SUM(E59:E65)</f>
        <v>2260.52</v>
      </c>
      <c r="F66" s="599">
        <f>SUM($E$34,$E$42,$E$50,$E$58,E66)/$C$7</f>
        <v>0.92586754845228258</v>
      </c>
      <c r="G66" s="550">
        <f t="shared" ref="G66" si="59">D66/C66</f>
        <v>1.7147900036102531E-2</v>
      </c>
      <c r="H66" s="121">
        <f>SUM(H59:H65)</f>
        <v>1696</v>
      </c>
      <c r="I66" s="27"/>
      <c r="J66" s="27"/>
      <c r="K66" s="27">
        <f>SUM(K59:K65)</f>
        <v>1004.0711462450594</v>
      </c>
      <c r="L66" s="140">
        <f>H66/K66</f>
        <v>1.6891233318899341</v>
      </c>
      <c r="M66" s="237">
        <f t="shared" ref="M66:M69" si="60">E66/H66</f>
        <v>1.3328537735849058</v>
      </c>
      <c r="N66" s="317">
        <f t="shared" ref="N66:N69" si="61">H66/D66</f>
        <v>0.1586974829231777</v>
      </c>
      <c r="O66" s="682">
        <f>AVERAGE(O59:O65)</f>
        <v>20.299979287289737</v>
      </c>
      <c r="P66" s="317">
        <f>AVERAGE(P59:P65)</f>
        <v>0.74544807434708027</v>
      </c>
      <c r="Q66" s="164">
        <f>SUM(Q59:Q65)</f>
        <v>64754</v>
      </c>
      <c r="R66" s="27">
        <f>SUM(R59:R65)</f>
        <v>1125</v>
      </c>
      <c r="S66" s="479">
        <f>SUM(S59:S65)</f>
        <v>253.77</v>
      </c>
      <c r="T66" s="550">
        <f t="shared" ref="T66" si="62">R66/Q66</f>
        <v>1.7373444111560676E-2</v>
      </c>
      <c r="U66" s="551">
        <f>SUM(U59:U65)</f>
        <v>224</v>
      </c>
      <c r="V66" s="298"/>
      <c r="W66" s="298"/>
      <c r="X66" s="552">
        <f t="shared" ref="X66:X69" si="63">S66/U66</f>
        <v>1.1329017857142858</v>
      </c>
      <c r="Y66" s="550">
        <f t="shared" ref="Y66:Y69" si="64">U66/R66</f>
        <v>0.1991111111111111</v>
      </c>
      <c r="Z66" s="130"/>
      <c r="AA66" s="165"/>
      <c r="AB66" s="164">
        <f>SUM(AB59:AB65)</f>
        <v>558471</v>
      </c>
      <c r="AC66" s="27">
        <f>SUM(AC59:AC65)</f>
        <v>9562</v>
      </c>
      <c r="AD66" s="74">
        <f>SUM(AD59:AD65)</f>
        <v>2006.7499999999998</v>
      </c>
      <c r="AE66" s="550">
        <f t="shared" ref="AE66" si="65">AC66/AB66</f>
        <v>1.7121748488283187E-2</v>
      </c>
      <c r="AF66" s="551">
        <f>SUM(AF59:AF65)</f>
        <v>1472</v>
      </c>
      <c r="AG66" s="298"/>
      <c r="AH66" s="298"/>
      <c r="AI66" s="552">
        <f t="shared" ref="AI66:AI69" si="66">AD66/AF66</f>
        <v>1.3632812499999998</v>
      </c>
      <c r="AJ66" s="550">
        <f t="shared" ref="AJ66:AJ69" si="67">AF66/AC66</f>
        <v>0.15394268981384648</v>
      </c>
      <c r="AK66" s="130"/>
      <c r="AL66" s="165"/>
      <c r="AM66" s="164">
        <f>SUM(AM59:AM65)</f>
        <v>0</v>
      </c>
      <c r="AN66" s="27">
        <f>SUM(AN59:AN65)</f>
        <v>0</v>
      </c>
      <c r="AO66" s="74">
        <f>SUM(AO59:AO65)</f>
        <v>0</v>
      </c>
      <c r="AP66" s="550" t="e">
        <f t="shared" ref="AP66" si="68">AN66/AM66</f>
        <v>#DIV/0!</v>
      </c>
      <c r="AQ66" s="551">
        <f>SUM(AQ59:AQ65)</f>
        <v>0</v>
      </c>
      <c r="AR66" s="298"/>
      <c r="AS66" s="298"/>
      <c r="AT66" s="552" t="e">
        <f t="shared" ref="AT66" si="69">AO66/AQ66</f>
        <v>#DIV/0!</v>
      </c>
      <c r="AU66" s="900" t="e">
        <f t="shared" ref="AU66" si="70">AQ66/AN66</f>
        <v>#DIV/0!</v>
      </c>
      <c r="AV66" s="126"/>
      <c r="AW66" s="171"/>
    </row>
    <row r="67" spans="2:49">
      <c r="B67" s="187">
        <v>44887</v>
      </c>
      <c r="C67" s="15">
        <v>75447</v>
      </c>
      <c r="D67" s="15">
        <v>1166</v>
      </c>
      <c r="E67" s="77">
        <v>315.07</v>
      </c>
      <c r="F67" s="662">
        <f>SUM($E$34,$E$42,$E$50,$E$58,$E$66:E67)/$C$7</f>
        <v>0.9548075686598696</v>
      </c>
      <c r="G67" s="1098">
        <f t="shared" si="14"/>
        <v>1.5454557503943166E-2</v>
      </c>
      <c r="H67" s="143">
        <v>424</v>
      </c>
      <c r="I67" s="52"/>
      <c r="J67" s="52"/>
      <c r="K67" s="293">
        <f t="shared" si="26"/>
        <v>143.43873517786562</v>
      </c>
      <c r="L67" s="1758">
        <f t="shared" ref="L67:L69" si="71">H67/K67</f>
        <v>2.9559658308073846</v>
      </c>
      <c r="M67" s="225">
        <f t="shared" si="60"/>
        <v>0.74308962264150946</v>
      </c>
      <c r="N67" s="561">
        <f t="shared" si="61"/>
        <v>0.36363636363636365</v>
      </c>
      <c r="O67" s="687">
        <v>20.726084183673468</v>
      </c>
      <c r="P67" s="392">
        <v>0.71843112244897966</v>
      </c>
      <c r="Q67" s="166">
        <v>4360</v>
      </c>
      <c r="R67" s="15">
        <v>123</v>
      </c>
      <c r="S67" s="77">
        <v>20.71</v>
      </c>
      <c r="T67" s="715">
        <f t="shared" si="17"/>
        <v>2.8211009174311928E-2</v>
      </c>
      <c r="U67" s="1543">
        <v>32</v>
      </c>
      <c r="V67" s="143"/>
      <c r="W67" s="52"/>
      <c r="X67" s="312">
        <f t="shared" si="63"/>
        <v>0.64718750000000003</v>
      </c>
      <c r="Y67" s="316">
        <f t="shared" si="64"/>
        <v>0.26016260162601629</v>
      </c>
      <c r="Z67" s="125"/>
      <c r="AA67" s="170"/>
      <c r="AB67" s="166">
        <v>71087</v>
      </c>
      <c r="AC67" s="15">
        <v>1043</v>
      </c>
      <c r="AD67" s="77">
        <v>294.36</v>
      </c>
      <c r="AE67" s="555">
        <f t="shared" si="20"/>
        <v>1.467216228002307E-2</v>
      </c>
      <c r="AF67" s="1543">
        <v>392</v>
      </c>
      <c r="AG67" s="143"/>
      <c r="AH67" s="52"/>
      <c r="AI67" s="228">
        <f t="shared" si="66"/>
        <v>0.75091836734693884</v>
      </c>
      <c r="AJ67" s="316">
        <f t="shared" si="67"/>
        <v>0.37583892617449666</v>
      </c>
      <c r="AK67" s="125"/>
      <c r="AL67" s="170"/>
      <c r="AM67" s="166"/>
      <c r="AN67" s="15"/>
      <c r="AO67" s="77"/>
      <c r="AP67" s="148"/>
      <c r="AQ67" s="1543"/>
      <c r="AR67" s="143"/>
      <c r="AS67" s="52"/>
      <c r="AT67" s="1544"/>
      <c r="AU67" s="125"/>
      <c r="AV67" s="125"/>
      <c r="AW67" s="170"/>
    </row>
    <row r="68" spans="2:49">
      <c r="B68" s="187">
        <v>44888</v>
      </c>
      <c r="C68" s="15">
        <v>60588</v>
      </c>
      <c r="D68" s="15">
        <v>1087</v>
      </c>
      <c r="E68" s="77">
        <v>297.88</v>
      </c>
      <c r="F68" s="662">
        <f>SUM($E$34,$E$42,$E$50,$E$58,$E$66:E68)/$C$7</f>
        <v>0.98216864149903549</v>
      </c>
      <c r="G68" s="1098">
        <f t="shared" si="14"/>
        <v>1.7940846372218922E-2</v>
      </c>
      <c r="H68" s="143">
        <v>452</v>
      </c>
      <c r="I68" s="52"/>
      <c r="J68" s="52"/>
      <c r="K68" s="293">
        <f t="shared" si="26"/>
        <v>143.43873517786562</v>
      </c>
      <c r="L68" s="1758">
        <f t="shared" si="71"/>
        <v>3.15117112152108</v>
      </c>
      <c r="M68" s="225">
        <f t="shared" si="60"/>
        <v>0.65902654867256638</v>
      </c>
      <c r="N68" s="561">
        <f t="shared" si="61"/>
        <v>0.41582336706531736</v>
      </c>
      <c r="O68" s="687">
        <v>19.933962878541191</v>
      </c>
      <c r="P68" s="392">
        <v>0.74929990231195054</v>
      </c>
      <c r="Q68" s="166">
        <v>3565</v>
      </c>
      <c r="R68" s="15">
        <v>109</v>
      </c>
      <c r="S68" s="77">
        <v>21.3</v>
      </c>
      <c r="T68" s="715">
        <f t="shared" si="17"/>
        <v>3.0575035063113605E-2</v>
      </c>
      <c r="U68" s="1543">
        <v>37</v>
      </c>
      <c r="V68" s="143"/>
      <c r="W68" s="52"/>
      <c r="X68" s="312">
        <f t="shared" si="63"/>
        <v>0.57567567567567568</v>
      </c>
      <c r="Y68" s="316">
        <f t="shared" si="64"/>
        <v>0.33944954128440369</v>
      </c>
      <c r="Z68" s="125"/>
      <c r="AA68" s="170"/>
      <c r="AB68" s="166">
        <v>57023</v>
      </c>
      <c r="AC68" s="15">
        <v>978</v>
      </c>
      <c r="AD68" s="77">
        <v>276.58</v>
      </c>
      <c r="AE68" s="555">
        <f t="shared" si="20"/>
        <v>1.7150974168318046E-2</v>
      </c>
      <c r="AF68" s="1543">
        <v>415</v>
      </c>
      <c r="AG68" s="143"/>
      <c r="AH68" s="52"/>
      <c r="AI68" s="228">
        <f t="shared" si="66"/>
        <v>0.66645783132530112</v>
      </c>
      <c r="AJ68" s="316">
        <f t="shared" si="67"/>
        <v>0.42433537832310836</v>
      </c>
      <c r="AK68" s="125"/>
      <c r="AL68" s="170"/>
      <c r="AM68" s="166"/>
      <c r="AN68" s="15"/>
      <c r="AO68" s="77"/>
      <c r="AP68" s="148"/>
      <c r="AQ68" s="1543"/>
      <c r="AR68" s="143"/>
      <c r="AS68" s="52"/>
      <c r="AT68" s="1544"/>
      <c r="AU68" s="125"/>
      <c r="AV68" s="125"/>
      <c r="AW68" s="170"/>
    </row>
    <row r="69" spans="2:49">
      <c r="B69" s="187">
        <v>44889</v>
      </c>
      <c r="C69" s="15">
        <v>37060</v>
      </c>
      <c r="D69" s="15">
        <v>697</v>
      </c>
      <c r="E69" s="77">
        <v>194.97</v>
      </c>
      <c r="F69" s="662">
        <f>SUM($E$34,$E$42,$E$50,$E$58,$E$66:E69)/$C$7</f>
        <v>1.0000771562413886</v>
      </c>
      <c r="G69" s="1098">
        <f t="shared" si="14"/>
        <v>1.8807339449541285E-2</v>
      </c>
      <c r="H69" s="143">
        <v>257</v>
      </c>
      <c r="I69" s="52"/>
      <c r="J69" s="52"/>
      <c r="K69" s="293">
        <f t="shared" si="26"/>
        <v>143.43873517786562</v>
      </c>
      <c r="L69" s="1758">
        <f t="shared" si="71"/>
        <v>1.7917057040507025</v>
      </c>
      <c r="M69" s="225">
        <f t="shared" si="60"/>
        <v>0.75863813229571986</v>
      </c>
      <c r="N69" s="561">
        <f t="shared" si="61"/>
        <v>0.36872309899569583</v>
      </c>
      <c r="O69" s="687">
        <v>34.063318777292579</v>
      </c>
      <c r="P69" s="392">
        <v>0.7181846537741734</v>
      </c>
      <c r="Q69" s="166">
        <v>2605</v>
      </c>
      <c r="R69" s="15">
        <v>84</v>
      </c>
      <c r="S69" s="77">
        <v>16.23</v>
      </c>
      <c r="T69" s="715">
        <f t="shared" si="17"/>
        <v>3.2245681381957776E-2</v>
      </c>
      <c r="U69" s="1543">
        <v>28</v>
      </c>
      <c r="V69" s="143"/>
      <c r="W69" s="52"/>
      <c r="X69" s="312">
        <f t="shared" si="63"/>
        <v>0.57964285714285713</v>
      </c>
      <c r="Y69" s="316">
        <f t="shared" si="64"/>
        <v>0.33333333333333331</v>
      </c>
      <c r="Z69" s="125"/>
      <c r="AA69" s="170"/>
      <c r="AB69" s="166">
        <v>34455</v>
      </c>
      <c r="AC69" s="15">
        <v>613</v>
      </c>
      <c r="AD69" s="77">
        <v>178.74</v>
      </c>
      <c r="AE69" s="555">
        <f t="shared" si="20"/>
        <v>1.7791322014221449E-2</v>
      </c>
      <c r="AF69" s="1543">
        <v>229</v>
      </c>
      <c r="AG69" s="143"/>
      <c r="AH69" s="52"/>
      <c r="AI69" s="228">
        <f t="shared" si="66"/>
        <v>0.78052401746724898</v>
      </c>
      <c r="AJ69" s="316">
        <f t="shared" si="67"/>
        <v>0.37357259380097879</v>
      </c>
      <c r="AK69" s="125"/>
      <c r="AL69" s="170"/>
      <c r="AM69" s="166"/>
      <c r="AN69" s="15"/>
      <c r="AO69" s="77"/>
      <c r="AP69" s="148"/>
      <c r="AQ69" s="1543"/>
      <c r="AR69" s="143"/>
      <c r="AS69" s="52"/>
      <c r="AT69" s="1544"/>
      <c r="AU69" s="125"/>
      <c r="AV69" s="125"/>
      <c r="AW69" s="170"/>
    </row>
    <row r="70" spans="2:49" ht="16.2" thickBot="1">
      <c r="B70" s="191" t="s">
        <v>36</v>
      </c>
      <c r="C70" s="173">
        <f>SUM(C34,C42,C50,C58,C66:C69,)</f>
        <v>3135463</v>
      </c>
      <c r="D70" s="173">
        <f>SUM(D34,D42,D50,D58,D66:D69,)</f>
        <v>51606</v>
      </c>
      <c r="E70" s="174">
        <f>SUM(E34,E42,E50,E58,E66:E69,)</f>
        <v>10887.839999999998</v>
      </c>
      <c r="F70" s="615">
        <f>E70/C7</f>
        <v>1.0000771562413886</v>
      </c>
      <c r="G70" s="180">
        <f>D70/C70</f>
        <v>1.645881325979608E-2</v>
      </c>
      <c r="H70" s="176">
        <f>SUM(H34,H42,H50,H58,H66:H69)</f>
        <v>12030</v>
      </c>
      <c r="I70" s="181"/>
      <c r="J70" s="181"/>
      <c r="K70" s="181">
        <f>SUM(K34,K42,K50,K58,K66:K69)</f>
        <v>5450.6719367588948</v>
      </c>
      <c r="L70" s="192">
        <f>H70/K70</f>
        <v>2.2070673376745797</v>
      </c>
      <c r="M70" s="970">
        <f>E70/H70</f>
        <v>0.90505735660847864</v>
      </c>
      <c r="N70" s="182">
        <f>H70/D70</f>
        <v>0.23311242878735031</v>
      </c>
      <c r="O70" s="692">
        <f>AVERAGE(O27:O33,O35:O41,O43:O49,O51:O57,O59:O65,O67:O69)</f>
        <v>26.970075435949113</v>
      </c>
      <c r="P70" s="982">
        <f>AVERAGE(P27:P33,P35:P41,P43:P49,P51:P57,P59:P62)</f>
        <v>0.78788110034407322</v>
      </c>
      <c r="Q70" s="173">
        <f>SUM(Q34,Q42,Q50,Q58,Q66:Q69,)</f>
        <v>251623</v>
      </c>
      <c r="R70" s="173">
        <f>SUM(R34,R42,R50,R58,R66:R69,)</f>
        <v>4498</v>
      </c>
      <c r="S70" s="174">
        <f>SUM(S34,S42,S50,S58,S66:S69,)</f>
        <v>968.34999999999991</v>
      </c>
      <c r="T70" s="180">
        <f>R70/Q70</f>
        <v>1.7875949336904815E-2</v>
      </c>
      <c r="U70" s="1546">
        <f>SUM(U34,U42,U50,U58,U66:U69,)</f>
        <v>1257</v>
      </c>
      <c r="V70" s="176" t="e">
        <f>SUM(V34,V42,V50,V58,V66,#REF!,#REF!,#REF!,#REF!)</f>
        <v>#REF!</v>
      </c>
      <c r="W70" s="173" t="e">
        <f>SUM(W34,W42,W50,W58,W66,#REF!,#REF!,#REF!,#REF!)</f>
        <v>#REF!</v>
      </c>
      <c r="X70" s="1548">
        <f>S70/U70</f>
        <v>0.77036595067621316</v>
      </c>
      <c r="Y70" s="1549">
        <f>U70/R70</f>
        <v>0.27945753668297019</v>
      </c>
      <c r="Z70" s="173" t="e">
        <f>SUM(Z34,Z42,Z50,Z58,Z66,#REF!,#REF!,#REF!,#REF!)</f>
        <v>#REF!</v>
      </c>
      <c r="AA70" s="177" t="e">
        <f>SUM(AA34,AA42,AA50,AA58,AA66,#REF!,#REF!,#REF!,#REF!)</f>
        <v>#REF!</v>
      </c>
      <c r="AB70" s="173">
        <f>SUM(AB34,AB42,AB50,AB58,AB66:AB69,)</f>
        <v>2883840</v>
      </c>
      <c r="AC70" s="173">
        <f>SUM(AC34,AC42,AC50,AC58,AC66:AC69,)</f>
        <v>47108</v>
      </c>
      <c r="AD70" s="174">
        <f>SUM(AD34,AD42,AD50,AD58,AD66:AD69,)</f>
        <v>9919.49</v>
      </c>
      <c r="AE70" s="180">
        <f>AC70/AB70</f>
        <v>1.6335164225477143E-2</v>
      </c>
      <c r="AF70" s="1546">
        <f>SUM(AF34,AF42,AF50,AF58,AF66:AF69,)</f>
        <v>10773</v>
      </c>
      <c r="AG70" s="176" t="e">
        <f>SUM(AG34,AG42,AG50,AG58,AG66,#REF!,#REF!,#REF!,#REF!)</f>
        <v>#REF!</v>
      </c>
      <c r="AH70" s="173" t="e">
        <f>SUM(AH34,AH42,AH50,AH58,AH66,#REF!,#REF!,#REF!,#REF!)</f>
        <v>#REF!</v>
      </c>
      <c r="AI70" s="1548">
        <f>AD70/AF70</f>
        <v>0.92077322936972061</v>
      </c>
      <c r="AJ70" s="1547">
        <f>AF70/AC70</f>
        <v>0.22868727180096798</v>
      </c>
      <c r="AK70" s="173" t="e">
        <f>SUM(AK34,AK42,AK50,AK58,AK66,#REF!,#REF!,#REF!,#REF!)</f>
        <v>#REF!</v>
      </c>
      <c r="AL70" s="177" t="e">
        <f>SUM(AL34,AL42,AL50,AL58,AL66,#REF!,#REF!,#REF!,#REF!)</f>
        <v>#REF!</v>
      </c>
      <c r="AM70" s="172">
        <f>SUM(AM34,AM42,AM50,AM58,AM66)</f>
        <v>0</v>
      </c>
      <c r="AN70" s="173">
        <f>SUM(AN34,AN42,AN50,AN58,AN66)</f>
        <v>0</v>
      </c>
      <c r="AO70" s="174">
        <f>SUM(AO34,AO42,AO50,AO58,AO66)</f>
        <v>0</v>
      </c>
      <c r="AP70" s="180" t="e">
        <f>AN70/AM70</f>
        <v>#DIV/0!</v>
      </c>
      <c r="AQ70" s="1546">
        <f>SUM(AQ34,AQ42,AQ50,AQ58,AQ66)</f>
        <v>0</v>
      </c>
      <c r="AR70" s="217"/>
      <c r="AS70" s="181"/>
      <c r="AT70" s="1545"/>
      <c r="AU70" s="182"/>
      <c r="AV70" s="183"/>
      <c r="AW70" s="184"/>
    </row>
  </sheetData>
  <mergeCells count="16">
    <mergeCell ref="B9:P9"/>
    <mergeCell ref="C10:G10"/>
    <mergeCell ref="H10:P10"/>
    <mergeCell ref="B24:P24"/>
    <mergeCell ref="Q24:AA24"/>
    <mergeCell ref="R10:T10"/>
    <mergeCell ref="AB24:AL24"/>
    <mergeCell ref="AM24:AW24"/>
    <mergeCell ref="C25:G25"/>
    <mergeCell ref="H25:P25"/>
    <mergeCell ref="Q25:T25"/>
    <mergeCell ref="U25:AA25"/>
    <mergeCell ref="AB25:AE25"/>
    <mergeCell ref="AF25:AL25"/>
    <mergeCell ref="AM25:AP25"/>
    <mergeCell ref="AQ25:AW25"/>
  </mergeCells>
  <conditionalFormatting sqref="AA23">
    <cfRule type="cellIs" dxfId="1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J532"/>
  <sheetViews>
    <sheetView showGridLines="0" tabSelected="1" topLeftCell="A16" zoomScale="70" zoomScaleNormal="70" zoomScaleSheetLayoutView="80" workbookViewId="0">
      <selection activeCell="F37" sqref="F37"/>
    </sheetView>
  </sheetViews>
  <sheetFormatPr defaultColWidth="8.8984375" defaultRowHeight="15.6"/>
  <cols>
    <col min="1" max="1" width="1.69921875" style="17" customWidth="1"/>
    <col min="2" max="2" width="16.3984375" style="17" customWidth="1"/>
    <col min="3" max="4" width="13.69921875" style="17" customWidth="1"/>
    <col min="5" max="5" width="13.69921875" style="473" customWidth="1"/>
    <col min="6" max="6" width="13.69921875" style="601" customWidth="1"/>
    <col min="7" max="8" width="13.69921875" style="17" customWidth="1"/>
    <col min="9" max="10" width="13.69921875" style="17" hidden="1" customWidth="1"/>
    <col min="11" max="18" width="13.69921875" style="17" customWidth="1"/>
    <col min="19" max="19" width="15.09765625" style="473" bestFit="1" customWidth="1"/>
    <col min="20" max="21" width="13.69921875" style="17" customWidth="1"/>
    <col min="22" max="23" width="13.69921875" style="17" hidden="1" customWidth="1"/>
    <col min="24" max="25" width="13.69921875" style="17" customWidth="1"/>
    <col min="26" max="26" width="13.69921875" style="473" customWidth="1"/>
    <col min="27" max="28" width="13.69921875" style="17" customWidth="1"/>
    <col min="29" max="30" width="13.69921875" style="17" hidden="1" customWidth="1"/>
    <col min="31" max="32" width="13.69921875" style="17" customWidth="1"/>
    <col min="33" max="33" width="13.69921875" style="473" customWidth="1"/>
    <col min="34" max="35" width="13.69921875" style="17" customWidth="1"/>
    <col min="36" max="37" width="13.69921875" style="17" hidden="1" customWidth="1"/>
    <col min="38" max="39" width="13.69921875" style="17" customWidth="1"/>
    <col min="40" max="40" width="13.69921875" style="473" customWidth="1"/>
    <col min="41" max="41" width="13.69921875" style="17" customWidth="1"/>
    <col min="42" max="42" width="13.69921875" style="373" customWidth="1"/>
    <col min="43" max="44" width="13.69921875" style="373" hidden="1" customWidth="1"/>
    <col min="45" max="45" width="13.69921875" style="373" customWidth="1"/>
    <col min="46" max="46" width="13.69921875" style="17" customWidth="1"/>
    <col min="47" max="47" width="13.69921875" style="473" customWidth="1"/>
    <col min="48" max="49" width="13.69921875" style="17" customWidth="1"/>
    <col min="50" max="51" width="13.69921875" style="17" hidden="1" customWidth="1"/>
    <col min="52" max="53" width="8.8984375" style="17"/>
    <col min="54" max="54" width="10.09765625" style="473" bestFit="1" customWidth="1"/>
    <col min="55" max="56" width="8.8984375" style="17"/>
    <col min="57" max="58" width="8.8984375" style="17" hidden="1" customWidth="1"/>
    <col min="59" max="60" width="8.8984375" style="17"/>
    <col min="61" max="61" width="9.09765625" style="473" bestFit="1" customWidth="1"/>
    <col min="62" max="63" width="8.8984375" style="17"/>
    <col min="64" max="65" width="0" style="17" hidden="1" customWidth="1"/>
    <col min="66" max="67" width="8.8984375" style="17"/>
    <col min="68" max="68" width="9.09765625" style="473" bestFit="1" customWidth="1"/>
    <col min="69" max="70" width="8.8984375" style="17"/>
    <col min="71" max="72" width="8.8984375" style="17" hidden="1" customWidth="1"/>
    <col min="73" max="74" width="8.8984375" style="17"/>
    <col min="75" max="75" width="9.09765625" style="473" bestFit="1" customWidth="1"/>
    <col min="76" max="77" width="8.8984375" style="17"/>
    <col min="78" max="81" width="0" style="17" hidden="1" customWidth="1"/>
    <col min="82" max="82" width="12.69921875" style="17" customWidth="1"/>
    <col min="83" max="86" width="8.8984375" style="17"/>
    <col min="87" max="88" width="0" style="17" hidden="1" customWidth="1"/>
    <col min="89" max="16384" width="8.8984375" style="17"/>
  </cols>
  <sheetData>
    <row r="1" spans="2:75" s="2" customFormat="1" ht="16.2" thickBot="1">
      <c r="E1" s="472"/>
      <c r="F1" s="600"/>
      <c r="S1" s="472"/>
      <c r="Z1" s="472"/>
      <c r="AG1" s="472"/>
      <c r="AN1" s="472"/>
      <c r="AU1" s="472"/>
      <c r="BB1" s="472"/>
      <c r="BI1" s="472"/>
      <c r="BP1" s="472"/>
      <c r="BW1" s="472"/>
    </row>
    <row r="2" spans="2:75" s="2" customFormat="1" ht="16.2" thickBot="1">
      <c r="B2" s="2010" t="s">
        <v>35</v>
      </c>
      <c r="C2" s="2011"/>
      <c r="D2" s="2012"/>
      <c r="E2" s="472"/>
      <c r="F2" s="600"/>
      <c r="S2" s="472"/>
      <c r="Z2" s="472"/>
      <c r="AG2" s="472"/>
      <c r="AN2" s="472"/>
      <c r="AU2" s="472"/>
      <c r="BB2" s="472"/>
      <c r="BI2" s="472"/>
      <c r="BP2" s="472"/>
      <c r="BW2" s="472"/>
    </row>
    <row r="3" spans="2:75" s="2" customFormat="1">
      <c r="B3" s="906" t="s">
        <v>112</v>
      </c>
      <c r="C3" s="907" t="s">
        <v>30</v>
      </c>
      <c r="D3" s="908" t="s">
        <v>47</v>
      </c>
      <c r="E3" s="472"/>
      <c r="F3" s="600"/>
      <c r="S3" s="472"/>
      <c r="Z3" s="472"/>
      <c r="AG3" s="472"/>
      <c r="AN3" s="472"/>
      <c r="AU3" s="472"/>
      <c r="BB3" s="472"/>
      <c r="BI3" s="472"/>
      <c r="BP3" s="472"/>
      <c r="BW3" s="472"/>
    </row>
    <row r="4" spans="2:75" s="2" customFormat="1" ht="16.2" thickBot="1">
      <c r="B4" s="909" t="s">
        <v>113</v>
      </c>
      <c r="C4" s="910">
        <v>6240</v>
      </c>
      <c r="D4" s="911">
        <v>17830</v>
      </c>
      <c r="E4" s="472"/>
      <c r="F4" s="600"/>
      <c r="S4" s="472"/>
      <c r="Z4" s="472"/>
      <c r="AG4" s="472"/>
      <c r="AN4" s="472"/>
      <c r="AU4" s="472"/>
      <c r="BB4" s="472"/>
      <c r="BI4" s="472"/>
      <c r="BP4" s="472"/>
      <c r="BW4" s="472"/>
    </row>
    <row r="5" spans="2:75" s="2" customFormat="1">
      <c r="E5" s="472"/>
      <c r="F5" s="600"/>
      <c r="S5" s="472"/>
      <c r="Z5" s="472"/>
      <c r="AG5" s="472"/>
      <c r="AN5" s="472"/>
      <c r="AU5" s="472"/>
      <c r="BB5" s="472"/>
      <c r="BI5" s="472"/>
      <c r="BP5" s="472"/>
      <c r="BW5" s="472"/>
    </row>
    <row r="6" spans="2:75" s="2" customFormat="1" ht="16.2" hidden="1" thickBot="1">
      <c r="E6" s="472"/>
      <c r="F6" s="600"/>
      <c r="S6" s="472"/>
      <c r="Z6" s="472"/>
      <c r="AG6" s="472"/>
      <c r="AN6" s="472"/>
      <c r="AU6" s="472"/>
      <c r="BB6" s="472"/>
      <c r="BI6" s="472"/>
      <c r="BP6" s="472"/>
      <c r="BW6" s="472"/>
    </row>
    <row r="7" spans="2:75" ht="16.2" hidden="1" thickBot="1">
      <c r="B7" s="2010" t="s">
        <v>35</v>
      </c>
      <c r="C7" s="2011"/>
      <c r="D7" s="2012"/>
      <c r="AP7" s="17"/>
      <c r="AQ7" s="17"/>
      <c r="AR7" s="17"/>
      <c r="AS7" s="17"/>
    </row>
    <row r="8" spans="2:75" hidden="1">
      <c r="B8" s="906" t="s">
        <v>112</v>
      </c>
      <c r="C8" s="907" t="s">
        <v>30</v>
      </c>
      <c r="D8" s="908" t="s">
        <v>47</v>
      </c>
      <c r="E8" s="474"/>
      <c r="F8" s="602"/>
      <c r="G8" s="19"/>
      <c r="H8" s="19"/>
      <c r="I8" s="19"/>
      <c r="J8" s="19"/>
      <c r="K8" s="19"/>
      <c r="L8" s="19"/>
      <c r="M8" s="19"/>
      <c r="N8" s="19"/>
      <c r="O8" s="19"/>
      <c r="P8" s="19"/>
      <c r="AP8" s="17"/>
      <c r="AQ8" s="17"/>
      <c r="AR8" s="17"/>
      <c r="AS8" s="17"/>
    </row>
    <row r="9" spans="2:75" ht="16.2" hidden="1" thickBot="1">
      <c r="B9" s="909" t="s">
        <v>113</v>
      </c>
      <c r="C9" s="910">
        <v>5881.97</v>
      </c>
      <c r="D9" s="911">
        <v>16803</v>
      </c>
      <c r="E9" s="474"/>
      <c r="F9" s="602"/>
      <c r="G9" s="19"/>
      <c r="H9" s="19"/>
      <c r="I9" s="19"/>
      <c r="J9" s="19"/>
      <c r="K9" s="19"/>
      <c r="L9" s="19"/>
      <c r="M9" s="19"/>
      <c r="N9" s="19"/>
      <c r="O9" s="19"/>
      <c r="P9" s="19"/>
      <c r="Q9" s="20"/>
      <c r="R9" s="20"/>
      <c r="S9" s="507"/>
      <c r="T9" s="20"/>
      <c r="U9" s="20"/>
      <c r="V9" s="20"/>
      <c r="W9" s="20"/>
      <c r="X9" s="20"/>
      <c r="Y9" s="20"/>
      <c r="Z9" s="507"/>
      <c r="AA9" s="20"/>
      <c r="AB9" s="20"/>
      <c r="AC9" s="20"/>
      <c r="AE9" s="20"/>
      <c r="AF9" s="20"/>
      <c r="AG9" s="507"/>
      <c r="AH9" s="20"/>
      <c r="AI9" s="20"/>
      <c r="AM9" s="20"/>
      <c r="AP9" s="20"/>
      <c r="AQ9" s="17"/>
      <c r="AR9" s="17"/>
      <c r="AS9" s="17"/>
      <c r="AT9" s="20"/>
      <c r="AW9" s="20"/>
    </row>
    <row r="10" spans="2:75" ht="16.2" thickBot="1">
      <c r="B10" s="21"/>
      <c r="C10" s="21"/>
      <c r="D10" s="21"/>
      <c r="E10" s="475"/>
      <c r="F10" s="603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  <c r="S10" s="507"/>
      <c r="T10" s="20"/>
      <c r="U10" s="20"/>
      <c r="V10" s="20"/>
      <c r="W10" s="20"/>
      <c r="X10" s="20"/>
      <c r="Y10" s="20"/>
      <c r="Z10" s="507"/>
      <c r="AA10" s="20"/>
      <c r="AB10" s="20"/>
      <c r="AC10" s="20"/>
      <c r="AE10" s="20"/>
      <c r="AF10" s="20"/>
      <c r="AG10" s="507"/>
      <c r="AH10" s="20"/>
      <c r="AI10" s="20"/>
      <c r="AM10" s="20"/>
      <c r="AP10" s="20"/>
      <c r="AQ10" s="17"/>
      <c r="AR10" s="17"/>
      <c r="AS10" s="17"/>
      <c r="AT10" s="20"/>
      <c r="AW10" s="20"/>
    </row>
    <row r="11" spans="2:75">
      <c r="B11" s="2001" t="s">
        <v>115</v>
      </c>
      <c r="C11" s="2002"/>
      <c r="D11" s="2002"/>
      <c r="E11" s="2002"/>
      <c r="F11" s="2002"/>
      <c r="G11" s="2002"/>
      <c r="H11" s="2002"/>
      <c r="I11" s="2002"/>
      <c r="J11" s="2002"/>
      <c r="K11" s="2002"/>
      <c r="L11" s="2002"/>
      <c r="M11" s="2002"/>
      <c r="N11" s="1561"/>
      <c r="O11" s="1561"/>
      <c r="P11" s="1562"/>
      <c r="Q11" s="20"/>
      <c r="R11" s="20"/>
      <c r="S11" s="507"/>
      <c r="T11" s="20"/>
      <c r="U11" s="20"/>
      <c r="V11" s="20"/>
      <c r="W11" s="20"/>
      <c r="X11" s="20"/>
      <c r="Y11" s="20"/>
      <c r="Z11" s="507"/>
      <c r="AA11" s="20"/>
      <c r="AB11" s="20"/>
      <c r="AC11" s="20"/>
      <c r="AE11" s="20"/>
      <c r="AF11" s="20"/>
      <c r="AG11" s="507"/>
      <c r="AH11" s="20"/>
      <c r="AI11" s="20"/>
      <c r="AM11" s="20"/>
      <c r="AP11" s="20"/>
      <c r="AQ11" s="17"/>
      <c r="AR11" s="17"/>
      <c r="AS11" s="17"/>
      <c r="AT11" s="20"/>
      <c r="AW11" s="20"/>
    </row>
    <row r="12" spans="2:75" ht="16.2" thickBot="1">
      <c r="B12" s="245"/>
      <c r="C12" s="2053" t="s">
        <v>14</v>
      </c>
      <c r="D12" s="2054"/>
      <c r="E12" s="2054"/>
      <c r="F12" s="2054"/>
      <c r="G12" s="2054"/>
      <c r="H12" s="2005" t="s">
        <v>116</v>
      </c>
      <c r="I12" s="2005"/>
      <c r="J12" s="2005"/>
      <c r="K12" s="2005"/>
      <c r="L12" s="2005"/>
      <c r="M12" s="2005"/>
      <c r="N12" s="2005"/>
      <c r="O12" s="2005"/>
      <c r="P12" s="2006"/>
      <c r="Q12" s="20"/>
      <c r="R12" s="1999" t="s">
        <v>184</v>
      </c>
      <c r="S12" s="2000"/>
      <c r="T12" s="2000"/>
      <c r="W12" s="20"/>
      <c r="X12" s="1999" t="s">
        <v>185</v>
      </c>
      <c r="Y12" s="2000"/>
      <c r="Z12" s="2000"/>
      <c r="AA12" s="20"/>
      <c r="AB12" s="20"/>
      <c r="AC12" s="20"/>
      <c r="AD12" s="20"/>
      <c r="AG12" s="507"/>
      <c r="AJ12" s="20"/>
      <c r="AN12" s="507"/>
      <c r="AP12" s="17"/>
      <c r="AQ12" s="20"/>
      <c r="AR12" s="17"/>
      <c r="AS12" s="17"/>
    </row>
    <row r="13" spans="2:75" s="22" customFormat="1" ht="31.2">
      <c r="B13" s="339" t="s">
        <v>119</v>
      </c>
      <c r="C13" s="448" t="s">
        <v>120</v>
      </c>
      <c r="D13" s="448" t="s">
        <v>206</v>
      </c>
      <c r="E13" s="502" t="s">
        <v>127</v>
      </c>
      <c r="F13" s="604" t="s">
        <v>20</v>
      </c>
      <c r="G13" s="449" t="s">
        <v>129</v>
      </c>
      <c r="H13" s="440" t="s">
        <v>132</v>
      </c>
      <c r="I13" s="440" t="s">
        <v>133</v>
      </c>
      <c r="J13" s="440" t="s">
        <v>134</v>
      </c>
      <c r="K13" s="440" t="s">
        <v>135</v>
      </c>
      <c r="L13" s="137" t="s">
        <v>165</v>
      </c>
      <c r="M13" s="441" t="s">
        <v>21</v>
      </c>
      <c r="N13" s="440" t="s">
        <v>137</v>
      </c>
      <c r="O13" s="441" t="s">
        <v>138</v>
      </c>
      <c r="P13" s="442" t="s">
        <v>23</v>
      </c>
      <c r="Q13" s="468"/>
      <c r="R13" s="193" t="s">
        <v>29</v>
      </c>
      <c r="S13" s="516" t="s">
        <v>144</v>
      </c>
      <c r="T13" s="198" t="s">
        <v>141</v>
      </c>
      <c r="X13" s="193" t="s">
        <v>29</v>
      </c>
      <c r="Y13" s="516" t="s">
        <v>144</v>
      </c>
      <c r="Z13" s="198" t="s">
        <v>141</v>
      </c>
      <c r="AG13" s="480"/>
      <c r="AN13" s="480"/>
      <c r="AU13" s="480"/>
      <c r="BB13" s="480"/>
      <c r="BI13" s="480"/>
      <c r="BP13" s="480"/>
      <c r="BW13" s="480"/>
    </row>
    <row r="14" spans="2:75" ht="31.2">
      <c r="B14" s="103" t="s">
        <v>142</v>
      </c>
      <c r="C14" s="15" t="e">
        <f>SUM(#REF!)</f>
        <v>#REF!</v>
      </c>
      <c r="D14" s="15" t="e">
        <f>SUM(#REF!)</f>
        <v>#REF!</v>
      </c>
      <c r="E14" s="1251" t="e">
        <f>SUM(#REF!)</f>
        <v>#REF!</v>
      </c>
      <c r="F14" s="73" t="e">
        <f>E14/$C$9</f>
        <v>#REF!</v>
      </c>
      <c r="G14" s="239" t="e">
        <f t="shared" ref="G14:G22" si="0">D14/C14</f>
        <v>#REF!</v>
      </c>
      <c r="H14" s="52" t="e">
        <f>SUM(#REF!)</f>
        <v>#REF!</v>
      </c>
      <c r="I14" s="88"/>
      <c r="J14" s="87"/>
      <c r="K14" s="52">
        <f>$S$14/30*7</f>
        <v>9706.6666666666679</v>
      </c>
      <c r="L14" s="393" t="e">
        <f t="shared" ref="L14:L22" si="1">H14/K14</f>
        <v>#REF!</v>
      </c>
      <c r="M14" s="304" t="e">
        <f>#REF!</f>
        <v>#REF!</v>
      </c>
      <c r="N14" s="436" t="e">
        <f t="shared" ref="N14:N22" si="2">H14/D14</f>
        <v>#REF!</v>
      </c>
      <c r="O14" s="709" t="e">
        <f>#REF!</f>
        <v>#REF!</v>
      </c>
      <c r="P14" s="1278" t="e">
        <f>#REF!</f>
        <v>#REF!</v>
      </c>
      <c r="R14" s="97" t="e">
        <f>#REF!</f>
        <v>#REF!</v>
      </c>
      <c r="S14" s="540">
        <v>41600</v>
      </c>
      <c r="T14" s="98" t="e">
        <f>R14/S14</f>
        <v>#REF!</v>
      </c>
      <c r="X14" s="97" t="e">
        <f>#REF!</f>
        <v>#REF!</v>
      </c>
      <c r="Y14" s="540">
        <f>D9/0.15</f>
        <v>112020</v>
      </c>
      <c r="Z14" s="98" t="e">
        <f>X14/Y14</f>
        <v>#REF!</v>
      </c>
      <c r="AP14" s="17"/>
      <c r="AQ14" s="17"/>
      <c r="AR14" s="17"/>
      <c r="AS14" s="17"/>
    </row>
    <row r="15" spans="2:75" ht="46.8">
      <c r="B15" s="103" t="s">
        <v>143</v>
      </c>
      <c r="C15" s="15" t="e">
        <f>SUM(#REF!)</f>
        <v>#REF!</v>
      </c>
      <c r="D15" s="15" t="e">
        <f>SUM(#REF!)</f>
        <v>#REF!</v>
      </c>
      <c r="E15" s="1251" t="e">
        <f>SUM(#REF!)</f>
        <v>#REF!</v>
      </c>
      <c r="F15" s="73" t="e">
        <f>E15/$C$9</f>
        <v>#REF!</v>
      </c>
      <c r="G15" s="239" t="e">
        <f t="shared" si="0"/>
        <v>#REF!</v>
      </c>
      <c r="H15" s="15" t="e">
        <f>SUM(#REF!)</f>
        <v>#REF!</v>
      </c>
      <c r="I15" s="52"/>
      <c r="J15" s="52"/>
      <c r="K15" s="52">
        <f>$S$14/30*7</f>
        <v>9706.6666666666679</v>
      </c>
      <c r="L15" s="393" t="e">
        <f t="shared" si="1"/>
        <v>#REF!</v>
      </c>
      <c r="M15" s="304" t="e">
        <f>#REF!</f>
        <v>#REF!</v>
      </c>
      <c r="N15" s="436" t="e">
        <f t="shared" si="2"/>
        <v>#REF!</v>
      </c>
      <c r="O15" s="709" t="e">
        <f>#REF!</f>
        <v>#REF!</v>
      </c>
      <c r="P15" s="1278" t="e">
        <f>#REF!</f>
        <v>#REF!</v>
      </c>
      <c r="R15" s="99" t="s">
        <v>207</v>
      </c>
      <c r="S15" s="517" t="s">
        <v>166</v>
      </c>
      <c r="T15" s="99" t="s">
        <v>208</v>
      </c>
      <c r="AP15" s="17"/>
      <c r="AQ15" s="17"/>
      <c r="AR15" s="17"/>
      <c r="AS15" s="17"/>
    </row>
    <row r="16" spans="2:75" ht="46.8">
      <c r="B16" s="105" t="s">
        <v>145</v>
      </c>
      <c r="C16" s="15" t="e">
        <f>SUM(#REF!)</f>
        <v>#REF!</v>
      </c>
      <c r="D16" s="15" t="e">
        <f>SUM(#REF!)</f>
        <v>#REF!</v>
      </c>
      <c r="E16" s="1251" t="e">
        <f>SUM(#REF!)</f>
        <v>#REF!</v>
      </c>
      <c r="F16" s="73" t="e">
        <f>E16/$C$9</f>
        <v>#REF!</v>
      </c>
      <c r="G16" s="239" t="e">
        <f t="shared" si="0"/>
        <v>#REF!</v>
      </c>
      <c r="H16" s="15" t="e">
        <f>SUM(#REF!)</f>
        <v>#REF!</v>
      </c>
      <c r="I16" s="143"/>
      <c r="J16" s="52"/>
      <c r="K16" s="52">
        <f>$S$14/30*7</f>
        <v>9706.6666666666679</v>
      </c>
      <c r="L16" s="393" t="e">
        <f t="shared" si="1"/>
        <v>#REF!</v>
      </c>
      <c r="M16" s="304" t="e">
        <f>#REF!</f>
        <v>#REF!</v>
      </c>
      <c r="N16" s="436" t="e">
        <f t="shared" si="2"/>
        <v>#REF!</v>
      </c>
      <c r="O16" s="684" t="e">
        <f>#REF!</f>
        <v>#REF!</v>
      </c>
      <c r="P16" s="1278" t="e">
        <f>#REF!</f>
        <v>#REF!</v>
      </c>
      <c r="Q16" s="40"/>
      <c r="R16" s="100"/>
      <c r="S16" s="518"/>
      <c r="T16" s="100"/>
      <c r="U16" s="40"/>
      <c r="AP16" s="17"/>
      <c r="AQ16" s="17"/>
      <c r="AR16" s="17"/>
      <c r="AS16" s="17"/>
    </row>
    <row r="17" spans="2:88" ht="46.8">
      <c r="B17" s="105" t="s">
        <v>146</v>
      </c>
      <c r="C17" s="15" t="e">
        <f>SUM(#REF!)</f>
        <v>#REF!</v>
      </c>
      <c r="D17" s="15" t="e">
        <f>SUM(#REF!)</f>
        <v>#REF!</v>
      </c>
      <c r="E17" s="1251" t="e">
        <f>SUM(#REF!)</f>
        <v>#REF!</v>
      </c>
      <c r="F17" s="73" t="e">
        <f>E17/$C$9</f>
        <v>#REF!</v>
      </c>
      <c r="G17" s="239" t="e">
        <f t="shared" si="0"/>
        <v>#REF!</v>
      </c>
      <c r="H17" s="52" t="e">
        <f>SUM(#REF!)</f>
        <v>#REF!</v>
      </c>
      <c r="I17" s="52"/>
      <c r="J17" s="52"/>
      <c r="K17" s="52">
        <f>$S$14/30*7</f>
        <v>9706.6666666666679</v>
      </c>
      <c r="L17" s="393" t="e">
        <f t="shared" si="1"/>
        <v>#REF!</v>
      </c>
      <c r="M17" s="304" t="e">
        <f>#REF!</f>
        <v>#REF!</v>
      </c>
      <c r="N17" s="436" t="e">
        <f t="shared" si="2"/>
        <v>#REF!</v>
      </c>
      <c r="O17" s="684" t="e">
        <f>#REF!</f>
        <v>#REF!</v>
      </c>
      <c r="P17" s="1278" t="e">
        <f>#REF!</f>
        <v>#REF!</v>
      </c>
      <c r="AP17" s="17"/>
      <c r="AQ17" s="17"/>
      <c r="AR17" s="17"/>
      <c r="AS17" s="17"/>
    </row>
    <row r="18" spans="2:88" ht="46.8">
      <c r="B18" s="105" t="s">
        <v>181</v>
      </c>
      <c r="C18" s="15" t="e">
        <f>SUM(#REF!,#REF!)</f>
        <v>#REF!</v>
      </c>
      <c r="D18" s="15" t="e">
        <f>SUM(#REF!,#REF!)</f>
        <v>#REF!</v>
      </c>
      <c r="E18" s="904" t="e">
        <f>SUM(#REF!,#REF!)</f>
        <v>#REF!</v>
      </c>
      <c r="F18" s="662" t="e">
        <f>E18/$D$9</f>
        <v>#REF!</v>
      </c>
      <c r="G18" s="239" t="e">
        <f t="shared" si="0"/>
        <v>#REF!</v>
      </c>
      <c r="H18" s="15" t="e">
        <f>SUM(#REF!,#REF!)</f>
        <v>#REF!</v>
      </c>
      <c r="I18" s="52"/>
      <c r="J18" s="52"/>
      <c r="K18" s="52" t="e">
        <f>#REF!</f>
        <v>#REF!</v>
      </c>
      <c r="L18" s="393" t="e">
        <f t="shared" si="1"/>
        <v>#REF!</v>
      </c>
      <c r="M18" s="304" t="e">
        <f>#REF!</f>
        <v>#REF!</v>
      </c>
      <c r="N18" s="436" t="e">
        <f t="shared" si="2"/>
        <v>#REF!</v>
      </c>
      <c r="O18" s="684" t="e">
        <f>AVERAGE(#REF!,#REF!)</f>
        <v>#REF!</v>
      </c>
      <c r="P18" s="1278" t="e">
        <f>AVERAGE(#REF!,#REF!)</f>
        <v>#REF!</v>
      </c>
      <c r="AP18" s="17"/>
      <c r="AQ18" s="17"/>
      <c r="AR18" s="17"/>
      <c r="AS18" s="17"/>
    </row>
    <row r="19" spans="2:88" ht="46.8">
      <c r="B19" s="103" t="s">
        <v>148</v>
      </c>
      <c r="C19" s="15" t="e">
        <f>SUM(#REF!)</f>
        <v>#REF!</v>
      </c>
      <c r="D19" s="15" t="e">
        <f>SUM(#REF!)</f>
        <v>#REF!</v>
      </c>
      <c r="E19" s="904" t="e">
        <f>SUM(#REF!)</f>
        <v>#REF!</v>
      </c>
      <c r="F19" s="662" t="e">
        <f>E19/$D$9</f>
        <v>#REF!</v>
      </c>
      <c r="G19" s="239" t="e">
        <f t="shared" si="0"/>
        <v>#REF!</v>
      </c>
      <c r="H19" s="15" t="e">
        <f>SUM(#REF!)</f>
        <v>#REF!</v>
      </c>
      <c r="I19" s="52"/>
      <c r="J19" s="52"/>
      <c r="K19" s="52" t="e">
        <f>#REF!</f>
        <v>#REF!</v>
      </c>
      <c r="L19" s="393" t="e">
        <f t="shared" si="1"/>
        <v>#REF!</v>
      </c>
      <c r="M19" s="304" t="e">
        <f>#REF!</f>
        <v>#REF!</v>
      </c>
      <c r="N19" s="436" t="e">
        <f t="shared" si="2"/>
        <v>#REF!</v>
      </c>
      <c r="O19" s="684" t="e">
        <f>#REF!</f>
        <v>#REF!</v>
      </c>
      <c r="P19" s="1278" t="e">
        <f>#REF!</f>
        <v>#REF!</v>
      </c>
      <c r="AP19" s="17"/>
      <c r="AQ19" s="17"/>
      <c r="AR19" s="17"/>
      <c r="AS19" s="17"/>
    </row>
    <row r="20" spans="2:88" ht="46.8">
      <c r="B20" s="105" t="s">
        <v>149</v>
      </c>
      <c r="C20" s="15" t="e">
        <f>SUM(#REF!)</f>
        <v>#REF!</v>
      </c>
      <c r="D20" s="15" t="e">
        <f>SUM(#REF!)</f>
        <v>#REF!</v>
      </c>
      <c r="E20" s="904" t="e">
        <f>SUM(#REF!)</f>
        <v>#REF!</v>
      </c>
      <c r="F20" s="662" t="e">
        <f>E20/$D$9</f>
        <v>#REF!</v>
      </c>
      <c r="G20" s="239" t="e">
        <f t="shared" si="0"/>
        <v>#REF!</v>
      </c>
      <c r="H20" s="15" t="e">
        <f>SUM(#REF!)</f>
        <v>#REF!</v>
      </c>
      <c r="I20" s="52"/>
      <c r="J20" s="52"/>
      <c r="K20" s="52" t="e">
        <f>#REF!</f>
        <v>#REF!</v>
      </c>
      <c r="L20" s="393" t="e">
        <f t="shared" si="1"/>
        <v>#REF!</v>
      </c>
      <c r="M20" s="304" t="e">
        <f>#REF!</f>
        <v>#REF!</v>
      </c>
      <c r="N20" s="436" t="e">
        <f t="shared" si="2"/>
        <v>#REF!</v>
      </c>
      <c r="O20" s="684" t="e">
        <f>#REF!</f>
        <v>#REF!</v>
      </c>
      <c r="P20" s="1278" t="e">
        <f>#REF!</f>
        <v>#REF!</v>
      </c>
      <c r="AP20" s="17"/>
      <c r="AQ20" s="17"/>
      <c r="AR20" s="17"/>
      <c r="AS20" s="17"/>
    </row>
    <row r="21" spans="2:88" ht="46.8">
      <c r="B21" s="1590" t="s">
        <v>150</v>
      </c>
      <c r="C21" s="102" t="e">
        <f>SUM(#REF!)</f>
        <v>#REF!</v>
      </c>
      <c r="D21" s="102" t="e">
        <f>SUM(#REF!)</f>
        <v>#REF!</v>
      </c>
      <c r="E21" s="1591" t="e">
        <f>SUM(#REF!)</f>
        <v>#REF!</v>
      </c>
      <c r="F21" s="1568" t="e">
        <f>E21/$D$9</f>
        <v>#REF!</v>
      </c>
      <c r="G21" s="1592" t="e">
        <f t="shared" si="0"/>
        <v>#REF!</v>
      </c>
      <c r="H21" s="102" t="e">
        <f>SUM(#REF!)</f>
        <v>#REF!</v>
      </c>
      <c r="I21" s="892"/>
      <c r="J21" s="892"/>
      <c r="K21" s="892" t="e">
        <f>#REF!</f>
        <v>#REF!</v>
      </c>
      <c r="L21" s="1593" t="e">
        <f t="shared" si="1"/>
        <v>#REF!</v>
      </c>
      <c r="M21" s="1594" t="e">
        <f>#REF!</f>
        <v>#REF!</v>
      </c>
      <c r="N21" s="1587" t="e">
        <f t="shared" si="2"/>
        <v>#REF!</v>
      </c>
      <c r="O21" s="1588" t="e">
        <f>#REF!</f>
        <v>#REF!</v>
      </c>
      <c r="P21" s="1595" t="e">
        <f>#REF!</f>
        <v>#REF!</v>
      </c>
      <c r="AP21" s="17"/>
      <c r="AQ21" s="17"/>
      <c r="AR21" s="17"/>
      <c r="AS21" s="17"/>
    </row>
    <row r="22" spans="2:88" ht="46.8">
      <c r="B22" s="1590" t="s">
        <v>209</v>
      </c>
      <c r="C22" s="102" t="e">
        <f>SUM(#REF!)</f>
        <v>#REF!</v>
      </c>
      <c r="D22" s="102" t="e">
        <f>SUM(#REF!)</f>
        <v>#REF!</v>
      </c>
      <c r="E22" s="503" t="e">
        <f>SUM(#REF!)</f>
        <v>#REF!</v>
      </c>
      <c r="F22" s="1568" t="e">
        <f>E22/$D$9</f>
        <v>#REF!</v>
      </c>
      <c r="G22" s="1592" t="e">
        <f t="shared" si="0"/>
        <v>#REF!</v>
      </c>
      <c r="H22" s="102" t="e">
        <f>SUM(#REF!)</f>
        <v>#REF!</v>
      </c>
      <c r="I22" s="553"/>
      <c r="J22" s="553"/>
      <c r="K22" s="553" t="e">
        <f>#REF!</f>
        <v>#REF!</v>
      </c>
      <c r="L22" s="1593" t="e">
        <f t="shared" si="1"/>
        <v>#REF!</v>
      </c>
      <c r="M22" s="642" t="e">
        <f>#REF!</f>
        <v>#REF!</v>
      </c>
      <c r="N22" s="1587" t="e">
        <f t="shared" si="2"/>
        <v>#REF!</v>
      </c>
      <c r="O22" s="1006" t="e">
        <f>AVERAGE(#REF!)</f>
        <v>#REF!</v>
      </c>
      <c r="P22" s="1620" t="e">
        <f>AVERAGE(#REF!)</f>
        <v>#REF!</v>
      </c>
      <c r="AP22" s="17"/>
      <c r="AQ22" s="17"/>
      <c r="AR22" s="17"/>
      <c r="AS22" s="17"/>
    </row>
    <row r="23" spans="2:88">
      <c r="B23" s="1604" t="s">
        <v>210</v>
      </c>
      <c r="C23" s="553"/>
      <c r="D23" s="553"/>
      <c r="E23" s="1600"/>
      <c r="F23" s="1601"/>
      <c r="G23" s="1602"/>
      <c r="H23" s="553"/>
      <c r="I23" s="553"/>
      <c r="J23" s="553"/>
      <c r="K23" s="553"/>
      <c r="L23" s="1603"/>
      <c r="M23" s="642"/>
      <c r="N23" s="1004"/>
      <c r="O23" s="1006"/>
      <c r="P23" s="1605"/>
      <c r="AP23" s="17"/>
      <c r="AQ23" s="17"/>
      <c r="AR23" s="17"/>
      <c r="AS23" s="17"/>
    </row>
    <row r="24" spans="2:88" ht="16.2" thickBot="1">
      <c r="B24" s="1571" t="s">
        <v>153</v>
      </c>
      <c r="C24" s="1550" t="e">
        <f>SUM(C14:C23)</f>
        <v>#REF!</v>
      </c>
      <c r="D24" s="1550" t="e">
        <f t="shared" ref="D24:E24" si="3">SUM(D14:D23)</f>
        <v>#REF!</v>
      </c>
      <c r="E24" s="1652" t="e">
        <f t="shared" si="3"/>
        <v>#REF!</v>
      </c>
      <c r="F24" s="1574" t="e">
        <f>E24/SUM(C9,D9)</f>
        <v>#REF!</v>
      </c>
      <c r="G24" s="1572" t="e">
        <f>D24/C24</f>
        <v>#REF!</v>
      </c>
      <c r="H24" s="1550" t="e">
        <f t="shared" ref="H24:K24" si="4">SUM(H14:H23)</f>
        <v>#REF!</v>
      </c>
      <c r="I24" s="1550">
        <f t="shared" si="4"/>
        <v>0</v>
      </c>
      <c r="J24" s="1550">
        <f t="shared" si="4"/>
        <v>0</v>
      </c>
      <c r="K24" s="1550" t="e">
        <f t="shared" si="4"/>
        <v>#REF!</v>
      </c>
      <c r="L24" s="1596" t="e">
        <f>H24/K24</f>
        <v>#REF!</v>
      </c>
      <c r="M24" s="1597" t="e">
        <f>E24/H24</f>
        <v>#REF!</v>
      </c>
      <c r="N24" s="1598" t="e">
        <f>H24/D24</f>
        <v>#REF!</v>
      </c>
      <c r="O24" s="1599" t="e">
        <f>AVERAGE(O14:O23)</f>
        <v>#REF!</v>
      </c>
      <c r="P24" s="1589" t="e">
        <f>AVERAGE(P14:P23)</f>
        <v>#REF!</v>
      </c>
      <c r="Q24" s="18"/>
      <c r="R24" s="18"/>
      <c r="S24" s="508"/>
      <c r="T24" s="18"/>
      <c r="U24" s="18"/>
      <c r="V24" s="18"/>
      <c r="W24" s="18"/>
      <c r="X24" s="18"/>
      <c r="Y24" s="18"/>
      <c r="Z24" s="508"/>
      <c r="AA24" s="18"/>
      <c r="AB24" s="18"/>
      <c r="AC24" s="18"/>
      <c r="AD24" s="18"/>
      <c r="AE24" s="18"/>
      <c r="AF24" s="18"/>
      <c r="AG24" s="508"/>
      <c r="AH24" s="18"/>
      <c r="AI24" s="18"/>
      <c r="AJ24" s="18"/>
      <c r="AK24" s="18"/>
      <c r="AL24" s="18"/>
      <c r="AM24" s="18"/>
      <c r="AN24" s="508"/>
      <c r="AO24" s="18"/>
      <c r="AP24" s="18"/>
      <c r="AQ24" s="18"/>
      <c r="AR24" s="18"/>
      <c r="AS24" s="18"/>
      <c r="AT24" s="18"/>
      <c r="AU24" s="508"/>
      <c r="AV24" s="18"/>
      <c r="AW24" s="18"/>
      <c r="AX24" s="18"/>
      <c r="AY24" s="18"/>
    </row>
    <row r="25" spans="2:88" customFormat="1" ht="14.4">
      <c r="E25" s="477"/>
      <c r="F25" s="607"/>
      <c r="S25" s="477"/>
      <c r="Z25" s="477"/>
      <c r="AG25" s="477"/>
      <c r="AN25" s="477"/>
      <c r="AU25" s="477"/>
      <c r="BB25" s="477"/>
      <c r="BI25" s="477"/>
      <c r="BP25" s="477"/>
      <c r="BW25" s="477"/>
    </row>
    <row r="26" spans="2:88" customFormat="1" ht="14.4">
      <c r="E26" s="477"/>
      <c r="F26" s="607"/>
      <c r="S26" s="477"/>
      <c r="Z26" s="477"/>
      <c r="AG26" s="477"/>
      <c r="AN26" s="477"/>
      <c r="AU26" s="477"/>
      <c r="BB26" s="477"/>
      <c r="BI26" s="477"/>
      <c r="BP26" s="477"/>
      <c r="BW26" s="477"/>
    </row>
    <row r="27" spans="2:88" ht="16.2" thickBot="1">
      <c r="L27" s="30"/>
      <c r="M27" s="30"/>
      <c r="N27" s="30"/>
      <c r="O27" s="30"/>
      <c r="P27" s="30"/>
      <c r="Q27" s="32"/>
      <c r="R27" s="32"/>
      <c r="S27" s="510"/>
      <c r="T27" s="32"/>
      <c r="U27" s="32"/>
      <c r="V27" s="32"/>
      <c r="W27" s="32"/>
      <c r="X27" s="32"/>
      <c r="Y27" s="32"/>
      <c r="Z27" s="510"/>
      <c r="AA27" s="32"/>
      <c r="AB27" s="32"/>
      <c r="AC27" s="32"/>
      <c r="AD27" s="32"/>
      <c r="AE27" s="32"/>
      <c r="AF27" s="32"/>
      <c r="AG27" s="510"/>
      <c r="AH27" s="32"/>
      <c r="AI27" s="32"/>
      <c r="AJ27" s="32"/>
      <c r="AK27" s="33"/>
      <c r="AL27" s="33"/>
      <c r="AM27" s="32"/>
      <c r="AN27" s="510"/>
      <c r="AO27" s="33"/>
      <c r="AP27" s="32"/>
      <c r="AQ27" s="32"/>
      <c r="AR27" s="33"/>
      <c r="AS27" s="33"/>
      <c r="AT27" s="32"/>
      <c r="AU27" s="510"/>
      <c r="AV27" s="33"/>
      <c r="AW27" s="32"/>
      <c r="AX27" s="32"/>
      <c r="AY27" s="33"/>
    </row>
    <row r="28" spans="2:88" ht="13.5" customHeight="1">
      <c r="B28" s="2083" t="s">
        <v>154</v>
      </c>
      <c r="C28" s="2084"/>
      <c r="D28" s="2084"/>
      <c r="E28" s="2085"/>
      <c r="F28" s="2085"/>
      <c r="G28" s="2085"/>
      <c r="H28" s="2085"/>
      <c r="I28" s="2085"/>
      <c r="J28" s="2085"/>
      <c r="K28" s="2085"/>
      <c r="L28" s="2086"/>
      <c r="M28" s="363"/>
      <c r="N28" s="363"/>
      <c r="O28" s="363"/>
      <c r="P28" s="363"/>
      <c r="Q28" s="2071" t="s">
        <v>75</v>
      </c>
      <c r="R28" s="2060"/>
      <c r="S28" s="2060"/>
      <c r="T28" s="2060"/>
      <c r="U28" s="2060"/>
      <c r="V28" s="2060"/>
      <c r="W28" s="2060"/>
      <c r="X28" s="2071" t="s">
        <v>80</v>
      </c>
      <c r="Y28" s="2060"/>
      <c r="Z28" s="2060"/>
      <c r="AA28" s="2060"/>
      <c r="AB28" s="2060"/>
      <c r="AC28" s="2060"/>
      <c r="AD28" s="2060"/>
      <c r="AE28" s="2071" t="s">
        <v>81</v>
      </c>
      <c r="AF28" s="2060"/>
      <c r="AG28" s="2060"/>
      <c r="AH28" s="2060"/>
      <c r="AI28" s="2060"/>
      <c r="AJ28" s="2060"/>
      <c r="AK28" s="2060"/>
      <c r="AL28" s="2071" t="s">
        <v>82</v>
      </c>
      <c r="AM28" s="2060"/>
      <c r="AN28" s="2060"/>
      <c r="AO28" s="2060"/>
      <c r="AP28" s="2060"/>
      <c r="AQ28" s="2060"/>
      <c r="AR28" s="2060"/>
      <c r="AS28" s="2071" t="s">
        <v>83</v>
      </c>
      <c r="AT28" s="2060"/>
      <c r="AU28" s="2060"/>
      <c r="AV28" s="2060"/>
      <c r="AW28" s="2060"/>
      <c r="AX28" s="2060"/>
      <c r="AY28" s="2060"/>
      <c r="AZ28" s="2071" t="s">
        <v>84</v>
      </c>
      <c r="BA28" s="2060"/>
      <c r="BB28" s="2060"/>
      <c r="BC28" s="2060"/>
      <c r="BD28" s="2060"/>
      <c r="BE28" s="2060"/>
      <c r="BF28" s="2060"/>
      <c r="BG28" s="2071" t="s">
        <v>85</v>
      </c>
      <c r="BH28" s="2060"/>
      <c r="BI28" s="2060"/>
      <c r="BJ28" s="2060"/>
      <c r="BK28" s="2060"/>
      <c r="BL28" s="2060"/>
      <c r="BM28" s="2060"/>
      <c r="BN28" s="2071" t="s">
        <v>86</v>
      </c>
      <c r="BO28" s="2060"/>
      <c r="BP28" s="2060"/>
      <c r="BQ28" s="2060"/>
      <c r="BR28" s="2060"/>
      <c r="BS28" s="2060"/>
      <c r="BT28" s="2060"/>
      <c r="BU28" s="2071" t="s">
        <v>87</v>
      </c>
      <c r="BV28" s="2060"/>
      <c r="BW28" s="2060"/>
      <c r="BX28" s="2060"/>
      <c r="BY28" s="2060"/>
      <c r="BZ28" s="2060"/>
      <c r="CA28" s="2068"/>
      <c r="CB28" s="2060"/>
      <c r="CC28" s="2068"/>
      <c r="CD28" s="2071" t="s">
        <v>104</v>
      </c>
      <c r="CE28" s="2060"/>
      <c r="CF28" s="2060"/>
      <c r="CG28" s="2060"/>
      <c r="CH28" s="2060"/>
      <c r="CI28" s="2060"/>
      <c r="CJ28" s="2068"/>
    </row>
    <row r="29" spans="2:88" ht="13.5" customHeight="1">
      <c r="B29" s="245"/>
      <c r="C29" s="2080" t="s">
        <v>14</v>
      </c>
      <c r="D29" s="2081"/>
      <c r="E29" s="2081"/>
      <c r="F29" s="2081"/>
      <c r="G29" s="2082"/>
      <c r="H29" s="2005" t="s">
        <v>116</v>
      </c>
      <c r="I29" s="2005"/>
      <c r="J29" s="2005"/>
      <c r="K29" s="2005"/>
      <c r="L29" s="2005"/>
      <c r="M29" s="2005"/>
      <c r="N29" s="2005"/>
      <c r="O29" s="2005"/>
      <c r="P29" s="2024"/>
      <c r="Q29" s="2072" t="s">
        <v>14</v>
      </c>
      <c r="R29" s="2069"/>
      <c r="S29" s="2069"/>
      <c r="T29" s="2078"/>
      <c r="U29" s="2069" t="s">
        <v>116</v>
      </c>
      <c r="V29" s="2069"/>
      <c r="W29" s="2069"/>
      <c r="X29" s="2072" t="s">
        <v>14</v>
      </c>
      <c r="Y29" s="2069"/>
      <c r="Z29" s="2069"/>
      <c r="AA29" s="2069"/>
      <c r="AB29" s="2076" t="s">
        <v>116</v>
      </c>
      <c r="AC29" s="2069"/>
      <c r="AD29" s="2079"/>
      <c r="AE29" s="2069" t="s">
        <v>14</v>
      </c>
      <c r="AF29" s="2069"/>
      <c r="AG29" s="2069"/>
      <c r="AH29" s="2069"/>
      <c r="AI29" s="2076" t="s">
        <v>116</v>
      </c>
      <c r="AJ29" s="2069"/>
      <c r="AK29" s="2069"/>
      <c r="AL29" s="2072" t="s">
        <v>14</v>
      </c>
      <c r="AM29" s="2069"/>
      <c r="AN29" s="2069"/>
      <c r="AO29" s="2069"/>
      <c r="AP29" s="2077" t="s">
        <v>116</v>
      </c>
      <c r="AQ29" s="2077"/>
      <c r="AR29" s="2077"/>
      <c r="AS29" s="2072" t="s">
        <v>14</v>
      </c>
      <c r="AT29" s="2069"/>
      <c r="AU29" s="2069"/>
      <c r="AV29" s="2069"/>
      <c r="AW29" s="2069" t="s">
        <v>116</v>
      </c>
      <c r="AX29" s="2069"/>
      <c r="AY29" s="2069"/>
      <c r="AZ29" s="2072" t="s">
        <v>14</v>
      </c>
      <c r="BA29" s="2069"/>
      <c r="BB29" s="2069"/>
      <c r="BC29" s="2069"/>
      <c r="BD29" s="2073" t="s">
        <v>116</v>
      </c>
      <c r="BE29" s="2073"/>
      <c r="BF29" s="2075"/>
      <c r="BG29" s="2073" t="s">
        <v>14</v>
      </c>
      <c r="BH29" s="2073"/>
      <c r="BI29" s="2073"/>
      <c r="BJ29" s="2073"/>
      <c r="BK29" s="2073" t="s">
        <v>116</v>
      </c>
      <c r="BL29" s="2073"/>
      <c r="BM29" s="2073"/>
      <c r="BN29" s="2074" t="s">
        <v>14</v>
      </c>
      <c r="BO29" s="2073"/>
      <c r="BP29" s="2073"/>
      <c r="BQ29" s="2073"/>
      <c r="BR29" s="2073" t="s">
        <v>116</v>
      </c>
      <c r="BS29" s="2069"/>
      <c r="BT29" s="2073"/>
      <c r="BU29" s="2072" t="s">
        <v>14</v>
      </c>
      <c r="BV29" s="2069"/>
      <c r="BW29" s="2069"/>
      <c r="BX29" s="2069"/>
      <c r="BY29" s="2073" t="s">
        <v>116</v>
      </c>
      <c r="BZ29" s="2069"/>
      <c r="CA29" s="2070"/>
      <c r="CB29" s="2069"/>
      <c r="CC29" s="2070"/>
      <c r="CD29" s="2072" t="s">
        <v>14</v>
      </c>
      <c r="CE29" s="2069"/>
      <c r="CF29" s="2069"/>
      <c r="CG29" s="2069"/>
      <c r="CH29" s="2073" t="s">
        <v>116</v>
      </c>
      <c r="CI29" s="2069"/>
      <c r="CJ29" s="2070"/>
    </row>
    <row r="30" spans="2:88" s="22" customFormat="1" ht="54" customHeight="1">
      <c r="B30" s="246" t="s">
        <v>119</v>
      </c>
      <c r="C30" s="438" t="s">
        <v>120</v>
      </c>
      <c r="D30" s="438" t="s">
        <v>206</v>
      </c>
      <c r="E30" s="476" t="s">
        <v>127</v>
      </c>
      <c r="F30" s="613" t="s">
        <v>20</v>
      </c>
      <c r="G30" s="471" t="s">
        <v>129</v>
      </c>
      <c r="H30" s="443" t="s">
        <v>132</v>
      </c>
      <c r="I30" s="440" t="s">
        <v>133</v>
      </c>
      <c r="J30" s="440" t="s">
        <v>134</v>
      </c>
      <c r="K30" s="440" t="s">
        <v>157</v>
      </c>
      <c r="L30" s="137" t="s">
        <v>158</v>
      </c>
      <c r="M30" s="441" t="s">
        <v>21</v>
      </c>
      <c r="N30" s="440" t="s">
        <v>137</v>
      </c>
      <c r="O30" s="441" t="s">
        <v>191</v>
      </c>
      <c r="P30" s="525" t="s">
        <v>23</v>
      </c>
      <c r="Q30" s="1748" t="s">
        <v>120</v>
      </c>
      <c r="R30" s="1749" t="s">
        <v>206</v>
      </c>
      <c r="S30" s="1750" t="s">
        <v>127</v>
      </c>
      <c r="T30" s="1751" t="s">
        <v>129</v>
      </c>
      <c r="U30" s="1752" t="s">
        <v>132</v>
      </c>
      <c r="V30" s="365" t="s">
        <v>133</v>
      </c>
      <c r="W30" s="42" t="s">
        <v>134</v>
      </c>
      <c r="X30" s="1318" t="s">
        <v>120</v>
      </c>
      <c r="Y30" s="1318" t="s">
        <v>206</v>
      </c>
      <c r="Z30" s="1319" t="s">
        <v>127</v>
      </c>
      <c r="AA30" s="1320" t="s">
        <v>129</v>
      </c>
      <c r="AB30" s="391" t="s">
        <v>132</v>
      </c>
      <c r="AC30" s="365" t="s">
        <v>133</v>
      </c>
      <c r="AD30" s="521" t="s">
        <v>134</v>
      </c>
      <c r="AE30" s="1753" t="s">
        <v>120</v>
      </c>
      <c r="AF30" s="1749" t="s">
        <v>206</v>
      </c>
      <c r="AG30" s="1750" t="s">
        <v>127</v>
      </c>
      <c r="AH30" s="1751" t="s">
        <v>129</v>
      </c>
      <c r="AI30" s="1754" t="s">
        <v>132</v>
      </c>
      <c r="AJ30" s="365" t="s">
        <v>133</v>
      </c>
      <c r="AK30" s="42" t="s">
        <v>134</v>
      </c>
      <c r="AL30" s="41" t="s">
        <v>120</v>
      </c>
      <c r="AM30" s="1318" t="s">
        <v>206</v>
      </c>
      <c r="AN30" s="1319" t="s">
        <v>127</v>
      </c>
      <c r="AO30" s="1320" t="s">
        <v>129</v>
      </c>
      <c r="AP30" s="523" t="s">
        <v>132</v>
      </c>
      <c r="AQ30" s="522" t="s">
        <v>133</v>
      </c>
      <c r="AR30" s="372" t="s">
        <v>134</v>
      </c>
      <c r="AS30" s="371" t="s">
        <v>120</v>
      </c>
      <c r="AT30" s="1321" t="s">
        <v>206</v>
      </c>
      <c r="AU30" s="1319" t="s">
        <v>127</v>
      </c>
      <c r="AV30" s="1320" t="s">
        <v>129</v>
      </c>
      <c r="AW30" s="1322" t="s">
        <v>132</v>
      </c>
      <c r="AX30" s="365" t="s">
        <v>133</v>
      </c>
      <c r="AY30" s="42" t="s">
        <v>134</v>
      </c>
      <c r="AZ30" s="41" t="s">
        <v>120</v>
      </c>
      <c r="BA30" s="1318" t="s">
        <v>206</v>
      </c>
      <c r="BB30" s="1319" t="s">
        <v>127</v>
      </c>
      <c r="BC30" s="1320" t="s">
        <v>129</v>
      </c>
      <c r="BD30" s="523" t="s">
        <v>132</v>
      </c>
      <c r="BE30" s="522" t="s">
        <v>133</v>
      </c>
      <c r="BF30" s="524" t="s">
        <v>134</v>
      </c>
      <c r="BG30" s="522" t="s">
        <v>120</v>
      </c>
      <c r="BH30" s="371" t="s">
        <v>206</v>
      </c>
      <c r="BI30" s="519" t="s">
        <v>127</v>
      </c>
      <c r="BJ30" s="1325" t="s">
        <v>129</v>
      </c>
      <c r="BK30" s="523" t="s">
        <v>132</v>
      </c>
      <c r="BL30" s="522" t="s">
        <v>133</v>
      </c>
      <c r="BM30" s="372" t="s">
        <v>134</v>
      </c>
      <c r="BN30" s="371" t="s">
        <v>120</v>
      </c>
      <c r="BO30" s="371" t="s">
        <v>206</v>
      </c>
      <c r="BP30" s="519" t="s">
        <v>127</v>
      </c>
      <c r="BQ30" s="371" t="s">
        <v>129</v>
      </c>
      <c r="BR30" s="523" t="s">
        <v>132</v>
      </c>
      <c r="BS30" s="365" t="s">
        <v>133</v>
      </c>
      <c r="BT30" s="372" t="s">
        <v>134</v>
      </c>
      <c r="BU30" s="369" t="s">
        <v>120</v>
      </c>
      <c r="BV30" s="1318" t="s">
        <v>206</v>
      </c>
      <c r="BW30" s="1319" t="s">
        <v>127</v>
      </c>
      <c r="BX30" s="1320" t="s">
        <v>129</v>
      </c>
      <c r="BY30" s="1413" t="s">
        <v>132</v>
      </c>
      <c r="BZ30" s="1412" t="s">
        <v>133</v>
      </c>
      <c r="CA30" s="275" t="s">
        <v>134</v>
      </c>
      <c r="CB30" s="1412" t="s">
        <v>133</v>
      </c>
      <c r="CC30" s="275" t="s">
        <v>134</v>
      </c>
      <c r="CD30" s="369" t="s">
        <v>120</v>
      </c>
      <c r="CE30" s="1318" t="s">
        <v>206</v>
      </c>
      <c r="CF30" s="1319" t="s">
        <v>127</v>
      </c>
      <c r="CG30" s="1320" t="s">
        <v>129</v>
      </c>
      <c r="CH30" s="1413" t="s">
        <v>132</v>
      </c>
      <c r="CI30" s="1412" t="s">
        <v>133</v>
      </c>
      <c r="CJ30" s="275" t="s">
        <v>134</v>
      </c>
    </row>
    <row r="31" spans="2:88">
      <c r="AP31" s="17"/>
      <c r="AQ31" s="17"/>
      <c r="AR31" s="17"/>
      <c r="AS31" s="17"/>
    </row>
    <row r="32" spans="2:88">
      <c r="AP32" s="17"/>
      <c r="AQ32" s="17"/>
      <c r="AR32" s="17"/>
      <c r="AS32" s="17"/>
    </row>
    <row r="33" spans="42:45">
      <c r="AP33" s="17"/>
      <c r="AQ33" s="17"/>
      <c r="AR33" s="17"/>
      <c r="AS33" s="17"/>
    </row>
    <row r="34" spans="42:45">
      <c r="AP34" s="17"/>
      <c r="AQ34" s="17"/>
      <c r="AR34" s="17"/>
      <c r="AS34" s="17"/>
    </row>
    <row r="35" spans="42:45">
      <c r="AP35" s="17"/>
      <c r="AQ35" s="17"/>
      <c r="AR35" s="17"/>
      <c r="AS35" s="17"/>
    </row>
    <row r="36" spans="42:45">
      <c r="AP36" s="17"/>
      <c r="AQ36" s="17"/>
      <c r="AR36" s="17"/>
      <c r="AS36" s="17"/>
    </row>
    <row r="37" spans="42:45">
      <c r="AP37" s="17"/>
      <c r="AQ37" s="17"/>
      <c r="AR37" s="17"/>
      <c r="AS37" s="17"/>
    </row>
    <row r="38" spans="42:45">
      <c r="AP38" s="17"/>
      <c r="AQ38" s="17"/>
      <c r="AR38" s="17"/>
      <c r="AS38" s="17"/>
    </row>
    <row r="39" spans="42:45">
      <c r="AP39" s="17"/>
      <c r="AQ39" s="17"/>
      <c r="AR39" s="17"/>
      <c r="AS39" s="17"/>
    </row>
    <row r="40" spans="42:45">
      <c r="AP40" s="17"/>
      <c r="AQ40" s="17"/>
      <c r="AR40" s="17"/>
      <c r="AS40" s="17"/>
    </row>
    <row r="41" spans="42:45">
      <c r="AP41" s="17"/>
      <c r="AQ41" s="17"/>
      <c r="AR41" s="17"/>
      <c r="AS41" s="17"/>
    </row>
    <row r="42" spans="42:45">
      <c r="AP42" s="17"/>
      <c r="AQ42" s="17"/>
      <c r="AR42" s="17"/>
      <c r="AS42" s="17"/>
    </row>
    <row r="43" spans="42:45">
      <c r="AP43" s="17"/>
      <c r="AQ43" s="17"/>
      <c r="AR43" s="17"/>
      <c r="AS43" s="17"/>
    </row>
    <row r="44" spans="42:45">
      <c r="AP44" s="17"/>
      <c r="AQ44" s="17"/>
      <c r="AR44" s="17"/>
      <c r="AS44" s="17"/>
    </row>
    <row r="45" spans="42:45">
      <c r="AP45" s="17"/>
      <c r="AQ45" s="17"/>
      <c r="AR45" s="17"/>
      <c r="AS45" s="17"/>
    </row>
    <row r="46" spans="42:45">
      <c r="AP46" s="17"/>
      <c r="AQ46" s="17"/>
      <c r="AR46" s="17"/>
      <c r="AS46" s="17"/>
    </row>
    <row r="47" spans="42:45">
      <c r="AP47" s="17"/>
      <c r="AQ47" s="17"/>
      <c r="AR47" s="17"/>
      <c r="AS47" s="17"/>
    </row>
    <row r="48" spans="42:45">
      <c r="AP48" s="17"/>
      <c r="AQ48" s="17"/>
      <c r="AR48" s="17"/>
      <c r="AS48" s="17"/>
    </row>
    <row r="49" spans="42:45">
      <c r="AP49" s="17"/>
      <c r="AQ49" s="17"/>
      <c r="AR49" s="17"/>
      <c r="AS49" s="17"/>
    </row>
    <row r="50" spans="42:45">
      <c r="AP50" s="17"/>
      <c r="AQ50" s="17"/>
      <c r="AR50" s="17"/>
      <c r="AS50" s="17"/>
    </row>
    <row r="51" spans="42:45">
      <c r="AP51" s="17"/>
      <c r="AQ51" s="17"/>
      <c r="AR51" s="17"/>
      <c r="AS51" s="17"/>
    </row>
    <row r="52" spans="42:45">
      <c r="AP52" s="17"/>
      <c r="AQ52" s="17"/>
      <c r="AR52" s="17"/>
      <c r="AS52" s="17"/>
    </row>
    <row r="53" spans="42:45">
      <c r="AP53" s="17"/>
      <c r="AQ53" s="17"/>
      <c r="AR53" s="17"/>
      <c r="AS53" s="17"/>
    </row>
    <row r="54" spans="42:45">
      <c r="AP54" s="17"/>
      <c r="AQ54" s="17"/>
      <c r="AR54" s="17"/>
      <c r="AS54" s="17"/>
    </row>
    <row r="55" spans="42:45">
      <c r="AP55" s="17"/>
      <c r="AQ55" s="17"/>
      <c r="AR55" s="17"/>
      <c r="AS55" s="17"/>
    </row>
    <row r="56" spans="42:45">
      <c r="AP56" s="17"/>
      <c r="AQ56" s="17"/>
      <c r="AR56" s="17"/>
      <c r="AS56" s="17"/>
    </row>
    <row r="57" spans="42:45">
      <c r="AP57" s="17"/>
      <c r="AQ57" s="17"/>
      <c r="AR57" s="17"/>
      <c r="AS57" s="17"/>
    </row>
    <row r="58" spans="42:45">
      <c r="AP58" s="17"/>
      <c r="AQ58" s="17"/>
      <c r="AR58" s="17"/>
      <c r="AS58" s="17"/>
    </row>
    <row r="59" spans="42:45">
      <c r="AP59" s="17"/>
      <c r="AQ59" s="17"/>
      <c r="AR59" s="17"/>
      <c r="AS59" s="17"/>
    </row>
    <row r="60" spans="42:45">
      <c r="AP60" s="17"/>
      <c r="AQ60" s="17"/>
      <c r="AR60" s="17"/>
      <c r="AS60" s="17"/>
    </row>
    <row r="61" spans="42:45">
      <c r="AP61" s="17"/>
      <c r="AQ61" s="17"/>
      <c r="AR61" s="17"/>
      <c r="AS61" s="17"/>
    </row>
    <row r="62" spans="42:45">
      <c r="AP62" s="17"/>
      <c r="AQ62" s="17"/>
      <c r="AR62" s="17"/>
      <c r="AS62" s="17"/>
    </row>
    <row r="63" spans="42:45">
      <c r="AP63" s="17"/>
      <c r="AQ63" s="17"/>
      <c r="AR63" s="17"/>
      <c r="AS63" s="17"/>
    </row>
    <row r="64" spans="42:45">
      <c r="AP64" s="17"/>
      <c r="AQ64" s="17"/>
      <c r="AR64" s="17"/>
      <c r="AS64" s="17"/>
    </row>
    <row r="65" spans="42:45">
      <c r="AP65" s="17"/>
      <c r="AQ65" s="17"/>
      <c r="AR65" s="17"/>
      <c r="AS65" s="17"/>
    </row>
    <row r="66" spans="42:45">
      <c r="AP66" s="17"/>
      <c r="AQ66" s="17"/>
      <c r="AR66" s="17"/>
      <c r="AS66" s="17"/>
    </row>
    <row r="67" spans="42:45">
      <c r="AP67" s="17"/>
      <c r="AQ67" s="17"/>
      <c r="AR67" s="17"/>
      <c r="AS67" s="17"/>
    </row>
    <row r="68" spans="42:45">
      <c r="AP68" s="17"/>
      <c r="AQ68" s="17"/>
      <c r="AR68" s="17"/>
      <c r="AS68" s="17"/>
    </row>
    <row r="69" spans="42:45">
      <c r="AP69" s="17"/>
      <c r="AQ69" s="17"/>
      <c r="AR69" s="17"/>
      <c r="AS69" s="17"/>
    </row>
    <row r="70" spans="42:45">
      <c r="AP70" s="17"/>
      <c r="AQ70" s="17"/>
      <c r="AR70" s="17"/>
      <c r="AS70" s="17"/>
    </row>
    <row r="71" spans="42:45">
      <c r="AP71" s="17"/>
      <c r="AQ71" s="17"/>
      <c r="AR71" s="17"/>
      <c r="AS71" s="17"/>
    </row>
    <row r="72" spans="42:45">
      <c r="AP72" s="17"/>
      <c r="AQ72" s="17"/>
      <c r="AR72" s="17"/>
      <c r="AS72" s="17"/>
    </row>
    <row r="73" spans="42:45">
      <c r="AP73" s="17"/>
      <c r="AQ73" s="17"/>
      <c r="AR73" s="17"/>
      <c r="AS73" s="17"/>
    </row>
    <row r="74" spans="42:45">
      <c r="AP74" s="17"/>
      <c r="AQ74" s="17"/>
      <c r="AR74" s="17"/>
      <c r="AS74" s="17"/>
    </row>
    <row r="75" spans="42:45">
      <c r="AP75" s="17"/>
      <c r="AQ75" s="17"/>
      <c r="AR75" s="17"/>
      <c r="AS75" s="17"/>
    </row>
    <row r="76" spans="42:45">
      <c r="AP76" s="17"/>
      <c r="AQ76" s="17"/>
      <c r="AR76" s="17"/>
      <c r="AS76" s="17"/>
    </row>
    <row r="77" spans="42:45">
      <c r="AP77" s="17"/>
      <c r="AQ77" s="17"/>
      <c r="AR77" s="17"/>
      <c r="AS77" s="17"/>
    </row>
    <row r="78" spans="42:45">
      <c r="AP78" s="17"/>
      <c r="AQ78" s="17"/>
      <c r="AR78" s="17"/>
      <c r="AS78" s="17"/>
    </row>
    <row r="79" spans="42:45">
      <c r="AP79" s="17"/>
      <c r="AQ79" s="17"/>
      <c r="AR79" s="17"/>
      <c r="AS79" s="17"/>
    </row>
    <row r="80" spans="42:45">
      <c r="AP80" s="17"/>
      <c r="AQ80" s="17"/>
      <c r="AR80" s="17"/>
      <c r="AS80" s="17"/>
    </row>
    <row r="81" spans="42:45">
      <c r="AP81" s="17"/>
      <c r="AQ81" s="17"/>
      <c r="AR81" s="17"/>
      <c r="AS81" s="17"/>
    </row>
    <row r="82" spans="42:45">
      <c r="AP82" s="17"/>
      <c r="AQ82" s="17"/>
      <c r="AR82" s="17"/>
      <c r="AS82" s="17"/>
    </row>
    <row r="83" spans="42:45">
      <c r="AP83" s="17"/>
      <c r="AQ83" s="17"/>
      <c r="AR83" s="17"/>
      <c r="AS83" s="17"/>
    </row>
    <row r="84" spans="42:45">
      <c r="AP84" s="17"/>
      <c r="AQ84" s="17"/>
      <c r="AR84" s="17"/>
      <c r="AS84" s="17"/>
    </row>
    <row r="85" spans="42:45">
      <c r="AP85" s="17"/>
      <c r="AQ85" s="17"/>
      <c r="AR85" s="17"/>
      <c r="AS85" s="17"/>
    </row>
    <row r="86" spans="42:45">
      <c r="AP86" s="17"/>
      <c r="AQ86" s="17"/>
      <c r="AR86" s="17"/>
      <c r="AS86" s="17"/>
    </row>
    <row r="87" spans="42:45">
      <c r="AP87" s="17"/>
      <c r="AQ87" s="17"/>
      <c r="AR87" s="17"/>
      <c r="AS87" s="17"/>
    </row>
    <row r="88" spans="42:45">
      <c r="AP88" s="17"/>
      <c r="AQ88" s="17"/>
      <c r="AR88" s="17"/>
      <c r="AS88" s="17"/>
    </row>
    <row r="89" spans="42:45">
      <c r="AP89" s="17"/>
      <c r="AQ89" s="17"/>
      <c r="AR89" s="17"/>
      <c r="AS89" s="17"/>
    </row>
    <row r="90" spans="42:45">
      <c r="AP90" s="17"/>
      <c r="AQ90" s="17"/>
      <c r="AR90" s="17"/>
      <c r="AS90" s="17"/>
    </row>
    <row r="91" spans="42:45">
      <c r="AP91" s="17"/>
      <c r="AQ91" s="17"/>
      <c r="AR91" s="17"/>
      <c r="AS91" s="17"/>
    </row>
    <row r="92" spans="42:45">
      <c r="AP92" s="17"/>
      <c r="AQ92" s="17"/>
      <c r="AR92" s="17"/>
      <c r="AS92" s="17"/>
    </row>
    <row r="93" spans="42:45">
      <c r="AP93" s="17"/>
      <c r="AQ93" s="17"/>
      <c r="AR93" s="17"/>
      <c r="AS93" s="17"/>
    </row>
    <row r="94" spans="42:45">
      <c r="AP94" s="17"/>
      <c r="AQ94" s="17"/>
      <c r="AR94" s="17"/>
      <c r="AS94" s="17"/>
    </row>
    <row r="95" spans="42:45">
      <c r="AP95" s="17"/>
      <c r="AQ95" s="17"/>
      <c r="AR95" s="17"/>
      <c r="AS95" s="17"/>
    </row>
    <row r="96" spans="42:45">
      <c r="AP96" s="17"/>
      <c r="AQ96" s="17"/>
      <c r="AR96" s="17"/>
      <c r="AS96" s="17"/>
    </row>
    <row r="97" spans="42:45">
      <c r="AP97" s="17"/>
      <c r="AQ97" s="17"/>
      <c r="AR97" s="17"/>
      <c r="AS97" s="17"/>
    </row>
    <row r="98" spans="42:45">
      <c r="AP98" s="17"/>
      <c r="AQ98" s="17"/>
      <c r="AR98" s="17"/>
      <c r="AS98" s="17"/>
    </row>
    <row r="99" spans="42:45">
      <c r="AP99" s="17"/>
      <c r="AQ99" s="17"/>
      <c r="AR99" s="17"/>
      <c r="AS99" s="17"/>
    </row>
    <row r="100" spans="42:45">
      <c r="AP100" s="17"/>
      <c r="AQ100" s="17"/>
      <c r="AR100" s="17"/>
      <c r="AS100" s="17"/>
    </row>
    <row r="101" spans="42:45">
      <c r="AP101" s="17"/>
      <c r="AQ101" s="17"/>
      <c r="AR101" s="17"/>
      <c r="AS101" s="17"/>
    </row>
    <row r="102" spans="42:45">
      <c r="AP102" s="17"/>
      <c r="AQ102" s="17"/>
      <c r="AR102" s="17"/>
      <c r="AS102" s="17"/>
    </row>
    <row r="103" spans="42:45">
      <c r="AP103" s="17"/>
      <c r="AQ103" s="17"/>
      <c r="AR103" s="17"/>
      <c r="AS103" s="17"/>
    </row>
    <row r="104" spans="42:45">
      <c r="AP104" s="17"/>
      <c r="AQ104" s="17"/>
      <c r="AR104" s="17"/>
      <c r="AS104" s="17"/>
    </row>
    <row r="105" spans="42:45">
      <c r="AP105" s="17"/>
      <c r="AQ105" s="17"/>
      <c r="AR105" s="17"/>
      <c r="AS105" s="17"/>
    </row>
    <row r="106" spans="42:45">
      <c r="AP106" s="17"/>
      <c r="AQ106" s="17"/>
      <c r="AR106" s="17"/>
      <c r="AS106" s="17"/>
    </row>
    <row r="107" spans="42:45">
      <c r="AP107" s="17"/>
      <c r="AQ107" s="17"/>
      <c r="AR107" s="17"/>
      <c r="AS107" s="17"/>
    </row>
    <row r="108" spans="42:45">
      <c r="AP108" s="17"/>
      <c r="AQ108" s="17"/>
      <c r="AR108" s="17"/>
      <c r="AS108" s="17"/>
    </row>
    <row r="109" spans="42:45">
      <c r="AP109" s="17"/>
      <c r="AQ109" s="17"/>
      <c r="AR109" s="17"/>
      <c r="AS109" s="17"/>
    </row>
    <row r="110" spans="42:45">
      <c r="AP110" s="17"/>
      <c r="AQ110" s="17"/>
      <c r="AR110" s="17"/>
      <c r="AS110" s="17"/>
    </row>
    <row r="111" spans="42:45">
      <c r="AP111" s="17"/>
      <c r="AQ111" s="17"/>
      <c r="AR111" s="17"/>
      <c r="AS111" s="17"/>
    </row>
    <row r="112" spans="42:45">
      <c r="AP112" s="17"/>
      <c r="AQ112" s="17"/>
      <c r="AR112" s="17"/>
      <c r="AS112" s="17"/>
    </row>
    <row r="113" spans="42:45">
      <c r="AP113" s="17"/>
      <c r="AQ113" s="17"/>
      <c r="AR113" s="17"/>
      <c r="AS113" s="17"/>
    </row>
    <row r="114" spans="42:45">
      <c r="AP114" s="17"/>
      <c r="AQ114" s="17"/>
      <c r="AR114" s="17"/>
      <c r="AS114" s="17"/>
    </row>
    <row r="115" spans="42:45">
      <c r="AP115" s="17"/>
      <c r="AQ115" s="17"/>
      <c r="AR115" s="17"/>
      <c r="AS115" s="17"/>
    </row>
    <row r="116" spans="42:45">
      <c r="AP116" s="17"/>
      <c r="AQ116" s="17"/>
      <c r="AR116" s="17"/>
      <c r="AS116" s="17"/>
    </row>
    <row r="117" spans="42:45">
      <c r="AP117" s="17"/>
      <c r="AQ117" s="17"/>
      <c r="AR117" s="17"/>
      <c r="AS117" s="17"/>
    </row>
    <row r="118" spans="42:45">
      <c r="AP118" s="17"/>
      <c r="AQ118" s="17"/>
      <c r="AR118" s="17"/>
      <c r="AS118" s="17"/>
    </row>
    <row r="119" spans="42:45">
      <c r="AP119" s="17"/>
      <c r="AQ119" s="17"/>
      <c r="AR119" s="17"/>
      <c r="AS119" s="17"/>
    </row>
    <row r="120" spans="42:45">
      <c r="AP120" s="17"/>
      <c r="AQ120" s="17"/>
      <c r="AR120" s="17"/>
      <c r="AS120" s="17"/>
    </row>
    <row r="121" spans="42:45">
      <c r="AP121" s="17"/>
      <c r="AQ121" s="17"/>
      <c r="AR121" s="17"/>
      <c r="AS121" s="17"/>
    </row>
    <row r="122" spans="42:45">
      <c r="AP122" s="17"/>
      <c r="AQ122" s="17"/>
      <c r="AR122" s="17"/>
      <c r="AS122" s="17"/>
    </row>
    <row r="123" spans="42:45">
      <c r="AP123" s="17"/>
      <c r="AQ123" s="17"/>
      <c r="AR123" s="17"/>
      <c r="AS123" s="17"/>
    </row>
    <row r="124" spans="42:45">
      <c r="AP124" s="17"/>
      <c r="AQ124" s="17"/>
      <c r="AR124" s="17"/>
      <c r="AS124" s="17"/>
    </row>
    <row r="125" spans="42:45">
      <c r="AP125" s="17"/>
      <c r="AQ125" s="17"/>
      <c r="AR125" s="17"/>
      <c r="AS125" s="17"/>
    </row>
    <row r="126" spans="42:45">
      <c r="AP126" s="17"/>
      <c r="AQ126" s="17"/>
      <c r="AR126" s="17"/>
      <c r="AS126" s="17"/>
    </row>
    <row r="127" spans="42:45">
      <c r="AP127" s="17"/>
      <c r="AQ127" s="17"/>
      <c r="AR127" s="17"/>
      <c r="AS127" s="17"/>
    </row>
    <row r="128" spans="42:45">
      <c r="AP128" s="17"/>
      <c r="AQ128" s="17"/>
      <c r="AR128" s="17"/>
      <c r="AS128" s="17"/>
    </row>
    <row r="129" spans="42:45">
      <c r="AP129" s="17"/>
      <c r="AQ129" s="17"/>
      <c r="AR129" s="17"/>
      <c r="AS129" s="17"/>
    </row>
    <row r="130" spans="42:45">
      <c r="AP130" s="17"/>
      <c r="AQ130" s="17"/>
      <c r="AR130" s="17"/>
      <c r="AS130" s="17"/>
    </row>
    <row r="131" spans="42:45">
      <c r="AP131" s="17"/>
      <c r="AQ131" s="17"/>
      <c r="AR131" s="17"/>
      <c r="AS131" s="17"/>
    </row>
    <row r="132" spans="42:45">
      <c r="AP132" s="17"/>
      <c r="AQ132" s="17"/>
      <c r="AR132" s="17"/>
      <c r="AS132" s="17"/>
    </row>
    <row r="133" spans="42:45">
      <c r="AP133" s="17"/>
      <c r="AQ133" s="17"/>
      <c r="AR133" s="17"/>
      <c r="AS133" s="17"/>
    </row>
    <row r="134" spans="42:45">
      <c r="AP134" s="17"/>
      <c r="AQ134" s="17"/>
      <c r="AR134" s="17"/>
      <c r="AS134" s="17"/>
    </row>
    <row r="135" spans="42:45">
      <c r="AP135" s="17"/>
      <c r="AQ135" s="17"/>
      <c r="AR135" s="17"/>
      <c r="AS135" s="17"/>
    </row>
    <row r="136" spans="42:45">
      <c r="AP136" s="17"/>
      <c r="AQ136" s="17"/>
      <c r="AR136" s="17"/>
      <c r="AS136" s="17"/>
    </row>
    <row r="137" spans="42:45">
      <c r="AP137" s="17"/>
      <c r="AQ137" s="17"/>
      <c r="AR137" s="17"/>
      <c r="AS137" s="17"/>
    </row>
    <row r="138" spans="42:45">
      <c r="AP138" s="17"/>
      <c r="AQ138" s="17"/>
      <c r="AR138" s="17"/>
      <c r="AS138" s="17"/>
    </row>
    <row r="139" spans="42:45">
      <c r="AP139" s="17"/>
      <c r="AQ139" s="17"/>
      <c r="AR139" s="17"/>
      <c r="AS139" s="17"/>
    </row>
    <row r="140" spans="42:45">
      <c r="AP140" s="17"/>
      <c r="AQ140" s="17"/>
      <c r="AR140" s="17"/>
      <c r="AS140" s="17"/>
    </row>
    <row r="141" spans="42:45">
      <c r="AP141" s="17"/>
      <c r="AQ141" s="17"/>
      <c r="AR141" s="17"/>
      <c r="AS141" s="17"/>
    </row>
    <row r="142" spans="42:45">
      <c r="AP142" s="17"/>
      <c r="AQ142" s="17"/>
      <c r="AR142" s="17"/>
      <c r="AS142" s="17"/>
    </row>
    <row r="143" spans="42:45">
      <c r="AP143" s="17"/>
      <c r="AQ143" s="17"/>
      <c r="AR143" s="17"/>
      <c r="AS143" s="17"/>
    </row>
    <row r="144" spans="42:45">
      <c r="AP144" s="17"/>
      <c r="AQ144" s="17"/>
      <c r="AR144" s="17"/>
      <c r="AS144" s="17"/>
    </row>
    <row r="145" spans="42:45">
      <c r="AP145" s="17"/>
      <c r="AQ145" s="17"/>
      <c r="AR145" s="17"/>
      <c r="AS145" s="17"/>
    </row>
    <row r="146" spans="42:45">
      <c r="AP146" s="17"/>
      <c r="AQ146" s="17"/>
      <c r="AR146" s="17"/>
      <c r="AS146" s="17"/>
    </row>
    <row r="147" spans="42:45">
      <c r="AP147" s="17"/>
      <c r="AQ147" s="17"/>
      <c r="AR147" s="17"/>
      <c r="AS147" s="17"/>
    </row>
    <row r="148" spans="42:45">
      <c r="AP148" s="17"/>
      <c r="AQ148" s="17"/>
      <c r="AR148" s="17"/>
      <c r="AS148" s="17"/>
    </row>
    <row r="149" spans="42:45">
      <c r="AP149" s="17"/>
      <c r="AQ149" s="17"/>
      <c r="AR149" s="17"/>
      <c r="AS149" s="17"/>
    </row>
    <row r="150" spans="42:45">
      <c r="AP150" s="17"/>
      <c r="AQ150" s="17"/>
      <c r="AR150" s="17"/>
      <c r="AS150" s="17"/>
    </row>
    <row r="151" spans="42:45">
      <c r="AP151" s="17"/>
      <c r="AQ151" s="17"/>
      <c r="AR151" s="17"/>
      <c r="AS151" s="17"/>
    </row>
    <row r="152" spans="42:45">
      <c r="AP152" s="17"/>
      <c r="AQ152" s="17"/>
      <c r="AR152" s="17"/>
      <c r="AS152" s="17"/>
    </row>
    <row r="153" spans="42:45">
      <c r="AP153" s="17"/>
      <c r="AQ153" s="17"/>
      <c r="AR153" s="17"/>
      <c r="AS153" s="17"/>
    </row>
    <row r="154" spans="42:45">
      <c r="AP154" s="17"/>
      <c r="AQ154" s="17"/>
      <c r="AR154" s="17"/>
      <c r="AS154" s="17"/>
    </row>
    <row r="155" spans="42:45">
      <c r="AP155" s="17"/>
      <c r="AQ155" s="17"/>
      <c r="AR155" s="17"/>
      <c r="AS155" s="17"/>
    </row>
    <row r="156" spans="42:45">
      <c r="AP156" s="17"/>
      <c r="AQ156" s="17"/>
      <c r="AR156" s="17"/>
      <c r="AS156" s="17"/>
    </row>
    <row r="157" spans="42:45">
      <c r="AP157" s="17"/>
      <c r="AQ157" s="17"/>
      <c r="AR157" s="17"/>
      <c r="AS157" s="17"/>
    </row>
    <row r="158" spans="42:45">
      <c r="AP158" s="17"/>
      <c r="AQ158" s="17"/>
      <c r="AR158" s="17"/>
      <c r="AS158" s="17"/>
    </row>
    <row r="159" spans="42:45">
      <c r="AP159" s="17"/>
      <c r="AQ159" s="17"/>
      <c r="AR159" s="17"/>
      <c r="AS159" s="17"/>
    </row>
    <row r="160" spans="42:45">
      <c r="AP160" s="17"/>
      <c r="AQ160" s="17"/>
      <c r="AR160" s="17"/>
      <c r="AS160" s="17"/>
    </row>
    <row r="161" spans="42:45">
      <c r="AP161" s="17"/>
      <c r="AQ161" s="17"/>
      <c r="AR161" s="17"/>
      <c r="AS161" s="17"/>
    </row>
    <row r="162" spans="42:45">
      <c r="AP162" s="17"/>
      <c r="AQ162" s="17"/>
      <c r="AR162" s="17"/>
      <c r="AS162" s="17"/>
    </row>
    <row r="163" spans="42:45">
      <c r="AP163" s="17"/>
      <c r="AQ163" s="17"/>
      <c r="AR163" s="17"/>
      <c r="AS163" s="17"/>
    </row>
    <row r="164" spans="42:45">
      <c r="AP164" s="17"/>
      <c r="AQ164" s="17"/>
      <c r="AR164" s="17"/>
      <c r="AS164" s="17"/>
    </row>
    <row r="165" spans="42:45">
      <c r="AP165" s="17"/>
      <c r="AQ165" s="17"/>
      <c r="AR165" s="17"/>
      <c r="AS165" s="17"/>
    </row>
    <row r="166" spans="42:45">
      <c r="AP166" s="17"/>
      <c r="AQ166" s="17"/>
      <c r="AR166" s="17"/>
      <c r="AS166" s="17"/>
    </row>
    <row r="167" spans="42:45">
      <c r="AP167" s="17"/>
      <c r="AQ167" s="17"/>
      <c r="AR167" s="17"/>
      <c r="AS167" s="17"/>
    </row>
    <row r="168" spans="42:45">
      <c r="AP168" s="17"/>
      <c r="AQ168" s="17"/>
      <c r="AR168" s="17"/>
      <c r="AS168" s="17"/>
    </row>
    <row r="169" spans="42:45">
      <c r="AP169" s="17"/>
      <c r="AQ169" s="17"/>
      <c r="AR169" s="17"/>
      <c r="AS169" s="17"/>
    </row>
    <row r="170" spans="42:45">
      <c r="AP170" s="17"/>
      <c r="AQ170" s="17"/>
      <c r="AR170" s="17"/>
      <c r="AS170" s="17"/>
    </row>
    <row r="171" spans="42:45">
      <c r="AP171" s="17"/>
      <c r="AQ171" s="17"/>
      <c r="AR171" s="17"/>
      <c r="AS171" s="17"/>
    </row>
    <row r="172" spans="42:45">
      <c r="AP172" s="17"/>
      <c r="AQ172" s="17"/>
      <c r="AR172" s="17"/>
      <c r="AS172" s="17"/>
    </row>
    <row r="173" spans="42:45">
      <c r="AP173" s="17"/>
      <c r="AQ173" s="17"/>
      <c r="AR173" s="17"/>
      <c r="AS173" s="17"/>
    </row>
    <row r="174" spans="42:45">
      <c r="AP174" s="17"/>
      <c r="AQ174" s="17"/>
      <c r="AR174" s="17"/>
      <c r="AS174" s="17"/>
    </row>
    <row r="175" spans="42:45">
      <c r="AP175" s="17"/>
      <c r="AQ175" s="17"/>
      <c r="AR175" s="17"/>
      <c r="AS175" s="17"/>
    </row>
    <row r="176" spans="42:45">
      <c r="AP176" s="17"/>
      <c r="AQ176" s="17"/>
      <c r="AR176" s="17"/>
      <c r="AS176" s="17"/>
    </row>
    <row r="177" spans="42:45">
      <c r="AP177" s="17"/>
      <c r="AQ177" s="17"/>
      <c r="AR177" s="17"/>
      <c r="AS177" s="17"/>
    </row>
    <row r="178" spans="42:45">
      <c r="AP178" s="17"/>
      <c r="AQ178" s="17"/>
      <c r="AR178" s="17"/>
      <c r="AS178" s="17"/>
    </row>
    <row r="179" spans="42:45">
      <c r="AP179" s="17"/>
      <c r="AQ179" s="17"/>
      <c r="AR179" s="17"/>
      <c r="AS179" s="17"/>
    </row>
    <row r="180" spans="42:45">
      <c r="AP180" s="17"/>
      <c r="AQ180" s="17"/>
      <c r="AR180" s="17"/>
      <c r="AS180" s="17"/>
    </row>
    <row r="181" spans="42:45">
      <c r="AP181" s="17"/>
      <c r="AQ181" s="17"/>
      <c r="AR181" s="17"/>
      <c r="AS181" s="17"/>
    </row>
    <row r="182" spans="42:45">
      <c r="AP182" s="17"/>
      <c r="AQ182" s="17"/>
      <c r="AR182" s="17"/>
      <c r="AS182" s="17"/>
    </row>
    <row r="183" spans="42:45">
      <c r="AP183" s="17"/>
      <c r="AQ183" s="17"/>
      <c r="AR183" s="17"/>
      <c r="AS183" s="17"/>
    </row>
    <row r="184" spans="42:45">
      <c r="AP184" s="17"/>
      <c r="AQ184" s="17"/>
      <c r="AR184" s="17"/>
      <c r="AS184" s="17"/>
    </row>
    <row r="185" spans="42:45">
      <c r="AP185" s="17"/>
      <c r="AQ185" s="17"/>
      <c r="AR185" s="17"/>
      <c r="AS185" s="17"/>
    </row>
    <row r="186" spans="42:45">
      <c r="AP186" s="17"/>
      <c r="AQ186" s="17"/>
      <c r="AR186" s="17"/>
      <c r="AS186" s="17"/>
    </row>
    <row r="187" spans="42:45">
      <c r="AP187" s="17"/>
      <c r="AQ187" s="17"/>
      <c r="AR187" s="17"/>
      <c r="AS187" s="17"/>
    </row>
    <row r="188" spans="42:45">
      <c r="AP188" s="17"/>
      <c r="AQ188" s="17"/>
      <c r="AR188" s="17"/>
      <c r="AS188" s="17"/>
    </row>
    <row r="189" spans="42:45">
      <c r="AP189" s="17"/>
      <c r="AQ189" s="17"/>
      <c r="AR189" s="17"/>
      <c r="AS189" s="17"/>
    </row>
    <row r="190" spans="42:45">
      <c r="AP190" s="17"/>
      <c r="AQ190" s="17"/>
      <c r="AR190" s="17"/>
      <c r="AS190" s="17"/>
    </row>
    <row r="191" spans="42:45">
      <c r="AP191" s="17"/>
      <c r="AQ191" s="17"/>
      <c r="AR191" s="17"/>
      <c r="AS191" s="17"/>
    </row>
    <row r="192" spans="42:45">
      <c r="AP192" s="17"/>
      <c r="AQ192" s="17"/>
      <c r="AR192" s="17"/>
      <c r="AS192" s="17"/>
    </row>
    <row r="193" spans="42:45">
      <c r="AP193" s="17"/>
      <c r="AQ193" s="17"/>
      <c r="AR193" s="17"/>
      <c r="AS193" s="17"/>
    </row>
    <row r="194" spans="42:45">
      <c r="AP194" s="17"/>
      <c r="AQ194" s="17"/>
      <c r="AR194" s="17"/>
      <c r="AS194" s="17"/>
    </row>
    <row r="195" spans="42:45">
      <c r="AP195" s="17"/>
      <c r="AQ195" s="17"/>
      <c r="AR195" s="17"/>
      <c r="AS195" s="17"/>
    </row>
    <row r="196" spans="42:45">
      <c r="AP196" s="17"/>
      <c r="AQ196" s="17"/>
      <c r="AR196" s="17"/>
      <c r="AS196" s="17"/>
    </row>
    <row r="197" spans="42:45">
      <c r="AP197" s="17"/>
      <c r="AQ197" s="17"/>
      <c r="AR197" s="17"/>
      <c r="AS197" s="17"/>
    </row>
    <row r="198" spans="42:45">
      <c r="AP198" s="17"/>
      <c r="AQ198" s="17"/>
      <c r="AR198" s="17"/>
      <c r="AS198" s="17"/>
    </row>
    <row r="199" spans="42:45">
      <c r="AP199" s="17"/>
      <c r="AQ199" s="17"/>
      <c r="AR199" s="17"/>
      <c r="AS199" s="17"/>
    </row>
    <row r="200" spans="42:45">
      <c r="AP200" s="17"/>
      <c r="AQ200" s="17"/>
      <c r="AR200" s="17"/>
      <c r="AS200" s="17"/>
    </row>
    <row r="201" spans="42:45">
      <c r="AP201" s="17"/>
      <c r="AQ201" s="17"/>
      <c r="AR201" s="17"/>
      <c r="AS201" s="17"/>
    </row>
    <row r="202" spans="42:45">
      <c r="AP202" s="17"/>
      <c r="AQ202" s="17"/>
      <c r="AR202" s="17"/>
      <c r="AS202" s="17"/>
    </row>
    <row r="203" spans="42:45">
      <c r="AP203" s="17"/>
      <c r="AQ203" s="17"/>
      <c r="AR203" s="17"/>
      <c r="AS203" s="17"/>
    </row>
    <row r="204" spans="42:45">
      <c r="AP204" s="17"/>
      <c r="AQ204" s="17"/>
      <c r="AR204" s="17"/>
      <c r="AS204" s="17"/>
    </row>
    <row r="205" spans="42:45">
      <c r="AP205" s="17"/>
      <c r="AQ205" s="17"/>
      <c r="AR205" s="17"/>
      <c r="AS205" s="17"/>
    </row>
    <row r="206" spans="42:45">
      <c r="AP206" s="17"/>
      <c r="AQ206" s="17"/>
      <c r="AR206" s="17"/>
      <c r="AS206" s="17"/>
    </row>
    <row r="207" spans="42:45">
      <c r="AP207" s="17"/>
      <c r="AQ207" s="17"/>
      <c r="AR207" s="17"/>
      <c r="AS207" s="17"/>
    </row>
    <row r="208" spans="42:45">
      <c r="AP208" s="17"/>
      <c r="AQ208" s="17"/>
      <c r="AR208" s="17"/>
      <c r="AS208" s="17"/>
    </row>
    <row r="209" spans="42:45">
      <c r="AP209" s="17"/>
      <c r="AQ209" s="17"/>
      <c r="AR209" s="17"/>
      <c r="AS209" s="17"/>
    </row>
    <row r="210" spans="42:45">
      <c r="AP210" s="17"/>
      <c r="AQ210" s="17"/>
      <c r="AR210" s="17"/>
      <c r="AS210" s="17"/>
    </row>
    <row r="211" spans="42:45">
      <c r="AP211" s="17"/>
      <c r="AQ211" s="17"/>
      <c r="AR211" s="17"/>
      <c r="AS211" s="17"/>
    </row>
    <row r="212" spans="42:45">
      <c r="AP212" s="17"/>
      <c r="AQ212" s="17"/>
      <c r="AR212" s="17"/>
      <c r="AS212" s="17"/>
    </row>
    <row r="213" spans="42:45">
      <c r="AP213" s="17"/>
      <c r="AQ213" s="17"/>
      <c r="AR213" s="17"/>
      <c r="AS213" s="17"/>
    </row>
    <row r="214" spans="42:45">
      <c r="AP214" s="17"/>
      <c r="AQ214" s="17"/>
      <c r="AR214" s="17"/>
      <c r="AS214" s="17"/>
    </row>
    <row r="215" spans="42:45">
      <c r="AP215" s="17"/>
      <c r="AQ215" s="17"/>
      <c r="AR215" s="17"/>
      <c r="AS215" s="17"/>
    </row>
    <row r="216" spans="42:45">
      <c r="AP216" s="17"/>
      <c r="AQ216" s="17"/>
      <c r="AR216" s="17"/>
      <c r="AS216" s="17"/>
    </row>
    <row r="217" spans="42:45">
      <c r="AP217" s="17"/>
      <c r="AQ217" s="17"/>
      <c r="AR217" s="17"/>
      <c r="AS217" s="17"/>
    </row>
    <row r="218" spans="42:45">
      <c r="AP218" s="17"/>
      <c r="AQ218" s="17"/>
      <c r="AR218" s="17"/>
      <c r="AS218" s="17"/>
    </row>
    <row r="219" spans="42:45">
      <c r="AP219" s="17"/>
      <c r="AQ219" s="17"/>
      <c r="AR219" s="17"/>
      <c r="AS219" s="17"/>
    </row>
    <row r="220" spans="42:45">
      <c r="AP220" s="17"/>
      <c r="AQ220" s="17"/>
      <c r="AR220" s="17"/>
      <c r="AS220" s="17"/>
    </row>
    <row r="221" spans="42:45">
      <c r="AP221" s="17"/>
      <c r="AQ221" s="17"/>
      <c r="AR221" s="17"/>
      <c r="AS221" s="17"/>
    </row>
    <row r="222" spans="42:45">
      <c r="AP222" s="17"/>
      <c r="AQ222" s="17"/>
      <c r="AR222" s="17"/>
      <c r="AS222" s="17"/>
    </row>
    <row r="223" spans="42:45">
      <c r="AP223" s="17"/>
      <c r="AQ223" s="17"/>
      <c r="AR223" s="17"/>
      <c r="AS223" s="17"/>
    </row>
    <row r="224" spans="42:45">
      <c r="AP224" s="17"/>
      <c r="AQ224" s="17"/>
      <c r="AR224" s="17"/>
      <c r="AS224" s="17"/>
    </row>
    <row r="225" spans="42:45">
      <c r="AP225" s="17"/>
      <c r="AQ225" s="17"/>
      <c r="AR225" s="17"/>
      <c r="AS225" s="17"/>
    </row>
    <row r="226" spans="42:45">
      <c r="AP226" s="17"/>
      <c r="AQ226" s="17"/>
      <c r="AR226" s="17"/>
      <c r="AS226" s="17"/>
    </row>
    <row r="227" spans="42:45">
      <c r="AP227" s="17"/>
      <c r="AQ227" s="17"/>
      <c r="AR227" s="17"/>
      <c r="AS227" s="17"/>
    </row>
    <row r="228" spans="42:45">
      <c r="AP228" s="17"/>
      <c r="AQ228" s="17"/>
      <c r="AR228" s="17"/>
      <c r="AS228" s="17"/>
    </row>
    <row r="229" spans="42:45">
      <c r="AP229" s="17"/>
      <c r="AQ229" s="17"/>
      <c r="AR229" s="17"/>
      <c r="AS229" s="17"/>
    </row>
    <row r="230" spans="42:45">
      <c r="AP230" s="17"/>
      <c r="AQ230" s="17"/>
      <c r="AR230" s="17"/>
      <c r="AS230" s="17"/>
    </row>
    <row r="231" spans="42:45">
      <c r="AP231" s="17"/>
      <c r="AQ231" s="17"/>
      <c r="AR231" s="17"/>
      <c r="AS231" s="17"/>
    </row>
    <row r="232" spans="42:45">
      <c r="AP232" s="17"/>
      <c r="AQ232" s="17"/>
      <c r="AR232" s="17"/>
      <c r="AS232" s="17"/>
    </row>
    <row r="233" spans="42:45">
      <c r="AP233" s="17"/>
      <c r="AQ233" s="17"/>
      <c r="AR233" s="17"/>
      <c r="AS233" s="17"/>
    </row>
    <row r="234" spans="42:45">
      <c r="AP234" s="17"/>
      <c r="AQ234" s="17"/>
      <c r="AR234" s="17"/>
      <c r="AS234" s="17"/>
    </row>
    <row r="235" spans="42:45">
      <c r="AP235" s="17"/>
      <c r="AQ235" s="17"/>
      <c r="AR235" s="17"/>
      <c r="AS235" s="17"/>
    </row>
    <row r="236" spans="42:45">
      <c r="AP236" s="17"/>
      <c r="AQ236" s="17"/>
      <c r="AR236" s="17"/>
      <c r="AS236" s="17"/>
    </row>
    <row r="237" spans="42:45">
      <c r="AP237" s="17"/>
      <c r="AQ237" s="17"/>
      <c r="AR237" s="17"/>
      <c r="AS237" s="17"/>
    </row>
    <row r="238" spans="42:45">
      <c r="AP238" s="17"/>
      <c r="AQ238" s="17"/>
      <c r="AR238" s="17"/>
      <c r="AS238" s="17"/>
    </row>
    <row r="239" spans="42:45">
      <c r="AP239" s="17"/>
      <c r="AQ239" s="17"/>
      <c r="AR239" s="17"/>
      <c r="AS239" s="17"/>
    </row>
    <row r="240" spans="42:45">
      <c r="AP240" s="17"/>
      <c r="AQ240" s="17"/>
      <c r="AR240" s="17"/>
      <c r="AS240" s="17"/>
    </row>
    <row r="241" spans="42:45">
      <c r="AP241" s="17"/>
      <c r="AQ241" s="17"/>
      <c r="AR241" s="17"/>
      <c r="AS241" s="17"/>
    </row>
    <row r="242" spans="42:45">
      <c r="AP242" s="17"/>
      <c r="AQ242" s="17"/>
      <c r="AR242" s="17"/>
      <c r="AS242" s="17"/>
    </row>
    <row r="243" spans="42:45">
      <c r="AP243" s="17"/>
      <c r="AQ243" s="17"/>
      <c r="AR243" s="17"/>
      <c r="AS243" s="17"/>
    </row>
    <row r="244" spans="42:45">
      <c r="AP244" s="17"/>
      <c r="AQ244" s="17"/>
      <c r="AR244" s="17"/>
      <c r="AS244" s="17"/>
    </row>
    <row r="245" spans="42:45">
      <c r="AP245" s="17"/>
      <c r="AQ245" s="17"/>
      <c r="AR245" s="17"/>
      <c r="AS245" s="17"/>
    </row>
    <row r="246" spans="42:45">
      <c r="AP246" s="17"/>
      <c r="AQ246" s="17"/>
      <c r="AR246" s="17"/>
      <c r="AS246" s="17"/>
    </row>
    <row r="247" spans="42:45">
      <c r="AP247" s="17"/>
      <c r="AQ247" s="17"/>
      <c r="AR247" s="17"/>
      <c r="AS247" s="17"/>
    </row>
    <row r="248" spans="42:45">
      <c r="AP248" s="17"/>
      <c r="AQ248" s="17"/>
      <c r="AR248" s="17"/>
      <c r="AS248" s="17"/>
    </row>
    <row r="249" spans="42:45">
      <c r="AP249" s="17"/>
      <c r="AQ249" s="17"/>
      <c r="AR249" s="17"/>
      <c r="AS249" s="17"/>
    </row>
    <row r="250" spans="42:45">
      <c r="AP250" s="17"/>
      <c r="AQ250" s="17"/>
      <c r="AR250" s="17"/>
      <c r="AS250" s="17"/>
    </row>
    <row r="251" spans="42:45">
      <c r="AP251" s="17"/>
      <c r="AQ251" s="17"/>
      <c r="AR251" s="17"/>
      <c r="AS251" s="17"/>
    </row>
    <row r="252" spans="42:45">
      <c r="AP252" s="17"/>
      <c r="AQ252" s="17"/>
      <c r="AR252" s="17"/>
      <c r="AS252" s="17"/>
    </row>
    <row r="253" spans="42:45">
      <c r="AP253" s="17"/>
      <c r="AQ253" s="17"/>
      <c r="AR253" s="17"/>
      <c r="AS253" s="17"/>
    </row>
    <row r="254" spans="42:45">
      <c r="AP254" s="17"/>
      <c r="AQ254" s="17"/>
      <c r="AR254" s="17"/>
      <c r="AS254" s="17"/>
    </row>
    <row r="255" spans="42:45">
      <c r="AP255" s="17"/>
      <c r="AQ255" s="17"/>
      <c r="AR255" s="17"/>
      <c r="AS255" s="17"/>
    </row>
    <row r="256" spans="42:45">
      <c r="AP256" s="17"/>
      <c r="AQ256" s="17"/>
      <c r="AR256" s="17"/>
      <c r="AS256" s="17"/>
    </row>
    <row r="257" spans="42:45">
      <c r="AP257" s="17"/>
      <c r="AQ257" s="17"/>
      <c r="AR257" s="17"/>
      <c r="AS257" s="17"/>
    </row>
    <row r="258" spans="42:45">
      <c r="AP258" s="17"/>
      <c r="AQ258" s="17"/>
      <c r="AR258" s="17"/>
      <c r="AS258" s="17"/>
    </row>
    <row r="259" spans="42:45">
      <c r="AP259" s="17"/>
      <c r="AQ259" s="17"/>
      <c r="AR259" s="17"/>
      <c r="AS259" s="17"/>
    </row>
    <row r="260" spans="42:45">
      <c r="AP260" s="17"/>
      <c r="AQ260" s="17"/>
      <c r="AR260" s="17"/>
      <c r="AS260" s="17"/>
    </row>
    <row r="261" spans="42:45">
      <c r="AP261" s="17"/>
      <c r="AQ261" s="17"/>
      <c r="AR261" s="17"/>
      <c r="AS261" s="17"/>
    </row>
    <row r="262" spans="42:45">
      <c r="AP262" s="17"/>
      <c r="AQ262" s="17"/>
      <c r="AR262" s="17"/>
      <c r="AS262" s="17"/>
    </row>
    <row r="263" spans="42:45">
      <c r="AP263" s="17"/>
      <c r="AQ263" s="17"/>
      <c r="AR263" s="17"/>
      <c r="AS263" s="17"/>
    </row>
    <row r="264" spans="42:45">
      <c r="AP264" s="17"/>
      <c r="AQ264" s="17"/>
      <c r="AR264" s="17"/>
      <c r="AS264" s="17"/>
    </row>
    <row r="265" spans="42:45">
      <c r="AP265" s="17"/>
      <c r="AQ265" s="17"/>
      <c r="AR265" s="17"/>
      <c r="AS265" s="17"/>
    </row>
    <row r="266" spans="42:45">
      <c r="AP266" s="17"/>
      <c r="AQ266" s="17"/>
      <c r="AR266" s="17"/>
      <c r="AS266" s="17"/>
    </row>
    <row r="267" spans="42:45">
      <c r="AP267" s="17"/>
      <c r="AQ267" s="17"/>
      <c r="AR267" s="17"/>
      <c r="AS267" s="17"/>
    </row>
    <row r="268" spans="42:45">
      <c r="AP268" s="17"/>
      <c r="AQ268" s="17"/>
      <c r="AR268" s="17"/>
      <c r="AS268" s="17"/>
    </row>
    <row r="269" spans="42:45">
      <c r="AP269" s="17"/>
      <c r="AQ269" s="17"/>
      <c r="AR269" s="17"/>
      <c r="AS269" s="17"/>
    </row>
    <row r="270" spans="42:45">
      <c r="AP270" s="17"/>
      <c r="AQ270" s="17"/>
      <c r="AR270" s="17"/>
      <c r="AS270" s="17"/>
    </row>
    <row r="271" spans="42:45">
      <c r="AP271" s="17"/>
      <c r="AQ271" s="17"/>
      <c r="AR271" s="17"/>
      <c r="AS271" s="17"/>
    </row>
    <row r="272" spans="42:45">
      <c r="AP272" s="17"/>
      <c r="AQ272" s="17"/>
      <c r="AR272" s="17"/>
      <c r="AS272" s="17"/>
    </row>
    <row r="273" spans="42:45">
      <c r="AP273" s="17"/>
      <c r="AQ273" s="17"/>
      <c r="AR273" s="17"/>
      <c r="AS273" s="17"/>
    </row>
    <row r="274" spans="42:45">
      <c r="AP274" s="17"/>
      <c r="AQ274" s="17"/>
      <c r="AR274" s="17"/>
      <c r="AS274" s="17"/>
    </row>
    <row r="275" spans="42:45">
      <c r="AP275" s="17"/>
      <c r="AQ275" s="17"/>
      <c r="AR275" s="17"/>
      <c r="AS275" s="17"/>
    </row>
    <row r="276" spans="42:45">
      <c r="AP276" s="17"/>
      <c r="AQ276" s="17"/>
      <c r="AR276" s="17"/>
      <c r="AS276" s="17"/>
    </row>
    <row r="277" spans="42:45">
      <c r="AP277" s="17"/>
      <c r="AQ277" s="17"/>
      <c r="AR277" s="17"/>
      <c r="AS277" s="17"/>
    </row>
    <row r="278" spans="42:45">
      <c r="AP278" s="17"/>
      <c r="AQ278" s="17"/>
      <c r="AR278" s="17"/>
      <c r="AS278" s="17"/>
    </row>
    <row r="279" spans="42:45">
      <c r="AP279" s="17"/>
      <c r="AQ279" s="17"/>
      <c r="AR279" s="17"/>
      <c r="AS279" s="17"/>
    </row>
    <row r="280" spans="42:45">
      <c r="AP280" s="17"/>
      <c r="AQ280" s="17"/>
      <c r="AR280" s="17"/>
      <c r="AS280" s="17"/>
    </row>
    <row r="281" spans="42:45">
      <c r="AP281" s="17"/>
      <c r="AQ281" s="17"/>
      <c r="AR281" s="17"/>
      <c r="AS281" s="17"/>
    </row>
    <row r="282" spans="42:45">
      <c r="AP282" s="17"/>
      <c r="AQ282" s="17"/>
      <c r="AR282" s="17"/>
      <c r="AS282" s="17"/>
    </row>
    <row r="283" spans="42:45">
      <c r="AP283" s="17"/>
      <c r="AQ283" s="17"/>
      <c r="AR283" s="17"/>
      <c r="AS283" s="17"/>
    </row>
    <row r="284" spans="42:45">
      <c r="AP284" s="17"/>
      <c r="AQ284" s="17"/>
      <c r="AR284" s="17"/>
      <c r="AS284" s="17"/>
    </row>
    <row r="285" spans="42:45">
      <c r="AP285" s="17"/>
      <c r="AQ285" s="17"/>
      <c r="AR285" s="17"/>
      <c r="AS285" s="17"/>
    </row>
    <row r="286" spans="42:45">
      <c r="AP286" s="17"/>
      <c r="AQ286" s="17"/>
      <c r="AR286" s="17"/>
      <c r="AS286" s="17"/>
    </row>
    <row r="287" spans="42:45">
      <c r="AP287" s="17"/>
      <c r="AQ287" s="17"/>
      <c r="AR287" s="17"/>
      <c r="AS287" s="17"/>
    </row>
    <row r="288" spans="42:45">
      <c r="AP288" s="17"/>
      <c r="AQ288" s="17"/>
      <c r="AR288" s="17"/>
      <c r="AS288" s="17"/>
    </row>
    <row r="289" spans="42:45">
      <c r="AP289" s="17"/>
      <c r="AQ289" s="17"/>
      <c r="AR289" s="17"/>
      <c r="AS289" s="17"/>
    </row>
    <row r="290" spans="42:45">
      <c r="AP290" s="17"/>
      <c r="AQ290" s="17"/>
      <c r="AR290" s="17"/>
      <c r="AS290" s="17"/>
    </row>
    <row r="291" spans="42:45">
      <c r="AP291" s="17"/>
      <c r="AQ291" s="17"/>
      <c r="AR291" s="17"/>
      <c r="AS291" s="17"/>
    </row>
    <row r="292" spans="42:45">
      <c r="AP292" s="17"/>
      <c r="AQ292" s="17"/>
      <c r="AR292" s="17"/>
      <c r="AS292" s="17"/>
    </row>
    <row r="293" spans="42:45">
      <c r="AP293" s="17"/>
      <c r="AQ293" s="17"/>
      <c r="AR293" s="17"/>
      <c r="AS293" s="17"/>
    </row>
    <row r="294" spans="42:45">
      <c r="AP294" s="17"/>
      <c r="AQ294" s="17"/>
      <c r="AR294" s="17"/>
      <c r="AS294" s="17"/>
    </row>
    <row r="295" spans="42:45">
      <c r="AP295" s="17"/>
      <c r="AQ295" s="17"/>
      <c r="AR295" s="17"/>
      <c r="AS295" s="17"/>
    </row>
    <row r="296" spans="42:45">
      <c r="AP296" s="17"/>
      <c r="AQ296" s="17"/>
      <c r="AR296" s="17"/>
      <c r="AS296" s="17"/>
    </row>
    <row r="297" spans="42:45">
      <c r="AP297" s="17"/>
      <c r="AQ297" s="17"/>
      <c r="AR297" s="17"/>
      <c r="AS297" s="17"/>
    </row>
    <row r="298" spans="42:45">
      <c r="AP298" s="17"/>
      <c r="AQ298" s="17"/>
      <c r="AR298" s="17"/>
      <c r="AS298" s="17"/>
    </row>
    <row r="299" spans="42:45">
      <c r="AP299" s="17"/>
      <c r="AQ299" s="17"/>
      <c r="AR299" s="17"/>
      <c r="AS299" s="17"/>
    </row>
    <row r="300" spans="42:45">
      <c r="AP300" s="17"/>
      <c r="AQ300" s="17"/>
      <c r="AR300" s="17"/>
      <c r="AS300" s="17"/>
    </row>
    <row r="301" spans="42:45">
      <c r="AP301" s="17"/>
      <c r="AQ301" s="17"/>
      <c r="AR301" s="17"/>
      <c r="AS301" s="17"/>
    </row>
    <row r="302" spans="42:45">
      <c r="AP302" s="17"/>
      <c r="AQ302" s="17"/>
      <c r="AR302" s="17"/>
      <c r="AS302" s="17"/>
    </row>
    <row r="303" spans="42:45">
      <c r="AP303" s="17"/>
      <c r="AQ303" s="17"/>
      <c r="AR303" s="17"/>
      <c r="AS303" s="17"/>
    </row>
    <row r="304" spans="42:45">
      <c r="AP304" s="17"/>
      <c r="AQ304" s="17"/>
      <c r="AR304" s="17"/>
      <c r="AS304" s="17"/>
    </row>
    <row r="305" spans="42:45">
      <c r="AP305" s="17"/>
      <c r="AQ305" s="17"/>
      <c r="AR305" s="17"/>
      <c r="AS305" s="17"/>
    </row>
    <row r="306" spans="42:45">
      <c r="AP306" s="17"/>
      <c r="AQ306" s="17"/>
      <c r="AR306" s="17"/>
      <c r="AS306" s="17"/>
    </row>
    <row r="307" spans="42:45">
      <c r="AP307" s="17"/>
      <c r="AQ307" s="17"/>
      <c r="AR307" s="17"/>
      <c r="AS307" s="17"/>
    </row>
    <row r="308" spans="42:45">
      <c r="AP308" s="17"/>
      <c r="AQ308" s="17"/>
      <c r="AR308" s="17"/>
      <c r="AS308" s="17"/>
    </row>
    <row r="309" spans="42:45">
      <c r="AP309" s="17"/>
      <c r="AQ309" s="17"/>
      <c r="AR309" s="17"/>
      <c r="AS309" s="17"/>
    </row>
    <row r="310" spans="42:45">
      <c r="AP310" s="17"/>
      <c r="AQ310" s="17"/>
      <c r="AR310" s="17"/>
      <c r="AS310" s="17"/>
    </row>
    <row r="311" spans="42:45">
      <c r="AP311" s="17"/>
      <c r="AQ311" s="17"/>
      <c r="AR311" s="17"/>
      <c r="AS311" s="17"/>
    </row>
    <row r="312" spans="42:45">
      <c r="AP312" s="17"/>
      <c r="AQ312" s="17"/>
      <c r="AR312" s="17"/>
      <c r="AS312" s="17"/>
    </row>
    <row r="313" spans="42:45">
      <c r="AP313" s="17"/>
      <c r="AQ313" s="17"/>
      <c r="AR313" s="17"/>
      <c r="AS313" s="17"/>
    </row>
    <row r="314" spans="42:45">
      <c r="AP314" s="17"/>
      <c r="AQ314" s="17"/>
      <c r="AR314" s="17"/>
      <c r="AS314" s="17"/>
    </row>
    <row r="315" spans="42:45">
      <c r="AP315" s="17"/>
      <c r="AQ315" s="17"/>
      <c r="AR315" s="17"/>
      <c r="AS315" s="17"/>
    </row>
    <row r="316" spans="42:45">
      <c r="AP316" s="17"/>
      <c r="AQ316" s="17"/>
      <c r="AR316" s="17"/>
      <c r="AS316" s="17"/>
    </row>
    <row r="317" spans="42:45">
      <c r="AP317" s="17"/>
      <c r="AQ317" s="17"/>
      <c r="AR317" s="17"/>
      <c r="AS317" s="17"/>
    </row>
    <row r="318" spans="42:45">
      <c r="AP318" s="17"/>
      <c r="AQ318" s="17"/>
      <c r="AR318" s="17"/>
      <c r="AS318" s="17"/>
    </row>
    <row r="319" spans="42:45">
      <c r="AP319" s="17"/>
      <c r="AQ319" s="17"/>
      <c r="AR319" s="17"/>
      <c r="AS319" s="17"/>
    </row>
    <row r="320" spans="42:45">
      <c r="AP320" s="17"/>
      <c r="AQ320" s="17"/>
      <c r="AR320" s="17"/>
      <c r="AS320" s="17"/>
    </row>
    <row r="321" spans="42:45">
      <c r="AP321" s="17"/>
      <c r="AQ321" s="17"/>
      <c r="AR321" s="17"/>
      <c r="AS321" s="17"/>
    </row>
    <row r="322" spans="42:45">
      <c r="AP322" s="17"/>
      <c r="AQ322" s="17"/>
      <c r="AR322" s="17"/>
      <c r="AS322" s="17"/>
    </row>
    <row r="323" spans="42:45">
      <c r="AP323" s="17"/>
      <c r="AQ323" s="17"/>
      <c r="AR323" s="17"/>
      <c r="AS323" s="17"/>
    </row>
    <row r="324" spans="42:45">
      <c r="AP324" s="17"/>
      <c r="AQ324" s="17"/>
      <c r="AR324" s="17"/>
      <c r="AS324" s="17"/>
    </row>
    <row r="325" spans="42:45">
      <c r="AP325" s="17"/>
      <c r="AQ325" s="17"/>
      <c r="AR325" s="17"/>
      <c r="AS325" s="17"/>
    </row>
    <row r="326" spans="42:45">
      <c r="AP326" s="17"/>
      <c r="AQ326" s="17"/>
      <c r="AR326" s="17"/>
      <c r="AS326" s="17"/>
    </row>
    <row r="327" spans="42:45">
      <c r="AP327" s="17"/>
      <c r="AQ327" s="17"/>
      <c r="AR327" s="17"/>
      <c r="AS327" s="17"/>
    </row>
    <row r="328" spans="42:45">
      <c r="AP328" s="17"/>
      <c r="AQ328" s="17"/>
      <c r="AR328" s="17"/>
      <c r="AS328" s="17"/>
    </row>
    <row r="329" spans="42:45">
      <c r="AP329" s="17"/>
      <c r="AQ329" s="17"/>
      <c r="AR329" s="17"/>
      <c r="AS329" s="17"/>
    </row>
    <row r="330" spans="42:45">
      <c r="AP330" s="17"/>
      <c r="AQ330" s="17"/>
      <c r="AR330" s="17"/>
      <c r="AS330" s="17"/>
    </row>
    <row r="331" spans="42:45">
      <c r="AP331" s="17"/>
      <c r="AQ331" s="17"/>
      <c r="AR331" s="17"/>
      <c r="AS331" s="17"/>
    </row>
    <row r="332" spans="42:45">
      <c r="AP332" s="17"/>
      <c r="AQ332" s="17"/>
      <c r="AR332" s="17"/>
      <c r="AS332" s="17"/>
    </row>
    <row r="333" spans="42:45">
      <c r="AP333" s="17"/>
      <c r="AQ333" s="17"/>
      <c r="AR333" s="17"/>
      <c r="AS333" s="17"/>
    </row>
    <row r="334" spans="42:45">
      <c r="AP334" s="17"/>
      <c r="AQ334" s="17"/>
      <c r="AR334" s="17"/>
      <c r="AS334" s="17"/>
    </row>
    <row r="335" spans="42:45">
      <c r="AP335" s="17"/>
      <c r="AQ335" s="17"/>
      <c r="AR335" s="17"/>
      <c r="AS335" s="17"/>
    </row>
    <row r="336" spans="42:45">
      <c r="AP336" s="17"/>
      <c r="AQ336" s="17"/>
      <c r="AR336" s="17"/>
      <c r="AS336" s="17"/>
    </row>
    <row r="337" spans="42:45">
      <c r="AP337" s="17"/>
      <c r="AQ337" s="17"/>
      <c r="AR337" s="17"/>
      <c r="AS337" s="17"/>
    </row>
    <row r="338" spans="42:45">
      <c r="AP338" s="17"/>
      <c r="AQ338" s="17"/>
      <c r="AR338" s="17"/>
      <c r="AS338" s="17"/>
    </row>
    <row r="339" spans="42:45">
      <c r="AP339" s="17"/>
      <c r="AQ339" s="17"/>
      <c r="AR339" s="17"/>
      <c r="AS339" s="17"/>
    </row>
    <row r="340" spans="42:45">
      <c r="AP340" s="17"/>
      <c r="AQ340" s="17"/>
      <c r="AR340" s="17"/>
      <c r="AS340" s="17"/>
    </row>
    <row r="341" spans="42:45">
      <c r="AP341" s="17"/>
      <c r="AQ341" s="17"/>
      <c r="AR341" s="17"/>
      <c r="AS341" s="17"/>
    </row>
    <row r="342" spans="42:45">
      <c r="AP342" s="17"/>
      <c r="AQ342" s="17"/>
      <c r="AR342" s="17"/>
      <c r="AS342" s="17"/>
    </row>
    <row r="343" spans="42:45">
      <c r="AP343" s="17"/>
      <c r="AQ343" s="17"/>
      <c r="AR343" s="17"/>
      <c r="AS343" s="17"/>
    </row>
    <row r="344" spans="42:45">
      <c r="AP344" s="17"/>
      <c r="AQ344" s="17"/>
      <c r="AR344" s="17"/>
      <c r="AS344" s="17"/>
    </row>
    <row r="345" spans="42:45">
      <c r="AP345" s="17"/>
      <c r="AQ345" s="17"/>
      <c r="AR345" s="17"/>
      <c r="AS345" s="17"/>
    </row>
    <row r="346" spans="42:45">
      <c r="AP346" s="17"/>
      <c r="AQ346" s="17"/>
      <c r="AR346" s="17"/>
      <c r="AS346" s="17"/>
    </row>
    <row r="347" spans="42:45">
      <c r="AP347" s="17"/>
      <c r="AQ347" s="17"/>
      <c r="AR347" s="17"/>
      <c r="AS347" s="17"/>
    </row>
    <row r="348" spans="42:45">
      <c r="AP348" s="17"/>
      <c r="AQ348" s="17"/>
      <c r="AR348" s="17"/>
      <c r="AS348" s="17"/>
    </row>
    <row r="349" spans="42:45">
      <c r="AP349" s="17"/>
      <c r="AQ349" s="17"/>
      <c r="AR349" s="17"/>
      <c r="AS349" s="17"/>
    </row>
    <row r="350" spans="42:45">
      <c r="AP350" s="17"/>
      <c r="AQ350" s="17"/>
      <c r="AR350" s="17"/>
      <c r="AS350" s="17"/>
    </row>
    <row r="351" spans="42:45">
      <c r="AP351" s="17"/>
      <c r="AQ351" s="17"/>
      <c r="AR351" s="17"/>
      <c r="AS351" s="17"/>
    </row>
    <row r="352" spans="42:45">
      <c r="AP352" s="17"/>
      <c r="AQ352" s="17"/>
      <c r="AR352" s="17"/>
      <c r="AS352" s="17"/>
    </row>
    <row r="353" spans="42:45">
      <c r="AP353" s="17"/>
      <c r="AQ353" s="17"/>
      <c r="AR353" s="17"/>
      <c r="AS353" s="17"/>
    </row>
    <row r="354" spans="42:45">
      <c r="AP354" s="17"/>
      <c r="AQ354" s="17"/>
      <c r="AR354" s="17"/>
      <c r="AS354" s="17"/>
    </row>
    <row r="355" spans="42:45">
      <c r="AP355" s="17"/>
      <c r="AQ355" s="17"/>
      <c r="AR355" s="17"/>
      <c r="AS355" s="17"/>
    </row>
    <row r="356" spans="42:45">
      <c r="AP356" s="17"/>
      <c r="AQ356" s="17"/>
      <c r="AR356" s="17"/>
      <c r="AS356" s="17"/>
    </row>
    <row r="357" spans="42:45">
      <c r="AP357" s="17"/>
      <c r="AQ357" s="17"/>
      <c r="AR357" s="17"/>
      <c r="AS357" s="17"/>
    </row>
    <row r="358" spans="42:45">
      <c r="AP358" s="17"/>
      <c r="AQ358" s="17"/>
      <c r="AR358" s="17"/>
      <c r="AS358" s="17"/>
    </row>
    <row r="359" spans="42:45">
      <c r="AP359" s="17"/>
      <c r="AQ359" s="17"/>
      <c r="AR359" s="17"/>
      <c r="AS359" s="17"/>
    </row>
    <row r="360" spans="42:45">
      <c r="AP360" s="17"/>
      <c r="AQ360" s="17"/>
      <c r="AR360" s="17"/>
      <c r="AS360" s="17"/>
    </row>
    <row r="361" spans="42:45">
      <c r="AP361" s="17"/>
      <c r="AQ361" s="17"/>
      <c r="AR361" s="17"/>
      <c r="AS361" s="17"/>
    </row>
    <row r="362" spans="42:45">
      <c r="AP362" s="17"/>
      <c r="AQ362" s="17"/>
      <c r="AR362" s="17"/>
      <c r="AS362" s="17"/>
    </row>
    <row r="363" spans="42:45">
      <c r="AP363" s="17"/>
      <c r="AQ363" s="17"/>
      <c r="AR363" s="17"/>
      <c r="AS363" s="17"/>
    </row>
    <row r="364" spans="42:45">
      <c r="AP364" s="17"/>
      <c r="AQ364" s="17"/>
      <c r="AR364" s="17"/>
      <c r="AS364" s="17"/>
    </row>
    <row r="365" spans="42:45">
      <c r="AP365" s="17"/>
      <c r="AQ365" s="17"/>
      <c r="AR365" s="17"/>
      <c r="AS365" s="17"/>
    </row>
    <row r="366" spans="42:45">
      <c r="AP366" s="17"/>
      <c r="AQ366" s="17"/>
      <c r="AR366" s="17"/>
      <c r="AS366" s="17"/>
    </row>
    <row r="367" spans="42:45">
      <c r="AP367" s="17"/>
      <c r="AQ367" s="17"/>
      <c r="AR367" s="17"/>
      <c r="AS367" s="17"/>
    </row>
    <row r="368" spans="42:45">
      <c r="AP368" s="17"/>
      <c r="AQ368" s="17"/>
      <c r="AR368" s="17"/>
      <c r="AS368" s="17"/>
    </row>
    <row r="369" spans="42:45">
      <c r="AP369" s="17"/>
      <c r="AQ369" s="17"/>
      <c r="AR369" s="17"/>
      <c r="AS369" s="17"/>
    </row>
    <row r="370" spans="42:45">
      <c r="AP370" s="17"/>
      <c r="AQ370" s="17"/>
      <c r="AR370" s="17"/>
      <c r="AS370" s="17"/>
    </row>
    <row r="371" spans="42:45">
      <c r="AP371" s="17"/>
      <c r="AQ371" s="17"/>
      <c r="AR371" s="17"/>
      <c r="AS371" s="17"/>
    </row>
    <row r="372" spans="42:45">
      <c r="AP372" s="17"/>
      <c r="AQ372" s="17"/>
      <c r="AR372" s="17"/>
      <c r="AS372" s="17"/>
    </row>
    <row r="373" spans="42:45">
      <c r="AP373" s="17"/>
      <c r="AQ373" s="17"/>
      <c r="AR373" s="17"/>
      <c r="AS373" s="17"/>
    </row>
    <row r="374" spans="42:45">
      <c r="AP374" s="17"/>
      <c r="AQ374" s="17"/>
      <c r="AR374" s="17"/>
      <c r="AS374" s="17"/>
    </row>
    <row r="375" spans="42:45">
      <c r="AP375" s="17"/>
      <c r="AQ375" s="17"/>
      <c r="AR375" s="17"/>
      <c r="AS375" s="17"/>
    </row>
    <row r="376" spans="42:45">
      <c r="AP376" s="17"/>
      <c r="AQ376" s="17"/>
      <c r="AR376" s="17"/>
      <c r="AS376" s="17"/>
    </row>
    <row r="377" spans="42:45">
      <c r="AP377" s="17"/>
      <c r="AQ377" s="17"/>
      <c r="AR377" s="17"/>
      <c r="AS377" s="17"/>
    </row>
    <row r="378" spans="42:45">
      <c r="AP378" s="17"/>
      <c r="AQ378" s="17"/>
      <c r="AR378" s="17"/>
      <c r="AS378" s="17"/>
    </row>
    <row r="379" spans="42:45">
      <c r="AP379" s="17"/>
      <c r="AQ379" s="17"/>
      <c r="AR379" s="17"/>
      <c r="AS379" s="17"/>
    </row>
    <row r="380" spans="42:45">
      <c r="AP380" s="17"/>
      <c r="AQ380" s="17"/>
      <c r="AR380" s="17"/>
      <c r="AS380" s="17"/>
    </row>
    <row r="381" spans="42:45">
      <c r="AP381" s="17"/>
      <c r="AQ381" s="17"/>
      <c r="AR381" s="17"/>
      <c r="AS381" s="17"/>
    </row>
    <row r="382" spans="42:45">
      <c r="AP382" s="17"/>
      <c r="AQ382" s="17"/>
      <c r="AR382" s="17"/>
      <c r="AS382" s="17"/>
    </row>
    <row r="383" spans="42:45">
      <c r="AP383" s="17"/>
      <c r="AQ383" s="17"/>
      <c r="AR383" s="17"/>
      <c r="AS383" s="17"/>
    </row>
    <row r="384" spans="42:45">
      <c r="AP384" s="17"/>
      <c r="AQ384" s="17"/>
      <c r="AR384" s="17"/>
      <c r="AS384" s="17"/>
    </row>
    <row r="385" spans="42:45">
      <c r="AP385" s="17"/>
      <c r="AQ385" s="17"/>
      <c r="AR385" s="17"/>
      <c r="AS385" s="17"/>
    </row>
    <row r="386" spans="42:45">
      <c r="AP386" s="17"/>
      <c r="AQ386" s="17"/>
      <c r="AR386" s="17"/>
      <c r="AS386" s="17"/>
    </row>
    <row r="387" spans="42:45">
      <c r="AP387" s="17"/>
      <c r="AQ387" s="17"/>
      <c r="AR387" s="17"/>
      <c r="AS387" s="17"/>
    </row>
    <row r="388" spans="42:45">
      <c r="AP388" s="17"/>
      <c r="AQ388" s="17"/>
      <c r="AR388" s="17"/>
      <c r="AS388" s="17"/>
    </row>
    <row r="389" spans="42:45">
      <c r="AP389" s="17"/>
      <c r="AQ389" s="17"/>
      <c r="AR389" s="17"/>
      <c r="AS389" s="17"/>
    </row>
    <row r="390" spans="42:45">
      <c r="AP390" s="17"/>
      <c r="AQ390" s="17"/>
      <c r="AR390" s="17"/>
      <c r="AS390" s="17"/>
    </row>
    <row r="391" spans="42:45">
      <c r="AP391" s="17"/>
      <c r="AQ391" s="17"/>
      <c r="AR391" s="17"/>
      <c r="AS391" s="17"/>
    </row>
    <row r="392" spans="42:45">
      <c r="AP392" s="17"/>
      <c r="AQ392" s="17"/>
      <c r="AR392" s="17"/>
      <c r="AS392" s="17"/>
    </row>
    <row r="393" spans="42:45">
      <c r="AP393" s="17"/>
      <c r="AQ393" s="17"/>
      <c r="AR393" s="17"/>
      <c r="AS393" s="17"/>
    </row>
    <row r="394" spans="42:45">
      <c r="AP394" s="17"/>
      <c r="AQ394" s="17"/>
      <c r="AR394" s="17"/>
      <c r="AS394" s="17"/>
    </row>
    <row r="395" spans="42:45">
      <c r="AP395" s="17"/>
      <c r="AQ395" s="17"/>
      <c r="AR395" s="17"/>
      <c r="AS395" s="17"/>
    </row>
    <row r="396" spans="42:45">
      <c r="AP396" s="17"/>
      <c r="AQ396" s="17"/>
      <c r="AR396" s="17"/>
      <c r="AS396" s="17"/>
    </row>
    <row r="397" spans="42:45">
      <c r="AP397" s="17"/>
      <c r="AQ397" s="17"/>
      <c r="AR397" s="17"/>
      <c r="AS397" s="17"/>
    </row>
    <row r="398" spans="42:45">
      <c r="AP398" s="17"/>
      <c r="AQ398" s="17"/>
      <c r="AR398" s="17"/>
      <c r="AS398" s="17"/>
    </row>
    <row r="399" spans="42:45">
      <c r="AP399" s="17"/>
      <c r="AQ399" s="17"/>
      <c r="AR399" s="17"/>
      <c r="AS399" s="17"/>
    </row>
    <row r="400" spans="42:45">
      <c r="AP400" s="17"/>
      <c r="AQ400" s="17"/>
      <c r="AR400" s="17"/>
      <c r="AS400" s="17"/>
    </row>
    <row r="401" spans="42:45">
      <c r="AP401" s="17"/>
      <c r="AQ401" s="17"/>
      <c r="AR401" s="17"/>
      <c r="AS401" s="17"/>
    </row>
    <row r="402" spans="42:45">
      <c r="AP402" s="17"/>
      <c r="AQ402" s="17"/>
      <c r="AR402" s="17"/>
      <c r="AS402" s="17"/>
    </row>
    <row r="403" spans="42:45">
      <c r="AP403" s="17"/>
      <c r="AQ403" s="17"/>
      <c r="AR403" s="17"/>
      <c r="AS403" s="17"/>
    </row>
    <row r="404" spans="42:45">
      <c r="AP404" s="17"/>
      <c r="AQ404" s="17"/>
      <c r="AR404" s="17"/>
      <c r="AS404" s="17"/>
    </row>
    <row r="405" spans="42:45">
      <c r="AP405" s="17"/>
      <c r="AQ405" s="17"/>
      <c r="AR405" s="17"/>
      <c r="AS405" s="17"/>
    </row>
    <row r="406" spans="42:45">
      <c r="AP406" s="17"/>
      <c r="AQ406" s="17"/>
      <c r="AR406" s="17"/>
      <c r="AS406" s="17"/>
    </row>
    <row r="407" spans="42:45">
      <c r="AP407" s="17"/>
      <c r="AQ407" s="17"/>
      <c r="AR407" s="17"/>
      <c r="AS407" s="17"/>
    </row>
    <row r="408" spans="42:45">
      <c r="AP408" s="17"/>
      <c r="AQ408" s="17"/>
      <c r="AR408" s="17"/>
      <c r="AS408" s="17"/>
    </row>
    <row r="409" spans="42:45">
      <c r="AP409" s="17"/>
      <c r="AQ409" s="17"/>
      <c r="AR409" s="17"/>
      <c r="AS409" s="17"/>
    </row>
    <row r="410" spans="42:45">
      <c r="AP410" s="17"/>
      <c r="AQ410" s="17"/>
      <c r="AR410" s="17"/>
      <c r="AS410" s="17"/>
    </row>
    <row r="411" spans="42:45">
      <c r="AP411" s="17"/>
      <c r="AQ411" s="17"/>
      <c r="AR411" s="17"/>
      <c r="AS411" s="17"/>
    </row>
    <row r="412" spans="42:45">
      <c r="AP412" s="17"/>
      <c r="AQ412" s="17"/>
      <c r="AR412" s="17"/>
      <c r="AS412" s="17"/>
    </row>
    <row r="413" spans="42:45">
      <c r="AP413" s="17"/>
      <c r="AQ413" s="17"/>
      <c r="AR413" s="17"/>
      <c r="AS413" s="17"/>
    </row>
    <row r="414" spans="42:45">
      <c r="AP414" s="17"/>
      <c r="AQ414" s="17"/>
      <c r="AR414" s="17"/>
      <c r="AS414" s="17"/>
    </row>
    <row r="415" spans="42:45">
      <c r="AP415" s="17"/>
      <c r="AQ415" s="17"/>
      <c r="AR415" s="17"/>
      <c r="AS415" s="17"/>
    </row>
    <row r="416" spans="42:45">
      <c r="AP416" s="17"/>
      <c r="AQ416" s="17"/>
      <c r="AR416" s="17"/>
      <c r="AS416" s="17"/>
    </row>
    <row r="417" spans="42:45">
      <c r="AP417" s="17"/>
      <c r="AQ417" s="17"/>
      <c r="AR417" s="17"/>
      <c r="AS417" s="17"/>
    </row>
    <row r="418" spans="42:45">
      <c r="AP418" s="17"/>
      <c r="AQ418" s="17"/>
      <c r="AR418" s="17"/>
      <c r="AS418" s="17"/>
    </row>
    <row r="419" spans="42:45">
      <c r="AP419" s="17"/>
      <c r="AQ419" s="17"/>
      <c r="AR419" s="17"/>
      <c r="AS419" s="17"/>
    </row>
    <row r="420" spans="42:45">
      <c r="AP420" s="17"/>
      <c r="AQ420" s="17"/>
      <c r="AR420" s="17"/>
      <c r="AS420" s="17"/>
    </row>
    <row r="421" spans="42:45">
      <c r="AP421" s="17"/>
      <c r="AQ421" s="17"/>
      <c r="AR421" s="17"/>
      <c r="AS421" s="17"/>
    </row>
    <row r="422" spans="42:45">
      <c r="AP422" s="17"/>
      <c r="AQ422" s="17"/>
      <c r="AR422" s="17"/>
      <c r="AS422" s="17"/>
    </row>
    <row r="423" spans="42:45">
      <c r="AP423" s="17"/>
      <c r="AQ423" s="17"/>
      <c r="AR423" s="17"/>
      <c r="AS423" s="17"/>
    </row>
    <row r="424" spans="42:45">
      <c r="AP424" s="17"/>
      <c r="AQ424" s="17"/>
      <c r="AR424" s="17"/>
      <c r="AS424" s="17"/>
    </row>
    <row r="425" spans="42:45">
      <c r="AP425" s="17"/>
      <c r="AQ425" s="17"/>
      <c r="AR425" s="17"/>
      <c r="AS425" s="17"/>
    </row>
    <row r="426" spans="42:45">
      <c r="AP426" s="17"/>
      <c r="AQ426" s="17"/>
      <c r="AR426" s="17"/>
      <c r="AS426" s="17"/>
    </row>
    <row r="427" spans="42:45">
      <c r="AP427" s="17"/>
      <c r="AQ427" s="17"/>
      <c r="AR427" s="17"/>
      <c r="AS427" s="17"/>
    </row>
    <row r="428" spans="42:45">
      <c r="AP428" s="17"/>
      <c r="AQ428" s="17"/>
      <c r="AR428" s="17"/>
      <c r="AS428" s="17"/>
    </row>
    <row r="429" spans="42:45">
      <c r="AP429" s="17"/>
      <c r="AQ429" s="17"/>
      <c r="AR429" s="17"/>
      <c r="AS429" s="17"/>
    </row>
    <row r="430" spans="42:45">
      <c r="AP430" s="17"/>
      <c r="AQ430" s="17"/>
      <c r="AR430" s="17"/>
      <c r="AS430" s="17"/>
    </row>
    <row r="431" spans="42:45">
      <c r="AP431" s="17"/>
      <c r="AQ431" s="17"/>
      <c r="AR431" s="17"/>
      <c r="AS431" s="17"/>
    </row>
    <row r="432" spans="42:45">
      <c r="AP432" s="17"/>
      <c r="AQ432" s="17"/>
      <c r="AR432" s="17"/>
      <c r="AS432" s="17"/>
    </row>
    <row r="433" spans="42:45">
      <c r="AP433" s="17"/>
      <c r="AQ433" s="17"/>
      <c r="AR433" s="17"/>
      <c r="AS433" s="17"/>
    </row>
    <row r="434" spans="42:45">
      <c r="AP434" s="17"/>
      <c r="AQ434" s="17"/>
      <c r="AR434" s="17"/>
      <c r="AS434" s="17"/>
    </row>
    <row r="435" spans="42:45">
      <c r="AP435" s="17"/>
      <c r="AQ435" s="17"/>
      <c r="AR435" s="17"/>
      <c r="AS435" s="17"/>
    </row>
    <row r="436" spans="42:45">
      <c r="AP436" s="17"/>
      <c r="AQ436" s="17"/>
      <c r="AR436" s="17"/>
      <c r="AS436" s="17"/>
    </row>
    <row r="437" spans="42:45">
      <c r="AP437" s="17"/>
      <c r="AQ437" s="17"/>
      <c r="AR437" s="17"/>
      <c r="AS437" s="17"/>
    </row>
    <row r="438" spans="42:45">
      <c r="AP438" s="17"/>
      <c r="AQ438" s="17"/>
      <c r="AR438" s="17"/>
      <c r="AS438" s="17"/>
    </row>
    <row r="439" spans="42:45">
      <c r="AP439" s="17"/>
      <c r="AQ439" s="17"/>
      <c r="AR439" s="17"/>
      <c r="AS439" s="17"/>
    </row>
    <row r="440" spans="42:45">
      <c r="AP440" s="17"/>
      <c r="AQ440" s="17"/>
      <c r="AR440" s="17"/>
      <c r="AS440" s="17"/>
    </row>
    <row r="441" spans="42:45">
      <c r="AP441" s="17"/>
      <c r="AQ441" s="17"/>
      <c r="AR441" s="17"/>
      <c r="AS441" s="17"/>
    </row>
    <row r="442" spans="42:45">
      <c r="AP442" s="17"/>
      <c r="AQ442" s="17"/>
      <c r="AR442" s="17"/>
      <c r="AS442" s="17"/>
    </row>
    <row r="443" spans="42:45">
      <c r="AP443" s="17"/>
      <c r="AQ443" s="17"/>
      <c r="AR443" s="17"/>
      <c r="AS443" s="17"/>
    </row>
    <row r="444" spans="42:45">
      <c r="AP444" s="17"/>
      <c r="AQ444" s="17"/>
      <c r="AR444" s="17"/>
      <c r="AS444" s="17"/>
    </row>
    <row r="445" spans="42:45">
      <c r="AP445" s="17"/>
      <c r="AQ445" s="17"/>
      <c r="AR445" s="17"/>
      <c r="AS445" s="17"/>
    </row>
    <row r="446" spans="42:45">
      <c r="AP446" s="17"/>
      <c r="AQ446" s="17"/>
      <c r="AR446" s="17"/>
      <c r="AS446" s="17"/>
    </row>
    <row r="447" spans="42:45">
      <c r="AP447" s="17"/>
      <c r="AQ447" s="17"/>
      <c r="AR447" s="17"/>
      <c r="AS447" s="17"/>
    </row>
    <row r="448" spans="42:45">
      <c r="AP448" s="17"/>
      <c r="AQ448" s="17"/>
      <c r="AR448" s="17"/>
      <c r="AS448" s="17"/>
    </row>
    <row r="449" spans="42:45">
      <c r="AP449" s="17"/>
      <c r="AQ449" s="17"/>
      <c r="AR449" s="17"/>
      <c r="AS449" s="17"/>
    </row>
    <row r="450" spans="42:45">
      <c r="AP450" s="17"/>
      <c r="AQ450" s="17"/>
      <c r="AR450" s="17"/>
      <c r="AS450" s="17"/>
    </row>
    <row r="451" spans="42:45">
      <c r="AP451" s="17"/>
      <c r="AQ451" s="17"/>
      <c r="AR451" s="17"/>
      <c r="AS451" s="17"/>
    </row>
    <row r="452" spans="42:45">
      <c r="AP452" s="17"/>
      <c r="AQ452" s="17"/>
      <c r="AR452" s="17"/>
      <c r="AS452" s="17"/>
    </row>
    <row r="453" spans="42:45">
      <c r="AP453" s="17"/>
      <c r="AQ453" s="17"/>
      <c r="AR453" s="17"/>
      <c r="AS453" s="17"/>
    </row>
    <row r="454" spans="42:45">
      <c r="AP454" s="17"/>
      <c r="AQ454" s="17"/>
      <c r="AR454" s="17"/>
      <c r="AS454" s="17"/>
    </row>
    <row r="455" spans="42:45">
      <c r="AP455" s="17"/>
      <c r="AQ455" s="17"/>
      <c r="AR455" s="17"/>
      <c r="AS455" s="17"/>
    </row>
    <row r="456" spans="42:45">
      <c r="AP456" s="17"/>
      <c r="AQ456" s="17"/>
      <c r="AR456" s="17"/>
      <c r="AS456" s="17"/>
    </row>
    <row r="457" spans="42:45">
      <c r="AP457" s="17"/>
      <c r="AQ457" s="17"/>
      <c r="AR457" s="17"/>
      <c r="AS457" s="17"/>
    </row>
    <row r="458" spans="42:45">
      <c r="AP458" s="17"/>
      <c r="AQ458" s="17"/>
      <c r="AR458" s="17"/>
      <c r="AS458" s="17"/>
    </row>
    <row r="459" spans="42:45">
      <c r="AP459" s="17"/>
      <c r="AQ459" s="17"/>
      <c r="AR459" s="17"/>
      <c r="AS459" s="17"/>
    </row>
    <row r="460" spans="42:45">
      <c r="AP460" s="17"/>
      <c r="AQ460" s="17"/>
      <c r="AR460" s="17"/>
      <c r="AS460" s="17"/>
    </row>
    <row r="461" spans="42:45">
      <c r="AP461" s="17"/>
      <c r="AQ461" s="17"/>
      <c r="AR461" s="17"/>
      <c r="AS461" s="17"/>
    </row>
    <row r="462" spans="42:45">
      <c r="AP462" s="17"/>
      <c r="AQ462" s="17"/>
      <c r="AR462" s="17"/>
      <c r="AS462" s="17"/>
    </row>
    <row r="463" spans="42:45">
      <c r="AP463" s="17"/>
      <c r="AQ463" s="17"/>
      <c r="AR463" s="17"/>
      <c r="AS463" s="17"/>
    </row>
    <row r="464" spans="42:45">
      <c r="AP464" s="17"/>
      <c r="AQ464" s="17"/>
      <c r="AR464" s="17"/>
      <c r="AS464" s="17"/>
    </row>
    <row r="465" spans="42:45">
      <c r="AP465" s="17"/>
      <c r="AQ465" s="17"/>
      <c r="AR465" s="17"/>
      <c r="AS465" s="17"/>
    </row>
    <row r="466" spans="42:45">
      <c r="AP466" s="17"/>
      <c r="AQ466" s="17"/>
      <c r="AR466" s="17"/>
      <c r="AS466" s="17"/>
    </row>
    <row r="467" spans="42:45">
      <c r="AP467" s="17"/>
      <c r="AQ467" s="17"/>
      <c r="AR467" s="17"/>
      <c r="AS467" s="17"/>
    </row>
    <row r="468" spans="42:45">
      <c r="AP468" s="17"/>
      <c r="AQ468" s="17"/>
      <c r="AR468" s="17"/>
      <c r="AS468" s="17"/>
    </row>
    <row r="469" spans="42:45">
      <c r="AP469" s="17"/>
      <c r="AQ469" s="17"/>
      <c r="AR469" s="17"/>
      <c r="AS469" s="17"/>
    </row>
    <row r="470" spans="42:45">
      <c r="AP470" s="17"/>
      <c r="AQ470" s="17"/>
      <c r="AR470" s="17"/>
      <c r="AS470" s="17"/>
    </row>
    <row r="471" spans="42:45">
      <c r="AP471" s="17"/>
      <c r="AQ471" s="17"/>
      <c r="AR471" s="17"/>
      <c r="AS471" s="17"/>
    </row>
    <row r="472" spans="42:45">
      <c r="AP472" s="17"/>
      <c r="AQ472" s="17"/>
      <c r="AR472" s="17"/>
      <c r="AS472" s="17"/>
    </row>
    <row r="473" spans="42:45">
      <c r="AP473" s="17"/>
      <c r="AQ473" s="17"/>
      <c r="AR473" s="17"/>
      <c r="AS473" s="17"/>
    </row>
    <row r="474" spans="42:45">
      <c r="AP474" s="17"/>
      <c r="AQ474" s="17"/>
      <c r="AR474" s="17"/>
      <c r="AS474" s="17"/>
    </row>
    <row r="475" spans="42:45">
      <c r="AP475" s="17"/>
      <c r="AQ475" s="17"/>
      <c r="AR475" s="17"/>
      <c r="AS475" s="17"/>
    </row>
    <row r="476" spans="42:45">
      <c r="AP476" s="17"/>
      <c r="AQ476" s="17"/>
      <c r="AR476" s="17"/>
      <c r="AS476" s="17"/>
    </row>
    <row r="477" spans="42:45">
      <c r="AP477" s="17"/>
      <c r="AQ477" s="17"/>
      <c r="AR477" s="17"/>
      <c r="AS477" s="17"/>
    </row>
    <row r="478" spans="42:45">
      <c r="AP478" s="17"/>
      <c r="AQ478" s="17"/>
      <c r="AR478" s="17"/>
      <c r="AS478" s="17"/>
    </row>
    <row r="479" spans="42:45">
      <c r="AP479" s="17"/>
      <c r="AQ479" s="17"/>
      <c r="AR479" s="17"/>
      <c r="AS479" s="17"/>
    </row>
    <row r="480" spans="42:45">
      <c r="AP480" s="17"/>
      <c r="AQ480" s="17"/>
      <c r="AR480" s="17"/>
      <c r="AS480" s="17"/>
    </row>
    <row r="481" spans="42:45">
      <c r="AP481" s="17"/>
      <c r="AQ481" s="17"/>
      <c r="AR481" s="17"/>
      <c r="AS481" s="17"/>
    </row>
    <row r="482" spans="42:45">
      <c r="AP482" s="17"/>
      <c r="AQ482" s="17"/>
      <c r="AR482" s="17"/>
      <c r="AS482" s="17"/>
    </row>
    <row r="483" spans="42:45">
      <c r="AP483" s="17"/>
      <c r="AQ483" s="17"/>
      <c r="AR483" s="17"/>
      <c r="AS483" s="17"/>
    </row>
    <row r="484" spans="42:45">
      <c r="AP484" s="17"/>
      <c r="AQ484" s="17"/>
      <c r="AR484" s="17"/>
      <c r="AS484" s="17"/>
    </row>
    <row r="485" spans="42:45">
      <c r="AP485" s="17"/>
      <c r="AQ485" s="17"/>
      <c r="AR485" s="17"/>
      <c r="AS485" s="17"/>
    </row>
    <row r="486" spans="42:45">
      <c r="AP486" s="17"/>
      <c r="AQ486" s="17"/>
      <c r="AR486" s="17"/>
      <c r="AS486" s="17"/>
    </row>
    <row r="487" spans="42:45">
      <c r="AP487" s="17"/>
      <c r="AQ487" s="17"/>
      <c r="AR487" s="17"/>
      <c r="AS487" s="17"/>
    </row>
    <row r="488" spans="42:45">
      <c r="AP488" s="17"/>
      <c r="AQ488" s="17"/>
      <c r="AR488" s="17"/>
      <c r="AS488" s="17"/>
    </row>
    <row r="489" spans="42:45">
      <c r="AP489" s="17"/>
      <c r="AQ489" s="17"/>
      <c r="AR489" s="17"/>
      <c r="AS489" s="17"/>
    </row>
    <row r="490" spans="42:45">
      <c r="AP490" s="17"/>
      <c r="AQ490" s="17"/>
      <c r="AR490" s="17"/>
      <c r="AS490" s="17"/>
    </row>
    <row r="491" spans="42:45">
      <c r="AP491" s="17"/>
      <c r="AQ491" s="17"/>
      <c r="AR491" s="17"/>
      <c r="AS491" s="17"/>
    </row>
    <row r="492" spans="42:45">
      <c r="AP492" s="17"/>
      <c r="AQ492" s="17"/>
      <c r="AR492" s="17"/>
      <c r="AS492" s="17"/>
    </row>
    <row r="493" spans="42:45">
      <c r="AP493" s="17"/>
      <c r="AQ493" s="17"/>
      <c r="AR493" s="17"/>
      <c r="AS493" s="17"/>
    </row>
    <row r="494" spans="42:45">
      <c r="AP494" s="17"/>
      <c r="AQ494" s="17"/>
      <c r="AR494" s="17"/>
      <c r="AS494" s="17"/>
    </row>
    <row r="495" spans="42:45">
      <c r="AP495" s="17"/>
      <c r="AQ495" s="17"/>
      <c r="AR495" s="17"/>
      <c r="AS495" s="17"/>
    </row>
    <row r="496" spans="42:45">
      <c r="AP496" s="17"/>
      <c r="AQ496" s="17"/>
      <c r="AR496" s="17"/>
      <c r="AS496" s="17"/>
    </row>
    <row r="497" spans="42:45">
      <c r="AP497" s="17"/>
      <c r="AQ497" s="17"/>
      <c r="AR497" s="17"/>
      <c r="AS497" s="17"/>
    </row>
    <row r="498" spans="42:45">
      <c r="AP498" s="17"/>
      <c r="AQ498" s="17"/>
      <c r="AR498" s="17"/>
      <c r="AS498" s="17"/>
    </row>
    <row r="499" spans="42:45">
      <c r="AP499" s="17"/>
      <c r="AQ499" s="17"/>
      <c r="AR499" s="17"/>
      <c r="AS499" s="17"/>
    </row>
    <row r="500" spans="42:45">
      <c r="AP500" s="17"/>
      <c r="AQ500" s="17"/>
      <c r="AR500" s="17"/>
      <c r="AS500" s="17"/>
    </row>
    <row r="501" spans="42:45">
      <c r="AP501" s="17"/>
      <c r="AQ501" s="17"/>
      <c r="AR501" s="17"/>
      <c r="AS501" s="17"/>
    </row>
    <row r="502" spans="42:45">
      <c r="AP502" s="17"/>
      <c r="AQ502" s="17"/>
      <c r="AR502" s="17"/>
      <c r="AS502" s="17"/>
    </row>
    <row r="503" spans="42:45">
      <c r="AP503" s="17"/>
      <c r="AQ503" s="17"/>
      <c r="AR503" s="17"/>
      <c r="AS503" s="17"/>
    </row>
    <row r="504" spans="42:45">
      <c r="AP504" s="17"/>
      <c r="AQ504" s="17"/>
      <c r="AR504" s="17"/>
      <c r="AS504" s="17"/>
    </row>
    <row r="505" spans="42:45">
      <c r="AP505" s="17"/>
      <c r="AQ505" s="17"/>
      <c r="AR505" s="17"/>
      <c r="AS505" s="17"/>
    </row>
    <row r="506" spans="42:45">
      <c r="AP506" s="17"/>
      <c r="AQ506" s="17"/>
      <c r="AR506" s="17"/>
      <c r="AS506" s="17"/>
    </row>
    <row r="507" spans="42:45">
      <c r="AP507" s="17"/>
      <c r="AQ507" s="17"/>
      <c r="AR507" s="17"/>
      <c r="AS507" s="17"/>
    </row>
    <row r="508" spans="42:45">
      <c r="AP508" s="17"/>
      <c r="AQ508" s="17"/>
      <c r="AR508" s="17"/>
      <c r="AS508" s="17"/>
    </row>
    <row r="509" spans="42:45">
      <c r="AP509" s="17"/>
      <c r="AQ509" s="17"/>
      <c r="AR509" s="17"/>
      <c r="AS509" s="17"/>
    </row>
    <row r="510" spans="42:45">
      <c r="AP510" s="17"/>
      <c r="AQ510" s="17"/>
      <c r="AR510" s="17"/>
      <c r="AS510" s="17"/>
    </row>
    <row r="511" spans="42:45">
      <c r="AP511" s="17"/>
      <c r="AQ511" s="17"/>
      <c r="AR511" s="17"/>
      <c r="AS511" s="17"/>
    </row>
    <row r="512" spans="42:45">
      <c r="AP512" s="17"/>
      <c r="AQ512" s="17"/>
      <c r="AR512" s="17"/>
      <c r="AS512" s="17"/>
    </row>
    <row r="513" spans="42:45">
      <c r="AP513" s="17"/>
      <c r="AQ513" s="17"/>
      <c r="AR513" s="17"/>
      <c r="AS513" s="17"/>
    </row>
    <row r="514" spans="42:45">
      <c r="AP514" s="17"/>
      <c r="AQ514" s="17"/>
      <c r="AR514" s="17"/>
      <c r="AS514" s="17"/>
    </row>
    <row r="515" spans="42:45">
      <c r="AP515" s="17"/>
      <c r="AQ515" s="17"/>
      <c r="AR515" s="17"/>
      <c r="AS515" s="17"/>
    </row>
    <row r="516" spans="42:45">
      <c r="AP516" s="17"/>
      <c r="AQ516" s="17"/>
      <c r="AR516" s="17"/>
      <c r="AS516" s="17"/>
    </row>
    <row r="517" spans="42:45">
      <c r="AP517" s="17"/>
      <c r="AQ517" s="17"/>
      <c r="AR517" s="17"/>
      <c r="AS517" s="17"/>
    </row>
    <row r="518" spans="42:45">
      <c r="AP518" s="17"/>
      <c r="AQ518" s="17"/>
      <c r="AR518" s="17"/>
      <c r="AS518" s="17"/>
    </row>
    <row r="519" spans="42:45">
      <c r="AP519" s="17"/>
      <c r="AQ519" s="17"/>
      <c r="AR519" s="17"/>
      <c r="AS519" s="17"/>
    </row>
    <row r="520" spans="42:45">
      <c r="AP520" s="17"/>
      <c r="AQ520" s="17"/>
      <c r="AR520" s="17"/>
      <c r="AS520" s="17"/>
    </row>
    <row r="521" spans="42:45">
      <c r="AP521" s="17"/>
      <c r="AQ521" s="17"/>
      <c r="AR521" s="17"/>
      <c r="AS521" s="17"/>
    </row>
    <row r="522" spans="42:45">
      <c r="AP522" s="17"/>
      <c r="AQ522" s="17"/>
      <c r="AR522" s="17"/>
      <c r="AS522" s="17"/>
    </row>
    <row r="523" spans="42:45">
      <c r="AP523" s="17"/>
      <c r="AQ523" s="17"/>
      <c r="AR523" s="17"/>
      <c r="AS523" s="17"/>
    </row>
    <row r="524" spans="42:45">
      <c r="AP524" s="17"/>
      <c r="AQ524" s="17"/>
      <c r="AR524" s="17"/>
      <c r="AS524" s="17"/>
    </row>
    <row r="525" spans="42:45">
      <c r="AP525" s="17"/>
      <c r="AQ525" s="17"/>
      <c r="AR525" s="17"/>
      <c r="AS525" s="17"/>
    </row>
    <row r="526" spans="42:45">
      <c r="AP526" s="17"/>
      <c r="AQ526" s="17"/>
      <c r="AR526" s="17"/>
      <c r="AS526" s="17"/>
    </row>
    <row r="527" spans="42:45">
      <c r="AP527" s="17"/>
      <c r="AQ527" s="17"/>
      <c r="AR527" s="17"/>
      <c r="AS527" s="17"/>
    </row>
    <row r="528" spans="42:45">
      <c r="AP528" s="17"/>
      <c r="AQ528" s="17"/>
      <c r="AR528" s="17"/>
      <c r="AS528" s="17"/>
    </row>
    <row r="529" spans="42:45">
      <c r="AP529" s="17"/>
      <c r="AQ529" s="17"/>
      <c r="AR529" s="17"/>
      <c r="AS529" s="17"/>
    </row>
    <row r="530" spans="42:45">
      <c r="AP530" s="17"/>
      <c r="AQ530" s="17"/>
      <c r="AR530" s="17"/>
      <c r="AS530" s="17"/>
    </row>
    <row r="531" spans="42:45">
      <c r="AP531" s="17"/>
      <c r="AQ531" s="17"/>
      <c r="AR531" s="17"/>
      <c r="AS531" s="17"/>
    </row>
    <row r="532" spans="42:45">
      <c r="AP532" s="17"/>
      <c r="AQ532" s="17"/>
      <c r="AR532" s="17"/>
      <c r="AS532" s="17"/>
    </row>
  </sheetData>
  <mergeCells count="42">
    <mergeCell ref="B7:D7"/>
    <mergeCell ref="X12:Z12"/>
    <mergeCell ref="B11:M11"/>
    <mergeCell ref="Q28:W28"/>
    <mergeCell ref="Q29:T29"/>
    <mergeCell ref="U29:W29"/>
    <mergeCell ref="X28:AD28"/>
    <mergeCell ref="X29:AA29"/>
    <mergeCell ref="AB29:AD29"/>
    <mergeCell ref="C29:G29"/>
    <mergeCell ref="C12:G12"/>
    <mergeCell ref="B28:L28"/>
    <mergeCell ref="H12:P12"/>
    <mergeCell ref="H29:P29"/>
    <mergeCell ref="BD29:BF29"/>
    <mergeCell ref="AE28:AK28"/>
    <mergeCell ref="AE29:AH29"/>
    <mergeCell ref="AI29:AK29"/>
    <mergeCell ref="AL28:AR28"/>
    <mergeCell ref="AL29:AO29"/>
    <mergeCell ref="AP29:AR29"/>
    <mergeCell ref="B2:D2"/>
    <mergeCell ref="BU28:CA28"/>
    <mergeCell ref="BU29:BX29"/>
    <mergeCell ref="BY29:CA29"/>
    <mergeCell ref="R12:T12"/>
    <mergeCell ref="BG28:BM28"/>
    <mergeCell ref="BG29:BJ29"/>
    <mergeCell ref="BK29:BM29"/>
    <mergeCell ref="BN28:BT28"/>
    <mergeCell ref="BN29:BQ29"/>
    <mergeCell ref="BR29:BT29"/>
    <mergeCell ref="AS28:AY28"/>
    <mergeCell ref="AS29:AV29"/>
    <mergeCell ref="AW29:AY29"/>
    <mergeCell ref="AZ28:BF28"/>
    <mergeCell ref="AZ29:BC29"/>
    <mergeCell ref="CB28:CC28"/>
    <mergeCell ref="CB29:CC29"/>
    <mergeCell ref="CD28:CJ28"/>
    <mergeCell ref="CD29:CG29"/>
    <mergeCell ref="CH29:CJ29"/>
  </mergeCells>
  <phoneticPr fontId="6" type="noConversion"/>
  <conditionalFormatting sqref="AY27 AV27 AR27:AS27 AK27:AL27 AO27">
    <cfRule type="cellIs" dxfId="0" priority="1" stopIfTrue="1" operator="greaterThan">
      <formula>1</formula>
    </cfRule>
  </conditionalFormatting>
  <pageMargins left="0.75" right="0.75" top="1" bottom="1" header="0.5" footer="0.5"/>
  <pageSetup paperSize="9" scale="42" orientation="landscape" r:id="rId1"/>
  <headerFooter alignWithMargins="0"/>
  <colBreaks count="1" manualBreakCount="1">
    <brk id="24" min="6" max="9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Z71"/>
  <sheetViews>
    <sheetView showGridLines="0" topLeftCell="A56" zoomScale="90" zoomScaleNormal="90" workbookViewId="0">
      <selection activeCell="L71" sqref="L71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4" width="10.69921875" style="17" customWidth="1"/>
    <col min="5" max="9" width="10.69921875" style="17" hidden="1" customWidth="1"/>
    <col min="10" max="10" width="12.296875" style="473" customWidth="1"/>
    <col min="11" max="11" width="10.69921875" style="601" customWidth="1"/>
    <col min="12" max="12" width="10.69921875" style="17" customWidth="1"/>
    <col min="13" max="16" width="10.69921875" style="17" hidden="1" customWidth="1"/>
    <col min="17" max="17" width="10.69921875" style="17" customWidth="1"/>
    <col min="18" max="19" width="10.69921875" style="17" hidden="1" customWidth="1"/>
    <col min="20" max="22" width="10.69921875" style="17" customWidth="1"/>
    <col min="23" max="24" width="8.8984375" style="17"/>
    <col min="25" max="25" width="15.8984375" style="17" customWidth="1"/>
    <col min="26" max="26" width="13.296875" style="17" customWidth="1"/>
    <col min="27" max="16384" width="8.8984375" style="17"/>
  </cols>
  <sheetData>
    <row r="1" spans="2:26" s="2" customFormat="1" ht="16.2" thickBot="1">
      <c r="J1" s="472"/>
      <c r="K1" s="600"/>
    </row>
    <row r="2" spans="2:26" s="2" customFormat="1">
      <c r="B2" s="43" t="s">
        <v>14</v>
      </c>
      <c r="C2" s="45" t="s">
        <v>57</v>
      </c>
      <c r="J2" s="472"/>
      <c r="K2" s="600"/>
    </row>
    <row r="3" spans="2:26" s="2" customFormat="1" ht="31.8" thickBot="1">
      <c r="B3" s="1307" t="s">
        <v>193</v>
      </c>
      <c r="C3" s="205">
        <v>4000</v>
      </c>
      <c r="J3" s="472"/>
      <c r="K3" s="600"/>
    </row>
    <row r="4" spans="2:26" s="2" customFormat="1">
      <c r="J4" s="472"/>
      <c r="K4" s="600"/>
    </row>
    <row r="5" spans="2:26" s="2" customFormat="1" hidden="1">
      <c r="J5" s="472"/>
      <c r="K5" s="600"/>
    </row>
    <row r="6" spans="2:26" hidden="1"/>
    <row r="7" spans="2:26" hidden="1">
      <c r="B7" s="43" t="s">
        <v>14</v>
      </c>
      <c r="C7" s="45" t="s">
        <v>57</v>
      </c>
      <c r="D7" s="76"/>
      <c r="E7" s="76"/>
      <c r="F7" s="19"/>
      <c r="G7" s="19"/>
      <c r="H7" s="19"/>
      <c r="I7" s="19"/>
      <c r="J7" s="474"/>
      <c r="K7" s="602"/>
      <c r="L7" s="19"/>
      <c r="M7" s="19"/>
      <c r="N7" s="19"/>
      <c r="O7" s="223"/>
      <c r="P7" s="19"/>
      <c r="Q7" s="19"/>
      <c r="R7" s="19"/>
      <c r="S7" s="19"/>
      <c r="T7" s="19"/>
      <c r="U7" s="19"/>
      <c r="V7" s="19"/>
    </row>
    <row r="8" spans="2:26" ht="16.2" hidden="1" thickBot="1">
      <c r="B8" s="44" t="s">
        <v>113</v>
      </c>
      <c r="C8" s="205">
        <v>3777</v>
      </c>
      <c r="D8" s="76"/>
      <c r="E8" s="76"/>
      <c r="F8" s="19"/>
      <c r="G8" s="19"/>
      <c r="H8" s="19"/>
      <c r="I8" s="19"/>
      <c r="J8" s="474"/>
      <c r="K8" s="60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2:26" ht="16.2" thickBot="1">
      <c r="B9" s="21"/>
      <c r="C9" s="21"/>
      <c r="D9" s="21"/>
      <c r="E9" s="21"/>
      <c r="F9" s="21"/>
      <c r="G9" s="21"/>
      <c r="H9" s="21"/>
      <c r="I9" s="21"/>
      <c r="J9" s="475"/>
      <c r="K9" s="60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 spans="2:26">
      <c r="B10" s="2001" t="s">
        <v>115</v>
      </c>
      <c r="C10" s="2002"/>
      <c r="D10" s="2002"/>
      <c r="E10" s="2002"/>
      <c r="F10" s="2002"/>
      <c r="G10" s="2002"/>
      <c r="H10" s="2002"/>
      <c r="I10" s="2002"/>
      <c r="J10" s="2002"/>
      <c r="K10" s="2002"/>
      <c r="L10" s="2002"/>
      <c r="M10" s="2002"/>
      <c r="N10" s="2002"/>
      <c r="O10" s="2002"/>
      <c r="P10" s="2002"/>
      <c r="Q10" s="2002"/>
      <c r="R10" s="2002"/>
      <c r="S10" s="2002"/>
      <c r="T10" s="2002"/>
      <c r="U10" s="2002"/>
      <c r="V10" s="2002"/>
      <c r="X10" s="1999" t="s">
        <v>184</v>
      </c>
      <c r="Y10" s="2000"/>
      <c r="Z10" s="2000"/>
    </row>
    <row r="11" spans="2:26" ht="31.2">
      <c r="B11" s="116"/>
      <c r="C11" s="2023" t="s">
        <v>14</v>
      </c>
      <c r="D11" s="2023"/>
      <c r="E11" s="2023"/>
      <c r="F11" s="2023"/>
      <c r="G11" s="2023"/>
      <c r="H11" s="2023"/>
      <c r="I11" s="2023"/>
      <c r="J11" s="2023"/>
      <c r="K11" s="2023"/>
      <c r="L11" s="2023"/>
      <c r="M11" s="2023"/>
      <c r="N11" s="2023"/>
      <c r="O11" s="2023"/>
      <c r="P11" s="2023"/>
      <c r="Q11" s="2005" t="s">
        <v>116</v>
      </c>
      <c r="R11" s="2005"/>
      <c r="S11" s="2005"/>
      <c r="T11" s="2005"/>
      <c r="U11" s="2005"/>
      <c r="V11" s="2005"/>
      <c r="X11" s="193" t="s">
        <v>211</v>
      </c>
      <c r="Y11" s="1342" t="s">
        <v>212</v>
      </c>
      <c r="Z11" s="198" t="s">
        <v>141</v>
      </c>
    </row>
    <row r="12" spans="2:26" s="22" customFormat="1" ht="46.8">
      <c r="B12" s="115" t="s">
        <v>119</v>
      </c>
      <c r="C12" s="438" t="s">
        <v>120</v>
      </c>
      <c r="D12" s="438" t="s">
        <v>121</v>
      </c>
      <c r="E12" s="288" t="s">
        <v>177</v>
      </c>
      <c r="F12" s="439" t="s">
        <v>123</v>
      </c>
      <c r="G12" s="439" t="s">
        <v>124</v>
      </c>
      <c r="H12" s="439" t="s">
        <v>125</v>
      </c>
      <c r="I12" s="439" t="s">
        <v>126</v>
      </c>
      <c r="J12" s="476" t="s">
        <v>127</v>
      </c>
      <c r="K12" s="613" t="s">
        <v>128</v>
      </c>
      <c r="L12" s="439" t="s">
        <v>129</v>
      </c>
      <c r="M12" s="439" t="s">
        <v>130</v>
      </c>
      <c r="N12" s="439" t="s">
        <v>178</v>
      </c>
      <c r="O12" s="439" t="s">
        <v>179</v>
      </c>
      <c r="P12" s="141" t="s">
        <v>180</v>
      </c>
      <c r="Q12" s="440" t="s">
        <v>211</v>
      </c>
      <c r="R12" s="440" t="s">
        <v>133</v>
      </c>
      <c r="S12" s="440" t="s">
        <v>134</v>
      </c>
      <c r="T12" s="440" t="s">
        <v>213</v>
      </c>
      <c r="U12" s="137" t="s">
        <v>165</v>
      </c>
      <c r="V12" s="441" t="s">
        <v>214</v>
      </c>
      <c r="X12" s="97">
        <f>Q21</f>
        <v>9287</v>
      </c>
      <c r="Y12" s="540">
        <v>6153</v>
      </c>
      <c r="Z12" s="98">
        <f>X12/Y12</f>
        <v>1.5093450349423045</v>
      </c>
    </row>
    <row r="13" spans="2:26" ht="31.2">
      <c r="B13" s="103" t="s">
        <v>174</v>
      </c>
      <c r="C13" s="15">
        <f>SUM(C28:C34)</f>
        <v>238400</v>
      </c>
      <c r="D13" s="15">
        <f t="shared" ref="D13:I13" si="0">SUM(D28:D34)</f>
        <v>6907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77">
        <f>SUM(J28:J34)</f>
        <v>725.25</v>
      </c>
      <c r="K13" s="73">
        <f t="shared" ref="K13:K18" si="1">J13/$C$8</f>
        <v>0.19201747418586179</v>
      </c>
      <c r="L13" s="79">
        <f t="shared" ref="L13:L18" si="2">D13/C13</f>
        <v>2.8972315436241611E-2</v>
      </c>
      <c r="M13" s="202" t="e">
        <f>#REF!/30*7</f>
        <v>#REF!</v>
      </c>
      <c r="N13" s="77" t="e">
        <f>J13/E13</f>
        <v>#DIV/0!</v>
      </c>
      <c r="O13" s="77" t="e">
        <f>J13/I13</f>
        <v>#DIV/0!</v>
      </c>
      <c r="P13" s="73" t="e">
        <f>E13/M13</f>
        <v>#REF!</v>
      </c>
      <c r="Q13" s="131">
        <f>SUM(Q28:Q34)</f>
        <v>1144</v>
      </c>
      <c r="R13" s="132"/>
      <c r="S13" s="132"/>
      <c r="T13" s="293">
        <f>$Y$12/30*7</f>
        <v>1435.7</v>
      </c>
      <c r="U13" s="139">
        <f t="shared" ref="U13:U18" si="3">Q13/T13</f>
        <v>0.79682384899352232</v>
      </c>
      <c r="V13" s="224">
        <f t="shared" ref="V13:V18" si="4">J13/Q13</f>
        <v>0.63395979020979021</v>
      </c>
    </row>
    <row r="14" spans="2:26" ht="31.2">
      <c r="B14" s="103" t="s">
        <v>175</v>
      </c>
      <c r="C14" s="15">
        <f>SUM(C36:C42)</f>
        <v>355799</v>
      </c>
      <c r="D14" s="15">
        <f>SUM(D36:D42)</f>
        <v>11168</v>
      </c>
      <c r="E14" s="15">
        <f t="shared" ref="E14:I14" si="5">SUM(E36:E42)</f>
        <v>0</v>
      </c>
      <c r="F14" s="15">
        <f t="shared" si="5"/>
        <v>0</v>
      </c>
      <c r="G14" s="15">
        <f t="shared" si="5"/>
        <v>0</v>
      </c>
      <c r="H14" s="15">
        <f t="shared" si="5"/>
        <v>0</v>
      </c>
      <c r="I14" s="15">
        <f t="shared" si="5"/>
        <v>0</v>
      </c>
      <c r="J14" s="77">
        <f>SUM(J36:J42)</f>
        <v>947.2700000000001</v>
      </c>
      <c r="K14" s="73">
        <f t="shared" si="1"/>
        <v>0.25079957638337308</v>
      </c>
      <c r="L14" s="79">
        <f t="shared" si="2"/>
        <v>3.1388508680462848E-2</v>
      </c>
      <c r="M14" s="202" t="e">
        <f>#REF!/30*7</f>
        <v>#REF!</v>
      </c>
      <c r="N14" s="77" t="e">
        <f>J14/E14</f>
        <v>#DIV/0!</v>
      </c>
      <c r="O14" s="77" t="e">
        <f>J14/I14</f>
        <v>#DIV/0!</v>
      </c>
      <c r="P14" s="73" t="e">
        <f>E14/M14</f>
        <v>#REF!</v>
      </c>
      <c r="Q14" s="131">
        <f>SUM(Q36:Q42)</f>
        <v>2304</v>
      </c>
      <c r="R14" s="132"/>
      <c r="S14" s="132"/>
      <c r="T14" s="293">
        <f>$Y$12/30*7</f>
        <v>1435.7</v>
      </c>
      <c r="U14" s="139">
        <f t="shared" si="3"/>
        <v>1.6047920874834576</v>
      </c>
      <c r="V14" s="224">
        <f t="shared" si="4"/>
        <v>0.41114149305555558</v>
      </c>
    </row>
    <row r="15" spans="2:26" ht="31.2">
      <c r="B15" s="105" t="s">
        <v>168</v>
      </c>
      <c r="C15" s="15">
        <f>SUM(C44:C50)</f>
        <v>348520</v>
      </c>
      <c r="D15" s="15">
        <f t="shared" ref="D15:I15" si="6">SUM(D44:D50)</f>
        <v>13004</v>
      </c>
      <c r="E15" s="15">
        <f t="shared" si="6"/>
        <v>0</v>
      </c>
      <c r="F15" s="15">
        <f t="shared" si="6"/>
        <v>0</v>
      </c>
      <c r="G15" s="15">
        <f t="shared" si="6"/>
        <v>0</v>
      </c>
      <c r="H15" s="15">
        <f t="shared" si="6"/>
        <v>0</v>
      </c>
      <c r="I15" s="15">
        <f t="shared" si="6"/>
        <v>0</v>
      </c>
      <c r="J15" s="77">
        <f>SUM(J44:J50)</f>
        <v>829.93</v>
      </c>
      <c r="K15" s="73">
        <f t="shared" si="1"/>
        <v>0.21973259200423614</v>
      </c>
      <c r="L15" s="79">
        <f t="shared" si="2"/>
        <v>3.7312062435441294E-2</v>
      </c>
      <c r="M15" s="202" t="e">
        <f>#REF!/30*7</f>
        <v>#REF!</v>
      </c>
      <c r="N15" s="77" t="e">
        <f>J15/E15</f>
        <v>#DIV/0!</v>
      </c>
      <c r="O15" s="77" t="e">
        <f>J15/I15</f>
        <v>#DIV/0!</v>
      </c>
      <c r="P15" s="73" t="e">
        <f>E15/M15</f>
        <v>#REF!</v>
      </c>
      <c r="Q15" s="52">
        <f>SUM(Q44:Q50)</f>
        <v>2147</v>
      </c>
      <c r="R15" s="52"/>
      <c r="S15" s="52"/>
      <c r="T15" s="293">
        <f t="shared" ref="T15:T18" si="7">$Y$12/30*7</f>
        <v>1435.7</v>
      </c>
      <c r="U15" s="139">
        <f t="shared" si="3"/>
        <v>1.4954377655499058</v>
      </c>
      <c r="V15" s="224">
        <f t="shared" si="4"/>
        <v>0.38655333022822541</v>
      </c>
    </row>
    <row r="16" spans="2:26" ht="31.2">
      <c r="B16" s="105" t="s">
        <v>169</v>
      </c>
      <c r="C16" s="15">
        <f t="shared" ref="C16:J16" si="8">SUM(C52:C58)</f>
        <v>286925</v>
      </c>
      <c r="D16" s="15">
        <f t="shared" si="8"/>
        <v>11587</v>
      </c>
      <c r="E16" s="15">
        <f t="shared" si="8"/>
        <v>0</v>
      </c>
      <c r="F16" s="15">
        <f t="shared" si="8"/>
        <v>0</v>
      </c>
      <c r="G16" s="15">
        <f t="shared" si="8"/>
        <v>0</v>
      </c>
      <c r="H16" s="15">
        <f t="shared" si="8"/>
        <v>0</v>
      </c>
      <c r="I16" s="15">
        <f t="shared" si="8"/>
        <v>0</v>
      </c>
      <c r="J16" s="72">
        <f t="shared" si="8"/>
        <v>877.40000000000009</v>
      </c>
      <c r="K16" s="73">
        <f t="shared" si="1"/>
        <v>0.23230076780513637</v>
      </c>
      <c r="L16" s="79">
        <f t="shared" si="2"/>
        <v>4.0383375446545265E-2</v>
      </c>
      <c r="M16" s="202" t="e">
        <f>#REF!/30*7</f>
        <v>#REF!</v>
      </c>
      <c r="N16" s="77" t="e">
        <f>J16/E16</f>
        <v>#DIV/0!</v>
      </c>
      <c r="O16" s="77" t="e">
        <f>J16/I16</f>
        <v>#DIV/0!</v>
      </c>
      <c r="P16" s="73" t="e">
        <f>E16/M16</f>
        <v>#REF!</v>
      </c>
      <c r="Q16" s="52">
        <f>SUM(Q52:Q58)</f>
        <v>2221</v>
      </c>
      <c r="R16" s="52"/>
      <c r="S16" s="52"/>
      <c r="T16" s="293">
        <f t="shared" si="7"/>
        <v>1435.7</v>
      </c>
      <c r="U16" s="139">
        <f t="shared" si="3"/>
        <v>1.5469805669708157</v>
      </c>
      <c r="V16" s="224">
        <f t="shared" si="4"/>
        <v>0.39504727600180101</v>
      </c>
    </row>
    <row r="17" spans="2:22" ht="31.2">
      <c r="B17" s="105" t="s">
        <v>215</v>
      </c>
      <c r="C17" s="15">
        <f>SUM(C60:C66)</f>
        <v>86613</v>
      </c>
      <c r="D17" s="15">
        <f>SUM(D60:D66)</f>
        <v>3498</v>
      </c>
      <c r="E17" s="15">
        <f t="shared" ref="E17:J17" si="9">SUM(E60:E66)</f>
        <v>248.98000000000002</v>
      </c>
      <c r="F17" s="15">
        <f t="shared" si="9"/>
        <v>0</v>
      </c>
      <c r="G17" s="15">
        <f t="shared" si="9"/>
        <v>0</v>
      </c>
      <c r="H17" s="15">
        <f t="shared" si="9"/>
        <v>0</v>
      </c>
      <c r="I17" s="15">
        <f t="shared" si="9"/>
        <v>0</v>
      </c>
      <c r="J17" s="72">
        <f t="shared" si="9"/>
        <v>285.53000000000003</v>
      </c>
      <c r="K17" s="73">
        <f t="shared" si="1"/>
        <v>7.5597034683611342E-2</v>
      </c>
      <c r="L17" s="79">
        <f t="shared" si="2"/>
        <v>4.038654705413737E-2</v>
      </c>
      <c r="M17" s="52"/>
      <c r="N17" s="77"/>
      <c r="O17" s="77"/>
      <c r="P17" s="52"/>
      <c r="Q17" s="15">
        <f>SUM(Q60:Q66)</f>
        <v>1000</v>
      </c>
      <c r="R17" s="52"/>
      <c r="S17" s="52"/>
      <c r="T17" s="293">
        <f t="shared" si="7"/>
        <v>1435.7</v>
      </c>
      <c r="U17" s="139">
        <f t="shared" si="3"/>
        <v>0.69652434352580617</v>
      </c>
      <c r="V17" s="224">
        <f t="shared" si="4"/>
        <v>0.28553000000000001</v>
      </c>
    </row>
    <row r="18" spans="2:22" ht="31.8" thickBot="1">
      <c r="B18" s="103" t="s">
        <v>205</v>
      </c>
      <c r="C18" s="15">
        <f>SUM(C68:C70)</f>
        <v>38005</v>
      </c>
      <c r="D18" s="15">
        <f>SUM(D68:D70)</f>
        <v>1488</v>
      </c>
      <c r="E18" s="15"/>
      <c r="F18" s="15"/>
      <c r="G18" s="15"/>
      <c r="H18" s="15"/>
      <c r="I18" s="15"/>
      <c r="J18" s="72">
        <f>SUM(J68:J70)</f>
        <v>136.54000000000002</v>
      </c>
      <c r="K18" s="73">
        <f t="shared" si="1"/>
        <v>3.6150383902568181E-2</v>
      </c>
      <c r="L18" s="79">
        <f t="shared" si="2"/>
        <v>3.9152743060123667E-2</v>
      </c>
      <c r="M18" s="52"/>
      <c r="N18" s="77"/>
      <c r="O18" s="77"/>
      <c r="P18" s="52"/>
      <c r="Q18" s="15">
        <f>SUM(Q68:Q70)</f>
        <v>471</v>
      </c>
      <c r="R18" s="52"/>
      <c r="S18" s="52"/>
      <c r="T18" s="293">
        <f t="shared" si="7"/>
        <v>1435.7</v>
      </c>
      <c r="U18" s="139">
        <f t="shared" si="3"/>
        <v>0.32806296580065475</v>
      </c>
      <c r="V18" s="224">
        <f t="shared" si="4"/>
        <v>0.2898938428874735</v>
      </c>
    </row>
    <row r="19" spans="2:22" hidden="1">
      <c r="B19" s="103" t="s">
        <v>196</v>
      </c>
      <c r="C19" s="102"/>
      <c r="D19" s="102"/>
      <c r="E19" s="102"/>
      <c r="F19" s="102"/>
      <c r="G19" s="102"/>
      <c r="H19" s="102"/>
      <c r="I19" s="102"/>
      <c r="J19" s="77"/>
      <c r="K19" s="605"/>
      <c r="L19" s="52"/>
      <c r="M19" s="52"/>
      <c r="N19" s="77"/>
      <c r="O19" s="77"/>
      <c r="P19" s="52"/>
      <c r="Q19" s="52"/>
      <c r="R19" s="52"/>
      <c r="S19" s="52"/>
      <c r="T19" s="52"/>
      <c r="U19" s="52"/>
      <c r="V19" s="52"/>
    </row>
    <row r="20" spans="2:22" ht="16.2" hidden="1" thickBot="1">
      <c r="B20" s="106" t="s">
        <v>197</v>
      </c>
      <c r="C20" s="35"/>
      <c r="D20" s="35"/>
      <c r="E20" s="35"/>
      <c r="F20" s="35"/>
      <c r="G20" s="35"/>
      <c r="H20" s="35"/>
      <c r="I20" s="35"/>
      <c r="J20" s="77"/>
      <c r="K20" s="605"/>
      <c r="L20" s="52"/>
      <c r="M20" s="52"/>
      <c r="N20" s="77"/>
      <c r="O20" s="77"/>
      <c r="P20" s="52"/>
      <c r="Q20" s="52"/>
      <c r="R20" s="52"/>
      <c r="S20" s="52"/>
      <c r="T20" s="52"/>
      <c r="U20" s="52"/>
      <c r="V20" s="52"/>
    </row>
    <row r="21" spans="2:22" ht="16.2" thickBot="1">
      <c r="B21" s="107" t="s">
        <v>153</v>
      </c>
      <c r="C21" s="108">
        <f>SUM(C13:C20)</f>
        <v>1354262</v>
      </c>
      <c r="D21" s="108">
        <f t="shared" ref="D21:I21" si="10">SUM(D13:D20)</f>
        <v>47652</v>
      </c>
      <c r="E21" s="108">
        <f t="shared" si="10"/>
        <v>248.98000000000002</v>
      </c>
      <c r="F21" s="108">
        <f t="shared" si="10"/>
        <v>0</v>
      </c>
      <c r="G21" s="108">
        <f t="shared" si="10"/>
        <v>0</v>
      </c>
      <c r="H21" s="108">
        <f t="shared" si="10"/>
        <v>0</v>
      </c>
      <c r="I21" s="108">
        <f t="shared" si="10"/>
        <v>0</v>
      </c>
      <c r="J21" s="109">
        <f>SUM(J13:J20)</f>
        <v>3801.92</v>
      </c>
      <c r="K21" s="111">
        <f>J21/C8</f>
        <v>1.0065978289647868</v>
      </c>
      <c r="L21" s="110">
        <f>D21/C21</f>
        <v>3.5186692087646264E-2</v>
      </c>
      <c r="M21" s="108" t="e">
        <f>SUM(M13:M20)</f>
        <v>#REF!</v>
      </c>
      <c r="N21" s="229">
        <f>J21/E21</f>
        <v>15.26998152462045</v>
      </c>
      <c r="O21" s="229" t="e">
        <f>J21/I21</f>
        <v>#DIV/0!</v>
      </c>
      <c r="P21" s="111" t="e">
        <f>E21/M21</f>
        <v>#REF!</v>
      </c>
      <c r="Q21" s="108">
        <f>SUM(Q13:Q20)</f>
        <v>9287</v>
      </c>
      <c r="R21" s="112"/>
      <c r="S21" s="112"/>
      <c r="T21" s="108">
        <f>SUM(T13:T20)</f>
        <v>8614.2000000000007</v>
      </c>
      <c r="U21" s="138">
        <f>Q21/T21</f>
        <v>1.0781035963873604</v>
      </c>
      <c r="V21" s="340">
        <f>J21/Q21</f>
        <v>0.4093808549585442</v>
      </c>
    </row>
    <row r="22" spans="2:22" customFormat="1" ht="14.4">
      <c r="J22" s="477"/>
      <c r="K22" s="607"/>
    </row>
    <row r="23" spans="2:22">
      <c r="U23" s="30"/>
      <c r="V23" s="30"/>
    </row>
    <row r="24" spans="2:22" ht="16.2" thickBot="1">
      <c r="U24" s="30"/>
      <c r="V24" s="30"/>
    </row>
    <row r="25" spans="2:22" ht="13.5" customHeight="1">
      <c r="B25" s="2020" t="s">
        <v>154</v>
      </c>
      <c r="C25" s="2021"/>
      <c r="D25" s="2021"/>
      <c r="E25" s="2021"/>
      <c r="F25" s="2021"/>
      <c r="G25" s="2021"/>
      <c r="H25" s="2021"/>
      <c r="I25" s="2021"/>
      <c r="J25" s="2021"/>
      <c r="K25" s="2021"/>
      <c r="L25" s="2021"/>
      <c r="M25" s="2021"/>
      <c r="N25" s="2021"/>
      <c r="O25" s="2021"/>
      <c r="P25" s="2021"/>
      <c r="Q25" s="2021"/>
      <c r="R25" s="2021"/>
      <c r="S25" s="2021"/>
      <c r="T25" s="2021"/>
      <c r="U25" s="2021"/>
      <c r="V25" s="2021"/>
    </row>
    <row r="26" spans="2:22" ht="13.5" customHeight="1">
      <c r="B26" s="185"/>
      <c r="C26" s="2023" t="s">
        <v>14</v>
      </c>
      <c r="D26" s="2023"/>
      <c r="E26" s="2023"/>
      <c r="F26" s="2023"/>
      <c r="G26" s="2023"/>
      <c r="H26" s="2023"/>
      <c r="I26" s="2023"/>
      <c r="J26" s="2023"/>
      <c r="K26" s="2023"/>
      <c r="L26" s="2023"/>
      <c r="M26" s="2023"/>
      <c r="N26" s="2023"/>
      <c r="O26" s="2023"/>
      <c r="P26" s="2023"/>
      <c r="Q26" s="2005" t="s">
        <v>116</v>
      </c>
      <c r="R26" s="2005"/>
      <c r="S26" s="2005"/>
      <c r="T26" s="2005"/>
      <c r="U26" s="2005"/>
      <c r="V26" s="2005"/>
    </row>
    <row r="27" spans="2:22" s="22" customFormat="1" ht="46.8">
      <c r="B27" s="186" t="s">
        <v>119</v>
      </c>
      <c r="C27" s="445" t="s">
        <v>120</v>
      </c>
      <c r="D27" s="445" t="s">
        <v>121</v>
      </c>
      <c r="E27" s="296" t="s">
        <v>177</v>
      </c>
      <c r="F27" s="446" t="s">
        <v>123</v>
      </c>
      <c r="G27" s="446" t="s">
        <v>124</v>
      </c>
      <c r="H27" s="446" t="s">
        <v>125</v>
      </c>
      <c r="I27" s="567" t="s">
        <v>126</v>
      </c>
      <c r="J27" s="478" t="s">
        <v>127</v>
      </c>
      <c r="K27" s="614" t="s">
        <v>128</v>
      </c>
      <c r="L27" s="446" t="s">
        <v>129</v>
      </c>
      <c r="M27" s="446" t="s">
        <v>155</v>
      </c>
      <c r="N27" s="446" t="s">
        <v>178</v>
      </c>
      <c r="O27" s="446" t="s">
        <v>179</v>
      </c>
      <c r="P27" s="297" t="s">
        <v>156</v>
      </c>
      <c r="Q27" s="443" t="s">
        <v>211</v>
      </c>
      <c r="R27" s="440" t="s">
        <v>133</v>
      </c>
      <c r="S27" s="440" t="s">
        <v>134</v>
      </c>
      <c r="T27" s="440" t="s">
        <v>216</v>
      </c>
      <c r="U27" s="137" t="s">
        <v>158</v>
      </c>
      <c r="V27" s="441" t="s">
        <v>214</v>
      </c>
    </row>
    <row r="28" spans="2:22" hidden="1">
      <c r="B28" s="188">
        <v>44852</v>
      </c>
      <c r="C28" s="303"/>
      <c r="D28" s="303"/>
      <c r="E28" s="303"/>
      <c r="F28" s="303"/>
      <c r="G28" s="303"/>
      <c r="H28" s="303"/>
      <c r="I28" s="303"/>
      <c r="J28" s="304"/>
      <c r="K28" s="308">
        <f>SUM($J$28)/$C$8</f>
        <v>0</v>
      </c>
      <c r="L28" s="305" t="e">
        <f>D28/C28</f>
        <v>#DIV/0!</v>
      </c>
      <c r="M28" s="306" t="e">
        <f>#REF!/30</f>
        <v>#REF!</v>
      </c>
      <c r="N28" s="307" t="e">
        <f>J28/E28</f>
        <v>#DIV/0!</v>
      </c>
      <c r="O28" s="307" t="e">
        <f>J28/I28</f>
        <v>#DIV/0!</v>
      </c>
      <c r="P28" s="380" t="e">
        <f>E28/M28</f>
        <v>#REF!</v>
      </c>
      <c r="Q28" s="150"/>
      <c r="R28" s="132"/>
      <c r="S28" s="132"/>
      <c r="T28" s="293"/>
      <c r="U28" s="139" t="e">
        <f>Q28/T28</f>
        <v>#DIV/0!</v>
      </c>
      <c r="V28" s="225" t="e">
        <f>J28/Q28</f>
        <v>#DIV/0!</v>
      </c>
    </row>
    <row r="29" spans="2:22" s="24" customFormat="1" hidden="1">
      <c r="B29" s="188">
        <v>44853</v>
      </c>
      <c r="C29" s="303"/>
      <c r="D29" s="303"/>
      <c r="E29" s="303"/>
      <c r="F29" s="303"/>
      <c r="G29" s="303"/>
      <c r="H29" s="303"/>
      <c r="I29" s="303"/>
      <c r="J29" s="304"/>
      <c r="K29" s="308">
        <f>SUM($J$28:J29)/$C$8</f>
        <v>0</v>
      </c>
      <c r="L29" s="305" t="e">
        <f>D29/C29</f>
        <v>#DIV/0!</v>
      </c>
      <c r="M29" s="306" t="e">
        <f>#REF!/30</f>
        <v>#REF!</v>
      </c>
      <c r="N29" s="307" t="e">
        <f>J29/E29</f>
        <v>#DIV/0!</v>
      </c>
      <c r="O29" s="307" t="e">
        <f t="shared" ref="O29:O34" si="11">J29/I29</f>
        <v>#DIV/0!</v>
      </c>
      <c r="P29" s="380" t="e">
        <f>E29/M29</f>
        <v>#REF!</v>
      </c>
      <c r="Q29" s="143"/>
      <c r="R29" s="132"/>
      <c r="S29" s="132"/>
      <c r="T29" s="293"/>
      <c r="U29" s="73" t="e">
        <f t="shared" ref="U29:U34" si="12">Q29/T29</f>
        <v>#DIV/0!</v>
      </c>
      <c r="V29" s="225" t="e">
        <f t="shared" ref="V29:V34" si="13">J29/Q29</f>
        <v>#DIV/0!</v>
      </c>
    </row>
    <row r="30" spans="2:22" s="26" customFormat="1" hidden="1">
      <c r="B30" s="188">
        <v>44854</v>
      </c>
      <c r="C30" s="303"/>
      <c r="D30" s="303"/>
      <c r="E30" s="303"/>
      <c r="F30" s="303"/>
      <c r="G30" s="303"/>
      <c r="H30" s="303"/>
      <c r="I30" s="303"/>
      <c r="J30" s="304"/>
      <c r="K30" s="308">
        <f>SUM($J$28:J30)/$C$8</f>
        <v>0</v>
      </c>
      <c r="L30" s="305" t="e">
        <f>D30/C30</f>
        <v>#DIV/0!</v>
      </c>
      <c r="M30" s="306" t="e">
        <f>#REF!/30</f>
        <v>#REF!</v>
      </c>
      <c r="N30" s="307" t="e">
        <f>J30/E30</f>
        <v>#DIV/0!</v>
      </c>
      <c r="O30" s="307" t="e">
        <f t="shared" si="11"/>
        <v>#DIV/0!</v>
      </c>
      <c r="P30" s="380" t="e">
        <f>E30/M30</f>
        <v>#REF!</v>
      </c>
      <c r="Q30" s="143"/>
      <c r="R30" s="132"/>
      <c r="S30" s="132"/>
      <c r="T30" s="293"/>
      <c r="U30" s="73" t="e">
        <f t="shared" si="12"/>
        <v>#DIV/0!</v>
      </c>
      <c r="V30" s="225" t="e">
        <f t="shared" si="13"/>
        <v>#DIV/0!</v>
      </c>
    </row>
    <row r="31" spans="2:22">
      <c r="B31" s="295">
        <v>44855</v>
      </c>
      <c r="C31" s="309">
        <v>53192</v>
      </c>
      <c r="D31" s="309">
        <v>1415</v>
      </c>
      <c r="E31" s="309"/>
      <c r="F31" s="309"/>
      <c r="G31" s="309"/>
      <c r="H31" s="309"/>
      <c r="I31" s="309"/>
      <c r="J31" s="310">
        <v>158.94</v>
      </c>
      <c r="K31" s="308">
        <f>SUM($J$28:J31)/$C$8</f>
        <v>4.2081016679904687E-2</v>
      </c>
      <c r="L31" s="305">
        <f t="shared" ref="L31:L34" si="14">D31/C31</f>
        <v>2.6601744623251617E-2</v>
      </c>
      <c r="M31" s="306" t="e">
        <f>#REF!/30</f>
        <v>#REF!</v>
      </c>
      <c r="N31" s="307" t="e">
        <f t="shared" ref="N31:N34" si="15">J31/E31</f>
        <v>#DIV/0!</v>
      </c>
      <c r="O31" s="307" t="e">
        <f t="shared" si="11"/>
        <v>#DIV/0!</v>
      </c>
      <c r="P31" s="380" t="e">
        <f t="shared" ref="P31:P34" si="16">E31/M31</f>
        <v>#REF!</v>
      </c>
      <c r="Q31" s="34">
        <v>137</v>
      </c>
      <c r="R31" s="132"/>
      <c r="S31" s="132"/>
      <c r="T31" s="293">
        <f>$Y$12/30</f>
        <v>205.1</v>
      </c>
      <c r="U31" s="139">
        <f t="shared" si="12"/>
        <v>0.66796684544124818</v>
      </c>
      <c r="V31" s="225">
        <f t="shared" si="13"/>
        <v>1.1601459854014597</v>
      </c>
    </row>
    <row r="32" spans="2:22">
      <c r="B32" s="295">
        <v>44856</v>
      </c>
      <c r="C32" s="309">
        <v>60143</v>
      </c>
      <c r="D32" s="309">
        <v>1508</v>
      </c>
      <c r="E32" s="309"/>
      <c r="F32" s="309"/>
      <c r="G32" s="309"/>
      <c r="H32" s="309"/>
      <c r="I32" s="309"/>
      <c r="J32" s="310">
        <v>178.53</v>
      </c>
      <c r="K32" s="308">
        <f>SUM($J$28:J32)/$C$8</f>
        <v>8.9348689436060377E-2</v>
      </c>
      <c r="L32" s="305">
        <f t="shared" si="14"/>
        <v>2.5073574647091101E-2</v>
      </c>
      <c r="M32" s="306" t="e">
        <f>#REF!/30</f>
        <v>#REF!</v>
      </c>
      <c r="N32" s="307" t="e">
        <f t="shared" si="15"/>
        <v>#DIV/0!</v>
      </c>
      <c r="O32" s="307" t="e">
        <f t="shared" si="11"/>
        <v>#DIV/0!</v>
      </c>
      <c r="P32" s="380" t="e">
        <f t="shared" si="16"/>
        <v>#REF!</v>
      </c>
      <c r="Q32" s="456">
        <v>193</v>
      </c>
      <c r="R32" s="132"/>
      <c r="S32" s="132"/>
      <c r="T32" s="293">
        <f t="shared" ref="T32:T66" si="17">$Y$12/30</f>
        <v>205.1</v>
      </c>
      <c r="U32" s="73">
        <f t="shared" si="12"/>
        <v>0.94100438810336429</v>
      </c>
      <c r="V32" s="225">
        <f t="shared" si="13"/>
        <v>0.92502590673575125</v>
      </c>
    </row>
    <row r="33" spans="2:22">
      <c r="B33" s="188">
        <v>44857</v>
      </c>
      <c r="C33" s="309">
        <v>55553</v>
      </c>
      <c r="D33" s="309">
        <v>2015</v>
      </c>
      <c r="E33" s="309"/>
      <c r="F33" s="309"/>
      <c r="G33" s="309"/>
      <c r="H33" s="309"/>
      <c r="I33" s="309"/>
      <c r="J33" s="310">
        <v>180.06</v>
      </c>
      <c r="K33" s="308">
        <f>SUM($J$28:J33)/$C$8</f>
        <v>0.13702144559173945</v>
      </c>
      <c r="L33" s="305">
        <f t="shared" si="14"/>
        <v>3.6271668496750849E-2</v>
      </c>
      <c r="M33" s="306"/>
      <c r="N33" s="307" t="e">
        <f t="shared" si="15"/>
        <v>#DIV/0!</v>
      </c>
      <c r="O33" s="307" t="e">
        <f t="shared" si="11"/>
        <v>#DIV/0!</v>
      </c>
      <c r="P33" s="380" t="e">
        <f t="shared" si="16"/>
        <v>#DIV/0!</v>
      </c>
      <c r="Q33" s="456">
        <v>380</v>
      </c>
      <c r="R33" s="132"/>
      <c r="S33" s="132"/>
      <c r="T33" s="293">
        <f t="shared" si="17"/>
        <v>205.1</v>
      </c>
      <c r="U33" s="73">
        <f t="shared" si="12"/>
        <v>1.8527547537786446</v>
      </c>
      <c r="V33" s="225">
        <f t="shared" si="13"/>
        <v>0.4738421052631579</v>
      </c>
    </row>
    <row r="34" spans="2:22">
      <c r="B34" s="188">
        <v>44858</v>
      </c>
      <c r="C34" s="309">
        <v>69512</v>
      </c>
      <c r="D34" s="309">
        <v>1969</v>
      </c>
      <c r="E34" s="309"/>
      <c r="F34" s="309"/>
      <c r="G34" s="309"/>
      <c r="H34" s="309"/>
      <c r="I34" s="309"/>
      <c r="J34" s="310">
        <v>207.72</v>
      </c>
      <c r="K34" s="308">
        <f>SUM($J$28:J34)/$C$8</f>
        <v>0.19201747418586179</v>
      </c>
      <c r="L34" s="305">
        <f t="shared" si="14"/>
        <v>2.8326044423984349E-2</v>
      </c>
      <c r="M34" s="306"/>
      <c r="N34" s="307" t="e">
        <f t="shared" si="15"/>
        <v>#DIV/0!</v>
      </c>
      <c r="O34" s="307" t="e">
        <f t="shared" si="11"/>
        <v>#DIV/0!</v>
      </c>
      <c r="P34" s="380" t="e">
        <f t="shared" si="16"/>
        <v>#DIV/0!</v>
      </c>
      <c r="Q34" s="457">
        <v>434</v>
      </c>
      <c r="R34" s="132"/>
      <c r="S34" s="132"/>
      <c r="T34" s="293">
        <f t="shared" si="17"/>
        <v>205.1</v>
      </c>
      <c r="U34" s="462">
        <f t="shared" si="12"/>
        <v>2.1160409556313993</v>
      </c>
      <c r="V34" s="225">
        <f t="shared" si="13"/>
        <v>0.47861751152073734</v>
      </c>
    </row>
    <row r="35" spans="2:22">
      <c r="B35" s="190" t="s">
        <v>160</v>
      </c>
      <c r="C35" s="298">
        <f>SUM(C28:C34)</f>
        <v>238400</v>
      </c>
      <c r="D35" s="298">
        <f t="shared" ref="D35:J35" si="18">SUM(D28:D34)</f>
        <v>6907</v>
      </c>
      <c r="E35" s="298"/>
      <c r="F35" s="298">
        <f t="shared" si="18"/>
        <v>0</v>
      </c>
      <c r="G35" s="298">
        <f t="shared" si="18"/>
        <v>0</v>
      </c>
      <c r="H35" s="298">
        <f t="shared" si="18"/>
        <v>0</v>
      </c>
      <c r="I35" s="298">
        <f t="shared" si="18"/>
        <v>0</v>
      </c>
      <c r="J35" s="479">
        <f t="shared" si="18"/>
        <v>725.25</v>
      </c>
      <c r="K35" s="599">
        <f>J35/$C$8</f>
        <v>0.19201747418586179</v>
      </c>
      <c r="L35" s="299">
        <f>D35/C35</f>
        <v>2.8972315436241611E-2</v>
      </c>
      <c r="M35" s="300" t="e">
        <f>SUM(M28:M34)</f>
        <v>#REF!</v>
      </c>
      <c r="N35" s="301" t="e">
        <f>J35/E35</f>
        <v>#DIV/0!</v>
      </c>
      <c r="O35" s="301" t="e">
        <f>J35/I35</f>
        <v>#DIV/0!</v>
      </c>
      <c r="P35" s="302" t="e">
        <f>E35/M35</f>
        <v>#REF!</v>
      </c>
      <c r="Q35" s="121">
        <f>SUM(Q28:Q34)</f>
        <v>1144</v>
      </c>
      <c r="R35" s="27"/>
      <c r="S35" s="27"/>
      <c r="T35" s="27">
        <f>SUM(T28:T34)</f>
        <v>820.4</v>
      </c>
      <c r="U35" s="140">
        <f>Q35/T35</f>
        <v>1.394441735738664</v>
      </c>
      <c r="V35" s="237">
        <f>J35/Q35</f>
        <v>0.63395979020979021</v>
      </c>
    </row>
    <row r="36" spans="2:22">
      <c r="B36" s="187">
        <v>44859</v>
      </c>
      <c r="C36" s="15">
        <v>98033</v>
      </c>
      <c r="D36" s="15">
        <v>1803</v>
      </c>
      <c r="E36" s="15"/>
      <c r="F36" s="52"/>
      <c r="G36" s="52"/>
      <c r="H36" s="52"/>
      <c r="I36" s="52"/>
      <c r="J36" s="77">
        <v>206.89</v>
      </c>
      <c r="K36" s="308">
        <f>SUM($J$35:J36)/$C$8</f>
        <v>0.24679375165475245</v>
      </c>
      <c r="L36" s="305">
        <f>D36/C36</f>
        <v>1.8391766037966807E-2</v>
      </c>
      <c r="M36" s="306"/>
      <c r="N36" s="307" t="e">
        <f>J36/E36</f>
        <v>#DIV/0!</v>
      </c>
      <c r="O36" s="307" t="e">
        <f>J36/I36</f>
        <v>#DIV/0!</v>
      </c>
      <c r="P36" s="380" t="e">
        <f>E36/M36</f>
        <v>#DIV/0!</v>
      </c>
      <c r="Q36" s="143">
        <v>406</v>
      </c>
      <c r="R36" s="52"/>
      <c r="S36" s="52"/>
      <c r="T36" s="293">
        <f t="shared" si="17"/>
        <v>205.1</v>
      </c>
      <c r="U36" s="455">
        <f>Q36/T36</f>
        <v>1.9795221843003414</v>
      </c>
      <c r="V36" s="225">
        <f>J36/Q36</f>
        <v>0.50958128078817733</v>
      </c>
    </row>
    <row r="37" spans="2:22" s="24" customFormat="1">
      <c r="B37" s="187">
        <v>44860</v>
      </c>
      <c r="C37" s="15">
        <v>55541</v>
      </c>
      <c r="D37" s="15">
        <v>2094</v>
      </c>
      <c r="E37" s="15"/>
      <c r="F37" s="52"/>
      <c r="G37" s="52"/>
      <c r="H37" s="52"/>
      <c r="I37" s="52"/>
      <c r="J37" s="77">
        <v>154.51</v>
      </c>
      <c r="K37" s="308">
        <f>SUM($J$35:J37)/$C$8</f>
        <v>0.28770187979878215</v>
      </c>
      <c r="L37" s="305">
        <f>D37/C37</f>
        <v>3.7701877892007706E-2</v>
      </c>
      <c r="M37" s="306"/>
      <c r="N37" s="307" t="e">
        <f>J37/E37</f>
        <v>#DIV/0!</v>
      </c>
      <c r="O37" s="307" t="e">
        <f t="shared" ref="O37:O42" si="19">J37/I37</f>
        <v>#DIV/0!</v>
      </c>
      <c r="P37" s="380" t="e">
        <f>E37/M37</f>
        <v>#DIV/0!</v>
      </c>
      <c r="Q37" s="143">
        <v>388</v>
      </c>
      <c r="R37" s="52"/>
      <c r="S37" s="52"/>
      <c r="T37" s="293">
        <f t="shared" si="17"/>
        <v>205.1</v>
      </c>
      <c r="U37" s="463">
        <f t="shared" ref="U37:U42" si="20">Q37/T37</f>
        <v>1.8917601170160898</v>
      </c>
      <c r="V37" s="225">
        <f t="shared" ref="V37:V42" si="21">J37/Q37</f>
        <v>0.39822164948453603</v>
      </c>
    </row>
    <row r="38" spans="2:22" s="26" customFormat="1">
      <c r="B38" s="187">
        <v>44861</v>
      </c>
      <c r="C38" s="15">
        <v>6732</v>
      </c>
      <c r="D38" s="15">
        <v>366</v>
      </c>
      <c r="E38" s="15"/>
      <c r="F38" s="52"/>
      <c r="G38" s="52"/>
      <c r="H38" s="52"/>
      <c r="I38" s="52"/>
      <c r="J38" s="77">
        <v>28.1</v>
      </c>
      <c r="K38" s="308">
        <f>SUM($J$35:J38)/$C$8</f>
        <v>0.29514164680963728</v>
      </c>
      <c r="L38" s="305">
        <f>D38/C38</f>
        <v>5.4367201426024955E-2</v>
      </c>
      <c r="M38" s="306"/>
      <c r="N38" s="307" t="e">
        <f>J38/E38</f>
        <v>#DIV/0!</v>
      </c>
      <c r="O38" s="307" t="e">
        <f t="shared" si="19"/>
        <v>#DIV/0!</v>
      </c>
      <c r="P38" s="381" t="e">
        <f>E38/M38</f>
        <v>#DIV/0!</v>
      </c>
      <c r="Q38" s="143">
        <v>110</v>
      </c>
      <c r="R38" s="52"/>
      <c r="S38" s="52"/>
      <c r="T38" s="293">
        <f t="shared" si="17"/>
        <v>205.1</v>
      </c>
      <c r="U38" s="139">
        <f t="shared" si="20"/>
        <v>0.53632374451487086</v>
      </c>
      <c r="V38" s="225">
        <f t="shared" si="21"/>
        <v>0.25545454545454549</v>
      </c>
    </row>
    <row r="39" spans="2:22">
      <c r="B39" s="189">
        <v>44862</v>
      </c>
      <c r="C39" s="15">
        <v>49126</v>
      </c>
      <c r="D39" s="15">
        <v>1659</v>
      </c>
      <c r="E39" s="15"/>
      <c r="F39" s="52"/>
      <c r="G39" s="52"/>
      <c r="H39" s="52"/>
      <c r="I39" s="52"/>
      <c r="J39" s="77">
        <v>149.85</v>
      </c>
      <c r="K39" s="308">
        <f>SUM($J$35:J39)/$C$8</f>
        <v>0.33481599152766744</v>
      </c>
      <c r="L39" s="305">
        <f t="shared" ref="L39:L42" si="22">D39/C39</f>
        <v>3.3770304930179539E-2</v>
      </c>
      <c r="M39" s="306"/>
      <c r="N39" s="307" t="e">
        <f t="shared" ref="N39:N42" si="23">J39/E39</f>
        <v>#DIV/0!</v>
      </c>
      <c r="O39" s="307" t="e">
        <f t="shared" si="19"/>
        <v>#DIV/0!</v>
      </c>
      <c r="P39" s="381" t="e">
        <f t="shared" ref="P39:P42" si="24">E39/M39</f>
        <v>#DIV/0!</v>
      </c>
      <c r="Q39" s="143">
        <v>397</v>
      </c>
      <c r="R39" s="52"/>
      <c r="S39" s="52"/>
      <c r="T39" s="293">
        <f t="shared" si="17"/>
        <v>205.1</v>
      </c>
      <c r="U39" s="139">
        <f t="shared" si="20"/>
        <v>1.9356411506582156</v>
      </c>
      <c r="V39" s="225">
        <f t="shared" si="21"/>
        <v>0.37745591939546597</v>
      </c>
    </row>
    <row r="40" spans="2:22">
      <c r="B40" s="189">
        <v>44863</v>
      </c>
      <c r="C40" s="15">
        <v>42726</v>
      </c>
      <c r="D40" s="15">
        <v>1458</v>
      </c>
      <c r="E40" s="15"/>
      <c r="F40" s="52"/>
      <c r="G40" s="52"/>
      <c r="H40" s="52"/>
      <c r="I40" s="52"/>
      <c r="J40" s="77">
        <v>141.80000000000001</v>
      </c>
      <c r="K40" s="308">
        <f>SUM($J$35:J40)/$C$8</f>
        <v>0.37235901509134228</v>
      </c>
      <c r="L40" s="305">
        <f t="shared" si="22"/>
        <v>3.4124420727425921E-2</v>
      </c>
      <c r="M40" s="306"/>
      <c r="N40" s="307" t="e">
        <f t="shared" si="23"/>
        <v>#DIV/0!</v>
      </c>
      <c r="O40" s="307" t="e">
        <f t="shared" si="19"/>
        <v>#DIV/0!</v>
      </c>
      <c r="P40" s="381" t="e">
        <f t="shared" si="24"/>
        <v>#DIV/0!</v>
      </c>
      <c r="Q40" s="143">
        <v>392</v>
      </c>
      <c r="R40" s="52"/>
      <c r="S40" s="52"/>
      <c r="T40" s="293">
        <f t="shared" si="17"/>
        <v>205.1</v>
      </c>
      <c r="U40" s="139">
        <f t="shared" si="20"/>
        <v>1.9112627986348123</v>
      </c>
      <c r="V40" s="225">
        <f t="shared" si="21"/>
        <v>0.36173469387755103</v>
      </c>
    </row>
    <row r="41" spans="2:22">
      <c r="B41" s="187">
        <v>44864</v>
      </c>
      <c r="C41" s="15">
        <v>55413</v>
      </c>
      <c r="D41" s="15">
        <v>2245</v>
      </c>
      <c r="E41" s="15"/>
      <c r="F41" s="52"/>
      <c r="G41" s="52"/>
      <c r="H41" s="52"/>
      <c r="I41" s="52"/>
      <c r="J41" s="77">
        <v>149.13999999999999</v>
      </c>
      <c r="K41" s="308">
        <f>SUM($J$35:J41)/$C$8</f>
        <v>0.41184537993116227</v>
      </c>
      <c r="L41" s="305">
        <f t="shared" si="22"/>
        <v>4.0513958818327832E-2</v>
      </c>
      <c r="M41" s="306"/>
      <c r="N41" s="307" t="e">
        <f t="shared" si="23"/>
        <v>#DIV/0!</v>
      </c>
      <c r="O41" s="307" t="e">
        <f t="shared" si="19"/>
        <v>#DIV/0!</v>
      </c>
      <c r="P41" s="381" t="e">
        <f t="shared" si="24"/>
        <v>#DIV/0!</v>
      </c>
      <c r="Q41" s="143">
        <v>362</v>
      </c>
      <c r="R41" s="52"/>
      <c r="S41" s="52"/>
      <c r="T41" s="293">
        <f t="shared" si="17"/>
        <v>205.1</v>
      </c>
      <c r="U41" s="139">
        <f t="shared" si="20"/>
        <v>1.764992686494393</v>
      </c>
      <c r="V41" s="225">
        <f t="shared" si="21"/>
        <v>0.41198895027624305</v>
      </c>
    </row>
    <row r="42" spans="2:22">
      <c r="B42" s="187">
        <v>44865</v>
      </c>
      <c r="C42" s="15">
        <v>48228</v>
      </c>
      <c r="D42" s="15">
        <v>1543</v>
      </c>
      <c r="E42" s="15"/>
      <c r="F42" s="52"/>
      <c r="G42" s="52"/>
      <c r="H42" s="52"/>
      <c r="I42" s="52"/>
      <c r="J42" s="77">
        <v>116.98</v>
      </c>
      <c r="K42" s="308">
        <f>SUM($J$35:J42)/$C$8</f>
        <v>0.44281705056923482</v>
      </c>
      <c r="L42" s="305">
        <f t="shared" si="22"/>
        <v>3.1993862486522355E-2</v>
      </c>
      <c r="M42" s="306"/>
      <c r="N42" s="307" t="e">
        <f t="shared" si="23"/>
        <v>#DIV/0!</v>
      </c>
      <c r="O42" s="307" t="e">
        <f t="shared" si="19"/>
        <v>#DIV/0!</v>
      </c>
      <c r="P42" s="381" t="e">
        <f t="shared" si="24"/>
        <v>#DIV/0!</v>
      </c>
      <c r="Q42" s="143">
        <v>249</v>
      </c>
      <c r="R42" s="52"/>
      <c r="S42" s="52"/>
      <c r="T42" s="293">
        <f t="shared" si="17"/>
        <v>205.1</v>
      </c>
      <c r="U42" s="139">
        <f t="shared" si="20"/>
        <v>1.2140419307654804</v>
      </c>
      <c r="V42" s="225">
        <f t="shared" si="21"/>
        <v>0.4697991967871486</v>
      </c>
    </row>
    <row r="43" spans="2:22">
      <c r="B43" s="190" t="s">
        <v>160</v>
      </c>
      <c r="C43" s="298">
        <f>SUM(C36:C42)</f>
        <v>355799</v>
      </c>
      <c r="D43" s="298">
        <f t="shared" ref="D43:J43" si="25">SUM(D36:D42)</f>
        <v>11168</v>
      </c>
      <c r="E43" s="298">
        <f t="shared" si="25"/>
        <v>0</v>
      </c>
      <c r="F43" s="298">
        <f t="shared" si="25"/>
        <v>0</v>
      </c>
      <c r="G43" s="298">
        <f t="shared" si="25"/>
        <v>0</v>
      </c>
      <c r="H43" s="298">
        <f t="shared" si="25"/>
        <v>0</v>
      </c>
      <c r="I43" s="298">
        <f t="shared" si="25"/>
        <v>0</v>
      </c>
      <c r="J43" s="479">
        <f t="shared" si="25"/>
        <v>947.2700000000001</v>
      </c>
      <c r="K43" s="599">
        <f>SUM($J$35,J43)/C$8</f>
        <v>0.44281705056923482</v>
      </c>
      <c r="L43" s="299">
        <f>D43/C43</f>
        <v>3.1388508680462848E-2</v>
      </c>
      <c r="M43" s="300">
        <f>SUM(M36:M42)</f>
        <v>0</v>
      </c>
      <c r="N43" s="301" t="e">
        <f>J43/E43</f>
        <v>#DIV/0!</v>
      </c>
      <c r="O43" s="301" t="e">
        <f>J43/I43</f>
        <v>#DIV/0!</v>
      </c>
      <c r="P43" s="302" t="e">
        <f>E43/M43</f>
        <v>#DIV/0!</v>
      </c>
      <c r="Q43" s="121">
        <f>SUM(Q36:Q42)</f>
        <v>2304</v>
      </c>
      <c r="R43" s="27"/>
      <c r="S43" s="27"/>
      <c r="T43" s="27">
        <f>SUM(T36:T42)</f>
        <v>1435.6999999999998</v>
      </c>
      <c r="U43" s="140">
        <f>Q43/T43</f>
        <v>1.6047920874834578</v>
      </c>
      <c r="V43" s="227">
        <f>J43/Q43</f>
        <v>0.41114149305555558</v>
      </c>
    </row>
    <row r="44" spans="2:22">
      <c r="B44" s="187">
        <v>44866</v>
      </c>
      <c r="C44" s="15">
        <v>65173</v>
      </c>
      <c r="D44" s="15">
        <v>2728</v>
      </c>
      <c r="E44" s="15"/>
      <c r="F44" s="52"/>
      <c r="G44" s="52"/>
      <c r="H44" s="52"/>
      <c r="I44" s="52"/>
      <c r="J44" s="77">
        <v>155.46</v>
      </c>
      <c r="K44" s="73">
        <f>SUM($J$35,$J$43:J44)/$C$8</f>
        <v>0.4839767010855176</v>
      </c>
      <c r="L44" s="305">
        <f>D44/C44</f>
        <v>4.1857824559249995E-2</v>
      </c>
      <c r="M44" s="306"/>
      <c r="N44" s="307" t="e">
        <f>J44/E44</f>
        <v>#DIV/0!</v>
      </c>
      <c r="O44" s="307" t="e">
        <f>J44/I44</f>
        <v>#DIV/0!</v>
      </c>
      <c r="P44" s="380" t="e">
        <f>E44/M44</f>
        <v>#DIV/0!</v>
      </c>
      <c r="Q44" s="143">
        <v>361</v>
      </c>
      <c r="R44" s="52"/>
      <c r="S44" s="52"/>
      <c r="T44" s="293">
        <f t="shared" si="17"/>
        <v>205.1</v>
      </c>
      <c r="U44" s="455">
        <f>Q44/T44</f>
        <v>1.7601170160897124</v>
      </c>
      <c r="V44" s="225">
        <f>J44/Q44</f>
        <v>0.43063711911357344</v>
      </c>
    </row>
    <row r="45" spans="2:22" s="24" customFormat="1">
      <c r="B45" s="187">
        <v>44867</v>
      </c>
      <c r="C45" s="15">
        <v>55596</v>
      </c>
      <c r="D45" s="15">
        <v>2147</v>
      </c>
      <c r="E45" s="15"/>
      <c r="F45" s="52"/>
      <c r="G45" s="52"/>
      <c r="H45" s="52"/>
      <c r="I45" s="52"/>
      <c r="J45" s="77">
        <v>107.96</v>
      </c>
      <c r="K45" s="73">
        <f>SUM($J$35,$J$43:J45)/$C$8</f>
        <v>0.51256023298914488</v>
      </c>
      <c r="L45" s="305">
        <f t="shared" ref="L45:L50" si="26">D45/C45</f>
        <v>3.8617886178861791E-2</v>
      </c>
      <c r="M45" s="306"/>
      <c r="N45" s="307" t="e">
        <f t="shared" ref="N45:N50" si="27">J45/E45</f>
        <v>#DIV/0!</v>
      </c>
      <c r="O45" s="307" t="e">
        <f t="shared" ref="O45:O50" si="28">J45/I45</f>
        <v>#DIV/0!</v>
      </c>
      <c r="P45" s="380" t="e">
        <f t="shared" ref="P45:P50" si="29">E45/M45</f>
        <v>#DIV/0!</v>
      </c>
      <c r="Q45" s="143">
        <v>276</v>
      </c>
      <c r="R45" s="52"/>
      <c r="S45" s="52"/>
      <c r="T45" s="293">
        <f t="shared" si="17"/>
        <v>205.1</v>
      </c>
      <c r="U45" s="455">
        <f t="shared" ref="U45:U50" si="30">Q45/T45</f>
        <v>1.3456850316918576</v>
      </c>
      <c r="V45" s="225">
        <f t="shared" ref="V45:V50" si="31">J45/Q45</f>
        <v>0.39115942028985506</v>
      </c>
    </row>
    <row r="46" spans="2:22" s="26" customFormat="1">
      <c r="B46" s="187">
        <v>44868</v>
      </c>
      <c r="C46" s="15">
        <v>54954</v>
      </c>
      <c r="D46" s="15">
        <v>2155</v>
      </c>
      <c r="E46" s="15"/>
      <c r="F46" s="52"/>
      <c r="G46" s="52"/>
      <c r="H46" s="52"/>
      <c r="I46" s="52"/>
      <c r="J46" s="77">
        <v>108.13</v>
      </c>
      <c r="K46" s="73">
        <f>SUM($J$35,$J$43:J46)/$C$8</f>
        <v>0.54118877415938582</v>
      </c>
      <c r="L46" s="305">
        <f t="shared" si="26"/>
        <v>3.9214615860537906E-2</v>
      </c>
      <c r="M46" s="306"/>
      <c r="N46" s="307" t="e">
        <f t="shared" si="27"/>
        <v>#DIV/0!</v>
      </c>
      <c r="O46" s="307" t="e">
        <f t="shared" si="28"/>
        <v>#DIV/0!</v>
      </c>
      <c r="P46" s="380" t="e">
        <f t="shared" si="29"/>
        <v>#DIV/0!</v>
      </c>
      <c r="Q46" s="143">
        <v>314</v>
      </c>
      <c r="R46" s="52"/>
      <c r="S46" s="52"/>
      <c r="T46" s="293">
        <f t="shared" si="17"/>
        <v>205.1</v>
      </c>
      <c r="U46" s="455">
        <f t="shared" si="30"/>
        <v>1.5309605070697221</v>
      </c>
      <c r="V46" s="225">
        <f t="shared" si="31"/>
        <v>0.34436305732484074</v>
      </c>
    </row>
    <row r="47" spans="2:22">
      <c r="B47" s="189">
        <v>44869</v>
      </c>
      <c r="C47" s="15">
        <v>37287</v>
      </c>
      <c r="D47" s="15">
        <v>1363</v>
      </c>
      <c r="E47" s="15"/>
      <c r="F47" s="52"/>
      <c r="G47" s="52"/>
      <c r="H47" s="52"/>
      <c r="I47" s="52"/>
      <c r="J47" s="77">
        <v>110.55</v>
      </c>
      <c r="K47" s="73">
        <f>SUM($J$35,$J$43:J47)/$C$8</f>
        <v>0.57045803547789264</v>
      </c>
      <c r="L47" s="305">
        <f t="shared" si="26"/>
        <v>3.6554295062622359E-2</v>
      </c>
      <c r="M47" s="306"/>
      <c r="N47" s="307" t="e">
        <f t="shared" si="27"/>
        <v>#DIV/0!</v>
      </c>
      <c r="O47" s="307" t="e">
        <f t="shared" si="28"/>
        <v>#DIV/0!</v>
      </c>
      <c r="P47" s="380" t="e">
        <f t="shared" si="29"/>
        <v>#DIV/0!</v>
      </c>
      <c r="Q47" s="143">
        <v>309</v>
      </c>
      <c r="R47" s="52"/>
      <c r="S47" s="52"/>
      <c r="T47" s="293">
        <f t="shared" si="17"/>
        <v>205.1</v>
      </c>
      <c r="U47" s="455">
        <f t="shared" si="30"/>
        <v>1.506582155046319</v>
      </c>
      <c r="V47" s="225">
        <f t="shared" si="31"/>
        <v>0.35776699029126213</v>
      </c>
    </row>
    <row r="48" spans="2:22">
      <c r="B48" s="189">
        <v>44870</v>
      </c>
      <c r="C48" s="15">
        <v>42415</v>
      </c>
      <c r="D48" s="15">
        <v>1323</v>
      </c>
      <c r="E48" s="15"/>
      <c r="F48" s="52"/>
      <c r="G48" s="52"/>
      <c r="H48" s="52"/>
      <c r="I48" s="52"/>
      <c r="J48" s="77">
        <v>111.44</v>
      </c>
      <c r="K48" s="73">
        <f>SUM($J$35,$J$43:J48)/$C$8</f>
        <v>0.59996293354514174</v>
      </c>
      <c r="L48" s="305">
        <f t="shared" si="26"/>
        <v>3.1191795355416715E-2</v>
      </c>
      <c r="M48" s="306"/>
      <c r="N48" s="307" t="e">
        <f t="shared" si="27"/>
        <v>#DIV/0!</v>
      </c>
      <c r="O48" s="307" t="e">
        <f t="shared" si="28"/>
        <v>#DIV/0!</v>
      </c>
      <c r="P48" s="380" t="e">
        <f t="shared" si="29"/>
        <v>#DIV/0!</v>
      </c>
      <c r="Q48" s="143">
        <v>313</v>
      </c>
      <c r="R48" s="52"/>
      <c r="S48" s="52"/>
      <c r="T48" s="293">
        <f t="shared" si="17"/>
        <v>205.1</v>
      </c>
      <c r="U48" s="455">
        <f t="shared" si="30"/>
        <v>1.5260848366650415</v>
      </c>
      <c r="V48" s="225">
        <f t="shared" si="31"/>
        <v>0.35603833865814694</v>
      </c>
    </row>
    <row r="49" spans="2:22">
      <c r="B49" s="187">
        <v>44871</v>
      </c>
      <c r="C49" s="15">
        <v>44518</v>
      </c>
      <c r="D49" s="15">
        <v>1588</v>
      </c>
      <c r="E49" s="15"/>
      <c r="F49" s="52"/>
      <c r="G49" s="52"/>
      <c r="H49" s="52"/>
      <c r="I49" s="52"/>
      <c r="J49" s="77">
        <v>116.78</v>
      </c>
      <c r="K49" s="73">
        <f>SUM($J$35,$J$43:J49)/$C$8</f>
        <v>0.63088165210484526</v>
      </c>
      <c r="L49" s="305">
        <f t="shared" si="26"/>
        <v>3.5670964553663684E-2</v>
      </c>
      <c r="M49" s="306"/>
      <c r="N49" s="307" t="e">
        <f t="shared" si="27"/>
        <v>#DIV/0!</v>
      </c>
      <c r="O49" s="307" t="e">
        <f t="shared" si="28"/>
        <v>#DIV/0!</v>
      </c>
      <c r="P49" s="380" t="e">
        <f t="shared" si="29"/>
        <v>#DIV/0!</v>
      </c>
      <c r="Q49" s="143">
        <v>302</v>
      </c>
      <c r="R49" s="52"/>
      <c r="S49" s="52"/>
      <c r="T49" s="293">
        <f t="shared" si="17"/>
        <v>205.1</v>
      </c>
      <c r="U49" s="455">
        <f t="shared" si="30"/>
        <v>1.4724524622135544</v>
      </c>
      <c r="V49" s="225">
        <f t="shared" si="31"/>
        <v>0.3866887417218543</v>
      </c>
    </row>
    <row r="50" spans="2:22">
      <c r="B50" s="187">
        <v>44872</v>
      </c>
      <c r="C50" s="15">
        <v>48577</v>
      </c>
      <c r="D50" s="15">
        <v>1700</v>
      </c>
      <c r="E50" s="15"/>
      <c r="F50" s="52"/>
      <c r="G50" s="52"/>
      <c r="H50" s="52"/>
      <c r="I50" s="52"/>
      <c r="J50" s="77">
        <v>119.61</v>
      </c>
      <c r="K50" s="73">
        <f>SUM($J$35,$J$43:J50)/$C$8</f>
        <v>0.66254964257347115</v>
      </c>
      <c r="L50" s="305">
        <f t="shared" si="26"/>
        <v>3.4995985754575208E-2</v>
      </c>
      <c r="M50" s="306"/>
      <c r="N50" s="307" t="e">
        <f t="shared" si="27"/>
        <v>#DIV/0!</v>
      </c>
      <c r="O50" s="307" t="e">
        <f t="shared" si="28"/>
        <v>#DIV/0!</v>
      </c>
      <c r="P50" s="380" t="e">
        <f t="shared" si="29"/>
        <v>#DIV/0!</v>
      </c>
      <c r="Q50" s="143">
        <v>272</v>
      </c>
      <c r="R50" s="52"/>
      <c r="S50" s="52"/>
      <c r="T50" s="293">
        <f t="shared" si="17"/>
        <v>205.1</v>
      </c>
      <c r="U50" s="455">
        <f t="shared" si="30"/>
        <v>1.3261823500731351</v>
      </c>
      <c r="V50" s="225">
        <f t="shared" si="31"/>
        <v>0.43974264705882354</v>
      </c>
    </row>
    <row r="51" spans="2:22">
      <c r="B51" s="190" t="s">
        <v>160</v>
      </c>
      <c r="C51" s="298">
        <f>SUM(C44:C50)</f>
        <v>348520</v>
      </c>
      <c r="D51" s="298">
        <f t="shared" ref="D51:J51" si="32">SUM(D44:D50)</f>
        <v>13004</v>
      </c>
      <c r="E51" s="298">
        <f t="shared" si="32"/>
        <v>0</v>
      </c>
      <c r="F51" s="298">
        <f t="shared" si="32"/>
        <v>0</v>
      </c>
      <c r="G51" s="298">
        <f t="shared" si="32"/>
        <v>0</v>
      </c>
      <c r="H51" s="298">
        <f t="shared" si="32"/>
        <v>0</v>
      </c>
      <c r="I51" s="298">
        <f t="shared" si="32"/>
        <v>0</v>
      </c>
      <c r="J51" s="479">
        <f t="shared" si="32"/>
        <v>829.93</v>
      </c>
      <c r="K51" s="599">
        <f>SUM($J$35,$J$43:J50)/C$8</f>
        <v>0.66254964257347115</v>
      </c>
      <c r="L51" s="299">
        <f>D51/C51</f>
        <v>3.7312062435441294E-2</v>
      </c>
      <c r="M51" s="300">
        <f>SUM(M44:M50)</f>
        <v>0</v>
      </c>
      <c r="N51" s="301" t="e">
        <f>J51/E51</f>
        <v>#DIV/0!</v>
      </c>
      <c r="O51" s="301" t="e">
        <f>J51/I51</f>
        <v>#DIV/0!</v>
      </c>
      <c r="P51" s="302" t="e">
        <f>E51/M51</f>
        <v>#DIV/0!</v>
      </c>
      <c r="Q51" s="121">
        <f>SUM(Q44:Q50)</f>
        <v>2147</v>
      </c>
      <c r="R51" s="27"/>
      <c r="S51" s="27"/>
      <c r="T51" s="27">
        <f>SUM(T44:T50)</f>
        <v>1435.6999999999998</v>
      </c>
      <c r="U51" s="572">
        <f>Q51/T51</f>
        <v>1.4954377655499063</v>
      </c>
      <c r="V51" s="237">
        <f>J51/Q51</f>
        <v>0.38655333022822541</v>
      </c>
    </row>
    <row r="52" spans="2:22">
      <c r="B52" s="187">
        <v>44873</v>
      </c>
      <c r="C52" s="15">
        <v>34927</v>
      </c>
      <c r="D52" s="15">
        <v>1470</v>
      </c>
      <c r="E52" s="15"/>
      <c r="F52" s="52"/>
      <c r="G52" s="52"/>
      <c r="H52" s="52"/>
      <c r="I52" s="52"/>
      <c r="J52" s="77">
        <v>122.73</v>
      </c>
      <c r="K52" s="73">
        <f>SUM($J$35,$J$43,$J$51:J52)/$C$8</f>
        <v>0.69504368546465445</v>
      </c>
      <c r="L52" s="305">
        <f>D52/C52</f>
        <v>4.2087783090445786E-2</v>
      </c>
      <c r="M52" s="306"/>
      <c r="N52" s="307" t="e">
        <f>J52/E52</f>
        <v>#DIV/0!</v>
      </c>
      <c r="O52" s="307" t="e">
        <f>J52/I52</f>
        <v>#DIV/0!</v>
      </c>
      <c r="P52" s="380" t="e">
        <f>E52/M52</f>
        <v>#DIV/0!</v>
      </c>
      <c r="Q52" s="143">
        <v>293</v>
      </c>
      <c r="R52" s="52"/>
      <c r="S52" s="52"/>
      <c r="T52" s="293">
        <f t="shared" si="17"/>
        <v>205.1</v>
      </c>
      <c r="U52" s="455">
        <f>Q52/T52</f>
        <v>1.4285714285714286</v>
      </c>
      <c r="V52" s="225">
        <f>J52/Q52</f>
        <v>0.4188737201365188</v>
      </c>
    </row>
    <row r="53" spans="2:22">
      <c r="B53" s="187">
        <v>44874</v>
      </c>
      <c r="C53" s="15">
        <v>37333</v>
      </c>
      <c r="D53" s="15">
        <v>1584</v>
      </c>
      <c r="E53" s="15"/>
      <c r="F53" s="52"/>
      <c r="G53" s="52"/>
      <c r="H53" s="52"/>
      <c r="I53" s="52"/>
      <c r="J53" s="77">
        <v>123.85</v>
      </c>
      <c r="K53" s="73">
        <f>SUM($J$35,$J$43,$J$51:J53)/$C$8</f>
        <v>0.72783425999470475</v>
      </c>
      <c r="L53" s="305">
        <f t="shared" ref="L53:L60" si="33">D53/C53</f>
        <v>4.2428950258484449E-2</v>
      </c>
      <c r="M53" s="306"/>
      <c r="N53" s="307" t="e">
        <f>J53/E53</f>
        <v>#DIV/0!</v>
      </c>
      <c r="O53" s="307" t="e">
        <f t="shared" ref="O53:O58" si="34">J53/I53</f>
        <v>#DIV/0!</v>
      </c>
      <c r="P53" s="380" t="e">
        <f>E53/M53</f>
        <v>#DIV/0!</v>
      </c>
      <c r="Q53" s="143">
        <v>297</v>
      </c>
      <c r="R53" s="52"/>
      <c r="S53" s="52"/>
      <c r="T53" s="293">
        <f t="shared" si="17"/>
        <v>205.1</v>
      </c>
      <c r="U53" s="455">
        <f t="shared" ref="U53:U58" si="35">Q53/T53</f>
        <v>1.4480741101901511</v>
      </c>
      <c r="V53" s="225">
        <f t="shared" ref="V53:V58" si="36">J53/Q53</f>
        <v>0.41700336700336699</v>
      </c>
    </row>
    <row r="54" spans="2:22">
      <c r="B54" s="187">
        <v>44875</v>
      </c>
      <c r="C54" s="15">
        <v>36536</v>
      </c>
      <c r="D54" s="15">
        <v>1511</v>
      </c>
      <c r="E54" s="15"/>
      <c r="F54" s="52"/>
      <c r="G54" s="52"/>
      <c r="H54" s="52"/>
      <c r="I54" s="52"/>
      <c r="J54" s="77">
        <v>124.16</v>
      </c>
      <c r="K54" s="73">
        <f>SUM($J$35,$J$43,$J$51:J54)/$C$8</f>
        <v>0.76070691024622705</v>
      </c>
      <c r="L54" s="305">
        <f t="shared" si="33"/>
        <v>4.1356470330632798E-2</v>
      </c>
      <c r="M54" s="306"/>
      <c r="N54" s="307" t="e">
        <f>J54/E54</f>
        <v>#DIV/0!</v>
      </c>
      <c r="O54" s="307" t="e">
        <f t="shared" si="34"/>
        <v>#DIV/0!</v>
      </c>
      <c r="P54" s="380" t="e">
        <f>E54/M54</f>
        <v>#DIV/0!</v>
      </c>
      <c r="Q54" s="143">
        <v>306</v>
      </c>
      <c r="R54" s="52"/>
      <c r="S54" s="52"/>
      <c r="T54" s="293">
        <f t="shared" si="17"/>
        <v>205.1</v>
      </c>
      <c r="U54" s="455">
        <f t="shared" si="35"/>
        <v>1.4919551438322769</v>
      </c>
      <c r="V54" s="225">
        <f t="shared" si="36"/>
        <v>0.4057516339869281</v>
      </c>
    </row>
    <row r="55" spans="2:22">
      <c r="B55" s="189">
        <v>44876</v>
      </c>
      <c r="C55" s="15">
        <v>40823</v>
      </c>
      <c r="D55" s="15">
        <v>1694</v>
      </c>
      <c r="E55" s="15"/>
      <c r="F55" s="52"/>
      <c r="G55" s="52"/>
      <c r="H55" s="52"/>
      <c r="I55" s="52"/>
      <c r="J55" s="77">
        <v>129.01</v>
      </c>
      <c r="K55" s="73">
        <f>SUM($J$35,$J$43,$J$51:J55)/$C$8</f>
        <v>0.79486364839819956</v>
      </c>
      <c r="L55" s="305">
        <f t="shared" si="33"/>
        <v>4.1496215368787205E-2</v>
      </c>
      <c r="M55" s="306"/>
      <c r="N55" s="307" t="e">
        <f t="shared" ref="N55:N58" si="37">J55/E55</f>
        <v>#DIV/0!</v>
      </c>
      <c r="O55" s="307" t="e">
        <f t="shared" si="34"/>
        <v>#DIV/0!</v>
      </c>
      <c r="P55" s="380" t="e">
        <f t="shared" ref="P55:P58" si="38">E55/M55</f>
        <v>#DIV/0!</v>
      </c>
      <c r="Q55" s="143">
        <v>339</v>
      </c>
      <c r="R55" s="52"/>
      <c r="S55" s="52"/>
      <c r="T55" s="293">
        <f t="shared" si="17"/>
        <v>205.1</v>
      </c>
      <c r="U55" s="455">
        <f t="shared" si="35"/>
        <v>1.6528522671867383</v>
      </c>
      <c r="V55" s="225">
        <f t="shared" si="36"/>
        <v>0.38056047197640114</v>
      </c>
    </row>
    <row r="56" spans="2:22">
      <c r="B56" s="189">
        <v>44877</v>
      </c>
      <c r="C56" s="15">
        <v>46335</v>
      </c>
      <c r="D56" s="15">
        <v>1798</v>
      </c>
      <c r="E56" s="15"/>
      <c r="F56" s="52"/>
      <c r="G56" s="52"/>
      <c r="H56" s="52"/>
      <c r="I56" s="52"/>
      <c r="J56" s="77">
        <v>130.09</v>
      </c>
      <c r="K56" s="73">
        <f>SUM($J$35,$J$43,$J$51:J56)/$C$8</f>
        <v>0.8293063277733651</v>
      </c>
      <c r="L56" s="305">
        <f t="shared" si="33"/>
        <v>3.8804359555411679E-2</v>
      </c>
      <c r="M56" s="306"/>
      <c r="N56" s="307" t="e">
        <f t="shared" si="37"/>
        <v>#DIV/0!</v>
      </c>
      <c r="O56" s="307" t="e">
        <f t="shared" si="34"/>
        <v>#DIV/0!</v>
      </c>
      <c r="P56" s="380" t="e">
        <f t="shared" si="38"/>
        <v>#DIV/0!</v>
      </c>
      <c r="Q56" s="143">
        <v>349</v>
      </c>
      <c r="R56" s="52"/>
      <c r="S56" s="52"/>
      <c r="T56" s="293">
        <f t="shared" si="17"/>
        <v>205.1</v>
      </c>
      <c r="U56" s="455">
        <f t="shared" si="35"/>
        <v>1.7016089712335447</v>
      </c>
      <c r="V56" s="225">
        <f t="shared" si="36"/>
        <v>0.37275071633237822</v>
      </c>
    </row>
    <row r="57" spans="2:22">
      <c r="B57" s="187">
        <v>44878</v>
      </c>
      <c r="C57" s="15">
        <v>43702</v>
      </c>
      <c r="D57" s="15">
        <v>1763</v>
      </c>
      <c r="E57" s="15"/>
      <c r="F57" s="52"/>
      <c r="G57" s="52"/>
      <c r="H57" s="52"/>
      <c r="I57" s="52"/>
      <c r="J57" s="77">
        <v>122.34</v>
      </c>
      <c r="K57" s="73">
        <f>SUM($J$35,$J$43,$J$51:J57)/$C$8</f>
        <v>0.86169711411172889</v>
      </c>
      <c r="L57" s="305">
        <f t="shared" si="33"/>
        <v>4.0341403139444419E-2</v>
      </c>
      <c r="M57" s="306"/>
      <c r="N57" s="307" t="e">
        <f t="shared" si="37"/>
        <v>#DIV/0!</v>
      </c>
      <c r="O57" s="307" t="e">
        <f t="shared" si="34"/>
        <v>#DIV/0!</v>
      </c>
      <c r="P57" s="380" t="e">
        <f t="shared" si="38"/>
        <v>#DIV/0!</v>
      </c>
      <c r="Q57" s="1647">
        <v>303</v>
      </c>
      <c r="R57" s="52"/>
      <c r="S57" s="52"/>
      <c r="T57" s="293">
        <f t="shared" si="17"/>
        <v>205.1</v>
      </c>
      <c r="U57" s="73">
        <f t="shared" si="35"/>
        <v>1.477328132618235</v>
      </c>
      <c r="V57" s="225">
        <f t="shared" si="36"/>
        <v>0.40376237623762379</v>
      </c>
    </row>
    <row r="58" spans="2:22">
      <c r="B58" s="187">
        <v>44879</v>
      </c>
      <c r="C58" s="15">
        <v>47269</v>
      </c>
      <c r="D58" s="15">
        <v>1767</v>
      </c>
      <c r="E58" s="15"/>
      <c r="F58" s="52"/>
      <c r="G58" s="52"/>
      <c r="H58" s="52"/>
      <c r="I58" s="52"/>
      <c r="J58" s="77">
        <v>125.22</v>
      </c>
      <c r="K58" s="73">
        <f>SUM($J$35,$J$43,$J$51:J58)/$C$8</f>
        <v>0.89485041037860735</v>
      </c>
      <c r="L58" s="305">
        <f t="shared" si="33"/>
        <v>3.7381793564492588E-2</v>
      </c>
      <c r="M58" s="306"/>
      <c r="N58" s="307" t="e">
        <f t="shared" si="37"/>
        <v>#DIV/0!</v>
      </c>
      <c r="O58" s="307" t="e">
        <f t="shared" si="34"/>
        <v>#DIV/0!</v>
      </c>
      <c r="P58" s="380" t="e">
        <f t="shared" si="38"/>
        <v>#DIV/0!</v>
      </c>
      <c r="Q58" s="1647">
        <v>334</v>
      </c>
      <c r="R58" s="52"/>
      <c r="S58" s="52"/>
      <c r="T58" s="293">
        <f t="shared" si="17"/>
        <v>205.1</v>
      </c>
      <c r="U58" s="73">
        <f t="shared" si="35"/>
        <v>1.628473915163335</v>
      </c>
      <c r="V58" s="225">
        <f t="shared" si="36"/>
        <v>0.37491017964071854</v>
      </c>
    </row>
    <row r="59" spans="2:22">
      <c r="B59" s="190" t="s">
        <v>160</v>
      </c>
      <c r="C59" s="298">
        <f>SUM(C52:C58)</f>
        <v>286925</v>
      </c>
      <c r="D59" s="298">
        <f t="shared" ref="D59:J59" si="39">SUM(D52:D58)</f>
        <v>11587</v>
      </c>
      <c r="E59" s="298">
        <f t="shared" si="39"/>
        <v>0</v>
      </c>
      <c r="F59" s="298">
        <f t="shared" si="39"/>
        <v>0</v>
      </c>
      <c r="G59" s="298">
        <f t="shared" si="39"/>
        <v>0</v>
      </c>
      <c r="H59" s="298">
        <f t="shared" si="39"/>
        <v>0</v>
      </c>
      <c r="I59" s="298">
        <f t="shared" si="39"/>
        <v>0</v>
      </c>
      <c r="J59" s="479">
        <f t="shared" si="39"/>
        <v>877.40000000000009</v>
      </c>
      <c r="K59" s="599">
        <f>SUM($J$35,$J$43,$J$51,$J$59)/$C$8</f>
        <v>0.89485041037860735</v>
      </c>
      <c r="L59" s="299">
        <f>D59/C59</f>
        <v>4.0383375446545265E-2</v>
      </c>
      <c r="M59" s="300">
        <f>SUM(M52:M58)</f>
        <v>0</v>
      </c>
      <c r="N59" s="301" t="e">
        <f>J59/E59</f>
        <v>#DIV/0!</v>
      </c>
      <c r="O59" s="301" t="e">
        <f>J59/I59</f>
        <v>#DIV/0!</v>
      </c>
      <c r="P59" s="302" t="e">
        <f>E59/M59</f>
        <v>#DIV/0!</v>
      </c>
      <c r="Q59" s="121">
        <f>SUM(Q52:Q58)</f>
        <v>2221</v>
      </c>
      <c r="R59" s="27"/>
      <c r="S59" s="27"/>
      <c r="T59" s="27">
        <f>SUM(T52:T58)</f>
        <v>1435.6999999999998</v>
      </c>
      <c r="U59" s="140">
        <f>Q59/T59</f>
        <v>1.5469805669708159</v>
      </c>
      <c r="V59" s="237">
        <f>J59/Q59</f>
        <v>0.39504727600180101</v>
      </c>
    </row>
    <row r="60" spans="2:22">
      <c r="B60" s="187">
        <v>44880</v>
      </c>
      <c r="C60" s="15">
        <v>15014</v>
      </c>
      <c r="D60" s="15">
        <v>629</v>
      </c>
      <c r="E60" s="15"/>
      <c r="F60" s="52"/>
      <c r="G60" s="52"/>
      <c r="H60" s="52"/>
      <c r="I60" s="52"/>
      <c r="J60" s="77">
        <v>36.549999999999997</v>
      </c>
      <c r="K60" s="73">
        <f>SUM($J$35,$J$43,$J$51:J58,J60)/$C$8</f>
        <v>0.90452740270055598</v>
      </c>
      <c r="L60" s="305">
        <f t="shared" si="33"/>
        <v>4.1894232050086584E-2</v>
      </c>
      <c r="M60" s="52"/>
      <c r="N60" s="52"/>
      <c r="O60" s="52"/>
      <c r="P60" s="148"/>
      <c r="Q60" s="143">
        <v>99</v>
      </c>
      <c r="R60" s="52"/>
      <c r="S60" s="52"/>
      <c r="T60" s="293">
        <f t="shared" si="17"/>
        <v>205.1</v>
      </c>
      <c r="U60" s="73">
        <f t="shared" ref="U60:U66" si="40">Q60/T60</f>
        <v>0.48269137006338375</v>
      </c>
      <c r="V60" s="225">
        <f t="shared" ref="V60:V66" si="41">J60/Q60</f>
        <v>0.36919191919191918</v>
      </c>
    </row>
    <row r="61" spans="2:22">
      <c r="B61" s="187">
        <v>44881</v>
      </c>
      <c r="C61" s="15">
        <v>11859</v>
      </c>
      <c r="D61" s="15">
        <v>455</v>
      </c>
      <c r="E61" s="15">
        <v>39.97</v>
      </c>
      <c r="F61" s="52"/>
      <c r="G61" s="52"/>
      <c r="H61" s="52"/>
      <c r="I61" s="52"/>
      <c r="J61" s="77">
        <v>39.97</v>
      </c>
      <c r="K61" s="73">
        <f>SUM($J$35,$J$43,J51,J59:J61)/$C$8</f>
        <v>0.9151098755626158</v>
      </c>
      <c r="L61" s="305">
        <f t="shared" ref="L61:L66" si="42">D61/C61</f>
        <v>3.8367484610844084E-2</v>
      </c>
      <c r="M61" s="52"/>
      <c r="N61" s="52"/>
      <c r="O61" s="52"/>
      <c r="P61" s="148"/>
      <c r="Q61" s="143">
        <v>139</v>
      </c>
      <c r="R61" s="52"/>
      <c r="S61" s="52"/>
      <c r="T61" s="293">
        <f t="shared" si="17"/>
        <v>205.1</v>
      </c>
      <c r="U61" s="73">
        <f t="shared" si="40"/>
        <v>0.67771818625060942</v>
      </c>
      <c r="V61" s="225">
        <f t="shared" si="41"/>
        <v>0.28755395683453239</v>
      </c>
    </row>
    <row r="62" spans="2:22">
      <c r="B62" s="187">
        <v>44882</v>
      </c>
      <c r="C62" s="15">
        <v>11707</v>
      </c>
      <c r="D62" s="15">
        <v>478</v>
      </c>
      <c r="E62" s="15">
        <v>39.76</v>
      </c>
      <c r="F62" s="52"/>
      <c r="G62" s="52"/>
      <c r="H62" s="52"/>
      <c r="I62" s="52"/>
      <c r="J62" s="77">
        <v>39.76</v>
      </c>
      <c r="K62" s="73">
        <f>SUM($J$35,$J$43,$J$51:J51,J59:J62)/$C$8</f>
        <v>0.92563674874238822</v>
      </c>
      <c r="L62" s="305">
        <f t="shared" si="42"/>
        <v>4.0830272486546512E-2</v>
      </c>
      <c r="M62" s="52"/>
      <c r="N62" s="52"/>
      <c r="O62" s="52"/>
      <c r="P62" s="148"/>
      <c r="Q62" s="143">
        <v>139</v>
      </c>
      <c r="R62" s="52"/>
      <c r="S62" s="52"/>
      <c r="T62" s="293">
        <f t="shared" si="17"/>
        <v>205.1</v>
      </c>
      <c r="U62" s="73">
        <f t="shared" si="40"/>
        <v>0.67771818625060942</v>
      </c>
      <c r="V62" s="225">
        <f t="shared" si="41"/>
        <v>0.28604316546762587</v>
      </c>
    </row>
    <row r="63" spans="2:22">
      <c r="B63" s="187">
        <v>44883</v>
      </c>
      <c r="C63" s="15">
        <v>10549</v>
      </c>
      <c r="D63" s="15">
        <v>412</v>
      </c>
      <c r="E63" s="15">
        <v>37.869999999999997</v>
      </c>
      <c r="F63" s="52"/>
      <c r="G63" s="52"/>
      <c r="H63" s="52"/>
      <c r="I63" s="52"/>
      <c r="J63" s="77">
        <v>37.869999999999997</v>
      </c>
      <c r="K63" s="73">
        <f>SUM($J$35,$J$43,$J$51,J59:J63)/$C$8</f>
        <v>0.93566322478157271</v>
      </c>
      <c r="L63" s="305">
        <f t="shared" si="42"/>
        <v>3.9055834676272633E-2</v>
      </c>
      <c r="M63" s="52"/>
      <c r="N63" s="52"/>
      <c r="O63" s="52"/>
      <c r="P63" s="148"/>
      <c r="Q63" s="143">
        <v>126</v>
      </c>
      <c r="R63" s="52"/>
      <c r="S63" s="52"/>
      <c r="T63" s="293">
        <f t="shared" si="17"/>
        <v>205.1</v>
      </c>
      <c r="U63" s="73">
        <f t="shared" si="40"/>
        <v>0.61433447098976113</v>
      </c>
      <c r="V63" s="225">
        <f t="shared" si="41"/>
        <v>0.30055555555555552</v>
      </c>
    </row>
    <row r="64" spans="2:22">
      <c r="B64" s="187">
        <v>44884</v>
      </c>
      <c r="C64" s="15">
        <v>11493</v>
      </c>
      <c r="D64" s="15">
        <v>513</v>
      </c>
      <c r="E64" s="15">
        <v>40.950000000000003</v>
      </c>
      <c r="F64" s="52"/>
      <c r="G64" s="52"/>
      <c r="H64" s="52"/>
      <c r="I64" s="52"/>
      <c r="J64" s="77">
        <v>40.950000000000003</v>
      </c>
      <c r="K64" s="73">
        <f>SUM($J$35,$J$43,$J$51,J59:J64)/$C$8</f>
        <v>0.94650516282764097</v>
      </c>
      <c r="L64" s="305">
        <f t="shared" si="42"/>
        <v>4.4635865309318713E-2</v>
      </c>
      <c r="M64" s="52"/>
      <c r="N64" s="52"/>
      <c r="O64" s="52"/>
      <c r="P64" s="148"/>
      <c r="Q64" s="143">
        <v>170</v>
      </c>
      <c r="R64" s="52"/>
      <c r="S64" s="52"/>
      <c r="T64" s="293">
        <f t="shared" si="17"/>
        <v>205.1</v>
      </c>
      <c r="U64" s="73">
        <f t="shared" si="40"/>
        <v>0.82886396879570945</v>
      </c>
      <c r="V64" s="225">
        <f t="shared" si="41"/>
        <v>0.24088235294117649</v>
      </c>
    </row>
    <row r="65" spans="2:22">
      <c r="B65" s="187">
        <v>44885</v>
      </c>
      <c r="C65" s="15">
        <v>13456</v>
      </c>
      <c r="D65" s="15">
        <v>523</v>
      </c>
      <c r="E65" s="15">
        <v>44.78</v>
      </c>
      <c r="F65" s="52"/>
      <c r="G65" s="52"/>
      <c r="H65" s="52"/>
      <c r="I65" s="52"/>
      <c r="J65" s="77">
        <v>44.78</v>
      </c>
      <c r="K65" s="73">
        <f>SUM($J$35,$J$43,$J$51,J59:J65)/$C$8</f>
        <v>0.95836113317447713</v>
      </c>
      <c r="L65" s="305">
        <f t="shared" si="42"/>
        <v>3.8867419738406656E-2</v>
      </c>
      <c r="M65" s="52"/>
      <c r="N65" s="52"/>
      <c r="O65" s="52"/>
      <c r="P65" s="148"/>
      <c r="Q65" s="143">
        <v>181</v>
      </c>
      <c r="R65" s="52"/>
      <c r="S65" s="52"/>
      <c r="T65" s="293">
        <f t="shared" si="17"/>
        <v>205.1</v>
      </c>
      <c r="U65" s="73">
        <f t="shared" si="40"/>
        <v>0.8824963432471965</v>
      </c>
      <c r="V65" s="225">
        <f t="shared" si="41"/>
        <v>0.24740331491712708</v>
      </c>
    </row>
    <row r="66" spans="2:22">
      <c r="B66" s="187">
        <v>44886</v>
      </c>
      <c r="C66" s="15">
        <v>12535</v>
      </c>
      <c r="D66" s="15">
        <v>488</v>
      </c>
      <c r="E66" s="15">
        <v>45.65</v>
      </c>
      <c r="F66" s="52"/>
      <c r="G66" s="52"/>
      <c r="H66" s="52"/>
      <c r="I66" s="52"/>
      <c r="J66" s="77">
        <v>45.65</v>
      </c>
      <c r="K66" s="73">
        <f>SUM($J$35,$J$43,$J$51,J59:J66)/$C$8</f>
        <v>0.97044744506221869</v>
      </c>
      <c r="L66" s="305">
        <f t="shared" si="42"/>
        <v>3.893099321898684E-2</v>
      </c>
      <c r="M66" s="52"/>
      <c r="N66" s="52"/>
      <c r="O66" s="52"/>
      <c r="P66" s="148"/>
      <c r="Q66" s="143">
        <v>146</v>
      </c>
      <c r="R66" s="52"/>
      <c r="S66" s="52"/>
      <c r="T66" s="293">
        <f t="shared" si="17"/>
        <v>205.1</v>
      </c>
      <c r="U66" s="73">
        <f t="shared" si="40"/>
        <v>0.71184787908337399</v>
      </c>
      <c r="V66" s="225">
        <f t="shared" si="41"/>
        <v>0.31267123287671234</v>
      </c>
    </row>
    <row r="67" spans="2:22">
      <c r="B67" s="190" t="s">
        <v>160</v>
      </c>
      <c r="C67" s="298">
        <f>SUM(C60:C66)</f>
        <v>86613</v>
      </c>
      <c r="D67" s="298">
        <f>SUM(D60:D66)</f>
        <v>3498</v>
      </c>
      <c r="E67" s="298">
        <f t="shared" ref="E67:I67" si="43">SUM(E59:E65)</f>
        <v>203.33</v>
      </c>
      <c r="F67" s="298">
        <f t="shared" si="43"/>
        <v>0</v>
      </c>
      <c r="G67" s="298">
        <f t="shared" si="43"/>
        <v>0</v>
      </c>
      <c r="H67" s="298">
        <f t="shared" si="43"/>
        <v>0</v>
      </c>
      <c r="I67" s="298">
        <f t="shared" si="43"/>
        <v>0</v>
      </c>
      <c r="J67" s="479">
        <f>SUM(J60:J66)</f>
        <v>285.53000000000003</v>
      </c>
      <c r="K67" s="599">
        <f>SUM($J$35,$J$43,$J$51,$J$59,J67)/$C$8</f>
        <v>0.97044744506221869</v>
      </c>
      <c r="L67" s="299">
        <f>D67/C67</f>
        <v>4.038654705413737E-2</v>
      </c>
      <c r="M67" s="300">
        <f>SUM(M59:M65)</f>
        <v>0</v>
      </c>
      <c r="N67" s="301">
        <f>J67/E67</f>
        <v>1.4042689224413516</v>
      </c>
      <c r="O67" s="301" t="e">
        <f>J67/I67</f>
        <v>#DIV/0!</v>
      </c>
      <c r="P67" s="302" t="e">
        <f>E67/M67</f>
        <v>#DIV/0!</v>
      </c>
      <c r="Q67" s="121">
        <f>SUM(Q60:Q66)</f>
        <v>1000</v>
      </c>
      <c r="R67" s="27"/>
      <c r="S67" s="27"/>
      <c r="T67" s="27">
        <f>SUM(T60:T66)</f>
        <v>1435.6999999999998</v>
      </c>
      <c r="U67" s="140">
        <f>Q67/T67</f>
        <v>0.69652434352580628</v>
      </c>
      <c r="V67" s="237">
        <f>J67/Q67</f>
        <v>0.28553000000000001</v>
      </c>
    </row>
    <row r="68" spans="2:22">
      <c r="B68" s="187">
        <v>44887</v>
      </c>
      <c r="C68" s="15">
        <v>10643</v>
      </c>
      <c r="D68" s="15">
        <v>482</v>
      </c>
      <c r="E68" s="15">
        <v>44.95</v>
      </c>
      <c r="F68" s="52">
        <v>0.98</v>
      </c>
      <c r="G68" s="52">
        <v>4.53E-2</v>
      </c>
      <c r="H68" s="52">
        <v>167</v>
      </c>
      <c r="I68" s="52">
        <v>205</v>
      </c>
      <c r="J68" s="77">
        <v>44.95</v>
      </c>
      <c r="K68" s="73">
        <f>SUM($J$35,$J$43,$J$51,$J$59,J67:J68)/$C$8</f>
        <v>0.98234842467566852</v>
      </c>
      <c r="L68" s="305">
        <f t="shared" ref="L68:L70" si="44">D68/C68</f>
        <v>4.5287982711641452E-2</v>
      </c>
      <c r="M68" s="52"/>
      <c r="N68" s="52"/>
      <c r="O68" s="52"/>
      <c r="P68" s="148"/>
      <c r="Q68" s="143">
        <v>167</v>
      </c>
      <c r="R68" s="52"/>
      <c r="S68" s="52"/>
      <c r="T68" s="293">
        <f t="shared" ref="T68:T70" si="45">$Y$12/30</f>
        <v>205.1</v>
      </c>
      <c r="U68" s="73">
        <f t="shared" ref="U68" si="46">Q68/T68</f>
        <v>0.81423695758166748</v>
      </c>
      <c r="V68" s="225">
        <f t="shared" ref="V68" si="47">J68/Q68</f>
        <v>0.26916167664670659</v>
      </c>
    </row>
    <row r="69" spans="2:22">
      <c r="B69" s="187">
        <v>44888</v>
      </c>
      <c r="C69" s="298">
        <v>14034</v>
      </c>
      <c r="D69" s="298">
        <v>516</v>
      </c>
      <c r="E69" s="298">
        <v>45.48</v>
      </c>
      <c r="F69" s="298"/>
      <c r="G69" s="298"/>
      <c r="H69" s="298"/>
      <c r="I69" s="298"/>
      <c r="J69" s="479">
        <v>45.48</v>
      </c>
      <c r="K69" s="73">
        <f>SUM($J$35,$J$43,$J$51,$J$59,J67:J69)/$C$8</f>
        <v>0.99438972729679642</v>
      </c>
      <c r="L69" s="305">
        <f t="shared" si="44"/>
        <v>3.6767849508336899E-2</v>
      </c>
      <c r="M69" s="300"/>
      <c r="N69" s="301"/>
      <c r="O69" s="301"/>
      <c r="P69" s="302"/>
      <c r="Q69" s="1647">
        <v>152</v>
      </c>
      <c r="R69" s="27"/>
      <c r="S69" s="27"/>
      <c r="T69" s="293">
        <f t="shared" si="45"/>
        <v>205.1</v>
      </c>
      <c r="U69" s="73">
        <f t="shared" ref="U69:U70" si="48">Q69/T69</f>
        <v>0.74110190151145783</v>
      </c>
      <c r="V69" s="225">
        <f t="shared" ref="V69:V70" si="49">J69/Q69</f>
        <v>0.29921052631578943</v>
      </c>
    </row>
    <row r="70" spans="2:22">
      <c r="B70" s="187">
        <v>44889</v>
      </c>
      <c r="C70" s="298">
        <v>13328</v>
      </c>
      <c r="D70" s="298">
        <v>490</v>
      </c>
      <c r="E70" s="298">
        <v>46.11</v>
      </c>
      <c r="F70" s="298"/>
      <c r="G70" s="298"/>
      <c r="H70" s="298"/>
      <c r="I70" s="298"/>
      <c r="J70" s="479">
        <v>46.11</v>
      </c>
      <c r="K70" s="73">
        <f>SUM($J$35,$J$43,$J$51,$J$59,J67:J70)/$C$8</f>
        <v>1.0065978289647868</v>
      </c>
      <c r="L70" s="305">
        <f t="shared" si="44"/>
        <v>3.6764705882352942E-2</v>
      </c>
      <c r="M70" s="300"/>
      <c r="N70" s="301"/>
      <c r="O70" s="301"/>
      <c r="P70" s="302"/>
      <c r="Q70" s="1647">
        <v>152</v>
      </c>
      <c r="R70" s="27"/>
      <c r="S70" s="27"/>
      <c r="T70" s="293">
        <f t="shared" si="45"/>
        <v>205.1</v>
      </c>
      <c r="U70" s="73">
        <f t="shared" si="48"/>
        <v>0.74110190151145783</v>
      </c>
      <c r="V70" s="225">
        <f t="shared" si="49"/>
        <v>0.30335526315789474</v>
      </c>
    </row>
    <row r="71" spans="2:22" ht="16.2" thickBot="1">
      <c r="B71" s="191" t="s">
        <v>36</v>
      </c>
      <c r="C71" s="173">
        <f t="shared" ref="C71:J71" si="50">SUM(C35,C43,C51,C59,C67,C68:C70)</f>
        <v>1354262</v>
      </c>
      <c r="D71" s="173">
        <f t="shared" si="50"/>
        <v>47652</v>
      </c>
      <c r="E71" s="173">
        <f t="shared" si="50"/>
        <v>339.87000000000006</v>
      </c>
      <c r="F71" s="173">
        <f t="shared" si="50"/>
        <v>0.98</v>
      </c>
      <c r="G71" s="173">
        <f t="shared" si="50"/>
        <v>4.53E-2</v>
      </c>
      <c r="H71" s="173">
        <f t="shared" si="50"/>
        <v>167</v>
      </c>
      <c r="I71" s="173">
        <f t="shared" si="50"/>
        <v>205</v>
      </c>
      <c r="J71" s="173">
        <f t="shared" si="50"/>
        <v>3801.92</v>
      </c>
      <c r="K71" s="615">
        <f>J71/C8</f>
        <v>1.0065978289647868</v>
      </c>
      <c r="L71" s="175">
        <f>D71/C71</f>
        <v>3.5186692087646264E-2</v>
      </c>
      <c r="M71" s="173" t="e">
        <f>SUM(M35,M43,M51,M59,#REF!)</f>
        <v>#REF!</v>
      </c>
      <c r="N71" s="216">
        <f>J71/E71</f>
        <v>11.186394798011003</v>
      </c>
      <c r="O71" s="216">
        <f>J71/I71</f>
        <v>18.545951219512194</v>
      </c>
      <c r="P71" s="981" t="e">
        <f>E71/M71</f>
        <v>#REF!</v>
      </c>
      <c r="Q71" s="173">
        <f>SUM(Q35,Q43,Q51,Q59,Q67,Q68:Q70)</f>
        <v>9287</v>
      </c>
      <c r="R71" s="173">
        <f>SUM(R35,R43,R51,R59,R67,R68:R70)</f>
        <v>0</v>
      </c>
      <c r="S71" s="173">
        <f>SUM(S35,S43,S51,S59,S67,S68:S70)</f>
        <v>0</v>
      </c>
      <c r="T71" s="173">
        <f>SUM(T35,T43,T51,T59,T67,T68:T70)</f>
        <v>7178.5000000000009</v>
      </c>
      <c r="U71" s="192">
        <f>Q71/T71</f>
        <v>1.2937243156648324</v>
      </c>
      <c r="V71" s="970">
        <f>J71/Q71</f>
        <v>0.4093808549585442</v>
      </c>
    </row>
  </sheetData>
  <mergeCells count="7">
    <mergeCell ref="X10:Z10"/>
    <mergeCell ref="C26:P26"/>
    <mergeCell ref="Q26:V26"/>
    <mergeCell ref="B10:V10"/>
    <mergeCell ref="C11:P11"/>
    <mergeCell ref="Q11:V11"/>
    <mergeCell ref="B25:V25"/>
  </mergeCells>
  <pageMargins left="0.75" right="0.75" top="1" bottom="1" header="0.5" footer="0.5"/>
  <pageSetup paperSize="9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1000"/>
  <sheetViews>
    <sheetView view="pageBreakPreview" zoomScale="45" zoomScaleNormal="140" zoomScaleSheetLayoutView="45" workbookViewId="0">
      <selection sqref="A1:X73"/>
    </sheetView>
  </sheetViews>
  <sheetFormatPr defaultColWidth="12.3984375" defaultRowHeight="15" customHeight="1"/>
  <cols>
    <col min="1" max="1" width="2.09765625" style="359" customWidth="1"/>
    <col min="2" max="3" width="12.296875" style="359" customWidth="1"/>
    <col min="4" max="23" width="10" style="359" customWidth="1"/>
    <col min="24" max="24" width="46.69921875" style="359" bestFit="1" customWidth="1"/>
    <col min="25" max="25" width="4.3984375" style="359" hidden="1" customWidth="1"/>
    <col min="26" max="26" width="8.3984375" style="359" customWidth="1"/>
    <col min="27" max="16384" width="12.3984375" style="359"/>
  </cols>
  <sheetData>
    <row r="1" spans="1:42" ht="13.5" customHeight="1">
      <c r="A1" s="1761"/>
      <c r="B1" s="1762"/>
      <c r="C1" s="1762"/>
      <c r="D1" s="1762"/>
      <c r="E1" s="1762"/>
      <c r="F1" s="1762"/>
      <c r="G1" s="1762"/>
      <c r="H1" s="1762"/>
      <c r="I1" s="1762"/>
      <c r="J1" s="1762"/>
      <c r="K1" s="1762"/>
      <c r="L1" s="1762"/>
      <c r="M1" s="1762"/>
      <c r="N1" s="1762"/>
      <c r="O1" s="1762"/>
      <c r="P1" s="1762"/>
      <c r="Q1" s="1762"/>
      <c r="R1" s="1762"/>
      <c r="S1" s="1762"/>
      <c r="T1" s="1762"/>
      <c r="U1" s="1762"/>
      <c r="V1" s="1762"/>
      <c r="W1" s="1762"/>
      <c r="X1" s="1763"/>
      <c r="Y1" s="872"/>
      <c r="Z1" s="872"/>
      <c r="AA1" s="872"/>
      <c r="AB1" s="872"/>
      <c r="AC1" s="872"/>
      <c r="AD1" s="872"/>
      <c r="AE1" s="872"/>
      <c r="AF1" s="872"/>
      <c r="AG1" s="872"/>
      <c r="AH1" s="872"/>
      <c r="AI1" s="872"/>
      <c r="AJ1" s="872"/>
      <c r="AK1" s="872"/>
      <c r="AL1" s="872"/>
      <c r="AM1" s="872"/>
      <c r="AN1" s="872"/>
      <c r="AO1" s="872"/>
      <c r="AP1" s="873"/>
    </row>
    <row r="2" spans="1:42" ht="24.75" customHeight="1">
      <c r="A2" s="1764"/>
      <c r="B2" s="1765" t="s">
        <v>217</v>
      </c>
      <c r="C2" s="1766"/>
      <c r="D2" s="1766"/>
      <c r="E2" s="1767">
        <v>44889</v>
      </c>
      <c r="F2" s="1766"/>
      <c r="G2" s="1766"/>
      <c r="H2" s="1766"/>
      <c r="I2" s="1766"/>
      <c r="J2" s="1766"/>
      <c r="K2" s="1766"/>
      <c r="L2" s="1766"/>
      <c r="M2" s="1766"/>
      <c r="N2" s="1766"/>
      <c r="O2" s="1766"/>
      <c r="P2" s="1766"/>
      <c r="Q2" s="1766"/>
      <c r="R2" s="1766"/>
      <c r="S2" s="1766"/>
      <c r="T2" s="1766"/>
      <c r="U2" s="1766"/>
      <c r="V2" s="1766"/>
      <c r="W2" s="1766"/>
      <c r="X2" s="1768"/>
      <c r="Y2" s="1724"/>
      <c r="Z2" s="1724"/>
      <c r="AA2" s="1627"/>
      <c r="AB2" s="1627"/>
      <c r="AC2" s="1627"/>
      <c r="AD2" s="1627"/>
      <c r="AE2" s="1627"/>
      <c r="AF2" s="1627"/>
      <c r="AG2" s="1627"/>
      <c r="AH2" s="1627"/>
      <c r="AI2" s="1627"/>
      <c r="AJ2" s="1627"/>
      <c r="AK2" s="1627"/>
      <c r="AL2" s="1627"/>
      <c r="AM2" s="1627"/>
      <c r="AN2" s="1627"/>
      <c r="AO2" s="1627"/>
      <c r="AP2" s="877"/>
    </row>
    <row r="3" spans="1:42" ht="12.75" customHeight="1">
      <c r="A3" s="1764"/>
      <c r="B3" s="1766"/>
      <c r="C3" s="1766"/>
      <c r="D3" s="1766"/>
      <c r="E3" s="1766"/>
      <c r="F3" s="1766"/>
      <c r="G3" s="1766"/>
      <c r="H3" s="1766"/>
      <c r="I3" s="1766"/>
      <c r="J3" s="1766"/>
      <c r="K3" s="1766"/>
      <c r="L3" s="1766"/>
      <c r="M3" s="1766"/>
      <c r="N3" s="1766"/>
      <c r="O3" s="1766"/>
      <c r="P3" s="1766"/>
      <c r="Q3" s="1766"/>
      <c r="R3" s="1766"/>
      <c r="S3" s="1766"/>
      <c r="T3" s="1766"/>
      <c r="U3" s="1766"/>
      <c r="V3" s="1766"/>
      <c r="W3" s="1766"/>
      <c r="X3" s="1768"/>
      <c r="Y3" s="1724"/>
      <c r="Z3" s="1724"/>
      <c r="AA3" s="1626"/>
      <c r="AB3" s="1626"/>
      <c r="AC3" s="1626"/>
      <c r="AD3" s="1626"/>
      <c r="AE3" s="1626"/>
      <c r="AF3" s="1626"/>
      <c r="AG3" s="1626"/>
      <c r="AH3" s="1626"/>
      <c r="AI3" s="1627"/>
      <c r="AJ3" s="1627"/>
      <c r="AK3" s="1627"/>
      <c r="AL3" s="1627"/>
      <c r="AM3" s="1627"/>
      <c r="AN3" s="1627"/>
      <c r="AO3" s="1627"/>
      <c r="AP3" s="877"/>
    </row>
    <row r="4" spans="1:42" ht="33" customHeight="1">
      <c r="A4" s="1764"/>
      <c r="B4" s="1769"/>
      <c r="C4" s="1769"/>
      <c r="D4" s="1769"/>
      <c r="E4" s="1769"/>
      <c r="F4" s="1769"/>
      <c r="G4" s="1769"/>
      <c r="H4" s="1769"/>
      <c r="I4" s="1769"/>
      <c r="J4" s="1770" t="s">
        <v>218</v>
      </c>
      <c r="K4" s="1769"/>
      <c r="L4" s="1769"/>
      <c r="M4" s="1769"/>
      <c r="N4" s="1769"/>
      <c r="O4" s="1769"/>
      <c r="P4" s="1769"/>
      <c r="Q4" s="1769"/>
      <c r="R4" s="1769"/>
      <c r="S4" s="1769"/>
      <c r="T4" s="1769"/>
      <c r="U4" s="1769"/>
      <c r="V4" s="1769"/>
      <c r="W4" s="1769"/>
      <c r="X4" s="1771"/>
      <c r="Y4" s="1724"/>
      <c r="Z4" s="1724"/>
      <c r="AA4" s="1659" t="s">
        <v>219</v>
      </c>
      <c r="AB4" s="744" t="s">
        <v>220</v>
      </c>
      <c r="AC4" s="1626"/>
      <c r="AD4" s="1626"/>
      <c r="AE4" s="875"/>
      <c r="AF4" s="1659" t="s">
        <v>221</v>
      </c>
      <c r="AG4" s="744" t="s">
        <v>222</v>
      </c>
      <c r="AH4" s="1626"/>
      <c r="AI4" s="1627"/>
      <c r="AJ4" s="1627"/>
      <c r="AK4" s="1627"/>
      <c r="AL4" s="1627"/>
      <c r="AM4" s="1627"/>
      <c r="AN4" s="1627"/>
      <c r="AO4" s="1627"/>
      <c r="AP4" s="877"/>
    </row>
    <row r="5" spans="1:42" s="1669" customFormat="1" ht="16.5" customHeight="1">
      <c r="A5" s="1772"/>
      <c r="B5" s="1773" t="s">
        <v>223</v>
      </c>
      <c r="C5" s="1774" t="s">
        <v>224</v>
      </c>
      <c r="D5" s="1774" t="s">
        <v>225</v>
      </c>
      <c r="E5" s="1773" t="s">
        <v>226</v>
      </c>
      <c r="F5" s="1774" t="s">
        <v>227</v>
      </c>
      <c r="G5" s="1774" t="s">
        <v>228</v>
      </c>
      <c r="H5" s="2094" t="s">
        <v>229</v>
      </c>
      <c r="I5" s="2095"/>
      <c r="J5" s="2096"/>
      <c r="K5" s="2097" t="s">
        <v>230</v>
      </c>
      <c r="L5" s="2098"/>
      <c r="M5" s="2099"/>
      <c r="N5" s="2100" t="s">
        <v>231</v>
      </c>
      <c r="O5" s="2101"/>
      <c r="P5" s="2102"/>
      <c r="Q5" s="2089" t="s">
        <v>232</v>
      </c>
      <c r="R5" s="2091"/>
      <c r="S5" s="2089" t="s">
        <v>233</v>
      </c>
      <c r="T5" s="2091"/>
      <c r="U5" s="2089" t="s">
        <v>234</v>
      </c>
      <c r="V5" s="2090"/>
      <c r="W5" s="2091"/>
      <c r="X5" s="1774" t="s">
        <v>235</v>
      </c>
      <c r="Y5" s="1724"/>
      <c r="Z5" s="1724"/>
      <c r="AA5" s="1626"/>
      <c r="AB5" s="1626"/>
      <c r="AC5" s="1626"/>
      <c r="AD5" s="1626"/>
      <c r="AE5" s="1626"/>
      <c r="AF5" s="1626"/>
      <c r="AG5" s="1626"/>
      <c r="AH5" s="1626"/>
      <c r="AI5" s="1627"/>
      <c r="AJ5" s="1627"/>
      <c r="AK5" s="1627"/>
      <c r="AL5" s="1627"/>
      <c r="AM5" s="1627"/>
      <c r="AN5" s="1627"/>
      <c r="AO5" s="1627"/>
      <c r="AP5" s="877"/>
    </row>
    <row r="6" spans="1:42" ht="27.6" customHeight="1">
      <c r="A6" s="1772"/>
      <c r="B6" s="1775"/>
      <c r="C6" s="1775"/>
      <c r="D6" s="1775"/>
      <c r="E6" s="1775"/>
      <c r="F6" s="1775"/>
      <c r="G6" s="1775"/>
      <c r="H6" s="1776" t="s">
        <v>236</v>
      </c>
      <c r="I6" s="1776" t="s">
        <v>237</v>
      </c>
      <c r="J6" s="1777" t="s">
        <v>166</v>
      </c>
      <c r="K6" s="1776" t="s">
        <v>236</v>
      </c>
      <c r="L6" s="1776" t="s">
        <v>237</v>
      </c>
      <c r="M6" s="1777" t="s">
        <v>166</v>
      </c>
      <c r="N6" s="1776" t="s">
        <v>236</v>
      </c>
      <c r="O6" s="1776" t="s">
        <v>237</v>
      </c>
      <c r="P6" s="1777" t="s">
        <v>166</v>
      </c>
      <c r="Q6" s="1776" t="s">
        <v>236</v>
      </c>
      <c r="R6" s="1777" t="s">
        <v>166</v>
      </c>
      <c r="S6" s="1776" t="s">
        <v>236</v>
      </c>
      <c r="T6" s="1777" t="s">
        <v>166</v>
      </c>
      <c r="U6" s="1776" t="s">
        <v>236</v>
      </c>
      <c r="V6" s="1776" t="s">
        <v>237</v>
      </c>
      <c r="W6" s="1777" t="s">
        <v>166</v>
      </c>
      <c r="X6" s="1775"/>
      <c r="Y6" s="1724"/>
      <c r="Z6" s="1724"/>
      <c r="AA6" s="1653" t="s">
        <v>171</v>
      </c>
      <c r="AB6" s="1653" t="s">
        <v>238</v>
      </c>
      <c r="AC6" s="1661" t="s">
        <v>239</v>
      </c>
      <c r="AD6" s="1653" t="s">
        <v>240</v>
      </c>
      <c r="AE6" s="1653" t="s">
        <v>171</v>
      </c>
      <c r="AF6" s="1653" t="s">
        <v>238</v>
      </c>
      <c r="AG6" s="1653" t="s">
        <v>239</v>
      </c>
      <c r="AH6" s="1653" t="s">
        <v>241</v>
      </c>
      <c r="AI6" s="1627"/>
      <c r="AJ6" s="1627"/>
      <c r="AK6" s="1627"/>
      <c r="AL6" s="1627"/>
      <c r="AM6" s="1627"/>
      <c r="AN6" s="1627"/>
      <c r="AO6" s="1627"/>
      <c r="AP6" s="877"/>
    </row>
    <row r="7" spans="1:42" ht="13.5" customHeight="1">
      <c r="A7" s="1772"/>
      <c r="B7" s="1778"/>
      <c r="C7" s="1778"/>
      <c r="D7" s="1779" t="s">
        <v>242</v>
      </c>
      <c r="E7" s="1781">
        <v>44825</v>
      </c>
      <c r="F7" s="1782">
        <v>3680000</v>
      </c>
      <c r="G7" s="1783">
        <v>18000</v>
      </c>
      <c r="H7" s="1782">
        <v>344657</v>
      </c>
      <c r="I7" s="1784">
        <v>1.81</v>
      </c>
      <c r="J7" s="1782">
        <v>190163</v>
      </c>
      <c r="K7" s="1782">
        <v>3600</v>
      </c>
      <c r="L7" s="1786">
        <v>0.81</v>
      </c>
      <c r="M7" s="1782">
        <v>4455</v>
      </c>
      <c r="N7" s="1782">
        <v>1102</v>
      </c>
      <c r="O7" s="1784">
        <v>1.07</v>
      </c>
      <c r="P7" s="1782">
        <v>1029</v>
      </c>
      <c r="Q7" s="1787">
        <v>1.2999999999999999E-3</v>
      </c>
      <c r="R7" s="1788">
        <v>1.5E-3</v>
      </c>
      <c r="S7" s="1789">
        <v>3.83</v>
      </c>
      <c r="T7" s="1790">
        <v>3.28</v>
      </c>
      <c r="U7" s="1780">
        <v>720</v>
      </c>
      <c r="V7" s="1791">
        <v>0.28999999999999998</v>
      </c>
      <c r="W7" s="1782">
        <v>2500</v>
      </c>
      <c r="X7" s="1792" t="s">
        <v>243</v>
      </c>
      <c r="Y7" s="1724"/>
      <c r="Z7" s="1724"/>
      <c r="AA7" s="1662">
        <v>27600</v>
      </c>
      <c r="AB7" s="1662">
        <v>1711</v>
      </c>
      <c r="AC7" s="1663">
        <v>42</v>
      </c>
      <c r="AD7" s="1655" t="s">
        <v>244</v>
      </c>
      <c r="AE7" s="1655">
        <v>0</v>
      </c>
      <c r="AF7" s="1655">
        <v>0</v>
      </c>
      <c r="AG7" s="1655">
        <v>0</v>
      </c>
      <c r="AH7" s="1655">
        <v>0</v>
      </c>
      <c r="AI7" s="1627"/>
      <c r="AJ7" s="1627"/>
      <c r="AK7" s="1627"/>
      <c r="AL7" s="1627"/>
      <c r="AM7" s="1627"/>
      <c r="AN7" s="1627"/>
      <c r="AO7" s="1627"/>
      <c r="AP7" s="877"/>
    </row>
    <row r="8" spans="1:42" ht="13.5" customHeight="1">
      <c r="A8" s="1772"/>
      <c r="B8" s="1778"/>
      <c r="C8" s="1778" t="s">
        <v>245</v>
      </c>
      <c r="D8" s="1793"/>
      <c r="E8" s="1781">
        <v>44869</v>
      </c>
      <c r="F8" s="1782">
        <v>3680000</v>
      </c>
      <c r="G8" s="1783">
        <v>18000</v>
      </c>
      <c r="H8" s="1782">
        <v>399852</v>
      </c>
      <c r="I8" s="1784">
        <v>2.1</v>
      </c>
      <c r="J8" s="1782">
        <v>190163</v>
      </c>
      <c r="K8" s="1782">
        <v>2600</v>
      </c>
      <c r="L8" s="1791">
        <v>0.57999999999999996</v>
      </c>
      <c r="M8" s="1782">
        <v>4455</v>
      </c>
      <c r="N8" s="1780">
        <v>357</v>
      </c>
      <c r="O8" s="1791">
        <v>0.35</v>
      </c>
      <c r="P8" s="1782">
        <v>1029</v>
      </c>
      <c r="Q8" s="1788">
        <v>8.0000000000000004E-4</v>
      </c>
      <c r="R8" s="1788">
        <v>1.5E-3</v>
      </c>
      <c r="S8" s="1790">
        <v>6.09</v>
      </c>
      <c r="T8" s="1790">
        <v>3.28</v>
      </c>
      <c r="U8" s="1794" t="s">
        <v>176</v>
      </c>
      <c r="V8" s="1794" t="s">
        <v>176</v>
      </c>
      <c r="W8" s="1794" t="s">
        <v>176</v>
      </c>
      <c r="X8" s="1792" t="s">
        <v>246</v>
      </c>
      <c r="Y8" s="1724"/>
      <c r="Z8" s="1724"/>
      <c r="AA8" s="1662">
        <v>7800</v>
      </c>
      <c r="AB8" s="1655">
        <v>371</v>
      </c>
      <c r="AC8" s="1663">
        <v>7</v>
      </c>
      <c r="AD8" s="1655" t="s">
        <v>244</v>
      </c>
      <c r="AE8" s="1655">
        <v>0</v>
      </c>
      <c r="AF8" s="1655">
        <v>0</v>
      </c>
      <c r="AG8" s="1655">
        <v>0</v>
      </c>
      <c r="AH8" s="1655">
        <v>0</v>
      </c>
      <c r="AI8" s="1627"/>
      <c r="AJ8" s="1627"/>
      <c r="AK8" s="1627"/>
      <c r="AL8" s="1627"/>
      <c r="AM8" s="1627"/>
      <c r="AN8" s="1627"/>
      <c r="AO8" s="1627"/>
      <c r="AP8" s="877"/>
    </row>
    <row r="9" spans="1:42" ht="13.5" customHeight="1">
      <c r="A9" s="1772"/>
      <c r="B9" s="1778"/>
      <c r="C9" s="1778"/>
      <c r="D9" s="1779" t="s">
        <v>247</v>
      </c>
      <c r="E9" s="1781">
        <v>44827</v>
      </c>
      <c r="F9" s="1782">
        <v>4210000</v>
      </c>
      <c r="G9" s="1783">
        <v>12500</v>
      </c>
      <c r="H9" s="1782">
        <v>62020</v>
      </c>
      <c r="I9" s="1791">
        <v>0.64</v>
      </c>
      <c r="J9" s="1782">
        <v>96289</v>
      </c>
      <c r="K9" s="1782">
        <v>15000</v>
      </c>
      <c r="L9" s="1791">
        <v>2.0699999999999998</v>
      </c>
      <c r="M9" s="1782">
        <v>7260</v>
      </c>
      <c r="N9" s="1780">
        <v>75</v>
      </c>
      <c r="O9" s="1791">
        <v>0.22</v>
      </c>
      <c r="P9" s="1780">
        <v>346</v>
      </c>
      <c r="Q9" s="1788">
        <v>3.5999999999999999E-3</v>
      </c>
      <c r="R9" s="1788">
        <v>1.8E-3</v>
      </c>
      <c r="S9" s="1790">
        <v>0.83</v>
      </c>
      <c r="T9" s="1790">
        <v>1.64</v>
      </c>
      <c r="U9" s="1780">
        <v>538</v>
      </c>
      <c r="V9" s="1791">
        <v>0.31</v>
      </c>
      <c r="W9" s="1782">
        <v>1736</v>
      </c>
      <c r="X9" s="1792" t="s">
        <v>222</v>
      </c>
      <c r="Y9" s="1724"/>
      <c r="Z9" s="1724"/>
      <c r="AA9" s="1662">
        <v>2400</v>
      </c>
      <c r="AB9" s="1655">
        <v>112</v>
      </c>
      <c r="AC9" s="1663">
        <v>3</v>
      </c>
      <c r="AD9" s="1655" t="s">
        <v>244</v>
      </c>
      <c r="AE9" s="1662">
        <v>9046</v>
      </c>
      <c r="AF9" s="1662">
        <v>1000</v>
      </c>
      <c r="AG9" s="1655">
        <v>75</v>
      </c>
      <c r="AH9" s="1655">
        <v>26</v>
      </c>
      <c r="AI9" s="1627"/>
      <c r="AJ9" s="1627"/>
      <c r="AK9" s="1627"/>
      <c r="AL9" s="1627"/>
      <c r="AM9" s="1627"/>
      <c r="AN9" s="1627"/>
      <c r="AO9" s="1627"/>
      <c r="AP9" s="877"/>
    </row>
    <row r="10" spans="1:42" ht="13.5" customHeight="1">
      <c r="A10" s="1772"/>
      <c r="B10" s="1778"/>
      <c r="C10" s="1793"/>
      <c r="D10" s="1793"/>
      <c r="E10" s="1781">
        <v>44876</v>
      </c>
      <c r="F10" s="1782">
        <v>4210000</v>
      </c>
      <c r="G10" s="1783">
        <v>12500</v>
      </c>
      <c r="H10" s="1782">
        <v>14795</v>
      </c>
      <c r="I10" s="1791">
        <v>0.15</v>
      </c>
      <c r="J10" s="1782">
        <v>96289</v>
      </c>
      <c r="K10" s="1782">
        <v>1200</v>
      </c>
      <c r="L10" s="1791">
        <v>0.17</v>
      </c>
      <c r="M10" s="1782">
        <v>7260</v>
      </c>
      <c r="N10" s="1780">
        <v>53</v>
      </c>
      <c r="O10" s="1791">
        <v>0.15</v>
      </c>
      <c r="P10" s="1780">
        <v>346</v>
      </c>
      <c r="Q10" s="1788">
        <v>2.9999999999999997E-4</v>
      </c>
      <c r="R10" s="1788">
        <v>1.8E-3</v>
      </c>
      <c r="S10" s="1790">
        <v>9.98</v>
      </c>
      <c r="T10" s="1790">
        <v>1.64</v>
      </c>
      <c r="U10" s="1794" t="s">
        <v>176</v>
      </c>
      <c r="V10" s="1794" t="s">
        <v>176</v>
      </c>
      <c r="W10" s="1794" t="s">
        <v>176</v>
      </c>
      <c r="X10" s="1792" t="s">
        <v>248</v>
      </c>
      <c r="Y10" s="1724"/>
      <c r="Z10" s="1724"/>
      <c r="AA10" s="1655">
        <v>700</v>
      </c>
      <c r="AB10" s="1655">
        <v>24</v>
      </c>
      <c r="AC10" s="1663">
        <v>1</v>
      </c>
      <c r="AD10" s="1655" t="s">
        <v>244</v>
      </c>
      <c r="AE10" s="1662">
        <v>1322</v>
      </c>
      <c r="AF10" s="1655">
        <v>100</v>
      </c>
      <c r="AG10" s="1655">
        <v>18</v>
      </c>
      <c r="AH10" s="1655">
        <v>4</v>
      </c>
      <c r="AI10" s="1627"/>
      <c r="AJ10" s="1627"/>
      <c r="AK10" s="1627"/>
      <c r="AL10" s="1627"/>
      <c r="AM10" s="1627"/>
      <c r="AN10" s="1627"/>
      <c r="AO10" s="1627"/>
      <c r="AP10" s="877"/>
    </row>
    <row r="11" spans="1:42" ht="13.5" customHeight="1">
      <c r="A11" s="1772"/>
      <c r="B11" s="1778"/>
      <c r="C11" s="1769"/>
      <c r="D11" s="1769"/>
      <c r="E11" s="1769"/>
      <c r="F11" s="1769"/>
      <c r="G11" s="1769"/>
      <c r="H11" s="1769"/>
      <c r="I11" s="1769"/>
      <c r="J11" s="1769"/>
      <c r="K11" s="1769"/>
      <c r="L11" s="1769"/>
      <c r="M11" s="1769"/>
      <c r="N11" s="1769"/>
      <c r="O11" s="1769"/>
      <c r="P11" s="1769"/>
      <c r="Q11" s="1769"/>
      <c r="R11" s="1769"/>
      <c r="S11" s="1769"/>
      <c r="T11" s="1769"/>
      <c r="U11" s="1769"/>
      <c r="V11" s="1769"/>
      <c r="W11" s="1769"/>
      <c r="X11" s="1771"/>
      <c r="Y11" s="1724"/>
      <c r="Z11" s="1724"/>
      <c r="AA11" s="1655">
        <v>500</v>
      </c>
      <c r="AB11" s="1655">
        <v>19</v>
      </c>
      <c r="AC11" s="1663">
        <v>0</v>
      </c>
      <c r="AD11" s="1655" t="s">
        <v>244</v>
      </c>
      <c r="AE11" s="1662">
        <v>1125</v>
      </c>
      <c r="AF11" s="1655">
        <v>100</v>
      </c>
      <c r="AG11" s="1655">
        <v>-8</v>
      </c>
      <c r="AH11" s="1655">
        <v>0</v>
      </c>
      <c r="AI11" s="1627"/>
      <c r="AJ11" s="1627"/>
      <c r="AK11" s="1627"/>
      <c r="AL11" s="1627"/>
      <c r="AM11" s="1627"/>
      <c r="AN11" s="1627"/>
      <c r="AO11" s="1627"/>
      <c r="AP11" s="877"/>
    </row>
    <row r="12" spans="1:42" ht="14.25" customHeight="1">
      <c r="A12" s="1772"/>
      <c r="B12" s="1778"/>
      <c r="C12" s="1778"/>
      <c r="D12" s="1779" t="s">
        <v>249</v>
      </c>
      <c r="E12" s="1781">
        <v>44827</v>
      </c>
      <c r="F12" s="1782">
        <v>1530000</v>
      </c>
      <c r="G12" s="1783">
        <v>8000</v>
      </c>
      <c r="H12" s="1782">
        <v>199758</v>
      </c>
      <c r="I12" s="1791">
        <v>0.65</v>
      </c>
      <c r="J12" s="1782">
        <v>305381</v>
      </c>
      <c r="K12" s="1782">
        <v>15000</v>
      </c>
      <c r="L12" s="1791">
        <v>0.53</v>
      </c>
      <c r="M12" s="1782">
        <v>28233</v>
      </c>
      <c r="N12" s="1780">
        <v>394</v>
      </c>
      <c r="O12" s="1791">
        <v>0.35</v>
      </c>
      <c r="P12" s="1782">
        <v>1123</v>
      </c>
      <c r="Q12" s="1788">
        <v>1.01E-2</v>
      </c>
      <c r="R12" s="1788">
        <v>1.9199999999999998E-2</v>
      </c>
      <c r="S12" s="1790">
        <v>0.52</v>
      </c>
      <c r="T12" s="1790">
        <v>0.27</v>
      </c>
      <c r="U12" s="1780">
        <v>758</v>
      </c>
      <c r="V12" s="1791">
        <v>0.68</v>
      </c>
      <c r="W12" s="1782">
        <v>1111</v>
      </c>
      <c r="X12" s="1792" t="s">
        <v>250</v>
      </c>
      <c r="Y12" s="1724"/>
      <c r="Z12" s="1724"/>
      <c r="AA12" s="1655">
        <v>300</v>
      </c>
      <c r="AB12" s="1655">
        <v>12</v>
      </c>
      <c r="AC12" s="1663">
        <v>0</v>
      </c>
      <c r="AD12" s="1655" t="s">
        <v>244</v>
      </c>
      <c r="AE12" s="1655">
        <v>302</v>
      </c>
      <c r="AF12" s="1655">
        <v>100</v>
      </c>
      <c r="AG12" s="1655">
        <v>2</v>
      </c>
      <c r="AH12" s="1655">
        <v>17</v>
      </c>
      <c r="AI12" s="1627"/>
      <c r="AJ12" s="1627"/>
      <c r="AK12" s="1627"/>
      <c r="AL12" s="1627"/>
      <c r="AM12" s="1627"/>
      <c r="AN12" s="1627"/>
      <c r="AO12" s="1627"/>
      <c r="AP12" s="877"/>
    </row>
    <row r="13" spans="1:42" ht="13.5" customHeight="1">
      <c r="A13" s="1772"/>
      <c r="B13" s="1778" t="s">
        <v>244</v>
      </c>
      <c r="C13" s="1778" t="s">
        <v>251</v>
      </c>
      <c r="D13" s="1793"/>
      <c r="E13" s="1781">
        <v>44856</v>
      </c>
      <c r="F13" s="1782">
        <v>1530000</v>
      </c>
      <c r="G13" s="1783">
        <v>8000</v>
      </c>
      <c r="H13" s="1782">
        <v>452457</v>
      </c>
      <c r="I13" s="1784">
        <v>1.48</v>
      </c>
      <c r="J13" s="1782">
        <v>305381</v>
      </c>
      <c r="K13" s="1782">
        <v>10312</v>
      </c>
      <c r="L13" s="1791">
        <v>0.37</v>
      </c>
      <c r="M13" s="1782">
        <v>28233</v>
      </c>
      <c r="N13" s="1780">
        <v>62</v>
      </c>
      <c r="O13" s="1791">
        <v>0.06</v>
      </c>
      <c r="P13" s="1782">
        <v>1123</v>
      </c>
      <c r="Q13" s="1788">
        <v>6.7999999999999996E-3</v>
      </c>
      <c r="R13" s="1788">
        <v>1.9199999999999998E-2</v>
      </c>
      <c r="S13" s="1790">
        <v>0.77</v>
      </c>
      <c r="T13" s="1790">
        <v>0.27</v>
      </c>
      <c r="U13" s="1794" t="s">
        <v>176</v>
      </c>
      <c r="V13" s="1794" t="s">
        <v>176</v>
      </c>
      <c r="W13" s="1794" t="s">
        <v>176</v>
      </c>
      <c r="X13" s="1792" t="s">
        <v>252</v>
      </c>
      <c r="Y13" s="1724"/>
      <c r="Z13" s="1724"/>
      <c r="AA13" s="1655">
        <v>200</v>
      </c>
      <c r="AB13" s="1655">
        <v>9</v>
      </c>
      <c r="AC13" s="1663">
        <v>0</v>
      </c>
      <c r="AD13" s="1655" t="s">
        <v>244</v>
      </c>
      <c r="AE13" s="1655">
        <v>246</v>
      </c>
      <c r="AF13" s="1655">
        <v>0</v>
      </c>
      <c r="AG13" s="1655">
        <v>2</v>
      </c>
      <c r="AH13" s="1655">
        <v>14</v>
      </c>
      <c r="AI13" s="1627"/>
      <c r="AJ13" s="1627"/>
      <c r="AK13" s="1627"/>
      <c r="AL13" s="1627"/>
      <c r="AM13" s="1627"/>
      <c r="AN13" s="1627"/>
      <c r="AO13" s="1627"/>
      <c r="AP13" s="877"/>
    </row>
    <row r="14" spans="1:42" ht="13.5" customHeight="1">
      <c r="A14" s="1772"/>
      <c r="B14" s="1778"/>
      <c r="C14" s="1778"/>
      <c r="D14" s="1779" t="s">
        <v>253</v>
      </c>
      <c r="E14" s="1781">
        <v>44827</v>
      </c>
      <c r="F14" s="1782">
        <v>1850000</v>
      </c>
      <c r="G14" s="1783">
        <v>5375</v>
      </c>
      <c r="H14" s="1782">
        <v>105101</v>
      </c>
      <c r="I14" s="1791">
        <v>0.25</v>
      </c>
      <c r="J14" s="1782">
        <v>413240</v>
      </c>
      <c r="K14" s="1782">
        <v>3200</v>
      </c>
      <c r="L14" s="1791">
        <v>0.15</v>
      </c>
      <c r="M14" s="1782">
        <v>21633</v>
      </c>
      <c r="N14" s="1780">
        <v>155</v>
      </c>
      <c r="O14" s="1791">
        <v>0.16</v>
      </c>
      <c r="P14" s="1780">
        <v>996</v>
      </c>
      <c r="Q14" s="1788">
        <v>1.8E-3</v>
      </c>
      <c r="R14" s="1788">
        <v>1.2200000000000001E-2</v>
      </c>
      <c r="S14" s="1790">
        <v>1.6</v>
      </c>
      <c r="T14" s="1790">
        <v>0.24</v>
      </c>
      <c r="U14" s="1780">
        <v>790</v>
      </c>
      <c r="V14" s="1784">
        <v>1.06</v>
      </c>
      <c r="W14" s="1780">
        <v>747</v>
      </c>
      <c r="X14" s="1792" t="s">
        <v>254</v>
      </c>
      <c r="Y14" s="1724"/>
      <c r="Z14" s="1724"/>
      <c r="AA14" s="1655">
        <v>300</v>
      </c>
      <c r="AB14" s="1655">
        <v>8</v>
      </c>
      <c r="AC14" s="1663">
        <v>0</v>
      </c>
      <c r="AD14" s="1655" t="s">
        <v>244</v>
      </c>
      <c r="AE14" s="1655">
        <v>229</v>
      </c>
      <c r="AF14" s="1655">
        <v>0</v>
      </c>
      <c r="AG14" s="1655">
        <v>3</v>
      </c>
      <c r="AH14" s="1655">
        <v>1</v>
      </c>
      <c r="AI14" s="1627"/>
      <c r="AJ14" s="1627"/>
      <c r="AK14" s="1627"/>
      <c r="AL14" s="1627"/>
      <c r="AM14" s="1627"/>
      <c r="AN14" s="1627"/>
      <c r="AO14" s="1627"/>
      <c r="AP14" s="877"/>
    </row>
    <row r="15" spans="1:42" ht="13.5" customHeight="1">
      <c r="A15" s="1772"/>
      <c r="B15" s="1778"/>
      <c r="C15" s="1793"/>
      <c r="D15" s="1793"/>
      <c r="E15" s="1781">
        <v>44879</v>
      </c>
      <c r="F15" s="1782">
        <v>1850000</v>
      </c>
      <c r="G15" s="1783">
        <v>5375</v>
      </c>
      <c r="H15" s="1782">
        <v>170391</v>
      </c>
      <c r="I15" s="1791">
        <v>0.41</v>
      </c>
      <c r="J15" s="1782">
        <v>413240</v>
      </c>
      <c r="K15" s="1782">
        <v>1100</v>
      </c>
      <c r="L15" s="1791">
        <v>0.05</v>
      </c>
      <c r="M15" s="1782">
        <v>21633</v>
      </c>
      <c r="N15" s="1780">
        <v>11</v>
      </c>
      <c r="O15" s="1791">
        <v>0.01</v>
      </c>
      <c r="P15" s="1780">
        <v>996</v>
      </c>
      <c r="Q15" s="1788">
        <v>5.9999999999999995E-4</v>
      </c>
      <c r="R15" s="1788">
        <v>1.2200000000000001E-2</v>
      </c>
      <c r="S15" s="1790">
        <v>4.84</v>
      </c>
      <c r="T15" s="1790">
        <v>0.24</v>
      </c>
      <c r="U15" s="1794" t="s">
        <v>176</v>
      </c>
      <c r="V15" s="1794" t="s">
        <v>176</v>
      </c>
      <c r="W15" s="1794" t="s">
        <v>176</v>
      </c>
      <c r="X15" s="1795" t="s">
        <v>255</v>
      </c>
      <c r="Y15" s="1724"/>
      <c r="Z15" s="1724"/>
      <c r="AA15" s="1655">
        <v>300</v>
      </c>
      <c r="AB15" s="1655">
        <v>5</v>
      </c>
      <c r="AC15" s="1663">
        <v>0</v>
      </c>
      <c r="AD15" s="1655" t="s">
        <v>244</v>
      </c>
      <c r="AE15" s="1655">
        <v>174</v>
      </c>
      <c r="AF15" s="1655">
        <v>0</v>
      </c>
      <c r="AG15" s="1655">
        <v>0</v>
      </c>
      <c r="AH15" s="1655">
        <v>127</v>
      </c>
      <c r="AI15" s="1627"/>
      <c r="AJ15" s="1627"/>
      <c r="AK15" s="1627"/>
      <c r="AL15" s="1627"/>
      <c r="AM15" s="1627"/>
      <c r="AN15" s="1627"/>
      <c r="AO15" s="1627"/>
      <c r="AP15" s="877"/>
    </row>
    <row r="16" spans="1:42" ht="13.5" customHeight="1">
      <c r="A16" s="1772"/>
      <c r="B16" s="1778"/>
      <c r="C16" s="1769"/>
      <c r="D16" s="1769"/>
      <c r="E16" s="1769"/>
      <c r="F16" s="1769"/>
      <c r="G16" s="1769"/>
      <c r="H16" s="1769"/>
      <c r="I16" s="1769"/>
      <c r="J16" s="1769"/>
      <c r="K16" s="1769"/>
      <c r="L16" s="1769"/>
      <c r="M16" s="1769"/>
      <c r="N16" s="1769"/>
      <c r="O16" s="1769"/>
      <c r="P16" s="1769"/>
      <c r="Q16" s="1769"/>
      <c r="R16" s="1769"/>
      <c r="S16" s="1769"/>
      <c r="T16" s="1769"/>
      <c r="U16" s="1769"/>
      <c r="V16" s="1769"/>
      <c r="W16" s="1769"/>
      <c r="X16" s="1771"/>
      <c r="Y16" s="1724"/>
      <c r="Z16" s="1724"/>
      <c r="AA16" s="1655">
        <v>600</v>
      </c>
      <c r="AB16" s="1655">
        <v>16</v>
      </c>
      <c r="AC16" s="1663">
        <v>0</v>
      </c>
      <c r="AD16" s="1655" t="s">
        <v>244</v>
      </c>
      <c r="AE16" s="1655">
        <v>184</v>
      </c>
      <c r="AF16" s="1655">
        <v>0</v>
      </c>
      <c r="AG16" s="1655">
        <v>0</v>
      </c>
      <c r="AH16" s="1655">
        <v>18</v>
      </c>
      <c r="AI16" s="1627"/>
      <c r="AJ16" s="1627"/>
      <c r="AK16" s="1627"/>
      <c r="AL16" s="1627"/>
      <c r="AM16" s="1627"/>
      <c r="AN16" s="1627"/>
      <c r="AO16" s="1627"/>
      <c r="AP16" s="877"/>
    </row>
    <row r="17" spans="1:42" ht="13.5" customHeight="1">
      <c r="A17" s="1772"/>
      <c r="B17" s="1778"/>
      <c r="C17" s="1778"/>
      <c r="D17" s="1779" t="s">
        <v>256</v>
      </c>
      <c r="E17" s="1781">
        <v>44827</v>
      </c>
      <c r="F17" s="1782">
        <v>2410000</v>
      </c>
      <c r="G17" s="1783">
        <v>11250</v>
      </c>
      <c r="H17" s="1782">
        <v>302292</v>
      </c>
      <c r="I17" s="1784">
        <v>1.04</v>
      </c>
      <c r="J17" s="1782">
        <v>291414</v>
      </c>
      <c r="K17" s="1782">
        <v>4000</v>
      </c>
      <c r="L17" s="1791">
        <v>0.15</v>
      </c>
      <c r="M17" s="1782">
        <v>27500</v>
      </c>
      <c r="N17" s="1780">
        <v>112</v>
      </c>
      <c r="O17" s="1791">
        <v>0.13</v>
      </c>
      <c r="P17" s="1780">
        <v>844</v>
      </c>
      <c r="Q17" s="1788">
        <v>1.6999999999999999E-3</v>
      </c>
      <c r="R17" s="1788">
        <v>1.18E-2</v>
      </c>
      <c r="S17" s="1790">
        <v>2.74</v>
      </c>
      <c r="T17" s="1790">
        <v>0.4</v>
      </c>
      <c r="U17" s="1780">
        <v>120</v>
      </c>
      <c r="V17" s="1791">
        <v>0.08</v>
      </c>
      <c r="W17" s="1782">
        <v>1563</v>
      </c>
      <c r="X17" s="1792" t="s">
        <v>257</v>
      </c>
      <c r="Y17" s="1724"/>
      <c r="Z17" s="1724"/>
      <c r="AA17" s="1655">
        <v>300</v>
      </c>
      <c r="AB17" s="1655">
        <v>12</v>
      </c>
      <c r="AC17" s="1663">
        <v>3</v>
      </c>
      <c r="AD17" s="1655" t="s">
        <v>244</v>
      </c>
      <c r="AE17" s="1655">
        <v>135</v>
      </c>
      <c r="AF17" s="1655">
        <v>0</v>
      </c>
      <c r="AG17" s="1655">
        <v>1</v>
      </c>
      <c r="AH17" s="1655">
        <v>0</v>
      </c>
      <c r="AI17" s="1627"/>
      <c r="AJ17" s="1627"/>
      <c r="AK17" s="1627"/>
      <c r="AL17" s="1627"/>
      <c r="AM17" s="1627"/>
      <c r="AN17" s="1627"/>
      <c r="AO17" s="1627"/>
      <c r="AP17" s="877"/>
    </row>
    <row r="18" spans="1:42" ht="13.5" customHeight="1">
      <c r="A18" s="1772"/>
      <c r="B18" s="1778"/>
      <c r="C18" s="1778" t="s">
        <v>258</v>
      </c>
      <c r="D18" s="1793"/>
      <c r="E18" s="1781">
        <v>44880</v>
      </c>
      <c r="F18" s="1782">
        <v>2410000</v>
      </c>
      <c r="G18" s="1783">
        <v>11250</v>
      </c>
      <c r="H18" s="1782">
        <v>22365</v>
      </c>
      <c r="I18" s="1791">
        <v>0.08</v>
      </c>
      <c r="J18" s="1782">
        <v>291414</v>
      </c>
      <c r="K18" s="1780">
        <v>677</v>
      </c>
      <c r="L18" s="1791">
        <v>0.02</v>
      </c>
      <c r="M18" s="1782">
        <v>27500</v>
      </c>
      <c r="N18" s="1780">
        <v>16</v>
      </c>
      <c r="O18" s="1791">
        <v>0.02</v>
      </c>
      <c r="P18" s="1780">
        <v>844</v>
      </c>
      <c r="Q18" s="1788">
        <v>2.9999999999999997E-4</v>
      </c>
      <c r="R18" s="1788">
        <v>1.18E-2</v>
      </c>
      <c r="S18" s="1790">
        <v>16.23</v>
      </c>
      <c r="T18" s="1790">
        <v>0.4</v>
      </c>
      <c r="U18" s="1794" t="s">
        <v>176</v>
      </c>
      <c r="V18" s="1794" t="s">
        <v>176</v>
      </c>
      <c r="W18" s="1794" t="s">
        <v>176</v>
      </c>
      <c r="X18" s="1792" t="s">
        <v>259</v>
      </c>
      <c r="Y18" s="1724"/>
      <c r="Z18" s="1724"/>
      <c r="AA18" s="1655">
        <v>700</v>
      </c>
      <c r="AB18" s="1655">
        <v>14</v>
      </c>
      <c r="AC18" s="1663">
        <v>1</v>
      </c>
      <c r="AD18" s="1655" t="s">
        <v>244</v>
      </c>
      <c r="AE18" s="1655">
        <v>271</v>
      </c>
      <c r="AF18" s="1655">
        <v>0</v>
      </c>
      <c r="AG18" s="1655">
        <v>0</v>
      </c>
      <c r="AH18" s="1655">
        <v>0</v>
      </c>
      <c r="AI18" s="1627"/>
      <c r="AJ18" s="1627"/>
      <c r="AK18" s="1627"/>
      <c r="AL18" s="1627"/>
      <c r="AM18" s="1627"/>
      <c r="AN18" s="1627"/>
      <c r="AO18" s="1627"/>
      <c r="AP18" s="877"/>
    </row>
    <row r="19" spans="1:42" ht="13.5" customHeight="1">
      <c r="A19" s="1772"/>
      <c r="B19" s="1778"/>
      <c r="C19" s="1778"/>
      <c r="D19" s="1779" t="s">
        <v>260</v>
      </c>
      <c r="E19" s="1781">
        <v>44827</v>
      </c>
      <c r="F19" s="1782">
        <v>2170000</v>
      </c>
      <c r="G19" s="1783">
        <v>5375</v>
      </c>
      <c r="H19" s="1782">
        <v>99258</v>
      </c>
      <c r="I19" s="1791">
        <v>0.33</v>
      </c>
      <c r="J19" s="1782">
        <v>304193</v>
      </c>
      <c r="K19" s="1782">
        <v>14000</v>
      </c>
      <c r="L19" s="1791">
        <v>0.43</v>
      </c>
      <c r="M19" s="1782">
        <v>32450</v>
      </c>
      <c r="N19" s="1780">
        <v>579</v>
      </c>
      <c r="O19" s="1791">
        <v>0.24</v>
      </c>
      <c r="P19" s="1782">
        <v>2439</v>
      </c>
      <c r="Q19" s="1788">
        <v>6.7000000000000002E-3</v>
      </c>
      <c r="R19" s="1788">
        <v>1.61E-2</v>
      </c>
      <c r="S19" s="1790">
        <v>0.37</v>
      </c>
      <c r="T19" s="1790">
        <v>0.15</v>
      </c>
      <c r="U19" s="1780">
        <v>650</v>
      </c>
      <c r="V19" s="1786">
        <v>0.87</v>
      </c>
      <c r="W19" s="1780">
        <v>747</v>
      </c>
      <c r="X19" s="1792" t="s">
        <v>261</v>
      </c>
      <c r="Y19" s="1724"/>
      <c r="Z19" s="1724"/>
      <c r="AA19" s="1655">
        <v>300</v>
      </c>
      <c r="AB19" s="1655">
        <v>13</v>
      </c>
      <c r="AC19" s="1663">
        <v>0</v>
      </c>
      <c r="AD19" s="1655" t="s">
        <v>244</v>
      </c>
      <c r="AE19" s="1655">
        <v>144</v>
      </c>
      <c r="AF19" s="1655">
        <v>0</v>
      </c>
      <c r="AG19" s="1655">
        <v>0</v>
      </c>
      <c r="AH19" s="1655">
        <v>0</v>
      </c>
      <c r="AI19" s="1627"/>
      <c r="AJ19" s="1627"/>
      <c r="AK19" s="1627"/>
      <c r="AL19" s="1627"/>
      <c r="AM19" s="1627"/>
      <c r="AN19" s="1627"/>
      <c r="AO19" s="1627"/>
      <c r="AP19" s="877"/>
    </row>
    <row r="20" spans="1:42" ht="13.5" customHeight="1">
      <c r="A20" s="1772"/>
      <c r="B20" s="1793"/>
      <c r="C20" s="1793"/>
      <c r="D20" s="1793"/>
      <c r="E20" s="1781">
        <v>44869</v>
      </c>
      <c r="F20" s="1782">
        <v>2170000</v>
      </c>
      <c r="G20" s="1783">
        <v>5375</v>
      </c>
      <c r="H20" s="1782">
        <v>155098</v>
      </c>
      <c r="I20" s="1791">
        <v>0.51</v>
      </c>
      <c r="J20" s="1782">
        <v>304193</v>
      </c>
      <c r="K20" s="1782">
        <v>19000</v>
      </c>
      <c r="L20" s="1791">
        <v>0.59</v>
      </c>
      <c r="M20" s="1782">
        <v>32450</v>
      </c>
      <c r="N20" s="1780">
        <v>735</v>
      </c>
      <c r="O20" s="1791">
        <v>0.3</v>
      </c>
      <c r="P20" s="1782">
        <v>2439</v>
      </c>
      <c r="Q20" s="1788">
        <v>9.1000000000000004E-3</v>
      </c>
      <c r="R20" s="1788">
        <v>1.61E-2</v>
      </c>
      <c r="S20" s="1790">
        <v>0.27</v>
      </c>
      <c r="T20" s="1790">
        <v>0.15</v>
      </c>
      <c r="U20" s="1794" t="s">
        <v>176</v>
      </c>
      <c r="V20" s="1794" t="s">
        <v>176</v>
      </c>
      <c r="W20" s="1794" t="s">
        <v>176</v>
      </c>
      <c r="X20" s="1792" t="s">
        <v>262</v>
      </c>
      <c r="Y20" s="1724"/>
      <c r="Z20" s="1724"/>
      <c r="AA20" s="1655">
        <v>300</v>
      </c>
      <c r="AB20" s="1655">
        <v>8</v>
      </c>
      <c r="AC20" s="1663">
        <v>0</v>
      </c>
      <c r="AD20" s="1655" t="s">
        <v>244</v>
      </c>
      <c r="AE20" s="1655">
        <v>116</v>
      </c>
      <c r="AF20" s="1655">
        <v>100</v>
      </c>
      <c r="AG20" s="1655">
        <v>0</v>
      </c>
      <c r="AH20" s="1655">
        <v>0</v>
      </c>
      <c r="AI20" s="1627"/>
      <c r="AJ20" s="1627"/>
      <c r="AK20" s="1627"/>
      <c r="AL20" s="1627"/>
      <c r="AM20" s="1627"/>
      <c r="AN20" s="1627"/>
      <c r="AO20" s="1627"/>
      <c r="AP20" s="877"/>
    </row>
    <row r="21" spans="1:42" ht="13.5" customHeight="1">
      <c r="A21" s="1772"/>
      <c r="B21" s="1776" t="s">
        <v>244</v>
      </c>
      <c r="C21" s="1796"/>
      <c r="D21" s="1797" t="s">
        <v>263</v>
      </c>
      <c r="E21" s="1775"/>
      <c r="F21" s="1798">
        <v>31700000</v>
      </c>
      <c r="G21" s="1799">
        <v>121000</v>
      </c>
      <c r="H21" s="1798">
        <v>2328044</v>
      </c>
      <c r="I21" s="1800">
        <v>0.73</v>
      </c>
      <c r="J21" s="1798">
        <v>3201360</v>
      </c>
      <c r="K21" s="1798">
        <v>89689</v>
      </c>
      <c r="L21" s="1800">
        <v>0.37</v>
      </c>
      <c r="M21" s="1798">
        <v>243062</v>
      </c>
      <c r="N21" s="1798">
        <v>3651</v>
      </c>
      <c r="O21" s="1800">
        <v>0.27</v>
      </c>
      <c r="P21" s="1798">
        <v>13554</v>
      </c>
      <c r="Q21" s="1801">
        <v>2.8999999999999998E-3</v>
      </c>
      <c r="R21" s="1801">
        <v>8.0999999999999996E-3</v>
      </c>
      <c r="S21" s="1802">
        <v>1.3</v>
      </c>
      <c r="T21" s="1802">
        <v>0.47</v>
      </c>
      <c r="U21" s="1798">
        <v>3576</v>
      </c>
      <c r="V21" s="1800">
        <v>0.43</v>
      </c>
      <c r="W21" s="1798">
        <v>8403</v>
      </c>
      <c r="X21" s="1775"/>
      <c r="Y21" s="1724"/>
      <c r="Z21" s="1724"/>
      <c r="AA21" s="1655">
        <v>200</v>
      </c>
      <c r="AB21" s="1655">
        <v>1</v>
      </c>
      <c r="AC21" s="1663">
        <v>0</v>
      </c>
      <c r="AD21" s="1655" t="s">
        <v>244</v>
      </c>
      <c r="AE21" s="1655">
        <v>57</v>
      </c>
      <c r="AF21" s="1655">
        <v>0</v>
      </c>
      <c r="AG21" s="1655">
        <v>0</v>
      </c>
      <c r="AH21" s="1655">
        <v>2</v>
      </c>
      <c r="AI21" s="1627"/>
      <c r="AJ21" s="1627"/>
      <c r="AK21" s="1627"/>
      <c r="AL21" s="1627"/>
      <c r="AM21" s="1627"/>
      <c r="AN21" s="1627"/>
      <c r="AO21" s="1627"/>
      <c r="AP21" s="877"/>
    </row>
    <row r="22" spans="1:42" ht="13.5" customHeight="1">
      <c r="A22" s="1764"/>
      <c r="B22" s="1769"/>
      <c r="C22" s="1769"/>
      <c r="D22" s="1769"/>
      <c r="E22" s="1769"/>
      <c r="F22" s="1769"/>
      <c r="G22" s="1769"/>
      <c r="H22" s="1769"/>
      <c r="I22" s="1769"/>
      <c r="J22" s="1769"/>
      <c r="K22" s="1769"/>
      <c r="L22" s="1769"/>
      <c r="M22" s="1769"/>
      <c r="N22" s="1769"/>
      <c r="O22" s="1769"/>
      <c r="P22" s="1769"/>
      <c r="Q22" s="1769"/>
      <c r="R22" s="1769"/>
      <c r="S22" s="1769"/>
      <c r="T22" s="1769"/>
      <c r="U22" s="1769"/>
      <c r="V22" s="1769"/>
      <c r="W22" s="1769"/>
      <c r="X22" s="1771"/>
      <c r="Y22" s="1726">
        <v>7.2</v>
      </c>
      <c r="Z22" s="1724"/>
      <c r="AA22" s="1655">
        <v>200</v>
      </c>
      <c r="AB22" s="1655">
        <v>5</v>
      </c>
      <c r="AC22" s="1663">
        <v>0</v>
      </c>
      <c r="AD22" s="1655" t="s">
        <v>244</v>
      </c>
      <c r="AE22" s="1655">
        <v>106</v>
      </c>
      <c r="AF22" s="1655">
        <v>0</v>
      </c>
      <c r="AG22" s="1655">
        <v>0</v>
      </c>
      <c r="AH22" s="1655">
        <v>5</v>
      </c>
      <c r="AI22" s="1627"/>
      <c r="AJ22" s="1627"/>
      <c r="AK22" s="1627"/>
      <c r="AL22" s="1627"/>
      <c r="AM22" s="1627"/>
      <c r="AN22" s="1627"/>
      <c r="AO22" s="1627"/>
      <c r="AP22" s="877"/>
    </row>
    <row r="23" spans="1:42" ht="13.5" customHeight="1">
      <c r="A23" s="1772"/>
      <c r="B23" s="1778"/>
      <c r="C23" s="1778"/>
      <c r="D23" s="1779" t="s">
        <v>242</v>
      </c>
      <c r="E23" s="1781">
        <v>44825</v>
      </c>
      <c r="F23" s="1782">
        <v>1500000</v>
      </c>
      <c r="G23" s="1783">
        <v>18000</v>
      </c>
      <c r="H23" s="1804">
        <v>94400</v>
      </c>
      <c r="I23" s="1791">
        <v>0.46</v>
      </c>
      <c r="J23" s="1782">
        <v>204700</v>
      </c>
      <c r="K23" s="1782">
        <v>3981</v>
      </c>
      <c r="L23" s="1791">
        <v>0.53</v>
      </c>
      <c r="M23" s="1782">
        <v>7552</v>
      </c>
      <c r="N23" s="1782">
        <v>1634</v>
      </c>
      <c r="O23" s="1784">
        <v>1.45</v>
      </c>
      <c r="P23" s="1782">
        <v>1124</v>
      </c>
      <c r="Q23" s="1788">
        <v>3.7000000000000002E-3</v>
      </c>
      <c r="R23" s="1788">
        <v>5.7999999999999996E-3</v>
      </c>
      <c r="S23" s="1790">
        <v>3.21</v>
      </c>
      <c r="T23" s="1790">
        <v>2.0699999999999998</v>
      </c>
      <c r="U23" s="1794" t="s">
        <v>176</v>
      </c>
      <c r="V23" s="1794" t="s">
        <v>176</v>
      </c>
      <c r="W23" s="1794" t="s">
        <v>176</v>
      </c>
      <c r="X23" s="1792" t="s">
        <v>264</v>
      </c>
      <c r="Y23" s="1724"/>
      <c r="Z23" s="1724"/>
      <c r="AA23" s="1655">
        <v>200</v>
      </c>
      <c r="AB23" s="1655">
        <v>10</v>
      </c>
      <c r="AC23" s="1663">
        <v>0</v>
      </c>
      <c r="AD23" s="1655" t="s">
        <v>244</v>
      </c>
      <c r="AE23" s="1655">
        <v>123</v>
      </c>
      <c r="AF23" s="1655">
        <v>0</v>
      </c>
      <c r="AG23" s="1655">
        <v>0</v>
      </c>
      <c r="AH23" s="1655">
        <v>4</v>
      </c>
      <c r="AI23" s="1627"/>
      <c r="AJ23" s="1627"/>
      <c r="AK23" s="1627"/>
      <c r="AL23" s="1627"/>
      <c r="AM23" s="1627"/>
      <c r="AN23" s="1627"/>
      <c r="AO23" s="1627"/>
      <c r="AP23" s="877"/>
    </row>
    <row r="24" spans="1:42" ht="13.5" customHeight="1">
      <c r="A24" s="1772"/>
      <c r="B24" s="1778"/>
      <c r="C24" s="1778" t="s">
        <v>245</v>
      </c>
      <c r="D24" s="1793"/>
      <c r="E24" s="1781">
        <v>44872</v>
      </c>
      <c r="F24" s="1782">
        <v>1500000</v>
      </c>
      <c r="G24" s="1783">
        <v>18000</v>
      </c>
      <c r="H24" s="1804">
        <v>66200</v>
      </c>
      <c r="I24" s="1791">
        <v>0.32</v>
      </c>
      <c r="J24" s="1782">
        <v>204700</v>
      </c>
      <c r="K24" s="1782">
        <v>2058</v>
      </c>
      <c r="L24" s="1791">
        <v>0.27</v>
      </c>
      <c r="M24" s="1782">
        <v>7552</v>
      </c>
      <c r="N24" s="1780">
        <v>221</v>
      </c>
      <c r="O24" s="1791">
        <v>0.2</v>
      </c>
      <c r="P24" s="1782">
        <v>1124</v>
      </c>
      <c r="Q24" s="1788">
        <v>1.5E-3</v>
      </c>
      <c r="R24" s="1788">
        <v>5.7999999999999996E-3</v>
      </c>
      <c r="S24" s="1790">
        <v>7.9</v>
      </c>
      <c r="T24" s="1790">
        <v>2.0699999999999998</v>
      </c>
      <c r="U24" s="1794" t="s">
        <v>176</v>
      </c>
      <c r="V24" s="1794" t="s">
        <v>176</v>
      </c>
      <c r="W24" s="1794" t="s">
        <v>176</v>
      </c>
      <c r="X24" s="1792" t="s">
        <v>265</v>
      </c>
      <c r="Y24" s="1724"/>
      <c r="Z24" s="1724"/>
      <c r="AA24" s="1655">
        <v>300</v>
      </c>
      <c r="AB24" s="1655">
        <v>13</v>
      </c>
      <c r="AC24" s="1663">
        <v>0</v>
      </c>
      <c r="AD24" s="1655" t="s">
        <v>244</v>
      </c>
      <c r="AE24" s="1655">
        <v>96</v>
      </c>
      <c r="AF24" s="1655">
        <v>0</v>
      </c>
      <c r="AG24" s="1655">
        <v>0</v>
      </c>
      <c r="AH24" s="1655">
        <v>3</v>
      </c>
      <c r="AI24" s="1627"/>
      <c r="AJ24" s="1627"/>
      <c r="AK24" s="1627"/>
      <c r="AL24" s="1627"/>
      <c r="AM24" s="1627"/>
      <c r="AN24" s="1627"/>
      <c r="AO24" s="1627"/>
      <c r="AP24" s="877"/>
    </row>
    <row r="25" spans="1:42" ht="13.5" customHeight="1">
      <c r="A25" s="1772"/>
      <c r="B25" s="1778"/>
      <c r="C25" s="1778"/>
      <c r="D25" s="1779" t="s">
        <v>247</v>
      </c>
      <c r="E25" s="1781">
        <v>44827</v>
      </c>
      <c r="F25" s="1782">
        <v>1200000</v>
      </c>
      <c r="G25" s="1783">
        <v>12500</v>
      </c>
      <c r="H25" s="1804">
        <v>49100</v>
      </c>
      <c r="I25" s="1791">
        <v>0.64</v>
      </c>
      <c r="J25" s="1782">
        <v>76633</v>
      </c>
      <c r="K25" s="1782">
        <v>2566</v>
      </c>
      <c r="L25" s="1786">
        <v>0.71</v>
      </c>
      <c r="M25" s="1782">
        <v>3617</v>
      </c>
      <c r="N25" s="1780">
        <v>58</v>
      </c>
      <c r="O25" s="1791">
        <v>0.42</v>
      </c>
      <c r="P25" s="1780">
        <v>139</v>
      </c>
      <c r="Q25" s="1788">
        <v>2.2000000000000001E-3</v>
      </c>
      <c r="R25" s="1788">
        <v>3.0999999999999999E-3</v>
      </c>
      <c r="S25" s="1790">
        <v>4.76</v>
      </c>
      <c r="T25" s="1790">
        <v>3.33</v>
      </c>
      <c r="U25" s="1794" t="s">
        <v>176</v>
      </c>
      <c r="V25" s="1794" t="s">
        <v>176</v>
      </c>
      <c r="W25" s="1794" t="s">
        <v>176</v>
      </c>
      <c r="X25" s="1792" t="s">
        <v>220</v>
      </c>
      <c r="Y25" s="1724"/>
      <c r="Z25" s="1724"/>
      <c r="AA25" s="1655">
        <v>100</v>
      </c>
      <c r="AB25" s="1655">
        <v>5</v>
      </c>
      <c r="AC25" s="1663">
        <v>0</v>
      </c>
      <c r="AD25" s="1655" t="s">
        <v>244</v>
      </c>
      <c r="AE25" s="1655">
        <v>127</v>
      </c>
      <c r="AF25" s="1655">
        <v>0</v>
      </c>
      <c r="AG25" s="1655">
        <v>0</v>
      </c>
      <c r="AH25" s="1655">
        <v>0</v>
      </c>
      <c r="AI25" s="1627"/>
      <c r="AJ25" s="1627"/>
      <c r="AK25" s="1627"/>
      <c r="AL25" s="1627"/>
      <c r="AM25" s="1627"/>
      <c r="AN25" s="1627"/>
      <c r="AO25" s="1627"/>
      <c r="AP25" s="877"/>
    </row>
    <row r="26" spans="1:42" ht="13.5" customHeight="1">
      <c r="A26" s="1772"/>
      <c r="B26" s="1778"/>
      <c r="C26" s="1793"/>
      <c r="D26" s="1793"/>
      <c r="E26" s="1781">
        <v>44855</v>
      </c>
      <c r="F26" s="1782">
        <v>1200000</v>
      </c>
      <c r="G26" s="1783">
        <v>12500</v>
      </c>
      <c r="H26" s="1804">
        <v>51500</v>
      </c>
      <c r="I26" s="1791">
        <v>0.67</v>
      </c>
      <c r="J26" s="1782">
        <v>76633</v>
      </c>
      <c r="K26" s="1782">
        <v>1969</v>
      </c>
      <c r="L26" s="1791">
        <v>0.54</v>
      </c>
      <c r="M26" s="1782">
        <v>3617</v>
      </c>
      <c r="N26" s="1780">
        <v>46</v>
      </c>
      <c r="O26" s="1791">
        <v>0.33</v>
      </c>
      <c r="P26" s="1780">
        <v>139</v>
      </c>
      <c r="Q26" s="1788">
        <v>1.6999999999999999E-3</v>
      </c>
      <c r="R26" s="1788">
        <v>3.0999999999999999E-3</v>
      </c>
      <c r="S26" s="1790">
        <v>6.2</v>
      </c>
      <c r="T26" s="1790">
        <v>3.33</v>
      </c>
      <c r="U26" s="1794" t="s">
        <v>176</v>
      </c>
      <c r="V26" s="1794" t="s">
        <v>176</v>
      </c>
      <c r="W26" s="1794" t="s">
        <v>176</v>
      </c>
      <c r="X26" s="1792" t="s">
        <v>266</v>
      </c>
      <c r="Y26" s="1724"/>
      <c r="Z26" s="1724"/>
      <c r="AA26" s="1655">
        <v>200</v>
      </c>
      <c r="AB26" s="1655">
        <v>4</v>
      </c>
      <c r="AC26" s="1663">
        <v>0</v>
      </c>
      <c r="AD26" s="1655" t="s">
        <v>244</v>
      </c>
      <c r="AE26" s="1655">
        <v>120</v>
      </c>
      <c r="AF26" s="1655">
        <v>0</v>
      </c>
      <c r="AG26" s="1655">
        <v>0</v>
      </c>
      <c r="AH26" s="1655">
        <v>3</v>
      </c>
      <c r="AI26" s="1627"/>
      <c r="AJ26" s="1627"/>
      <c r="AK26" s="1627"/>
      <c r="AL26" s="1627"/>
      <c r="AM26" s="1627"/>
      <c r="AN26" s="1627"/>
      <c r="AO26" s="1627"/>
      <c r="AP26" s="877"/>
    </row>
    <row r="27" spans="1:42" ht="13.5" customHeight="1">
      <c r="A27" s="1772"/>
      <c r="B27" s="1778"/>
      <c r="C27" s="1769"/>
      <c r="D27" s="1769"/>
      <c r="E27" s="1769"/>
      <c r="F27" s="1769"/>
      <c r="G27" s="1771"/>
      <c r="H27" s="1771"/>
      <c r="I27" s="1769"/>
      <c r="J27" s="1769"/>
      <c r="K27" s="1769"/>
      <c r="L27" s="1769"/>
      <c r="M27" s="1769"/>
      <c r="N27" s="1769"/>
      <c r="O27" s="1769"/>
      <c r="P27" s="1769"/>
      <c r="Q27" s="1769"/>
      <c r="R27" s="1769"/>
      <c r="S27" s="1769"/>
      <c r="T27" s="1769"/>
      <c r="U27" s="1769"/>
      <c r="V27" s="1769"/>
      <c r="W27" s="1769"/>
      <c r="X27" s="1771"/>
      <c r="Y27" s="1724"/>
      <c r="Z27" s="1724"/>
      <c r="AA27" s="1655">
        <v>200</v>
      </c>
      <c r="AB27" s="1655">
        <v>6</v>
      </c>
      <c r="AC27" s="1663">
        <v>0</v>
      </c>
      <c r="AD27" s="1655" t="s">
        <v>244</v>
      </c>
      <c r="AE27" s="1655">
        <v>145</v>
      </c>
      <c r="AF27" s="1655">
        <v>0</v>
      </c>
      <c r="AG27" s="1655">
        <v>0</v>
      </c>
      <c r="AH27" s="1655">
        <v>4</v>
      </c>
      <c r="AI27" s="1627"/>
      <c r="AJ27" s="1627"/>
      <c r="AK27" s="1627"/>
      <c r="AL27" s="1627"/>
      <c r="AM27" s="1627"/>
      <c r="AN27" s="1627"/>
      <c r="AO27" s="1627"/>
      <c r="AP27" s="877"/>
    </row>
    <row r="28" spans="1:42" ht="13.5" customHeight="1">
      <c r="A28" s="1772"/>
      <c r="B28" s="1778"/>
      <c r="C28" s="1778"/>
      <c r="D28" s="1779" t="s">
        <v>249</v>
      </c>
      <c r="E28" s="1781">
        <v>44827</v>
      </c>
      <c r="F28" s="1782">
        <v>534000</v>
      </c>
      <c r="G28" s="1783">
        <v>8000</v>
      </c>
      <c r="H28" s="1804">
        <v>487000</v>
      </c>
      <c r="I28" s="1786">
        <v>0.93</v>
      </c>
      <c r="J28" s="1782">
        <v>526167</v>
      </c>
      <c r="K28" s="1782">
        <v>15653</v>
      </c>
      <c r="L28" s="1791">
        <v>0.54</v>
      </c>
      <c r="M28" s="1782">
        <v>28967</v>
      </c>
      <c r="N28" s="1780">
        <v>40</v>
      </c>
      <c r="O28" s="1791">
        <v>0.15</v>
      </c>
      <c r="P28" s="1780">
        <v>271</v>
      </c>
      <c r="Q28" s="1788">
        <v>2.9399999999999999E-2</v>
      </c>
      <c r="R28" s="1788">
        <v>5.4800000000000001E-2</v>
      </c>
      <c r="S28" s="1790">
        <v>0.51</v>
      </c>
      <c r="T28" s="1790">
        <v>0.27</v>
      </c>
      <c r="U28" s="1794" t="s">
        <v>176</v>
      </c>
      <c r="V28" s="1794" t="s">
        <v>176</v>
      </c>
      <c r="W28" s="1794" t="s">
        <v>176</v>
      </c>
      <c r="X28" s="1792" t="s">
        <v>267</v>
      </c>
      <c r="Y28" s="1724"/>
      <c r="Z28" s="1724"/>
      <c r="AA28" s="1655">
        <v>200</v>
      </c>
      <c r="AB28" s="1655">
        <v>8</v>
      </c>
      <c r="AC28" s="1663">
        <v>0</v>
      </c>
      <c r="AD28" s="1655" t="s">
        <v>244</v>
      </c>
      <c r="AE28" s="1655">
        <v>41</v>
      </c>
      <c r="AF28" s="1655">
        <v>0</v>
      </c>
      <c r="AG28" s="1655">
        <v>0</v>
      </c>
      <c r="AH28" s="1655">
        <v>1</v>
      </c>
      <c r="AI28" s="1627"/>
      <c r="AJ28" s="1627"/>
      <c r="AK28" s="1627"/>
      <c r="AL28" s="1627"/>
      <c r="AM28" s="1627"/>
      <c r="AN28" s="1627"/>
      <c r="AO28" s="1627"/>
      <c r="AP28" s="877"/>
    </row>
    <row r="29" spans="1:42" ht="13.5" customHeight="1">
      <c r="A29" s="1772"/>
      <c r="B29" s="1778" t="s">
        <v>268</v>
      </c>
      <c r="C29" s="1778" t="s">
        <v>251</v>
      </c>
      <c r="D29" s="1793"/>
      <c r="E29" s="1781">
        <v>44873</v>
      </c>
      <c r="F29" s="1782">
        <v>534000</v>
      </c>
      <c r="G29" s="1783">
        <v>8000</v>
      </c>
      <c r="H29" s="1804">
        <v>555000</v>
      </c>
      <c r="I29" s="1784">
        <v>1.05</v>
      </c>
      <c r="J29" s="1782">
        <v>526167</v>
      </c>
      <c r="K29" s="1782">
        <v>25287</v>
      </c>
      <c r="L29" s="1786">
        <v>0.87</v>
      </c>
      <c r="M29" s="1782">
        <v>28967</v>
      </c>
      <c r="N29" s="1780">
        <v>123</v>
      </c>
      <c r="O29" s="1791">
        <v>0.45</v>
      </c>
      <c r="P29" s="1780">
        <v>271</v>
      </c>
      <c r="Q29" s="1788">
        <v>4.7600000000000003E-2</v>
      </c>
      <c r="R29" s="1788">
        <v>5.4800000000000001E-2</v>
      </c>
      <c r="S29" s="1790">
        <v>0.31</v>
      </c>
      <c r="T29" s="1790">
        <v>0.27</v>
      </c>
      <c r="U29" s="1794" t="s">
        <v>176</v>
      </c>
      <c r="V29" s="1794" t="s">
        <v>176</v>
      </c>
      <c r="W29" s="1794" t="s">
        <v>176</v>
      </c>
      <c r="X29" s="1792" t="s">
        <v>269</v>
      </c>
      <c r="Y29" s="1724"/>
      <c r="Z29" s="1724"/>
      <c r="AA29" s="1655">
        <v>200</v>
      </c>
      <c r="AB29" s="1655">
        <v>4</v>
      </c>
      <c r="AC29" s="1663">
        <v>0</v>
      </c>
      <c r="AD29" s="1655" t="s">
        <v>244</v>
      </c>
      <c r="AE29" s="1655">
        <v>41</v>
      </c>
      <c r="AF29" s="1655">
        <v>0</v>
      </c>
      <c r="AG29" s="1655">
        <v>0</v>
      </c>
      <c r="AH29" s="1655">
        <v>0</v>
      </c>
      <c r="AI29" s="1627"/>
      <c r="AJ29" s="1627"/>
      <c r="AK29" s="1627"/>
      <c r="AL29" s="1627"/>
      <c r="AM29" s="1627"/>
      <c r="AN29" s="1627"/>
      <c r="AO29" s="1627"/>
      <c r="AP29" s="877"/>
    </row>
    <row r="30" spans="1:42" ht="13.5" customHeight="1">
      <c r="A30" s="1772"/>
      <c r="B30" s="1778"/>
      <c r="C30" s="1778"/>
      <c r="D30" s="1779" t="s">
        <v>253</v>
      </c>
      <c r="E30" s="1781">
        <v>44827</v>
      </c>
      <c r="F30" s="1782">
        <v>206000</v>
      </c>
      <c r="G30" s="1783">
        <v>5375</v>
      </c>
      <c r="H30" s="1804">
        <v>70000</v>
      </c>
      <c r="I30" s="1784">
        <v>1.22</v>
      </c>
      <c r="J30" s="1782">
        <v>57600</v>
      </c>
      <c r="K30" s="1782">
        <v>3547</v>
      </c>
      <c r="L30" s="1784">
        <v>1.1000000000000001</v>
      </c>
      <c r="M30" s="1782">
        <v>3211</v>
      </c>
      <c r="N30" s="1780">
        <v>24</v>
      </c>
      <c r="O30" s="1786">
        <v>0.96</v>
      </c>
      <c r="P30" s="1780">
        <v>25</v>
      </c>
      <c r="Q30" s="1805">
        <v>1.7299999999999999E-2</v>
      </c>
      <c r="R30" s="1788">
        <v>1.5699999999999999E-2</v>
      </c>
      <c r="S30" s="1806">
        <v>1.51</v>
      </c>
      <c r="T30" s="1790">
        <v>1.66</v>
      </c>
      <c r="U30" s="1794" t="s">
        <v>176</v>
      </c>
      <c r="V30" s="1794" t="s">
        <v>176</v>
      </c>
      <c r="W30" s="1794" t="s">
        <v>176</v>
      </c>
      <c r="X30" s="1792" t="s">
        <v>270</v>
      </c>
      <c r="Y30" s="1724"/>
      <c r="Z30" s="1724"/>
      <c r="AA30" s="1655">
        <v>200</v>
      </c>
      <c r="AB30" s="1655">
        <v>3</v>
      </c>
      <c r="AC30" s="1663">
        <v>0</v>
      </c>
      <c r="AD30" s="1655" t="s">
        <v>244</v>
      </c>
      <c r="AE30" s="1655">
        <v>77</v>
      </c>
      <c r="AF30" s="1655">
        <v>0</v>
      </c>
      <c r="AG30" s="1655">
        <v>0</v>
      </c>
      <c r="AH30" s="1655">
        <v>0</v>
      </c>
      <c r="AI30" s="1627"/>
      <c r="AJ30" s="1627"/>
      <c r="AK30" s="1627"/>
      <c r="AL30" s="1627"/>
      <c r="AM30" s="1627"/>
      <c r="AN30" s="1627"/>
      <c r="AO30" s="1627"/>
      <c r="AP30" s="877"/>
    </row>
    <row r="31" spans="1:42" ht="13.5" customHeight="1">
      <c r="A31" s="1772"/>
      <c r="B31" s="1778"/>
      <c r="C31" s="1793"/>
      <c r="D31" s="1793"/>
      <c r="E31" s="1781">
        <v>44880</v>
      </c>
      <c r="F31" s="1782">
        <v>206000</v>
      </c>
      <c r="G31" s="1783">
        <v>5375</v>
      </c>
      <c r="H31" s="1804">
        <v>54200</v>
      </c>
      <c r="I31" s="1786">
        <v>0.94</v>
      </c>
      <c r="J31" s="1782">
        <v>57600</v>
      </c>
      <c r="K31" s="1782">
        <v>2905</v>
      </c>
      <c r="L31" s="1786">
        <v>0.9</v>
      </c>
      <c r="M31" s="1782">
        <v>3211</v>
      </c>
      <c r="N31" s="1780">
        <v>11</v>
      </c>
      <c r="O31" s="1791">
        <v>0.44</v>
      </c>
      <c r="P31" s="1780">
        <v>25</v>
      </c>
      <c r="Q31" s="1787">
        <v>1.4200000000000001E-2</v>
      </c>
      <c r="R31" s="1788">
        <v>1.5699999999999999E-2</v>
      </c>
      <c r="S31" s="1789">
        <v>1.84</v>
      </c>
      <c r="T31" s="1790">
        <v>1.66</v>
      </c>
      <c r="U31" s="1794" t="s">
        <v>176</v>
      </c>
      <c r="V31" s="1794" t="s">
        <v>176</v>
      </c>
      <c r="W31" s="1794" t="s">
        <v>176</v>
      </c>
      <c r="X31" s="1792" t="s">
        <v>271</v>
      </c>
      <c r="Y31" s="1724"/>
      <c r="Z31" s="1724"/>
      <c r="AA31" s="1655">
        <v>100</v>
      </c>
      <c r="AB31" s="1655">
        <v>6</v>
      </c>
      <c r="AC31" s="1663">
        <v>1</v>
      </c>
      <c r="AD31" s="1655" t="s">
        <v>244</v>
      </c>
      <c r="AE31" s="1655">
        <v>152</v>
      </c>
      <c r="AF31" s="1655">
        <v>0</v>
      </c>
      <c r="AG31" s="1655">
        <v>0</v>
      </c>
      <c r="AH31" s="1655">
        <v>1</v>
      </c>
      <c r="AI31" s="1627"/>
      <c r="AJ31" s="1627"/>
      <c r="AK31" s="1627"/>
      <c r="AL31" s="1627"/>
      <c r="AM31" s="1627"/>
      <c r="AN31" s="1627"/>
      <c r="AO31" s="1627"/>
      <c r="AP31" s="877"/>
    </row>
    <row r="32" spans="1:42" ht="13.5" customHeight="1">
      <c r="A32" s="1772"/>
      <c r="B32" s="1778"/>
      <c r="C32" s="1769"/>
      <c r="D32" s="1769"/>
      <c r="E32" s="1769"/>
      <c r="F32" s="1769"/>
      <c r="G32" s="1771"/>
      <c r="H32" s="1771"/>
      <c r="I32" s="1769"/>
      <c r="J32" s="1769"/>
      <c r="K32" s="1769"/>
      <c r="L32" s="1769"/>
      <c r="M32" s="1769"/>
      <c r="N32" s="1769"/>
      <c r="O32" s="1769"/>
      <c r="P32" s="1769"/>
      <c r="Q32" s="1769"/>
      <c r="R32" s="1769"/>
      <c r="S32" s="1769"/>
      <c r="T32" s="1769"/>
      <c r="U32" s="1769"/>
      <c r="V32" s="1769"/>
      <c r="W32" s="1769"/>
      <c r="X32" s="1771"/>
      <c r="Y32" s="1724"/>
      <c r="Z32" s="1724"/>
      <c r="AA32" s="1655">
        <v>100</v>
      </c>
      <c r="AB32" s="1655">
        <v>6</v>
      </c>
      <c r="AC32" s="1663">
        <v>0</v>
      </c>
      <c r="AD32" s="1655" t="s">
        <v>244</v>
      </c>
      <c r="AE32" s="1655">
        <v>149</v>
      </c>
      <c r="AF32" s="1655">
        <v>0</v>
      </c>
      <c r="AG32" s="1655">
        <v>0</v>
      </c>
      <c r="AH32" s="1655">
        <v>1</v>
      </c>
      <c r="AI32" s="1627"/>
      <c r="AJ32" s="1627"/>
      <c r="AK32" s="1627"/>
      <c r="AL32" s="1627"/>
      <c r="AM32" s="1627"/>
      <c r="AN32" s="1627"/>
      <c r="AO32" s="1627"/>
      <c r="AP32" s="877"/>
    </row>
    <row r="33" spans="1:42" ht="13.5" customHeight="1">
      <c r="A33" s="1772"/>
      <c r="B33" s="1778"/>
      <c r="C33" s="1778"/>
      <c r="D33" s="1779" t="s">
        <v>256</v>
      </c>
      <c r="E33" s="1781">
        <v>44827</v>
      </c>
      <c r="F33" s="1782">
        <v>1500000</v>
      </c>
      <c r="G33" s="1783">
        <v>11250</v>
      </c>
      <c r="H33" s="1804">
        <v>89100</v>
      </c>
      <c r="I33" s="1791">
        <v>0.37</v>
      </c>
      <c r="J33" s="1782">
        <v>242700</v>
      </c>
      <c r="K33" s="1782">
        <v>2795</v>
      </c>
      <c r="L33" s="1791">
        <v>0.14000000000000001</v>
      </c>
      <c r="M33" s="1782">
        <v>19829</v>
      </c>
      <c r="N33" s="1780">
        <v>26</v>
      </c>
      <c r="O33" s="1791">
        <v>0.04</v>
      </c>
      <c r="P33" s="1780">
        <v>607</v>
      </c>
      <c r="Q33" s="1788">
        <v>1.9E-3</v>
      </c>
      <c r="R33" s="1788">
        <v>1.3599999999999999E-2</v>
      </c>
      <c r="S33" s="1790">
        <v>3.99</v>
      </c>
      <c r="T33" s="1790">
        <v>0.55000000000000004</v>
      </c>
      <c r="U33" s="1794" t="s">
        <v>176</v>
      </c>
      <c r="V33" s="1794" t="s">
        <v>176</v>
      </c>
      <c r="W33" s="1794" t="s">
        <v>176</v>
      </c>
      <c r="X33" s="1792" t="s">
        <v>272</v>
      </c>
      <c r="Y33" s="1724"/>
      <c r="Z33" s="1724"/>
      <c r="AA33" s="1655">
        <v>100</v>
      </c>
      <c r="AB33" s="1655">
        <v>4</v>
      </c>
      <c r="AC33" s="1663">
        <v>0</v>
      </c>
      <c r="AD33" s="1655" t="s">
        <v>244</v>
      </c>
      <c r="AE33" s="1665">
        <v>4283</v>
      </c>
      <c r="AF33" s="1655">
        <v>0</v>
      </c>
      <c r="AG33" s="1655">
        <v>0</v>
      </c>
      <c r="AH33" s="1655">
        <v>4</v>
      </c>
      <c r="AI33" s="1660" t="s">
        <v>273</v>
      </c>
      <c r="AJ33" s="1627"/>
      <c r="AK33" s="1627"/>
      <c r="AL33" s="1627"/>
      <c r="AM33" s="1627"/>
      <c r="AN33" s="1627"/>
      <c r="AO33" s="1627"/>
      <c r="AP33" s="877"/>
    </row>
    <row r="34" spans="1:42" ht="13.5" customHeight="1">
      <c r="A34" s="1772"/>
      <c r="B34" s="1778"/>
      <c r="C34" s="1778" t="s">
        <v>258</v>
      </c>
      <c r="D34" s="1793"/>
      <c r="E34" s="1781">
        <v>44856</v>
      </c>
      <c r="F34" s="1782">
        <v>1500000</v>
      </c>
      <c r="G34" s="1783">
        <v>11250</v>
      </c>
      <c r="H34" s="1804">
        <v>159000</v>
      </c>
      <c r="I34" s="1791">
        <v>0.66</v>
      </c>
      <c r="J34" s="1782">
        <v>242700</v>
      </c>
      <c r="K34" s="1782">
        <v>8143</v>
      </c>
      <c r="L34" s="1791">
        <v>0.41</v>
      </c>
      <c r="M34" s="1782">
        <v>19829</v>
      </c>
      <c r="N34" s="1780">
        <v>87</v>
      </c>
      <c r="O34" s="1791">
        <v>0.14000000000000001</v>
      </c>
      <c r="P34" s="1780">
        <v>607</v>
      </c>
      <c r="Q34" s="1788">
        <v>5.4999999999999997E-3</v>
      </c>
      <c r="R34" s="1788">
        <v>1.3599999999999999E-2</v>
      </c>
      <c r="S34" s="1790">
        <v>1.37</v>
      </c>
      <c r="T34" s="1790">
        <v>0.55000000000000004</v>
      </c>
      <c r="U34" s="1794" t="s">
        <v>176</v>
      </c>
      <c r="V34" s="1794" t="s">
        <v>176</v>
      </c>
      <c r="W34" s="1794" t="s">
        <v>176</v>
      </c>
      <c r="X34" s="1792" t="s">
        <v>274</v>
      </c>
      <c r="Y34" s="1724"/>
      <c r="Z34" s="1724"/>
      <c r="AA34" s="1655">
        <v>0</v>
      </c>
      <c r="AB34" s="1655">
        <v>1</v>
      </c>
      <c r="AC34" s="1663">
        <v>0</v>
      </c>
      <c r="AD34" s="1655" t="s">
        <v>244</v>
      </c>
      <c r="AE34" s="1665">
        <v>7650</v>
      </c>
      <c r="AF34" s="1655">
        <v>0</v>
      </c>
      <c r="AG34" s="1655">
        <v>0</v>
      </c>
      <c r="AH34" s="1655">
        <v>2</v>
      </c>
      <c r="AI34" s="1220" t="s">
        <v>266</v>
      </c>
      <c r="AJ34" s="1627"/>
      <c r="AK34" s="1627"/>
      <c r="AL34" s="1627"/>
      <c r="AM34" s="1627"/>
      <c r="AN34" s="1627"/>
      <c r="AO34" s="1627"/>
      <c r="AP34" s="877"/>
    </row>
    <row r="35" spans="1:42" ht="13.5" customHeight="1">
      <c r="A35" s="1772"/>
      <c r="B35" s="1778"/>
      <c r="C35" s="1778"/>
      <c r="D35" s="1779" t="s">
        <v>260</v>
      </c>
      <c r="E35" s="1781">
        <v>44827</v>
      </c>
      <c r="F35" s="1782">
        <v>561000</v>
      </c>
      <c r="G35" s="1783">
        <v>5375</v>
      </c>
      <c r="H35" s="1804">
        <v>214000</v>
      </c>
      <c r="I35" s="1784">
        <v>1.39</v>
      </c>
      <c r="J35" s="1782">
        <v>154000</v>
      </c>
      <c r="K35" s="1782">
        <v>19535</v>
      </c>
      <c r="L35" s="1784">
        <v>2.06</v>
      </c>
      <c r="M35" s="1782">
        <v>9500</v>
      </c>
      <c r="N35" s="1780">
        <v>252</v>
      </c>
      <c r="O35" s="1786">
        <v>0.76</v>
      </c>
      <c r="P35" s="1780">
        <v>330</v>
      </c>
      <c r="Q35" s="1805">
        <v>3.5299999999999998E-2</v>
      </c>
      <c r="R35" s="1788">
        <v>1.7500000000000002E-2</v>
      </c>
      <c r="S35" s="1806">
        <v>0.27</v>
      </c>
      <c r="T35" s="1790">
        <v>0.55000000000000004</v>
      </c>
      <c r="U35" s="1794" t="s">
        <v>176</v>
      </c>
      <c r="V35" s="1794" t="s">
        <v>176</v>
      </c>
      <c r="W35" s="1794" t="s">
        <v>176</v>
      </c>
      <c r="X35" s="1792" t="s">
        <v>275</v>
      </c>
      <c r="Y35" s="1724"/>
      <c r="Z35" s="1724"/>
      <c r="AA35" s="1655">
        <v>200</v>
      </c>
      <c r="AB35" s="1655">
        <v>6</v>
      </c>
      <c r="AC35" s="1663">
        <v>0</v>
      </c>
      <c r="AD35" s="1655" t="s">
        <v>244</v>
      </c>
      <c r="AE35" s="1665">
        <v>20476</v>
      </c>
      <c r="AF35" s="1655">
        <v>0</v>
      </c>
      <c r="AG35" s="1655">
        <v>0</v>
      </c>
      <c r="AH35" s="1655">
        <v>0</v>
      </c>
      <c r="AI35" s="1626"/>
      <c r="AJ35" s="1626"/>
      <c r="AK35" s="1626"/>
      <c r="AL35" s="1626"/>
      <c r="AM35" s="1627"/>
      <c r="AN35" s="1627"/>
      <c r="AO35" s="1627"/>
      <c r="AP35" s="877"/>
    </row>
    <row r="36" spans="1:42" ht="13.5" customHeight="1">
      <c r="A36" s="1772"/>
      <c r="B36" s="1793"/>
      <c r="C36" s="1793"/>
      <c r="D36" s="1793"/>
      <c r="E36" s="1781">
        <v>44870</v>
      </c>
      <c r="F36" s="1782">
        <v>561000</v>
      </c>
      <c r="G36" s="1783">
        <v>5375</v>
      </c>
      <c r="H36" s="1804">
        <v>146000</v>
      </c>
      <c r="I36" s="1786">
        <v>0.95</v>
      </c>
      <c r="J36" s="1782">
        <v>154000</v>
      </c>
      <c r="K36" s="1782">
        <v>15819</v>
      </c>
      <c r="L36" s="1784">
        <v>1.67</v>
      </c>
      <c r="M36" s="1782">
        <v>9500</v>
      </c>
      <c r="N36" s="1780">
        <v>205</v>
      </c>
      <c r="O36" s="1791">
        <v>0.62</v>
      </c>
      <c r="P36" s="1780">
        <v>330</v>
      </c>
      <c r="Q36" s="1805">
        <v>2.86E-2</v>
      </c>
      <c r="R36" s="1788">
        <v>1.7500000000000002E-2</v>
      </c>
      <c r="S36" s="1806">
        <v>0.34</v>
      </c>
      <c r="T36" s="1790">
        <v>0.55000000000000004</v>
      </c>
      <c r="U36" s="1794" t="s">
        <v>176</v>
      </c>
      <c r="V36" s="1794" t="s">
        <v>176</v>
      </c>
      <c r="W36" s="1794" t="s">
        <v>176</v>
      </c>
      <c r="X36" s="1792" t="s">
        <v>276</v>
      </c>
      <c r="Y36" s="1724"/>
      <c r="Z36" s="1724"/>
      <c r="AA36" s="1655">
        <v>100</v>
      </c>
      <c r="AB36" s="1655">
        <v>2</v>
      </c>
      <c r="AC36" s="1663">
        <v>0</v>
      </c>
      <c r="AD36" s="1655" t="s">
        <v>244</v>
      </c>
      <c r="AE36" s="1665">
        <v>1294</v>
      </c>
      <c r="AF36" s="1655">
        <v>0</v>
      </c>
      <c r="AG36" s="1655">
        <v>0</v>
      </c>
      <c r="AH36" s="1655">
        <v>0</v>
      </c>
      <c r="AI36" s="1653" t="s">
        <v>240</v>
      </c>
      <c r="AJ36" s="1653" t="s">
        <v>171</v>
      </c>
      <c r="AK36" s="1653" t="s">
        <v>238</v>
      </c>
      <c r="AL36" s="1661" t="s">
        <v>239</v>
      </c>
      <c r="AM36" s="1627"/>
      <c r="AN36" s="1627"/>
      <c r="AO36" s="1627"/>
      <c r="AP36" s="877"/>
    </row>
    <row r="37" spans="1:42" ht="13.5" customHeight="1">
      <c r="A37" s="1772"/>
      <c r="B37" s="1776" t="s">
        <v>268</v>
      </c>
      <c r="C37" s="1796"/>
      <c r="D37" s="1797" t="s">
        <v>263</v>
      </c>
      <c r="E37" s="1775"/>
      <c r="F37" s="1798">
        <v>11002000</v>
      </c>
      <c r="G37" s="1799">
        <v>121000</v>
      </c>
      <c r="H37" s="1798">
        <v>2035500</v>
      </c>
      <c r="I37" s="1800">
        <v>0.81</v>
      </c>
      <c r="J37" s="1798">
        <v>2523600</v>
      </c>
      <c r="K37" s="1798">
        <v>104258</v>
      </c>
      <c r="L37" s="1800">
        <v>0.72</v>
      </c>
      <c r="M37" s="1798">
        <v>145352</v>
      </c>
      <c r="N37" s="1798">
        <v>2727</v>
      </c>
      <c r="O37" s="1800">
        <v>0.55000000000000004</v>
      </c>
      <c r="P37" s="1798">
        <v>4992</v>
      </c>
      <c r="Q37" s="1801">
        <v>9.7000000000000003E-3</v>
      </c>
      <c r="R37" s="1801">
        <v>1.37E-2</v>
      </c>
      <c r="S37" s="1802">
        <v>1.1299999999999999</v>
      </c>
      <c r="T37" s="1802">
        <v>0.8</v>
      </c>
      <c r="U37" s="1807" t="s">
        <v>176</v>
      </c>
      <c r="V37" s="1807" t="s">
        <v>176</v>
      </c>
      <c r="W37" s="1807" t="s">
        <v>176</v>
      </c>
      <c r="X37" s="1775"/>
      <c r="Y37" s="1724"/>
      <c r="Z37" s="1724"/>
      <c r="AA37" s="1655">
        <v>0</v>
      </c>
      <c r="AB37" s="1655">
        <v>3</v>
      </c>
      <c r="AC37" s="1663">
        <v>0</v>
      </c>
      <c r="AD37" s="1655" t="s">
        <v>244</v>
      </c>
      <c r="AE37" s="1665">
        <v>6909</v>
      </c>
      <c r="AF37" s="1655">
        <v>0</v>
      </c>
      <c r="AG37" s="1655">
        <v>0</v>
      </c>
      <c r="AH37" s="1655">
        <v>0</v>
      </c>
      <c r="AI37" s="1655" t="s">
        <v>268</v>
      </c>
      <c r="AJ37" s="1662">
        <v>1229</v>
      </c>
      <c r="AK37" s="1655">
        <v>84</v>
      </c>
      <c r="AL37" s="1655">
        <v>4</v>
      </c>
      <c r="AM37" s="1627"/>
      <c r="AN37" s="1627"/>
      <c r="AO37" s="1627"/>
      <c r="AP37" s="877"/>
    </row>
    <row r="38" spans="1:42" ht="13.5" customHeight="1">
      <c r="A38" s="1764"/>
      <c r="B38" s="1769"/>
      <c r="C38" s="1769"/>
      <c r="D38" s="1769"/>
      <c r="E38" s="1769"/>
      <c r="F38" s="1769"/>
      <c r="G38" s="1769"/>
      <c r="H38" s="1769"/>
      <c r="I38" s="1769"/>
      <c r="J38" s="1769"/>
      <c r="K38" s="1769"/>
      <c r="L38" s="1769"/>
      <c r="M38" s="1769"/>
      <c r="N38" s="1769"/>
      <c r="O38" s="1769"/>
      <c r="P38" s="1769"/>
      <c r="Q38" s="1769"/>
      <c r="R38" s="1769"/>
      <c r="S38" s="1769"/>
      <c r="T38" s="1769"/>
      <c r="U38" s="1769"/>
      <c r="V38" s="1769"/>
      <c r="W38" s="1769"/>
      <c r="X38" s="1771"/>
      <c r="Y38" s="1724"/>
      <c r="Z38" s="1724"/>
      <c r="AA38" s="1655">
        <v>200</v>
      </c>
      <c r="AB38" s="1655">
        <v>8</v>
      </c>
      <c r="AC38" s="1663">
        <v>0</v>
      </c>
      <c r="AD38" s="1655" t="s">
        <v>244</v>
      </c>
      <c r="AE38" s="1665">
        <v>5031</v>
      </c>
      <c r="AF38" s="1655">
        <v>0</v>
      </c>
      <c r="AG38" s="1655">
        <v>0</v>
      </c>
      <c r="AH38" s="1655">
        <v>0</v>
      </c>
      <c r="AI38" s="1655" t="s">
        <v>268</v>
      </c>
      <c r="AJ38" s="1662">
        <v>32071</v>
      </c>
      <c r="AK38" s="1662">
        <v>1400</v>
      </c>
      <c r="AL38" s="1655">
        <v>37</v>
      </c>
      <c r="AM38" s="1627"/>
      <c r="AN38" s="1627"/>
      <c r="AO38" s="1627"/>
      <c r="AP38" s="877"/>
    </row>
    <row r="39" spans="1:42" ht="13.5" customHeight="1">
      <c r="A39" s="1772"/>
      <c r="B39" s="1780" t="s">
        <v>69</v>
      </c>
      <c r="C39" s="1778"/>
      <c r="D39" s="1778"/>
      <c r="E39" s="1808">
        <v>44825</v>
      </c>
      <c r="F39" s="1782">
        <v>2600000</v>
      </c>
      <c r="G39" s="1780" t="s">
        <v>277</v>
      </c>
      <c r="H39" s="1804">
        <v>74000</v>
      </c>
      <c r="I39" s="1794" t="s">
        <v>176</v>
      </c>
      <c r="J39" s="1794" t="s">
        <v>176</v>
      </c>
      <c r="K39" s="1782">
        <v>3200</v>
      </c>
      <c r="L39" s="1794" t="s">
        <v>176</v>
      </c>
      <c r="M39" s="1794" t="s">
        <v>176</v>
      </c>
      <c r="N39" s="1782">
        <v>1000</v>
      </c>
      <c r="O39" s="1794" t="s">
        <v>176</v>
      </c>
      <c r="P39" s="1794" t="s">
        <v>176</v>
      </c>
      <c r="Q39" s="1788">
        <v>1.6000000000000001E-3</v>
      </c>
      <c r="R39" s="1794" t="s">
        <v>176</v>
      </c>
      <c r="S39" s="1794" t="s">
        <v>176</v>
      </c>
      <c r="T39" s="1794" t="s">
        <v>176</v>
      </c>
      <c r="U39" s="1794" t="s">
        <v>176</v>
      </c>
      <c r="V39" s="1794" t="s">
        <v>176</v>
      </c>
      <c r="W39" s="1794" t="s">
        <v>176</v>
      </c>
      <c r="X39" s="1792" t="s">
        <v>278</v>
      </c>
      <c r="Y39" s="1724"/>
      <c r="Z39" s="1724"/>
      <c r="AA39" s="1655">
        <v>100</v>
      </c>
      <c r="AB39" s="1655">
        <v>3</v>
      </c>
      <c r="AC39" s="1663">
        <v>0</v>
      </c>
      <c r="AD39" s="1655" t="s">
        <v>244</v>
      </c>
      <c r="AE39" s="1654">
        <v>70</v>
      </c>
      <c r="AF39" s="1655">
        <v>0</v>
      </c>
      <c r="AG39" s="1655">
        <v>0</v>
      </c>
      <c r="AH39" s="1655">
        <v>1</v>
      </c>
      <c r="AI39" s="1655" t="s">
        <v>268</v>
      </c>
      <c r="AJ39" s="1662">
        <v>3400</v>
      </c>
      <c r="AK39" s="1655">
        <v>119</v>
      </c>
      <c r="AL39" s="1655">
        <v>1</v>
      </c>
      <c r="AM39" s="1627"/>
      <c r="AN39" s="1627"/>
      <c r="AO39" s="1627"/>
      <c r="AP39" s="877"/>
    </row>
    <row r="40" spans="1:42" ht="13.5" customHeight="1">
      <c r="A40" s="1772"/>
      <c r="B40" s="1780" t="s">
        <v>279</v>
      </c>
      <c r="C40" s="1778" t="s">
        <v>245</v>
      </c>
      <c r="D40" s="1779" t="s">
        <v>242</v>
      </c>
      <c r="E40" s="1781">
        <v>44825</v>
      </c>
      <c r="F40" s="1782">
        <v>110000</v>
      </c>
      <c r="G40" s="1780" t="s">
        <v>277</v>
      </c>
      <c r="H40" s="1804">
        <v>21300</v>
      </c>
      <c r="I40" s="1794" t="s">
        <v>176</v>
      </c>
      <c r="J40" s="1794" t="s">
        <v>176</v>
      </c>
      <c r="K40" s="1794" t="s">
        <v>176</v>
      </c>
      <c r="L40" s="1794" t="s">
        <v>176</v>
      </c>
      <c r="M40" s="1794" t="s">
        <v>176</v>
      </c>
      <c r="N40" s="1794" t="s">
        <v>176</v>
      </c>
      <c r="O40" s="1794" t="s">
        <v>176</v>
      </c>
      <c r="P40" s="1794" t="s">
        <v>176</v>
      </c>
      <c r="Q40" s="1794" t="s">
        <v>176</v>
      </c>
      <c r="R40" s="1794" t="s">
        <v>176</v>
      </c>
      <c r="S40" s="1794" t="s">
        <v>176</v>
      </c>
      <c r="T40" s="1794" t="s">
        <v>176</v>
      </c>
      <c r="U40" s="1794" t="s">
        <v>176</v>
      </c>
      <c r="V40" s="1794" t="s">
        <v>176</v>
      </c>
      <c r="W40" s="1794" t="s">
        <v>176</v>
      </c>
      <c r="X40" s="1792" t="s">
        <v>280</v>
      </c>
      <c r="Y40" s="1724"/>
      <c r="Z40" s="1724"/>
      <c r="AA40" s="1655">
        <v>300</v>
      </c>
      <c r="AB40" s="1655">
        <v>16</v>
      </c>
      <c r="AC40" s="1663">
        <v>0</v>
      </c>
      <c r="AD40" s="1655" t="s">
        <v>244</v>
      </c>
      <c r="AE40" s="1654">
        <v>114</v>
      </c>
      <c r="AF40" s="1655">
        <v>0</v>
      </c>
      <c r="AG40" s="1655">
        <v>0</v>
      </c>
      <c r="AH40" s="1655">
        <v>0</v>
      </c>
      <c r="AI40" s="1655" t="s">
        <v>268</v>
      </c>
      <c r="AJ40" s="1662">
        <v>2100</v>
      </c>
      <c r="AK40" s="1655">
        <v>71</v>
      </c>
      <c r="AL40" s="1655">
        <v>2</v>
      </c>
      <c r="AM40" s="1627"/>
      <c r="AN40" s="1627" t="s">
        <v>204</v>
      </c>
      <c r="AO40" s="1627"/>
      <c r="AP40" s="877"/>
    </row>
    <row r="41" spans="1:42" ht="13.5" customHeight="1">
      <c r="A41" s="1772"/>
      <c r="B41" s="1780" t="s">
        <v>281</v>
      </c>
      <c r="C41" s="1778"/>
      <c r="D41" s="1778"/>
      <c r="E41" s="1781">
        <v>44825</v>
      </c>
      <c r="F41" s="1782">
        <v>1200000</v>
      </c>
      <c r="G41" s="1780" t="s">
        <v>277</v>
      </c>
      <c r="H41" s="1809" t="s">
        <v>176</v>
      </c>
      <c r="I41" s="1794" t="s">
        <v>176</v>
      </c>
      <c r="J41" s="1794" t="s">
        <v>176</v>
      </c>
      <c r="K41" s="1780">
        <v>144</v>
      </c>
      <c r="L41" s="1794" t="s">
        <v>176</v>
      </c>
      <c r="M41" s="1794" t="s">
        <v>176</v>
      </c>
      <c r="N41" s="1794" t="s">
        <v>176</v>
      </c>
      <c r="O41" s="1794" t="s">
        <v>176</v>
      </c>
      <c r="P41" s="1794" t="s">
        <v>176</v>
      </c>
      <c r="Q41" s="1794" t="s">
        <v>176</v>
      </c>
      <c r="R41" s="1794" t="s">
        <v>176</v>
      </c>
      <c r="S41" s="1794" t="s">
        <v>176</v>
      </c>
      <c r="T41" s="1794" t="s">
        <v>176</v>
      </c>
      <c r="U41" s="1794" t="s">
        <v>176</v>
      </c>
      <c r="V41" s="1794" t="s">
        <v>176</v>
      </c>
      <c r="W41" s="1794" t="s">
        <v>176</v>
      </c>
      <c r="X41" s="1792" t="s">
        <v>282</v>
      </c>
      <c r="Y41" s="1724"/>
      <c r="Z41" s="1724"/>
      <c r="AA41" s="1655">
        <v>0</v>
      </c>
      <c r="AB41" s="1655">
        <v>2</v>
      </c>
      <c r="AC41" s="1663">
        <v>0</v>
      </c>
      <c r="AD41" s="1655" t="s">
        <v>244</v>
      </c>
      <c r="AE41" s="1654">
        <v>25</v>
      </c>
      <c r="AF41" s="1655">
        <v>0</v>
      </c>
      <c r="AG41" s="1655">
        <v>0</v>
      </c>
      <c r="AH41" s="1655">
        <v>0</v>
      </c>
      <c r="AI41" s="1655" t="s">
        <v>268</v>
      </c>
      <c r="AJ41" s="1655">
        <v>0</v>
      </c>
      <c r="AK41" s="1655">
        <v>0</v>
      </c>
      <c r="AL41" s="1655">
        <v>0</v>
      </c>
      <c r="AM41" s="1627"/>
      <c r="AN41" s="1627"/>
      <c r="AO41" s="1627"/>
      <c r="AP41" s="877"/>
    </row>
    <row r="42" spans="1:42" ht="13.5" customHeight="1">
      <c r="A42" s="1772"/>
      <c r="B42" s="1780" t="s">
        <v>268</v>
      </c>
      <c r="C42" s="1793"/>
      <c r="D42" s="1793"/>
      <c r="E42" s="1781">
        <v>44830</v>
      </c>
      <c r="F42" s="1782">
        <v>1500000</v>
      </c>
      <c r="G42" s="1780" t="s">
        <v>277</v>
      </c>
      <c r="H42" s="1804">
        <v>119000</v>
      </c>
      <c r="I42" s="1794" t="s">
        <v>176</v>
      </c>
      <c r="J42" s="1794" t="s">
        <v>176</v>
      </c>
      <c r="K42" s="1782">
        <v>4189</v>
      </c>
      <c r="L42" s="1794" t="s">
        <v>176</v>
      </c>
      <c r="M42" s="1794" t="s">
        <v>176</v>
      </c>
      <c r="N42" s="1782">
        <v>1312</v>
      </c>
      <c r="O42" s="1794" t="s">
        <v>176</v>
      </c>
      <c r="P42" s="1794" t="s">
        <v>176</v>
      </c>
      <c r="Q42" s="1788">
        <v>3.7000000000000002E-3</v>
      </c>
      <c r="R42" s="1794" t="s">
        <v>176</v>
      </c>
      <c r="S42" s="1794" t="s">
        <v>176</v>
      </c>
      <c r="T42" s="1794" t="s">
        <v>176</v>
      </c>
      <c r="U42" s="1794" t="s">
        <v>176</v>
      </c>
      <c r="V42" s="1794" t="s">
        <v>176</v>
      </c>
      <c r="W42" s="1794" t="s">
        <v>176</v>
      </c>
      <c r="X42" s="1792" t="s">
        <v>283</v>
      </c>
      <c r="Y42" s="1724"/>
      <c r="Z42" s="1724"/>
      <c r="AA42" s="1655">
        <v>0</v>
      </c>
      <c r="AB42" s="1655">
        <v>0</v>
      </c>
      <c r="AC42" s="1663">
        <v>0</v>
      </c>
      <c r="AD42" s="1655" t="s">
        <v>244</v>
      </c>
      <c r="AE42" s="1654">
        <v>54</v>
      </c>
      <c r="AF42" s="1655">
        <v>0</v>
      </c>
      <c r="AG42" s="1655">
        <v>0</v>
      </c>
      <c r="AH42" s="1655">
        <v>0</v>
      </c>
      <c r="AI42" s="1655" t="s">
        <v>268</v>
      </c>
      <c r="AJ42" s="1655">
        <v>200</v>
      </c>
      <c r="AK42" s="1655">
        <v>6</v>
      </c>
      <c r="AL42" s="1655">
        <v>0</v>
      </c>
      <c r="AM42" s="1627"/>
      <c r="AN42" s="1627"/>
      <c r="AO42" s="1627"/>
      <c r="AP42" s="877"/>
    </row>
    <row r="43" spans="1:42" ht="13.5" customHeight="1">
      <c r="A43" s="1772"/>
      <c r="B43" s="1780" t="s">
        <v>268</v>
      </c>
      <c r="C43" s="1778" t="s">
        <v>251</v>
      </c>
      <c r="D43" s="1779" t="s">
        <v>253</v>
      </c>
      <c r="E43" s="1781">
        <v>44830</v>
      </c>
      <c r="F43" s="1782">
        <v>206000</v>
      </c>
      <c r="G43" s="1780" t="s">
        <v>277</v>
      </c>
      <c r="H43" s="1804">
        <v>57700</v>
      </c>
      <c r="I43" s="1794" t="s">
        <v>176</v>
      </c>
      <c r="J43" s="1794" t="s">
        <v>176</v>
      </c>
      <c r="K43" s="1782">
        <v>1393</v>
      </c>
      <c r="L43" s="1794" t="s">
        <v>176</v>
      </c>
      <c r="M43" s="1794" t="s">
        <v>176</v>
      </c>
      <c r="N43" s="1780">
        <v>87</v>
      </c>
      <c r="O43" s="1794" t="s">
        <v>176</v>
      </c>
      <c r="P43" s="1794" t="s">
        <v>176</v>
      </c>
      <c r="Q43" s="1788">
        <v>7.1999999999999998E-3</v>
      </c>
      <c r="R43" s="1794" t="s">
        <v>176</v>
      </c>
      <c r="S43" s="1794" t="s">
        <v>176</v>
      </c>
      <c r="T43" s="1794" t="s">
        <v>176</v>
      </c>
      <c r="U43" s="1794" t="s">
        <v>176</v>
      </c>
      <c r="V43" s="1794" t="s">
        <v>176</v>
      </c>
      <c r="W43" s="1794" t="s">
        <v>176</v>
      </c>
      <c r="X43" s="1795" t="s">
        <v>283</v>
      </c>
      <c r="Y43" s="1724"/>
      <c r="Z43" s="1724"/>
      <c r="AA43" s="1655">
        <v>200</v>
      </c>
      <c r="AB43" s="1655">
        <v>4</v>
      </c>
      <c r="AC43" s="1663">
        <v>0</v>
      </c>
      <c r="AD43" s="1655" t="s">
        <v>244</v>
      </c>
      <c r="AE43" s="1654">
        <v>0</v>
      </c>
      <c r="AF43" s="1655">
        <v>0</v>
      </c>
      <c r="AG43" s="1655">
        <v>0</v>
      </c>
      <c r="AH43" s="1655">
        <v>1</v>
      </c>
      <c r="AI43" s="1655" t="s">
        <v>268</v>
      </c>
      <c r="AJ43" s="1655">
        <v>700</v>
      </c>
      <c r="AK43" s="1655">
        <v>22</v>
      </c>
      <c r="AL43" s="1655">
        <v>0</v>
      </c>
      <c r="AM43" s="1627"/>
      <c r="AN43" s="1627"/>
      <c r="AO43" s="1627"/>
      <c r="AP43" s="877"/>
    </row>
    <row r="44" spans="1:42" ht="13.5" customHeight="1">
      <c r="A44" s="1772"/>
      <c r="B44" s="1780" t="s">
        <v>268</v>
      </c>
      <c r="C44" s="1793"/>
      <c r="D44" s="1793"/>
      <c r="E44" s="1781">
        <v>44882</v>
      </c>
      <c r="F44" s="1782">
        <v>206000</v>
      </c>
      <c r="G44" s="1780" t="s">
        <v>277</v>
      </c>
      <c r="H44" s="1804">
        <v>45700</v>
      </c>
      <c r="I44" s="1794" t="s">
        <v>176</v>
      </c>
      <c r="J44" s="1794" t="s">
        <v>176</v>
      </c>
      <c r="K44" s="1782">
        <v>1327</v>
      </c>
      <c r="L44" s="1794" t="s">
        <v>176</v>
      </c>
      <c r="M44" s="1794" t="s">
        <v>176</v>
      </c>
      <c r="N44" s="1780">
        <v>24</v>
      </c>
      <c r="O44" s="1794" t="s">
        <v>176</v>
      </c>
      <c r="P44" s="1794" t="s">
        <v>176</v>
      </c>
      <c r="Q44" s="1788">
        <v>6.6E-3</v>
      </c>
      <c r="R44" s="1794" t="s">
        <v>176</v>
      </c>
      <c r="S44" s="1794" t="s">
        <v>176</v>
      </c>
      <c r="T44" s="1794" t="s">
        <v>176</v>
      </c>
      <c r="U44" s="1794" t="s">
        <v>176</v>
      </c>
      <c r="V44" s="1794" t="s">
        <v>176</v>
      </c>
      <c r="W44" s="1794" t="s">
        <v>176</v>
      </c>
      <c r="X44" s="1795" t="s">
        <v>283</v>
      </c>
      <c r="Y44" s="1724"/>
      <c r="Z44" s="1724"/>
      <c r="AA44" s="1655">
        <v>0</v>
      </c>
      <c r="AB44" s="1655">
        <v>4</v>
      </c>
      <c r="AC44" s="1663">
        <v>0</v>
      </c>
      <c r="AD44" s="1655" t="s">
        <v>244</v>
      </c>
      <c r="AE44" s="1654">
        <v>119</v>
      </c>
      <c r="AF44" s="1655">
        <v>0</v>
      </c>
      <c r="AG44" s="1655">
        <v>1</v>
      </c>
      <c r="AH44" s="1655">
        <v>0</v>
      </c>
      <c r="AI44" s="1655" t="s">
        <v>268</v>
      </c>
      <c r="AJ44" s="1655">
        <v>500</v>
      </c>
      <c r="AK44" s="1655">
        <v>8</v>
      </c>
      <c r="AL44" s="1655">
        <v>0</v>
      </c>
      <c r="AM44" s="1627"/>
      <c r="AN44" s="1627"/>
      <c r="AO44" s="1627"/>
      <c r="AP44" s="877"/>
    </row>
    <row r="45" spans="1:42" ht="13.5" customHeight="1">
      <c r="A45" s="1772"/>
      <c r="B45" s="1780" t="s">
        <v>268</v>
      </c>
      <c r="C45" s="1780" t="s">
        <v>258</v>
      </c>
      <c r="D45" s="1803" t="s">
        <v>256</v>
      </c>
      <c r="E45" s="1781">
        <v>44881</v>
      </c>
      <c r="F45" s="1782">
        <v>1500000</v>
      </c>
      <c r="G45" s="1780" t="s">
        <v>277</v>
      </c>
      <c r="H45" s="1804">
        <v>164000</v>
      </c>
      <c r="I45" s="1794" t="s">
        <v>176</v>
      </c>
      <c r="J45" s="1794" t="s">
        <v>176</v>
      </c>
      <c r="K45" s="1782">
        <v>12483</v>
      </c>
      <c r="L45" s="1794" t="s">
        <v>176</v>
      </c>
      <c r="M45" s="1794" t="s">
        <v>176</v>
      </c>
      <c r="N45" s="1780">
        <v>122</v>
      </c>
      <c r="O45" s="1794" t="s">
        <v>176</v>
      </c>
      <c r="P45" s="1794" t="s">
        <v>176</v>
      </c>
      <c r="Q45" s="1788">
        <v>8.3999999999999995E-3</v>
      </c>
      <c r="R45" s="1794" t="s">
        <v>176</v>
      </c>
      <c r="S45" s="1794" t="s">
        <v>176</v>
      </c>
      <c r="T45" s="1794" t="s">
        <v>176</v>
      </c>
      <c r="U45" s="1794" t="s">
        <v>176</v>
      </c>
      <c r="V45" s="1794" t="s">
        <v>176</v>
      </c>
      <c r="W45" s="1794" t="s">
        <v>176</v>
      </c>
      <c r="X45" s="1795" t="s">
        <v>283</v>
      </c>
      <c r="Y45" s="1724"/>
      <c r="Z45" s="1724"/>
      <c r="AA45" s="1655">
        <v>300</v>
      </c>
      <c r="AB45" s="1655">
        <v>2</v>
      </c>
      <c r="AC45" s="1663">
        <v>0</v>
      </c>
      <c r="AD45" s="1655" t="s">
        <v>244</v>
      </c>
      <c r="AE45" s="1654">
        <v>47</v>
      </c>
      <c r="AF45" s="1655">
        <v>0</v>
      </c>
      <c r="AG45" s="1655">
        <v>0</v>
      </c>
      <c r="AH45" s="1655">
        <v>0</v>
      </c>
      <c r="AI45" s="1655" t="s">
        <v>268</v>
      </c>
      <c r="AJ45" s="1655">
        <v>700</v>
      </c>
      <c r="AK45" s="1655">
        <v>10</v>
      </c>
      <c r="AL45" s="1655">
        <v>0</v>
      </c>
      <c r="AM45" s="1627"/>
      <c r="AN45" s="1627"/>
      <c r="AO45" s="1627"/>
      <c r="AP45" s="877"/>
    </row>
    <row r="46" spans="1:42" ht="13.5" customHeight="1">
      <c r="A46" s="1764"/>
      <c r="B46" s="1797" t="s">
        <v>284</v>
      </c>
      <c r="C46" s="1796"/>
      <c r="D46" s="1797" t="s">
        <v>263</v>
      </c>
      <c r="E46" s="1775"/>
      <c r="F46" s="1798">
        <v>7322000</v>
      </c>
      <c r="G46" s="1776" t="s">
        <v>284</v>
      </c>
      <c r="H46" s="1798">
        <v>481700</v>
      </c>
      <c r="I46" s="1807" t="s">
        <v>176</v>
      </c>
      <c r="J46" s="1807" t="s">
        <v>176</v>
      </c>
      <c r="K46" s="1798">
        <v>22736</v>
      </c>
      <c r="L46" s="1807" t="s">
        <v>176</v>
      </c>
      <c r="M46" s="1807" t="s">
        <v>176</v>
      </c>
      <c r="N46" s="1798">
        <v>2545</v>
      </c>
      <c r="O46" s="1807" t="s">
        <v>176</v>
      </c>
      <c r="P46" s="1807" t="s">
        <v>176</v>
      </c>
      <c r="Q46" s="1801">
        <v>3.5000000000000001E-3</v>
      </c>
      <c r="R46" s="1807" t="s">
        <v>176</v>
      </c>
      <c r="S46" s="1807" t="s">
        <v>176</v>
      </c>
      <c r="T46" s="1807" t="s">
        <v>176</v>
      </c>
      <c r="U46" s="1807" t="s">
        <v>176</v>
      </c>
      <c r="V46" s="1807" t="s">
        <v>176</v>
      </c>
      <c r="W46" s="1807" t="s">
        <v>176</v>
      </c>
      <c r="X46" s="1775"/>
      <c r="Y46" s="1724"/>
      <c r="Z46" s="1724"/>
      <c r="AA46" s="1655">
        <v>0</v>
      </c>
      <c r="AB46" s="1655">
        <v>4</v>
      </c>
      <c r="AC46" s="1663">
        <v>0</v>
      </c>
      <c r="AD46" s="1655" t="s">
        <v>244</v>
      </c>
      <c r="AE46" s="1654">
        <v>150</v>
      </c>
      <c r="AF46" s="1655">
        <v>0</v>
      </c>
      <c r="AG46" s="1655">
        <v>0</v>
      </c>
      <c r="AH46" s="1655">
        <v>0</v>
      </c>
      <c r="AI46" s="1655" t="s">
        <v>268</v>
      </c>
      <c r="AJ46" s="1655">
        <v>500</v>
      </c>
      <c r="AK46" s="1655">
        <v>16</v>
      </c>
      <c r="AL46" s="1655">
        <v>1</v>
      </c>
      <c r="AM46" s="1627"/>
      <c r="AN46" s="1627"/>
      <c r="AO46" s="1627"/>
      <c r="AP46" s="877"/>
    </row>
    <row r="47" spans="1:42" ht="13.5" customHeight="1">
      <c r="A47" s="1764"/>
      <c r="B47" s="1769"/>
      <c r="C47" s="1769"/>
      <c r="D47" s="1769"/>
      <c r="E47" s="1769"/>
      <c r="F47" s="1769"/>
      <c r="G47" s="1769"/>
      <c r="H47" s="1769"/>
      <c r="I47" s="1769"/>
      <c r="J47" s="1769"/>
      <c r="K47" s="1769"/>
      <c r="L47" s="1769"/>
      <c r="M47" s="1769"/>
      <c r="N47" s="1769"/>
      <c r="O47" s="1769"/>
      <c r="P47" s="1769"/>
      <c r="Q47" s="1769"/>
      <c r="R47" s="1769"/>
      <c r="S47" s="1769"/>
      <c r="T47" s="1769"/>
      <c r="U47" s="1769"/>
      <c r="V47" s="1769"/>
      <c r="W47" s="1769"/>
      <c r="X47" s="1771"/>
      <c r="Y47" s="1724"/>
      <c r="Z47" s="1724"/>
      <c r="AA47" s="1655">
        <v>0</v>
      </c>
      <c r="AB47" s="1655">
        <v>0</v>
      </c>
      <c r="AC47" s="1663">
        <v>0</v>
      </c>
      <c r="AD47" s="1655" t="s">
        <v>244</v>
      </c>
      <c r="AE47" s="1654">
        <v>30</v>
      </c>
      <c r="AF47" s="1655">
        <v>0</v>
      </c>
      <c r="AG47" s="1655">
        <v>0</v>
      </c>
      <c r="AH47" s="1655">
        <v>0</v>
      </c>
      <c r="AI47" s="1655" t="s">
        <v>268</v>
      </c>
      <c r="AJ47" s="1655">
        <v>600</v>
      </c>
      <c r="AK47" s="1655">
        <v>4</v>
      </c>
      <c r="AL47" s="1655">
        <v>0</v>
      </c>
      <c r="AM47" s="1627"/>
      <c r="AN47" s="1627"/>
      <c r="AO47" s="1627"/>
      <c r="AP47" s="877"/>
    </row>
    <row r="48" spans="1:42" ht="13.5" customHeight="1">
      <c r="A48" s="1772"/>
      <c r="B48" s="1780" t="s">
        <v>268</v>
      </c>
      <c r="C48" s="1780" t="s">
        <v>245</v>
      </c>
      <c r="D48" s="1803" t="s">
        <v>242</v>
      </c>
      <c r="E48" s="1781">
        <v>44880</v>
      </c>
      <c r="F48" s="1782">
        <v>1500000</v>
      </c>
      <c r="G48" s="1783">
        <v>7600</v>
      </c>
      <c r="H48" s="1782">
        <v>253000</v>
      </c>
      <c r="I48" s="1784">
        <v>1.24</v>
      </c>
      <c r="J48" s="1782">
        <v>204700</v>
      </c>
      <c r="K48" s="1782">
        <v>9336</v>
      </c>
      <c r="L48" s="1784">
        <v>1.24</v>
      </c>
      <c r="M48" s="1782">
        <v>7552</v>
      </c>
      <c r="N48" s="1782">
        <v>3556</v>
      </c>
      <c r="O48" s="1784">
        <v>3.16</v>
      </c>
      <c r="P48" s="1782">
        <v>1124</v>
      </c>
      <c r="Q48" s="1805">
        <v>8.6E-3</v>
      </c>
      <c r="R48" s="1788">
        <v>5.7999999999999996E-3</v>
      </c>
      <c r="S48" s="1806">
        <v>0.59</v>
      </c>
      <c r="T48" s="1790">
        <v>0.88</v>
      </c>
      <c r="U48" s="1782">
        <v>2473</v>
      </c>
      <c r="V48" s="1784">
        <v>2.34</v>
      </c>
      <c r="W48" s="1782">
        <v>1056</v>
      </c>
      <c r="X48" s="1792" t="s">
        <v>285</v>
      </c>
      <c r="Y48" s="1724"/>
      <c r="Z48" s="1724"/>
      <c r="AA48" s="1655">
        <v>100</v>
      </c>
      <c r="AB48" s="1655">
        <v>1</v>
      </c>
      <c r="AC48" s="1663">
        <v>0</v>
      </c>
      <c r="AD48" s="1655" t="s">
        <v>244</v>
      </c>
      <c r="AE48" s="1654">
        <v>50</v>
      </c>
      <c r="AF48" s="1655">
        <v>0</v>
      </c>
      <c r="AG48" s="1655">
        <v>0</v>
      </c>
      <c r="AH48" s="1655">
        <v>0</v>
      </c>
      <c r="AI48" s="1655" t="s">
        <v>268</v>
      </c>
      <c r="AJ48" s="1655">
        <v>600</v>
      </c>
      <c r="AK48" s="1655">
        <v>8</v>
      </c>
      <c r="AL48" s="1655">
        <v>0</v>
      </c>
      <c r="AM48" s="1627"/>
      <c r="AN48" s="1627"/>
      <c r="AO48" s="1627"/>
      <c r="AP48" s="877"/>
    </row>
    <row r="49" spans="1:42" ht="13.5" customHeight="1">
      <c r="A49" s="1772"/>
      <c r="B49" s="1780" t="s">
        <v>268</v>
      </c>
      <c r="C49" s="1780" t="s">
        <v>251</v>
      </c>
      <c r="D49" s="1803" t="s">
        <v>249</v>
      </c>
      <c r="E49" s="1781">
        <v>44883</v>
      </c>
      <c r="F49" s="1782">
        <v>534000</v>
      </c>
      <c r="G49" s="1783">
        <v>7500</v>
      </c>
      <c r="H49" s="1782">
        <v>903000</v>
      </c>
      <c r="I49" s="1784">
        <v>1.72</v>
      </c>
      <c r="J49" s="1782">
        <v>526167</v>
      </c>
      <c r="K49" s="1782">
        <v>76100</v>
      </c>
      <c r="L49" s="1784">
        <v>2.63</v>
      </c>
      <c r="M49" s="1782">
        <v>28967</v>
      </c>
      <c r="N49" s="1782">
        <v>1842</v>
      </c>
      <c r="O49" s="1784">
        <v>6.8</v>
      </c>
      <c r="P49" s="1780">
        <v>271</v>
      </c>
      <c r="Q49" s="1805">
        <v>0.14599999999999999</v>
      </c>
      <c r="R49" s="1788">
        <v>5.4800000000000001E-2</v>
      </c>
      <c r="S49" s="1806">
        <v>0.1</v>
      </c>
      <c r="T49" s="1790">
        <v>0.26</v>
      </c>
      <c r="U49" s="1780">
        <v>515</v>
      </c>
      <c r="V49" s="1791">
        <v>0.49</v>
      </c>
      <c r="W49" s="1782">
        <v>1042</v>
      </c>
      <c r="X49" s="1792" t="s">
        <v>286</v>
      </c>
      <c r="Y49" s="1724"/>
      <c r="Z49" s="1724"/>
      <c r="AA49" s="1655">
        <v>100</v>
      </c>
      <c r="AB49" s="1655">
        <v>1</v>
      </c>
      <c r="AC49" s="1663">
        <v>0</v>
      </c>
      <c r="AD49" s="1655" t="s">
        <v>244</v>
      </c>
      <c r="AE49" s="1654">
        <v>37</v>
      </c>
      <c r="AF49" s="1655">
        <v>0</v>
      </c>
      <c r="AG49" s="1655">
        <v>0</v>
      </c>
      <c r="AH49" s="1655">
        <v>0</v>
      </c>
      <c r="AI49" s="1655" t="s">
        <v>268</v>
      </c>
      <c r="AJ49" s="1655">
        <v>550</v>
      </c>
      <c r="AK49" s="1655">
        <v>5</v>
      </c>
      <c r="AL49" s="1655">
        <v>0</v>
      </c>
      <c r="AM49" s="1627"/>
      <c r="AN49" s="1627"/>
      <c r="AO49" s="1627"/>
      <c r="AP49" s="877"/>
    </row>
    <row r="50" spans="1:42" ht="13.5" customHeight="1">
      <c r="A50" s="1772"/>
      <c r="B50" s="1776" t="s">
        <v>287</v>
      </c>
      <c r="C50" s="1796"/>
      <c r="D50" s="1797" t="s">
        <v>263</v>
      </c>
      <c r="E50" s="1775"/>
      <c r="F50" s="1798">
        <v>2034000</v>
      </c>
      <c r="G50" s="1799">
        <v>15100</v>
      </c>
      <c r="H50" s="1798">
        <v>1156000</v>
      </c>
      <c r="I50" s="1800">
        <v>1.58</v>
      </c>
      <c r="J50" s="1798">
        <v>730867</v>
      </c>
      <c r="K50" s="1798">
        <v>85436</v>
      </c>
      <c r="L50" s="1800">
        <v>2.34</v>
      </c>
      <c r="M50" s="1798">
        <v>36519</v>
      </c>
      <c r="N50" s="1798">
        <v>5398</v>
      </c>
      <c r="O50" s="1800">
        <v>3.87</v>
      </c>
      <c r="P50" s="1798">
        <v>1395</v>
      </c>
      <c r="Q50" s="1801">
        <v>4.4699999999999997E-2</v>
      </c>
      <c r="R50" s="1801">
        <v>1.8599999999999998E-2</v>
      </c>
      <c r="S50" s="1802">
        <v>0.17</v>
      </c>
      <c r="T50" s="1802">
        <v>0.4</v>
      </c>
      <c r="U50" s="1798">
        <v>2988</v>
      </c>
      <c r="V50" s="1800">
        <v>1.42</v>
      </c>
      <c r="W50" s="1798">
        <v>2097</v>
      </c>
      <c r="X50" s="1775"/>
      <c r="Y50" s="1724"/>
      <c r="Z50" s="1724"/>
      <c r="AA50" s="1655">
        <v>100</v>
      </c>
      <c r="AB50" s="1655">
        <v>1</v>
      </c>
      <c r="AC50" s="1663">
        <v>0</v>
      </c>
      <c r="AD50" s="1655" t="s">
        <v>244</v>
      </c>
      <c r="AE50" s="1654">
        <v>40</v>
      </c>
      <c r="AF50" s="1655">
        <v>0</v>
      </c>
      <c r="AG50" s="1655">
        <v>0</v>
      </c>
      <c r="AH50" s="1655">
        <v>0</v>
      </c>
      <c r="AI50" s="1655" t="s">
        <v>268</v>
      </c>
      <c r="AJ50" s="1655">
        <v>570</v>
      </c>
      <c r="AK50" s="1655">
        <v>6</v>
      </c>
      <c r="AL50" s="1655">
        <v>0</v>
      </c>
      <c r="AM50" s="1627"/>
      <c r="AN50" s="1627"/>
      <c r="AO50" s="1627"/>
      <c r="AP50" s="877"/>
    </row>
    <row r="51" spans="1:42" ht="13.5" customHeight="1">
      <c r="A51" s="1764"/>
      <c r="B51" s="1766"/>
      <c r="C51" s="1766"/>
      <c r="D51" s="1766"/>
      <c r="E51" s="1766"/>
      <c r="F51" s="1766"/>
      <c r="G51" s="1766"/>
      <c r="H51" s="1766"/>
      <c r="I51" s="1766"/>
      <c r="J51" s="1766"/>
      <c r="K51" s="1766"/>
      <c r="L51" s="1766"/>
      <c r="M51" s="1766"/>
      <c r="N51" s="1766"/>
      <c r="O51" s="1766"/>
      <c r="P51" s="1766"/>
      <c r="Q51" s="1766"/>
      <c r="R51" s="1766"/>
      <c r="S51" s="1766"/>
      <c r="T51" s="1766"/>
      <c r="U51" s="1766"/>
      <c r="V51" s="1766"/>
      <c r="W51" s="1766"/>
      <c r="X51" s="1768"/>
      <c r="Y51" s="1724"/>
      <c r="Z51" s="1724"/>
      <c r="AA51" s="1655">
        <v>100</v>
      </c>
      <c r="AB51" s="1655">
        <v>1</v>
      </c>
      <c r="AC51" s="1663">
        <v>0</v>
      </c>
      <c r="AD51" s="1655" t="s">
        <v>244</v>
      </c>
      <c r="AE51" s="1654">
        <v>40</v>
      </c>
      <c r="AF51" s="1655">
        <v>0</v>
      </c>
      <c r="AG51" s="1655">
        <v>0</v>
      </c>
      <c r="AH51" s="1655">
        <v>0</v>
      </c>
      <c r="AI51" s="1655" t="s">
        <v>268</v>
      </c>
      <c r="AJ51" s="1655">
        <v>570</v>
      </c>
      <c r="AK51" s="1655">
        <v>6</v>
      </c>
      <c r="AL51" s="1655">
        <v>0</v>
      </c>
      <c r="AM51" s="1627"/>
      <c r="AN51" s="1627"/>
      <c r="AO51" s="1627"/>
      <c r="AP51" s="877"/>
    </row>
    <row r="52" spans="1:42" ht="13.5" customHeight="1">
      <c r="A52" s="1764"/>
      <c r="B52" s="1766"/>
      <c r="C52" s="1766"/>
      <c r="D52" s="1766"/>
      <c r="E52" s="1766"/>
      <c r="F52" s="1766"/>
      <c r="G52" s="1766"/>
      <c r="H52" s="1766"/>
      <c r="I52" s="1766"/>
      <c r="J52" s="1766"/>
      <c r="K52" s="1766"/>
      <c r="L52" s="1766"/>
      <c r="M52" s="1766"/>
      <c r="N52" s="1766"/>
      <c r="O52" s="1766"/>
      <c r="P52" s="1766"/>
      <c r="Q52" s="1766"/>
      <c r="R52" s="1766"/>
      <c r="S52" s="1766"/>
      <c r="T52" s="1766"/>
      <c r="U52" s="1766"/>
      <c r="V52" s="1766"/>
      <c r="W52" s="1766"/>
      <c r="X52" s="1768"/>
      <c r="Y52" s="1724"/>
      <c r="Z52" s="1724"/>
      <c r="AA52" s="1655">
        <v>100</v>
      </c>
      <c r="AB52" s="1655">
        <v>1</v>
      </c>
      <c r="AC52" s="1663">
        <v>0</v>
      </c>
      <c r="AD52" s="1655" t="s">
        <v>244</v>
      </c>
      <c r="AE52" s="1654">
        <v>40</v>
      </c>
      <c r="AF52" s="1655">
        <v>0</v>
      </c>
      <c r="AG52" s="1655">
        <v>0</v>
      </c>
      <c r="AH52" s="1655">
        <v>1</v>
      </c>
      <c r="AI52" s="1655" t="s">
        <v>268</v>
      </c>
      <c r="AJ52" s="1655">
        <v>570</v>
      </c>
      <c r="AK52" s="1655">
        <v>6</v>
      </c>
      <c r="AL52" s="1655">
        <v>0</v>
      </c>
      <c r="AM52" s="1627"/>
      <c r="AN52" s="1627"/>
      <c r="AO52" s="1627"/>
      <c r="AP52" s="877"/>
    </row>
    <row r="53" spans="1:42" ht="13.5" customHeight="1">
      <c r="A53" s="1764"/>
      <c r="B53" s="1765" t="s">
        <v>288</v>
      </c>
      <c r="C53" s="1766"/>
      <c r="D53" s="1766"/>
      <c r="E53" s="1766"/>
      <c r="F53" s="1766"/>
      <c r="G53" s="1766"/>
      <c r="H53" s="1766"/>
      <c r="I53" s="1766"/>
      <c r="J53" s="1766"/>
      <c r="K53" s="1766"/>
      <c r="L53" s="1766"/>
      <c r="M53" s="1766"/>
      <c r="N53" s="1766"/>
      <c r="O53" s="1766"/>
      <c r="P53" s="1766"/>
      <c r="Q53" s="1766"/>
      <c r="R53" s="1766"/>
      <c r="S53" s="1766"/>
      <c r="T53" s="1766"/>
      <c r="U53" s="1766"/>
      <c r="V53" s="1766"/>
      <c r="W53" s="1766"/>
      <c r="X53" s="1768"/>
      <c r="Y53" s="1724"/>
      <c r="Z53" s="1724"/>
      <c r="AA53" s="1655">
        <v>100</v>
      </c>
      <c r="AB53" s="1655">
        <v>1</v>
      </c>
      <c r="AC53" s="1663">
        <v>0</v>
      </c>
      <c r="AD53" s="1655" t="s">
        <v>244</v>
      </c>
      <c r="AE53" s="1654">
        <v>40</v>
      </c>
      <c r="AF53" s="1655">
        <v>0</v>
      </c>
      <c r="AG53" s="1655">
        <v>0</v>
      </c>
      <c r="AH53" s="1655">
        <v>0</v>
      </c>
      <c r="AI53" s="1655" t="s">
        <v>268</v>
      </c>
      <c r="AJ53" s="1655">
        <v>570</v>
      </c>
      <c r="AK53" s="1655">
        <v>6</v>
      </c>
      <c r="AL53" s="1655">
        <v>0</v>
      </c>
      <c r="AM53" s="1627"/>
      <c r="AN53" s="1627"/>
      <c r="AO53" s="1627"/>
      <c r="AP53" s="877"/>
    </row>
    <row r="54" spans="1:42" ht="13.5" customHeight="1">
      <c r="A54" s="1764"/>
      <c r="B54" s="1766"/>
      <c r="C54" s="1769"/>
      <c r="D54" s="1769"/>
      <c r="E54" s="1769"/>
      <c r="F54" s="1769"/>
      <c r="G54" s="1769"/>
      <c r="H54" s="1769"/>
      <c r="I54" s="1766"/>
      <c r="J54" s="1766"/>
      <c r="K54" s="1766"/>
      <c r="L54" s="1766"/>
      <c r="M54" s="1766"/>
      <c r="N54" s="1766"/>
      <c r="O54" s="1766"/>
      <c r="P54" s="1766"/>
      <c r="Q54" s="1766"/>
      <c r="R54" s="1766"/>
      <c r="S54" s="1766"/>
      <c r="T54" s="1766"/>
      <c r="U54" s="1766"/>
      <c r="V54" s="1766"/>
      <c r="W54" s="1766"/>
      <c r="X54" s="1768"/>
      <c r="Y54" s="1724"/>
      <c r="Z54" s="1724"/>
      <c r="AA54" s="1655">
        <v>100</v>
      </c>
      <c r="AB54" s="1655">
        <v>15</v>
      </c>
      <c r="AC54" s="1663">
        <v>0</v>
      </c>
      <c r="AD54" s="1655" t="s">
        <v>244</v>
      </c>
      <c r="AE54" s="1654">
        <v>194</v>
      </c>
      <c r="AF54" s="1655">
        <v>100</v>
      </c>
      <c r="AG54" s="1655">
        <v>1</v>
      </c>
      <c r="AH54" s="1655">
        <v>0</v>
      </c>
      <c r="AI54" s="1655" t="s">
        <v>268</v>
      </c>
      <c r="AJ54" s="1662">
        <v>2070</v>
      </c>
      <c r="AK54" s="1655">
        <v>45</v>
      </c>
      <c r="AL54" s="1655">
        <v>1</v>
      </c>
      <c r="AM54" s="1660" t="s">
        <v>289</v>
      </c>
      <c r="AN54" s="1627"/>
      <c r="AO54" s="1627"/>
      <c r="AP54" s="877"/>
    </row>
    <row r="55" spans="1:42" ht="13.5" customHeight="1">
      <c r="A55" s="1764"/>
      <c r="B55" s="1771"/>
      <c r="C55" s="2092" t="s">
        <v>245</v>
      </c>
      <c r="D55" s="2093"/>
      <c r="E55" s="2092" t="s">
        <v>251</v>
      </c>
      <c r="F55" s="2093"/>
      <c r="G55" s="2092" t="s">
        <v>258</v>
      </c>
      <c r="H55" s="2093"/>
      <c r="I55" s="1766"/>
      <c r="J55" s="1766"/>
      <c r="K55" s="1766"/>
      <c r="L55" s="1766"/>
      <c r="M55" s="1766"/>
      <c r="N55" s="1766"/>
      <c r="O55" s="1766"/>
      <c r="P55" s="1766"/>
      <c r="Q55" s="1766"/>
      <c r="R55" s="1766"/>
      <c r="S55" s="1766"/>
      <c r="T55" s="1766"/>
      <c r="U55" s="1766"/>
      <c r="V55" s="1766"/>
      <c r="W55" s="1766"/>
      <c r="X55" s="1768"/>
      <c r="Y55" s="1724"/>
      <c r="Z55" s="1724"/>
      <c r="AA55" s="1655">
        <v>500</v>
      </c>
      <c r="AB55" s="1655">
        <v>27</v>
      </c>
      <c r="AC55" s="1663">
        <v>0</v>
      </c>
      <c r="AD55" s="1655" t="s">
        <v>244</v>
      </c>
      <c r="AE55" s="1654">
        <v>98</v>
      </c>
      <c r="AF55" s="1655">
        <v>0</v>
      </c>
      <c r="AG55" s="1655">
        <v>0</v>
      </c>
      <c r="AH55" s="1655">
        <v>0</v>
      </c>
      <c r="AI55" s="1655" t="s">
        <v>268</v>
      </c>
      <c r="AJ55" s="1662">
        <v>1000</v>
      </c>
      <c r="AK55" s="1655">
        <v>51</v>
      </c>
      <c r="AL55" s="1655">
        <v>0</v>
      </c>
      <c r="AM55" s="1220" t="s">
        <v>248</v>
      </c>
      <c r="AN55" s="1627"/>
      <c r="AO55" s="1627"/>
      <c r="AP55" s="877"/>
    </row>
    <row r="56" spans="1:42" ht="13.95" customHeight="1">
      <c r="A56" s="1772"/>
      <c r="B56" s="1810" t="s">
        <v>290</v>
      </c>
      <c r="C56" s="1810" t="s">
        <v>291</v>
      </c>
      <c r="D56" s="1810" t="s">
        <v>292</v>
      </c>
      <c r="E56" s="1810" t="s">
        <v>293</v>
      </c>
      <c r="F56" s="1810" t="s">
        <v>294</v>
      </c>
      <c r="G56" s="1810" t="s">
        <v>295</v>
      </c>
      <c r="H56" s="1810" t="s">
        <v>296</v>
      </c>
      <c r="I56" s="1766"/>
      <c r="J56" s="1766"/>
      <c r="K56" s="1766"/>
      <c r="L56" s="1766"/>
      <c r="M56" s="1766"/>
      <c r="N56" s="1766"/>
      <c r="O56" s="1766"/>
      <c r="P56" s="1766"/>
      <c r="Q56" s="1766"/>
      <c r="R56" s="1766"/>
      <c r="S56" s="1766"/>
      <c r="T56" s="1766"/>
      <c r="U56" s="1766"/>
      <c r="V56" s="1766"/>
      <c r="W56" s="1766"/>
      <c r="X56" s="1768"/>
      <c r="Y56" s="1724"/>
      <c r="Z56" s="1724"/>
      <c r="AA56" s="1655">
        <v>0</v>
      </c>
      <c r="AB56" s="1655">
        <v>2</v>
      </c>
      <c r="AC56" s="1663">
        <v>0</v>
      </c>
      <c r="AD56" s="1655" t="s">
        <v>244</v>
      </c>
      <c r="AE56" s="1654">
        <v>11</v>
      </c>
      <c r="AF56" s="1655">
        <v>0</v>
      </c>
      <c r="AG56" s="1655">
        <v>0</v>
      </c>
      <c r="AH56" s="1655">
        <v>0</v>
      </c>
      <c r="AI56" s="1655" t="s">
        <v>268</v>
      </c>
      <c r="AJ56" s="1655">
        <v>300</v>
      </c>
      <c r="AK56" s="1655">
        <v>27</v>
      </c>
      <c r="AL56" s="1655">
        <v>0</v>
      </c>
      <c r="AM56" s="1626"/>
      <c r="AN56" s="1626"/>
      <c r="AO56" s="1626"/>
      <c r="AP56" s="875"/>
    </row>
    <row r="57" spans="1:42" ht="13.5" customHeight="1">
      <c r="A57" s="1772"/>
      <c r="B57" s="1808">
        <v>44825</v>
      </c>
      <c r="C57" s="1780" t="s">
        <v>297</v>
      </c>
      <c r="D57" s="1793" t="s">
        <v>298</v>
      </c>
      <c r="E57" s="1793" t="s">
        <v>298</v>
      </c>
      <c r="F57" s="1793" t="s">
        <v>298</v>
      </c>
      <c r="G57" s="1793" t="s">
        <v>298</v>
      </c>
      <c r="H57" s="1793" t="s">
        <v>298</v>
      </c>
      <c r="I57" s="1766"/>
      <c r="J57" s="1766"/>
      <c r="K57" s="1766"/>
      <c r="L57" s="1766"/>
      <c r="M57" s="1766"/>
      <c r="N57" s="1766"/>
      <c r="O57" s="1766"/>
      <c r="P57" s="1766"/>
      <c r="Q57" s="1766"/>
      <c r="R57" s="1766"/>
      <c r="S57" s="1766"/>
      <c r="T57" s="1766"/>
      <c r="U57" s="1766"/>
      <c r="V57" s="1766"/>
      <c r="W57" s="1766"/>
      <c r="X57" s="1768"/>
      <c r="Y57" s="1724"/>
      <c r="Z57" s="1724"/>
      <c r="AA57" s="1655">
        <v>0</v>
      </c>
      <c r="AB57" s="1655">
        <v>6</v>
      </c>
      <c r="AC57" s="1663">
        <v>0</v>
      </c>
      <c r="AD57" s="1655" t="s">
        <v>244</v>
      </c>
      <c r="AE57" s="1654">
        <v>20</v>
      </c>
      <c r="AF57" s="1655">
        <v>0</v>
      </c>
      <c r="AG57" s="1655">
        <v>0</v>
      </c>
      <c r="AH57" s="1655">
        <v>0</v>
      </c>
      <c r="AI57" s="1655" t="s">
        <v>268</v>
      </c>
      <c r="AJ57" s="1655">
        <v>400</v>
      </c>
      <c r="AK57" s="1655">
        <v>0</v>
      </c>
      <c r="AL57" s="1655">
        <v>0</v>
      </c>
      <c r="AM57" s="1653" t="s">
        <v>240</v>
      </c>
      <c r="AN57" s="1653" t="s">
        <v>171</v>
      </c>
      <c r="AO57" s="1653" t="s">
        <v>238</v>
      </c>
      <c r="AP57" s="1653" t="s">
        <v>239</v>
      </c>
    </row>
    <row r="58" spans="1:42" ht="13.5" customHeight="1">
      <c r="A58" s="1772"/>
      <c r="B58" s="1808">
        <v>44827</v>
      </c>
      <c r="C58" s="1771"/>
      <c r="D58" s="1780" t="s">
        <v>74</v>
      </c>
      <c r="E58" s="1780" t="s">
        <v>74</v>
      </c>
      <c r="F58" s="1780" t="s">
        <v>74</v>
      </c>
      <c r="G58" s="1780" t="s">
        <v>74</v>
      </c>
      <c r="H58" s="1780" t="s">
        <v>74</v>
      </c>
      <c r="I58" s="1766"/>
      <c r="J58" s="1766"/>
      <c r="K58" s="1766"/>
      <c r="L58" s="1766"/>
      <c r="M58" s="1766"/>
      <c r="N58" s="1766"/>
      <c r="O58" s="1766"/>
      <c r="P58" s="1766"/>
      <c r="Q58" s="1766"/>
      <c r="R58" s="1766"/>
      <c r="S58" s="1766"/>
      <c r="T58" s="1766"/>
      <c r="U58" s="1766"/>
      <c r="V58" s="1766"/>
      <c r="W58" s="1766"/>
      <c r="X58" s="1768"/>
      <c r="Y58" s="1724"/>
      <c r="Z58" s="1724"/>
      <c r="AA58" s="1655">
        <v>0</v>
      </c>
      <c r="AB58" s="1655">
        <v>5</v>
      </c>
      <c r="AC58" s="1663">
        <v>0</v>
      </c>
      <c r="AD58" s="1655" t="s">
        <v>244</v>
      </c>
      <c r="AE58" s="1654">
        <v>50</v>
      </c>
      <c r="AF58" s="1655">
        <v>0</v>
      </c>
      <c r="AG58" s="1655">
        <v>0</v>
      </c>
      <c r="AH58" s="1656">
        <v>120</v>
      </c>
      <c r="AI58" s="1655" t="s">
        <v>268</v>
      </c>
      <c r="AJ58" s="1655">
        <v>400</v>
      </c>
      <c r="AK58" s="1655">
        <v>10</v>
      </c>
      <c r="AL58" s="1655">
        <v>0</v>
      </c>
      <c r="AM58" s="1655" t="s">
        <v>244</v>
      </c>
      <c r="AN58" s="1662">
        <v>8200</v>
      </c>
      <c r="AO58" s="1655">
        <v>700</v>
      </c>
      <c r="AP58" s="1655">
        <v>48</v>
      </c>
    </row>
    <row r="59" spans="1:42" ht="13.5" customHeight="1">
      <c r="A59" s="1772"/>
      <c r="B59" s="1808">
        <v>44830</v>
      </c>
      <c r="C59" s="1780" t="s">
        <v>299</v>
      </c>
      <c r="D59" s="1780"/>
      <c r="E59" s="1780"/>
      <c r="F59" s="1780" t="s">
        <v>299</v>
      </c>
      <c r="G59" s="1780"/>
      <c r="H59" s="1780"/>
      <c r="I59" s="1766"/>
      <c r="J59" s="1766"/>
      <c r="K59" s="1766"/>
      <c r="L59" s="1766"/>
      <c r="M59" s="1766"/>
      <c r="N59" s="1766"/>
      <c r="O59" s="1766"/>
      <c r="P59" s="1766"/>
      <c r="Q59" s="1766"/>
      <c r="R59" s="1766"/>
      <c r="S59" s="1766"/>
      <c r="T59" s="1766"/>
      <c r="U59" s="1766"/>
      <c r="V59" s="1766"/>
      <c r="W59" s="1766"/>
      <c r="X59" s="1768"/>
      <c r="Y59" s="1724"/>
      <c r="Z59" s="1724"/>
      <c r="AA59" s="1655">
        <v>0</v>
      </c>
      <c r="AB59" s="1655">
        <v>5</v>
      </c>
      <c r="AC59" s="1663">
        <v>0</v>
      </c>
      <c r="AD59" s="1655" t="s">
        <v>244</v>
      </c>
      <c r="AE59" s="1654">
        <v>100</v>
      </c>
      <c r="AF59" s="1655">
        <v>0</v>
      </c>
      <c r="AG59" s="1655">
        <v>0</v>
      </c>
      <c r="AH59" s="1656">
        <v>76</v>
      </c>
      <c r="AI59" s="1655" t="s">
        <v>268</v>
      </c>
      <c r="AJ59" s="1655">
        <v>200</v>
      </c>
      <c r="AK59" s="1655">
        <v>10</v>
      </c>
      <c r="AL59" s="1655">
        <v>0</v>
      </c>
      <c r="AM59" s="1655" t="s">
        <v>244</v>
      </c>
      <c r="AN59" s="1662">
        <v>1400</v>
      </c>
      <c r="AO59" s="1655">
        <v>100</v>
      </c>
      <c r="AP59" s="1655">
        <v>1</v>
      </c>
    </row>
    <row r="60" spans="1:42" ht="13.5" customHeight="1">
      <c r="A60" s="1772"/>
      <c r="B60" s="1808">
        <v>44854</v>
      </c>
      <c r="C60" s="1771"/>
      <c r="D60" s="1780"/>
      <c r="E60" s="1780" t="s">
        <v>74</v>
      </c>
      <c r="F60" s="1780"/>
      <c r="G60" s="1780"/>
      <c r="H60" s="1780"/>
      <c r="I60" s="1766"/>
      <c r="J60" s="1766"/>
      <c r="K60" s="1766"/>
      <c r="L60" s="1766"/>
      <c r="M60" s="1766"/>
      <c r="N60" s="1766"/>
      <c r="O60" s="1766"/>
      <c r="P60" s="1766"/>
      <c r="Q60" s="1766"/>
      <c r="R60" s="1766"/>
      <c r="S60" s="1766"/>
      <c r="T60" s="1766"/>
      <c r="U60" s="1766"/>
      <c r="V60" s="1766"/>
      <c r="W60" s="1766"/>
      <c r="X60" s="1768"/>
      <c r="Y60" s="1724"/>
      <c r="Z60" s="1724"/>
      <c r="AA60" s="1662">
        <v>1100</v>
      </c>
      <c r="AB60" s="1655">
        <v>7</v>
      </c>
      <c r="AC60" s="1663">
        <v>0</v>
      </c>
      <c r="AD60" s="1655" t="s">
        <v>244</v>
      </c>
      <c r="AE60" s="1654">
        <v>72</v>
      </c>
      <c r="AF60" s="1655">
        <v>0</v>
      </c>
      <c r="AG60" s="1655">
        <v>0</v>
      </c>
      <c r="AH60" s="1656">
        <v>17</v>
      </c>
      <c r="AI60" s="1655" t="s">
        <v>268</v>
      </c>
      <c r="AJ60" s="1655">
        <v>500</v>
      </c>
      <c r="AK60" s="1655">
        <v>6</v>
      </c>
      <c r="AL60" s="1655">
        <v>0</v>
      </c>
      <c r="AM60" s="1655" t="s">
        <v>244</v>
      </c>
      <c r="AN60" s="1662">
        <v>1738</v>
      </c>
      <c r="AO60" s="1655">
        <v>200</v>
      </c>
      <c r="AP60" s="1655">
        <v>4</v>
      </c>
    </row>
    <row r="61" spans="1:42" ht="13.5" customHeight="1">
      <c r="A61" s="1772"/>
      <c r="B61" s="1808">
        <v>44855</v>
      </c>
      <c r="C61" s="1771"/>
      <c r="D61" s="1780" t="s">
        <v>298</v>
      </c>
      <c r="E61" s="1771"/>
      <c r="F61" s="1771"/>
      <c r="G61" s="1771"/>
      <c r="H61" s="1771"/>
      <c r="I61" s="1766"/>
      <c r="J61" s="1766"/>
      <c r="K61" s="1766"/>
      <c r="L61" s="1766"/>
      <c r="M61" s="1766"/>
      <c r="N61" s="1766"/>
      <c r="O61" s="1766"/>
      <c r="P61" s="1766"/>
      <c r="Q61" s="1766"/>
      <c r="R61" s="1766"/>
      <c r="S61" s="1766"/>
      <c r="T61" s="1766"/>
      <c r="U61" s="1766"/>
      <c r="V61" s="1766"/>
      <c r="W61" s="1766"/>
      <c r="X61" s="1768"/>
      <c r="Y61" s="1724"/>
      <c r="Z61" s="1724"/>
      <c r="AA61" s="1655">
        <v>0</v>
      </c>
      <c r="AB61" s="1655">
        <v>2</v>
      </c>
      <c r="AC61" s="1663">
        <v>0</v>
      </c>
      <c r="AD61" s="1655" t="s">
        <v>244</v>
      </c>
      <c r="AE61" s="1654">
        <v>28</v>
      </c>
      <c r="AF61" s="1655">
        <v>0</v>
      </c>
      <c r="AG61" s="1655">
        <v>0</v>
      </c>
      <c r="AH61" s="1656">
        <v>32</v>
      </c>
      <c r="AI61" s="1655" t="s">
        <v>268</v>
      </c>
      <c r="AJ61" s="1655">
        <v>200</v>
      </c>
      <c r="AK61" s="1655">
        <v>4</v>
      </c>
      <c r="AL61" s="1655">
        <v>0</v>
      </c>
      <c r="AM61" s="1655" t="s">
        <v>244</v>
      </c>
      <c r="AN61" s="1655">
        <v>603</v>
      </c>
      <c r="AO61" s="1655">
        <v>0</v>
      </c>
      <c r="AP61" s="1655">
        <v>0</v>
      </c>
    </row>
    <row r="62" spans="1:42" ht="13.5" customHeight="1">
      <c r="A62" s="1772"/>
      <c r="B62" s="1808">
        <v>44856</v>
      </c>
      <c r="C62" s="1771"/>
      <c r="D62" s="1780"/>
      <c r="E62" s="1771"/>
      <c r="F62" s="1771"/>
      <c r="G62" s="1793" t="s">
        <v>298</v>
      </c>
      <c r="H62" s="1771"/>
      <c r="I62" s="1766"/>
      <c r="J62" s="1766"/>
      <c r="K62" s="1766"/>
      <c r="L62" s="1766"/>
      <c r="M62" s="1766"/>
      <c r="N62" s="1766"/>
      <c r="O62" s="1766"/>
      <c r="P62" s="1766"/>
      <c r="Q62" s="1766"/>
      <c r="R62" s="1766"/>
      <c r="S62" s="1766"/>
      <c r="T62" s="1766"/>
      <c r="U62" s="1766"/>
      <c r="V62" s="1766"/>
      <c r="W62" s="1766"/>
      <c r="X62" s="1768"/>
      <c r="Y62" s="1724"/>
      <c r="Z62" s="1724"/>
      <c r="AA62" s="1655">
        <v>100</v>
      </c>
      <c r="AB62" s="1655">
        <v>4</v>
      </c>
      <c r="AC62" s="1663">
        <v>0</v>
      </c>
      <c r="AD62" s="1655" t="s">
        <v>244</v>
      </c>
      <c r="AE62" s="1654">
        <v>58</v>
      </c>
      <c r="AF62" s="1655">
        <v>0</v>
      </c>
      <c r="AG62" s="1655">
        <v>0</v>
      </c>
      <c r="AH62" s="1656">
        <v>10</v>
      </c>
      <c r="AI62" s="1655" t="s">
        <v>268</v>
      </c>
      <c r="AJ62" s="1655">
        <v>100</v>
      </c>
      <c r="AK62" s="1655">
        <v>4</v>
      </c>
      <c r="AL62" s="1655">
        <v>0</v>
      </c>
      <c r="AM62" s="1655" t="s">
        <v>244</v>
      </c>
      <c r="AN62" s="1655">
        <v>743</v>
      </c>
      <c r="AO62" s="1655">
        <v>100</v>
      </c>
      <c r="AP62" s="1655">
        <v>0</v>
      </c>
    </row>
    <row r="63" spans="1:42" ht="13.5" customHeight="1">
      <c r="A63" s="1772"/>
      <c r="B63" s="1808">
        <v>44868</v>
      </c>
      <c r="C63" s="1780" t="s">
        <v>74</v>
      </c>
      <c r="D63" s="1771"/>
      <c r="E63" s="1771"/>
      <c r="F63" s="1771"/>
      <c r="G63" s="1771"/>
      <c r="H63" s="1771"/>
      <c r="I63" s="1766"/>
      <c r="J63" s="1766"/>
      <c r="K63" s="1766"/>
      <c r="L63" s="1766"/>
      <c r="M63" s="1766"/>
      <c r="N63" s="1766"/>
      <c r="O63" s="1766"/>
      <c r="P63" s="1766"/>
      <c r="Q63" s="1766"/>
      <c r="R63" s="1766"/>
      <c r="S63" s="1766"/>
      <c r="T63" s="1766"/>
      <c r="U63" s="1766"/>
      <c r="V63" s="1766"/>
      <c r="W63" s="1766"/>
      <c r="X63" s="1768"/>
      <c r="Y63" s="1724"/>
      <c r="Z63" s="1724"/>
      <c r="AA63" s="1655">
        <v>100</v>
      </c>
      <c r="AB63" s="1655">
        <v>2</v>
      </c>
      <c r="AC63" s="1663">
        <v>0</v>
      </c>
      <c r="AD63" s="1655" t="s">
        <v>244</v>
      </c>
      <c r="AE63" s="1654">
        <v>79</v>
      </c>
      <c r="AF63" s="1655">
        <v>0</v>
      </c>
      <c r="AG63" s="1655">
        <v>0</v>
      </c>
      <c r="AH63" s="1656">
        <v>7</v>
      </c>
      <c r="AI63" s="1655" t="s">
        <v>268</v>
      </c>
      <c r="AJ63" s="1655">
        <v>200</v>
      </c>
      <c r="AK63" s="1655">
        <v>4</v>
      </c>
      <c r="AL63" s="1655">
        <v>0</v>
      </c>
      <c r="AM63" s="1655" t="s">
        <v>244</v>
      </c>
      <c r="AN63" s="1655">
        <v>383</v>
      </c>
      <c r="AO63" s="1655">
        <v>0</v>
      </c>
      <c r="AP63" s="1655">
        <v>0</v>
      </c>
    </row>
    <row r="64" spans="1:42" ht="13.5" customHeight="1">
      <c r="A64" s="1772"/>
      <c r="B64" s="1808">
        <v>44869</v>
      </c>
      <c r="C64" s="1780"/>
      <c r="D64" s="1771"/>
      <c r="E64" s="1771"/>
      <c r="F64" s="1771"/>
      <c r="G64" s="1771"/>
      <c r="H64" s="1780" t="s">
        <v>74</v>
      </c>
      <c r="I64" s="1766"/>
      <c r="J64" s="1766"/>
      <c r="K64" s="1766"/>
      <c r="L64" s="1766"/>
      <c r="M64" s="1766"/>
      <c r="N64" s="1766"/>
      <c r="O64" s="1766"/>
      <c r="P64" s="1766"/>
      <c r="Q64" s="1766"/>
      <c r="R64" s="1766"/>
      <c r="S64" s="1766"/>
      <c r="T64" s="1766"/>
      <c r="U64" s="1766"/>
      <c r="V64" s="1766"/>
      <c r="W64" s="1766"/>
      <c r="X64" s="1768"/>
      <c r="Y64" s="1724"/>
      <c r="Z64" s="1724"/>
      <c r="AA64" s="1655">
        <v>0</v>
      </c>
      <c r="AB64" s="1655">
        <v>0</v>
      </c>
      <c r="AC64" s="1663">
        <v>0</v>
      </c>
      <c r="AD64" s="1655" t="s">
        <v>244</v>
      </c>
      <c r="AE64" s="1654">
        <v>40</v>
      </c>
      <c r="AF64" s="1655">
        <v>0</v>
      </c>
      <c r="AG64" s="1655">
        <v>0</v>
      </c>
      <c r="AH64" s="1654">
        <v>3</v>
      </c>
      <c r="AI64" s="1655" t="s">
        <v>268</v>
      </c>
      <c r="AJ64" s="1655">
        <v>0</v>
      </c>
      <c r="AK64" s="1655">
        <v>2</v>
      </c>
      <c r="AL64" s="1655">
        <v>0</v>
      </c>
      <c r="AM64" s="1655" t="s">
        <v>244</v>
      </c>
      <c r="AN64" s="1655">
        <v>239</v>
      </c>
      <c r="AO64" s="1655">
        <v>0</v>
      </c>
      <c r="AP64" s="1655">
        <v>0</v>
      </c>
    </row>
    <row r="65" spans="1:42" ht="13.5" customHeight="1">
      <c r="A65" s="1772"/>
      <c r="B65" s="1808">
        <v>44870</v>
      </c>
      <c r="C65" s="1780"/>
      <c r="D65" s="1771"/>
      <c r="E65" s="1771"/>
      <c r="F65" s="1771"/>
      <c r="G65" s="1771"/>
      <c r="H65" s="1793" t="s">
        <v>298</v>
      </c>
      <c r="I65" s="1766"/>
      <c r="J65" s="1766"/>
      <c r="K65" s="1766"/>
      <c r="L65" s="1766"/>
      <c r="M65" s="1766"/>
      <c r="N65" s="1766"/>
      <c r="O65" s="1766"/>
      <c r="P65" s="1766"/>
      <c r="Q65" s="1766"/>
      <c r="R65" s="1766"/>
      <c r="S65" s="1766"/>
      <c r="T65" s="1766"/>
      <c r="U65" s="1766"/>
      <c r="V65" s="1766"/>
      <c r="W65" s="1766"/>
      <c r="X65" s="1768"/>
      <c r="Y65" s="1724"/>
      <c r="Z65" s="1724"/>
      <c r="AA65" s="1655"/>
      <c r="AB65" s="1655"/>
      <c r="AC65" s="1747"/>
      <c r="AD65" s="1655" t="s">
        <v>244</v>
      </c>
      <c r="AE65" s="1654"/>
      <c r="AF65" s="1655"/>
      <c r="AG65" s="1655"/>
      <c r="AH65" s="1655"/>
      <c r="AI65" s="1655" t="s">
        <v>268</v>
      </c>
      <c r="AJ65" s="1655"/>
      <c r="AK65" s="1655"/>
      <c r="AL65" s="1747"/>
      <c r="AM65" s="1655" t="s">
        <v>244</v>
      </c>
      <c r="AN65" s="1655"/>
      <c r="AO65" s="1655"/>
      <c r="AP65" s="1655"/>
    </row>
    <row r="66" spans="1:42" ht="13.5" customHeight="1">
      <c r="A66" s="1772"/>
      <c r="B66" s="1808">
        <v>44872</v>
      </c>
      <c r="C66" s="1780" t="s">
        <v>298</v>
      </c>
      <c r="D66" s="1771"/>
      <c r="E66" s="1771"/>
      <c r="F66" s="1771"/>
      <c r="G66" s="1771"/>
      <c r="H66" s="1771"/>
      <c r="I66" s="1766"/>
      <c r="J66" s="1766"/>
      <c r="K66" s="1766"/>
      <c r="L66" s="1766"/>
      <c r="M66" s="1766"/>
      <c r="N66" s="1766"/>
      <c r="O66" s="1766"/>
      <c r="P66" s="1766"/>
      <c r="Q66" s="1766"/>
      <c r="R66" s="1766"/>
      <c r="S66" s="1766"/>
      <c r="T66" s="1766"/>
      <c r="U66" s="1766"/>
      <c r="V66" s="1766"/>
      <c r="W66" s="1766"/>
      <c r="X66" s="1768"/>
      <c r="Y66" s="1724"/>
      <c r="Z66" s="1724"/>
      <c r="AA66" s="1655"/>
      <c r="AB66" s="1655"/>
      <c r="AC66" s="1747"/>
      <c r="AD66" s="1655" t="s">
        <v>244</v>
      </c>
      <c r="AE66" s="1654"/>
      <c r="AF66" s="1655"/>
      <c r="AG66" s="1655"/>
      <c r="AH66" s="1655"/>
      <c r="AI66" s="1655" t="s">
        <v>268</v>
      </c>
      <c r="AJ66" s="1655"/>
      <c r="AK66" s="1655"/>
      <c r="AL66" s="1747"/>
      <c r="AM66" s="1655" t="s">
        <v>244</v>
      </c>
      <c r="AN66" s="1655"/>
      <c r="AO66" s="1655"/>
      <c r="AP66" s="1655"/>
    </row>
    <row r="67" spans="1:42" ht="13.5" customHeight="1">
      <c r="A67" s="1772"/>
      <c r="B67" s="1808">
        <v>44873</v>
      </c>
      <c r="C67" s="1780"/>
      <c r="D67" s="1771"/>
      <c r="E67" s="1793" t="s">
        <v>298</v>
      </c>
      <c r="F67" s="1771"/>
      <c r="G67" s="1771"/>
      <c r="H67" s="1771"/>
      <c r="I67" s="1766"/>
      <c r="J67" s="1766"/>
      <c r="K67" s="1766"/>
      <c r="L67" s="1766"/>
      <c r="M67" s="1766"/>
      <c r="N67" s="1766"/>
      <c r="O67" s="1766"/>
      <c r="P67" s="1766"/>
      <c r="Q67" s="1766"/>
      <c r="R67" s="1766"/>
      <c r="S67" s="1766"/>
      <c r="T67" s="1766"/>
      <c r="U67" s="1766"/>
      <c r="V67" s="1766"/>
      <c r="W67" s="1766"/>
      <c r="X67" s="1768"/>
      <c r="Y67" s="1724"/>
      <c r="Z67" s="1724"/>
      <c r="AA67" s="1655"/>
      <c r="AB67" s="1655"/>
      <c r="AC67" s="1747"/>
      <c r="AD67" s="1655" t="s">
        <v>244</v>
      </c>
      <c r="AE67" s="1654"/>
      <c r="AF67" s="1655"/>
      <c r="AG67" s="1655"/>
      <c r="AH67" s="1655"/>
      <c r="AI67" s="1655" t="s">
        <v>268</v>
      </c>
      <c r="AJ67" s="1655"/>
      <c r="AK67" s="1655"/>
      <c r="AL67" s="1747"/>
      <c r="AM67" s="1655" t="s">
        <v>244</v>
      </c>
      <c r="AN67" s="1655"/>
      <c r="AO67" s="1655"/>
      <c r="AP67" s="1655"/>
    </row>
    <row r="68" spans="1:42" ht="13.5" customHeight="1">
      <c r="A68" s="1772"/>
      <c r="B68" s="1808">
        <v>44876</v>
      </c>
      <c r="C68" s="1803"/>
      <c r="D68" s="1780" t="s">
        <v>74</v>
      </c>
      <c r="E68" s="1771"/>
      <c r="F68" s="1771"/>
      <c r="G68" s="1771"/>
      <c r="H68" s="1771"/>
      <c r="I68" s="1766"/>
      <c r="J68" s="1766"/>
      <c r="K68" s="1766"/>
      <c r="L68" s="1766"/>
      <c r="M68" s="1766"/>
      <c r="N68" s="1766"/>
      <c r="O68" s="1766"/>
      <c r="P68" s="1766"/>
      <c r="Q68" s="1766"/>
      <c r="R68" s="1766"/>
      <c r="S68" s="1766"/>
      <c r="T68" s="1766"/>
      <c r="U68" s="1766"/>
      <c r="V68" s="1766"/>
      <c r="W68" s="1766"/>
      <c r="X68" s="1768"/>
      <c r="Y68" s="1724"/>
      <c r="Z68" s="1724"/>
      <c r="AA68" s="1655"/>
      <c r="AB68" s="1655"/>
      <c r="AC68" s="1747"/>
      <c r="AD68" s="1655" t="s">
        <v>244</v>
      </c>
      <c r="AE68" s="1654"/>
      <c r="AF68" s="1655"/>
      <c r="AG68" s="1655"/>
      <c r="AH68" s="1655"/>
      <c r="AI68" s="1655" t="s">
        <v>268</v>
      </c>
      <c r="AJ68" s="1655"/>
      <c r="AK68" s="1655"/>
      <c r="AL68" s="1747"/>
      <c r="AM68" s="1655" t="s">
        <v>244</v>
      </c>
      <c r="AN68" s="1655"/>
      <c r="AO68" s="1655"/>
      <c r="AP68" s="1655"/>
    </row>
    <row r="69" spans="1:42" ht="13.5" customHeight="1">
      <c r="A69" s="1772"/>
      <c r="B69" s="1808">
        <v>44879</v>
      </c>
      <c r="C69" s="1803"/>
      <c r="D69" s="1771"/>
      <c r="E69" s="1771"/>
      <c r="F69" s="1780" t="s">
        <v>74</v>
      </c>
      <c r="G69" s="1771"/>
      <c r="H69" s="1771"/>
      <c r="I69" s="1766"/>
      <c r="J69" s="1766"/>
      <c r="K69" s="1766"/>
      <c r="L69" s="1766"/>
      <c r="M69" s="1766"/>
      <c r="N69" s="1766"/>
      <c r="O69" s="1766"/>
      <c r="P69" s="1766"/>
      <c r="Q69" s="1766"/>
      <c r="R69" s="1766"/>
      <c r="S69" s="1766"/>
      <c r="T69" s="1766"/>
      <c r="U69" s="1766"/>
      <c r="V69" s="1766"/>
      <c r="W69" s="1766"/>
      <c r="X69" s="1768"/>
      <c r="Y69" s="1724"/>
      <c r="Z69" s="1724"/>
      <c r="AA69" s="1655"/>
      <c r="AB69" s="1655"/>
      <c r="AC69" s="1747"/>
      <c r="AD69" s="1655" t="s">
        <v>244</v>
      </c>
      <c r="AE69" s="1654"/>
      <c r="AF69" s="1655"/>
      <c r="AG69" s="1655"/>
      <c r="AH69" s="1655"/>
      <c r="AI69" s="1655" t="s">
        <v>268</v>
      </c>
      <c r="AJ69" s="1655"/>
      <c r="AK69" s="1655"/>
      <c r="AL69" s="1747"/>
      <c r="AM69" s="1655" t="s">
        <v>244</v>
      </c>
      <c r="AN69" s="1655"/>
      <c r="AO69" s="1655"/>
      <c r="AP69" s="1655"/>
    </row>
    <row r="70" spans="1:42" ht="13.5" customHeight="1">
      <c r="A70" s="1772"/>
      <c r="B70" s="1808">
        <v>44880</v>
      </c>
      <c r="C70" s="1803" t="s">
        <v>300</v>
      </c>
      <c r="D70" s="1771"/>
      <c r="E70" s="1771"/>
      <c r="F70" s="1780" t="s">
        <v>298</v>
      </c>
      <c r="G70" s="1780" t="s">
        <v>74</v>
      </c>
      <c r="H70" s="1771"/>
      <c r="I70" s="1766"/>
      <c r="J70" s="1766"/>
      <c r="K70" s="1766"/>
      <c r="L70" s="1766"/>
      <c r="M70" s="1766"/>
      <c r="N70" s="1766"/>
      <c r="O70" s="1766"/>
      <c r="P70" s="1766"/>
      <c r="Q70" s="1766"/>
      <c r="R70" s="1766"/>
      <c r="S70" s="1766"/>
      <c r="T70" s="1766"/>
      <c r="U70" s="1766"/>
      <c r="V70" s="1766"/>
      <c r="W70" s="1766"/>
      <c r="X70" s="1768"/>
      <c r="Y70" s="1724"/>
      <c r="Z70" s="1724"/>
      <c r="AA70" s="1655"/>
      <c r="AB70" s="1655"/>
      <c r="AC70" s="1747"/>
      <c r="AD70" s="1655" t="s">
        <v>244</v>
      </c>
      <c r="AE70" s="1654"/>
      <c r="AF70" s="1655"/>
      <c r="AG70" s="1655"/>
      <c r="AH70" s="1655"/>
      <c r="AI70" s="1655" t="s">
        <v>268</v>
      </c>
      <c r="AJ70" s="1655"/>
      <c r="AK70" s="1655"/>
      <c r="AL70" s="1747"/>
      <c r="AM70" s="1655" t="s">
        <v>244</v>
      </c>
      <c r="AN70" s="1655"/>
      <c r="AO70" s="1655"/>
      <c r="AP70" s="1655"/>
    </row>
    <row r="71" spans="1:42" ht="13.5" customHeight="1">
      <c r="A71" s="1772"/>
      <c r="B71" s="1808">
        <v>44881</v>
      </c>
      <c r="C71" s="1803"/>
      <c r="D71" s="1771"/>
      <c r="E71" s="1771"/>
      <c r="F71" s="1780"/>
      <c r="G71" s="1780" t="s">
        <v>299</v>
      </c>
      <c r="H71" s="1771"/>
      <c r="I71" s="1766"/>
      <c r="J71" s="1766"/>
      <c r="K71" s="1766"/>
      <c r="L71" s="1766"/>
      <c r="M71" s="1766"/>
      <c r="N71" s="1766"/>
      <c r="O71" s="1766"/>
      <c r="P71" s="1766"/>
      <c r="Q71" s="1766"/>
      <c r="R71" s="1766"/>
      <c r="S71" s="1766"/>
      <c r="T71" s="1766"/>
      <c r="U71" s="1766"/>
      <c r="V71" s="1766"/>
      <c r="W71" s="1766"/>
      <c r="X71" s="1768"/>
      <c r="Y71" s="1724"/>
      <c r="Z71" s="1724"/>
      <c r="AA71" s="1655"/>
      <c r="AB71" s="1655"/>
      <c r="AC71" s="1747"/>
      <c r="AD71" s="1655" t="s">
        <v>244</v>
      </c>
      <c r="AE71" s="1654"/>
      <c r="AF71" s="1655"/>
      <c r="AG71" s="1655"/>
      <c r="AH71" s="1655"/>
      <c r="AI71" s="1655" t="s">
        <v>268</v>
      </c>
      <c r="AJ71" s="1655"/>
      <c r="AK71" s="1655"/>
      <c r="AL71" s="1747"/>
      <c r="AM71" s="1655" t="s">
        <v>244</v>
      </c>
      <c r="AN71" s="1655"/>
      <c r="AO71" s="1655"/>
      <c r="AP71" s="1655"/>
    </row>
    <row r="72" spans="1:42" ht="13.5" customHeight="1">
      <c r="A72" s="1772"/>
      <c r="B72" s="1808">
        <v>44882</v>
      </c>
      <c r="C72" s="1803"/>
      <c r="D72" s="1771"/>
      <c r="E72" s="1771" t="s">
        <v>301</v>
      </c>
      <c r="F72" s="1780" t="s">
        <v>299</v>
      </c>
      <c r="G72" s="1780"/>
      <c r="H72" s="1771"/>
      <c r="I72" s="1766"/>
      <c r="J72" s="1766"/>
      <c r="K72" s="1766"/>
      <c r="L72" s="1766"/>
      <c r="M72" s="1766"/>
      <c r="N72" s="1766"/>
      <c r="O72" s="1766"/>
      <c r="P72" s="1766"/>
      <c r="Q72" s="1766"/>
      <c r="R72" s="1766"/>
      <c r="S72" s="1766"/>
      <c r="T72" s="1766"/>
      <c r="U72" s="1766"/>
      <c r="V72" s="1766"/>
      <c r="W72" s="1766"/>
      <c r="X72" s="1768"/>
      <c r="Y72" s="1724"/>
      <c r="Z72" s="1724"/>
      <c r="AA72" s="1655"/>
      <c r="AB72" s="1655"/>
      <c r="AC72" s="1747"/>
      <c r="AD72" s="1655" t="s">
        <v>244</v>
      </c>
      <c r="AE72" s="1654"/>
      <c r="AF72" s="1655"/>
      <c r="AG72" s="1655"/>
      <c r="AH72" s="1655"/>
      <c r="AI72" s="1655" t="s">
        <v>268</v>
      </c>
      <c r="AJ72" s="1655"/>
      <c r="AK72" s="1655"/>
      <c r="AL72" s="1747"/>
      <c r="AM72" s="1655" t="s">
        <v>244</v>
      </c>
      <c r="AN72" s="1655"/>
      <c r="AO72" s="1655"/>
      <c r="AP72" s="1655"/>
    </row>
    <row r="73" spans="1:42" ht="13.5" customHeight="1">
      <c r="A73" s="1811"/>
      <c r="B73" s="1808">
        <v>44883</v>
      </c>
      <c r="C73" s="1803"/>
      <c r="D73" s="1771"/>
      <c r="E73" s="1771" t="s">
        <v>302</v>
      </c>
      <c r="F73" s="1780"/>
      <c r="G73" s="1780"/>
      <c r="H73" s="1771"/>
      <c r="I73" s="1769"/>
      <c r="J73" s="1769"/>
      <c r="K73" s="1769"/>
      <c r="L73" s="1769"/>
      <c r="M73" s="1769"/>
      <c r="N73" s="1769"/>
      <c r="O73" s="1769"/>
      <c r="P73" s="1769"/>
      <c r="Q73" s="1769"/>
      <c r="R73" s="1769"/>
      <c r="S73" s="1769"/>
      <c r="T73" s="1769"/>
      <c r="U73" s="1769"/>
      <c r="V73" s="1769"/>
      <c r="W73" s="1769"/>
      <c r="X73" s="1771"/>
      <c r="Y73" s="1724"/>
      <c r="Z73" s="1724"/>
      <c r="AA73" s="1655"/>
      <c r="AB73" s="1655"/>
      <c r="AC73" s="1747"/>
      <c r="AD73" s="1655" t="s">
        <v>244</v>
      </c>
      <c r="AE73" s="1654"/>
      <c r="AF73" s="1655"/>
      <c r="AG73" s="1655"/>
      <c r="AH73" s="1655"/>
      <c r="AI73" s="1655" t="s">
        <v>268</v>
      </c>
      <c r="AJ73" s="1655"/>
      <c r="AK73" s="1655"/>
      <c r="AL73" s="1747"/>
      <c r="AM73" s="1655" t="s">
        <v>244</v>
      </c>
      <c r="AN73" s="1655"/>
      <c r="AO73" s="1655"/>
      <c r="AP73" s="1655"/>
    </row>
    <row r="74" spans="1:42" ht="13.5" customHeight="1">
      <c r="A74" s="1725"/>
      <c r="B74" s="1729">
        <v>44883</v>
      </c>
      <c r="C74" s="1730"/>
      <c r="D74" s="1727"/>
      <c r="E74" s="1727" t="s">
        <v>302</v>
      </c>
      <c r="F74" s="1728"/>
      <c r="G74" s="1728"/>
      <c r="H74" s="1727"/>
      <c r="I74" s="1724"/>
      <c r="J74" s="1724"/>
      <c r="K74" s="1724"/>
      <c r="L74" s="1724"/>
      <c r="M74" s="1724"/>
      <c r="N74" s="1724"/>
      <c r="O74" s="1724"/>
      <c r="P74" s="1724"/>
      <c r="Q74" s="1724"/>
      <c r="R74" s="1724"/>
      <c r="S74" s="1724"/>
      <c r="T74" s="1724"/>
      <c r="U74" s="1724"/>
      <c r="V74" s="1724"/>
      <c r="W74" s="1724"/>
      <c r="X74" s="1724"/>
      <c r="Y74" s="1724"/>
      <c r="Z74" s="1724"/>
      <c r="AA74" s="1655"/>
      <c r="AB74" s="1655"/>
      <c r="AC74" s="1747"/>
      <c r="AD74" s="1655" t="s">
        <v>244</v>
      </c>
      <c r="AE74" s="1654"/>
      <c r="AF74" s="1655"/>
      <c r="AG74" s="1655"/>
      <c r="AH74" s="1655"/>
      <c r="AI74" s="1655" t="s">
        <v>268</v>
      </c>
      <c r="AJ74" s="1655"/>
      <c r="AK74" s="1655"/>
      <c r="AL74" s="1747"/>
      <c r="AM74" s="1655" t="s">
        <v>244</v>
      </c>
      <c r="AN74" s="1655"/>
      <c r="AO74" s="1655"/>
      <c r="AP74" s="1655"/>
    </row>
    <row r="75" spans="1:42" ht="13.5" customHeight="1">
      <c r="A75" s="1219"/>
      <c r="B75" s="1664">
        <v>44893</v>
      </c>
      <c r="C75" s="1655" t="s">
        <v>268</v>
      </c>
      <c r="D75" s="1655"/>
      <c r="E75" s="1655"/>
      <c r="F75" s="1747"/>
      <c r="G75" s="1655" t="s">
        <v>244</v>
      </c>
      <c r="H75" s="1655"/>
      <c r="I75" s="1655"/>
      <c r="J75" s="1655"/>
      <c r="K75" s="1655"/>
      <c r="L75" s="1655"/>
      <c r="M75" s="1655"/>
      <c r="N75" s="1655"/>
      <c r="O75" s="1666"/>
      <c r="P75" s="1655"/>
      <c r="Q75" s="1655"/>
      <c r="R75" s="1655"/>
      <c r="S75" s="1655"/>
      <c r="T75" s="1655"/>
      <c r="U75" s="1655"/>
      <c r="V75" s="1655"/>
      <c r="W75" s="1666"/>
      <c r="X75" s="877"/>
      <c r="Y75" s="1664">
        <v>44893</v>
      </c>
      <c r="Z75" s="1655" t="s">
        <v>268</v>
      </c>
      <c r="AA75" s="1655"/>
      <c r="AB75" s="1655"/>
      <c r="AC75" s="1747"/>
      <c r="AD75" s="1655" t="s">
        <v>244</v>
      </c>
      <c r="AE75" s="1654"/>
      <c r="AF75" s="1655"/>
      <c r="AG75" s="1655"/>
      <c r="AH75" s="1655"/>
      <c r="AI75" s="1655" t="s">
        <v>268</v>
      </c>
      <c r="AJ75" s="1655"/>
      <c r="AK75" s="1655"/>
      <c r="AL75" s="1747"/>
      <c r="AM75" s="1655" t="s">
        <v>244</v>
      </c>
      <c r="AN75" s="1655"/>
      <c r="AO75" s="1655"/>
      <c r="AP75" s="1655"/>
    </row>
    <row r="76" spans="1:42" ht="13.5" customHeight="1">
      <c r="A76" s="1219"/>
      <c r="B76" s="1664">
        <v>44894</v>
      </c>
      <c r="C76" s="1655" t="s">
        <v>268</v>
      </c>
      <c r="D76" s="1655"/>
      <c r="E76" s="1655"/>
      <c r="F76" s="1747"/>
      <c r="G76" s="1655" t="s">
        <v>244</v>
      </c>
      <c r="H76" s="1655"/>
      <c r="I76" s="1655"/>
      <c r="J76" s="1655"/>
      <c r="K76" s="1655"/>
      <c r="L76" s="1655"/>
      <c r="M76" s="1655"/>
      <c r="N76" s="1655"/>
      <c r="O76" s="1666"/>
      <c r="P76" s="1655"/>
      <c r="Q76" s="1655"/>
      <c r="R76" s="1655"/>
      <c r="S76" s="1655"/>
      <c r="T76" s="1655"/>
      <c r="U76" s="1655"/>
      <c r="V76" s="1655"/>
      <c r="W76" s="1666"/>
      <c r="X76" s="877"/>
      <c r="Y76" s="1664">
        <v>44894</v>
      </c>
      <c r="Z76" s="1655" t="s">
        <v>268</v>
      </c>
      <c r="AA76" s="1655"/>
      <c r="AB76" s="1655"/>
      <c r="AC76" s="1747"/>
      <c r="AD76" s="1655" t="s">
        <v>244</v>
      </c>
      <c r="AE76" s="1654"/>
      <c r="AF76" s="1655"/>
      <c r="AG76" s="1655"/>
      <c r="AH76" s="1655"/>
      <c r="AI76" s="1655" t="s">
        <v>268</v>
      </c>
      <c r="AJ76" s="1655"/>
      <c r="AK76" s="1655"/>
      <c r="AL76" s="1747"/>
      <c r="AM76" s="1655" t="s">
        <v>244</v>
      </c>
      <c r="AN76" s="1655"/>
      <c r="AO76" s="1655"/>
      <c r="AP76" s="1655"/>
    </row>
    <row r="77" spans="1:42" ht="13.5" customHeight="1">
      <c r="A77" s="1219"/>
      <c r="B77" s="1664">
        <v>44895</v>
      </c>
      <c r="C77" s="1655" t="s">
        <v>268</v>
      </c>
      <c r="D77" s="1655"/>
      <c r="E77" s="1655"/>
      <c r="F77" s="1747"/>
      <c r="G77" s="1655" t="s">
        <v>244</v>
      </c>
      <c r="H77" s="1655"/>
      <c r="I77" s="1655"/>
      <c r="J77" s="1655"/>
      <c r="K77" s="1655"/>
      <c r="L77" s="1655"/>
      <c r="M77" s="1655"/>
      <c r="N77" s="1655"/>
      <c r="O77" s="1666"/>
      <c r="P77" s="1655"/>
      <c r="Q77" s="1655"/>
      <c r="R77" s="1655"/>
      <c r="S77" s="1655"/>
      <c r="T77" s="1655"/>
      <c r="U77" s="1655"/>
      <c r="V77" s="1655"/>
      <c r="W77" s="1666"/>
      <c r="X77" s="877"/>
      <c r="Y77" s="1664">
        <v>44895</v>
      </c>
      <c r="Z77" s="1655" t="s">
        <v>268</v>
      </c>
      <c r="AA77" s="1655"/>
      <c r="AB77" s="1655"/>
      <c r="AC77" s="1747"/>
      <c r="AD77" s="1655" t="s">
        <v>244</v>
      </c>
      <c r="AE77" s="1654"/>
      <c r="AF77" s="1655"/>
      <c r="AG77" s="1655"/>
      <c r="AH77" s="1655"/>
      <c r="AI77" s="1655" t="s">
        <v>268</v>
      </c>
      <c r="AJ77" s="1655"/>
      <c r="AK77" s="1655"/>
      <c r="AL77" s="1747"/>
      <c r="AM77" s="1655" t="s">
        <v>244</v>
      </c>
      <c r="AN77" s="1655"/>
      <c r="AO77" s="1655"/>
      <c r="AP77" s="1655"/>
    </row>
    <row r="78" spans="1:42" ht="13.5" customHeight="1">
      <c r="A78" s="1219"/>
      <c r="B78" s="2087" t="s">
        <v>303</v>
      </c>
      <c r="C78" s="2088"/>
      <c r="D78" s="1668">
        <v>94300</v>
      </c>
      <c r="E78" s="1668">
        <v>3981</v>
      </c>
      <c r="F78" s="1668">
        <v>1634</v>
      </c>
      <c r="G78" s="1667" t="s">
        <v>304</v>
      </c>
      <c r="H78" s="1668">
        <v>344481</v>
      </c>
      <c r="I78" s="1668">
        <v>3600</v>
      </c>
      <c r="J78" s="1668">
        <v>1102</v>
      </c>
      <c r="K78" s="1667">
        <v>523</v>
      </c>
      <c r="L78" s="1667" t="s">
        <v>305</v>
      </c>
      <c r="M78" s="1668">
        <v>65200</v>
      </c>
      <c r="N78" s="1668">
        <v>2038</v>
      </c>
      <c r="O78" s="1667">
        <v>218</v>
      </c>
      <c r="P78" s="1667" t="s">
        <v>304</v>
      </c>
      <c r="Q78" s="1668">
        <v>399168</v>
      </c>
      <c r="R78" s="1668">
        <v>2600</v>
      </c>
      <c r="S78" s="1667">
        <v>356</v>
      </c>
      <c r="T78" s="1667" t="s">
        <v>305</v>
      </c>
      <c r="U78" s="1668">
        <v>236000</v>
      </c>
      <c r="V78" s="1668">
        <v>8585</v>
      </c>
      <c r="W78" s="1668">
        <v>1952</v>
      </c>
      <c r="X78" s="877"/>
      <c r="Y78" s="2087" t="s">
        <v>303</v>
      </c>
      <c r="Z78" s="2088"/>
      <c r="AA78" s="1668">
        <v>48500</v>
      </c>
      <c r="AB78" s="1668">
        <v>2545</v>
      </c>
      <c r="AC78" s="1667">
        <v>58</v>
      </c>
      <c r="AD78" s="1667" t="s">
        <v>304</v>
      </c>
      <c r="AE78" s="1668">
        <v>61777</v>
      </c>
      <c r="AF78" s="1668">
        <v>1500</v>
      </c>
      <c r="AG78" s="1667">
        <v>95</v>
      </c>
      <c r="AH78" s="1667">
        <v>505</v>
      </c>
      <c r="AI78" s="1667" t="s">
        <v>305</v>
      </c>
      <c r="AJ78" s="1668">
        <v>50800</v>
      </c>
      <c r="AK78" s="1668">
        <v>1940</v>
      </c>
      <c r="AL78" s="1667">
        <v>46</v>
      </c>
      <c r="AM78" s="1667" t="s">
        <v>306</v>
      </c>
      <c r="AN78" s="1668">
        <v>13306</v>
      </c>
      <c r="AO78" s="1668">
        <v>1100</v>
      </c>
      <c r="AP78" s="1667">
        <v>53</v>
      </c>
    </row>
    <row r="79" spans="1:42" ht="13.5" customHeight="1">
      <c r="A79" s="874"/>
      <c r="B79" s="1626"/>
      <c r="C79" s="1626"/>
      <c r="D79" s="1626"/>
      <c r="E79" s="1626"/>
      <c r="F79" s="1626"/>
      <c r="G79" s="1626"/>
      <c r="H79" s="1626"/>
      <c r="I79" s="1626"/>
      <c r="J79" s="1626"/>
      <c r="K79" s="1670">
        <v>2565</v>
      </c>
      <c r="L79" s="1626"/>
      <c r="M79" s="1626"/>
      <c r="N79" s="1626"/>
      <c r="O79" s="1626"/>
      <c r="P79" s="1626"/>
      <c r="Q79" s="1626"/>
      <c r="R79" s="1626"/>
      <c r="S79" s="1626"/>
      <c r="T79" s="1626"/>
      <c r="U79" s="1626"/>
      <c r="V79" s="1626"/>
      <c r="W79" s="1626"/>
      <c r="X79" s="1626"/>
      <c r="Y79" s="1626"/>
      <c r="Z79" s="1626"/>
      <c r="AA79" s="1626"/>
      <c r="AB79" s="1626"/>
      <c r="AC79" s="1626"/>
      <c r="AD79" s="1626"/>
      <c r="AE79" s="1626"/>
      <c r="AF79" s="1626"/>
      <c r="AG79" s="1626"/>
      <c r="AH79" s="1626"/>
      <c r="AI79" s="1626"/>
      <c r="AJ79" s="1626"/>
      <c r="AK79" s="1626"/>
      <c r="AL79" s="1626"/>
      <c r="AM79" s="1626"/>
      <c r="AN79" s="1626"/>
      <c r="AO79" s="1626"/>
      <c r="AP79" s="875"/>
    </row>
    <row r="80" spans="1:42" ht="13.5" customHeight="1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8"/>
      <c r="P80" s="358"/>
      <c r="Q80" s="358"/>
      <c r="R80" s="358"/>
      <c r="S80" s="358"/>
      <c r="T80" s="358"/>
      <c r="U80" s="358"/>
      <c r="V80" s="358"/>
      <c r="W80" s="358"/>
      <c r="X80" s="358"/>
      <c r="Y80" s="358"/>
      <c r="Z80" s="358"/>
    </row>
    <row r="81" spans="1:26" ht="13.5" customHeight="1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8"/>
      <c r="Q81" s="358"/>
      <c r="R81" s="358"/>
      <c r="S81" s="358"/>
      <c r="T81" s="358"/>
      <c r="U81" s="358"/>
      <c r="V81" s="358"/>
      <c r="W81" s="358"/>
      <c r="X81" s="358"/>
      <c r="Y81" s="358"/>
      <c r="Z81" s="358"/>
    </row>
    <row r="82" spans="1:26" ht="13.5" customHeight="1">
      <c r="A82" s="358"/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8"/>
      <c r="Q82" s="358"/>
      <c r="R82" s="358"/>
      <c r="S82" s="358"/>
      <c r="T82" s="358"/>
      <c r="U82" s="358"/>
      <c r="V82" s="358"/>
      <c r="W82" s="358"/>
      <c r="X82" s="358"/>
      <c r="Y82" s="358"/>
      <c r="Z82" s="358"/>
    </row>
    <row r="83" spans="1:26" ht="13.5" customHeight="1">
      <c r="A83" s="358"/>
      <c r="B83" s="358"/>
      <c r="C83" s="358"/>
      <c r="D83" s="358"/>
      <c r="E83" s="358"/>
      <c r="F83" s="358"/>
      <c r="G83" s="358"/>
      <c r="H83" s="358"/>
      <c r="I83" s="358"/>
      <c r="J83" s="358"/>
      <c r="K83" s="358"/>
      <c r="L83" s="358"/>
      <c r="M83" s="358"/>
      <c r="N83" s="358"/>
      <c r="O83" s="358"/>
      <c r="P83" s="358"/>
      <c r="Q83" s="358"/>
      <c r="R83" s="358"/>
      <c r="S83" s="358"/>
      <c r="T83" s="358"/>
      <c r="U83" s="358"/>
      <c r="V83" s="358"/>
      <c r="W83" s="358"/>
      <c r="X83" s="358"/>
      <c r="Y83" s="358"/>
      <c r="Z83" s="358"/>
    </row>
    <row r="84" spans="1:26" ht="13.5" customHeight="1">
      <c r="A84" s="358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8"/>
      <c r="N84" s="358"/>
      <c r="O84" s="358"/>
      <c r="P84" s="358"/>
      <c r="Q84" s="358"/>
      <c r="R84" s="358"/>
      <c r="S84" s="358"/>
      <c r="T84" s="358"/>
      <c r="U84" s="358"/>
      <c r="V84" s="358"/>
      <c r="W84" s="358"/>
      <c r="X84" s="358"/>
      <c r="Y84" s="358"/>
      <c r="Z84" s="358"/>
    </row>
    <row r="85" spans="1:26" ht="13.5" customHeight="1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8"/>
      <c r="N85" s="358"/>
      <c r="O85" s="358"/>
      <c r="P85" s="358"/>
      <c r="Q85" s="358"/>
      <c r="R85" s="358"/>
      <c r="S85" s="358"/>
      <c r="T85" s="358"/>
      <c r="U85" s="358"/>
      <c r="V85" s="358"/>
      <c r="W85" s="358"/>
      <c r="X85" s="358"/>
      <c r="Y85" s="358"/>
      <c r="Z85" s="358"/>
    </row>
    <row r="86" spans="1:26" ht="13.5" customHeight="1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58"/>
      <c r="Z86" s="358"/>
    </row>
    <row r="87" spans="1:26" ht="13.5" customHeight="1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58"/>
      <c r="Z87" s="358"/>
    </row>
    <row r="88" spans="1:26" ht="13.5" customHeight="1">
      <c r="A88" s="358"/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58"/>
      <c r="Z88" s="358"/>
    </row>
    <row r="89" spans="1:26" ht="13.5" customHeight="1">
      <c r="A89" s="358"/>
      <c r="B89" s="358"/>
      <c r="C89" s="358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8"/>
      <c r="P89" s="358"/>
      <c r="Q89" s="358"/>
      <c r="R89" s="358"/>
      <c r="S89" s="358"/>
      <c r="T89" s="358"/>
      <c r="U89" s="358"/>
      <c r="V89" s="358"/>
      <c r="W89" s="358"/>
      <c r="X89" s="358"/>
      <c r="Y89" s="358"/>
      <c r="Z89" s="358"/>
    </row>
    <row r="90" spans="1:26" ht="13.5" customHeight="1">
      <c r="A90" s="358"/>
      <c r="B90" s="358"/>
      <c r="C90" s="358"/>
      <c r="D90" s="358"/>
      <c r="E90" s="358"/>
      <c r="F90" s="358"/>
      <c r="G90" s="358"/>
      <c r="H90" s="358"/>
      <c r="I90" s="358"/>
      <c r="J90" s="358"/>
      <c r="K90" s="358"/>
      <c r="L90" s="358"/>
      <c r="M90" s="358"/>
      <c r="N90" s="358"/>
      <c r="O90" s="358"/>
      <c r="P90" s="358"/>
      <c r="Q90" s="358"/>
      <c r="R90" s="358"/>
      <c r="S90" s="358"/>
      <c r="T90" s="358"/>
      <c r="U90" s="358"/>
      <c r="V90" s="358"/>
      <c r="W90" s="358"/>
      <c r="X90" s="358"/>
      <c r="Y90" s="358"/>
      <c r="Z90" s="358"/>
    </row>
    <row r="91" spans="1:26" ht="13.5" customHeight="1">
      <c r="A91" s="358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8"/>
      <c r="P91" s="358"/>
      <c r="Q91" s="358"/>
      <c r="R91" s="358"/>
      <c r="S91" s="358"/>
      <c r="T91" s="358"/>
      <c r="U91" s="358"/>
      <c r="V91" s="358"/>
      <c r="W91" s="358"/>
      <c r="X91" s="358"/>
      <c r="Y91" s="358"/>
      <c r="Z91" s="358"/>
    </row>
    <row r="92" spans="1:26" ht="13.5" customHeight="1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</row>
    <row r="93" spans="1:26" ht="13.5" customHeight="1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58"/>
      <c r="Z93" s="358"/>
    </row>
    <row r="94" spans="1:26" ht="13.5" customHeight="1">
      <c r="A94" s="358"/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58"/>
      <c r="Z94" s="358"/>
    </row>
    <row r="95" spans="1:26" ht="13.5" customHeight="1">
      <c r="A95" s="358"/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</row>
    <row r="96" spans="1:26" ht="13.5" customHeight="1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8"/>
      <c r="P96" s="358"/>
      <c r="Q96" s="358"/>
      <c r="R96" s="358"/>
      <c r="S96" s="358"/>
      <c r="T96" s="358"/>
      <c r="U96" s="358"/>
      <c r="V96" s="358"/>
      <c r="W96" s="358"/>
      <c r="X96" s="358"/>
      <c r="Y96" s="358"/>
      <c r="Z96" s="358"/>
    </row>
    <row r="97" spans="1:26" ht="13.5" customHeight="1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8"/>
      <c r="P97" s="358"/>
      <c r="Q97" s="358"/>
      <c r="R97" s="358"/>
      <c r="S97" s="358"/>
      <c r="T97" s="358"/>
      <c r="U97" s="358"/>
      <c r="V97" s="358"/>
      <c r="W97" s="358"/>
      <c r="X97" s="358"/>
      <c r="Y97" s="358"/>
      <c r="Z97" s="358"/>
    </row>
    <row r="98" spans="1:26" ht="13.5" customHeight="1">
      <c r="A98" s="358"/>
      <c r="B98" s="358"/>
      <c r="C98" s="358"/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8"/>
      <c r="O98" s="358"/>
      <c r="P98" s="358"/>
      <c r="Q98" s="358"/>
      <c r="R98" s="358"/>
      <c r="S98" s="358"/>
      <c r="T98" s="358"/>
      <c r="U98" s="358"/>
      <c r="V98" s="358"/>
      <c r="W98" s="358"/>
      <c r="X98" s="358"/>
      <c r="Y98" s="358"/>
      <c r="Z98" s="358"/>
    </row>
    <row r="99" spans="1:26" ht="13.5" customHeight="1">
      <c r="A99" s="358"/>
      <c r="B99" s="358"/>
      <c r="C99" s="358"/>
      <c r="D99" s="358"/>
      <c r="E99" s="358"/>
      <c r="F99" s="358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/>
      <c r="T99" s="358"/>
      <c r="U99" s="358"/>
      <c r="V99" s="358"/>
      <c r="W99" s="358"/>
      <c r="X99" s="358"/>
      <c r="Y99" s="358"/>
      <c r="Z99" s="358"/>
    </row>
    <row r="100" spans="1:26" ht="13.5" customHeight="1">
      <c r="A100" s="358"/>
      <c r="B100" s="358"/>
      <c r="C100" s="358"/>
      <c r="D100" s="358"/>
      <c r="E100" s="358"/>
      <c r="F100" s="358"/>
      <c r="G100" s="358"/>
      <c r="H100" s="358"/>
      <c r="I100" s="358"/>
      <c r="J100" s="358"/>
      <c r="K100" s="358"/>
      <c r="L100" s="358"/>
      <c r="M100" s="358"/>
      <c r="N100" s="358"/>
      <c r="O100" s="358"/>
      <c r="P100" s="358"/>
      <c r="Q100" s="358"/>
      <c r="R100" s="358"/>
      <c r="S100" s="358"/>
      <c r="T100" s="358"/>
      <c r="U100" s="358"/>
      <c r="V100" s="358"/>
      <c r="W100" s="358"/>
      <c r="X100" s="358"/>
      <c r="Y100" s="358"/>
      <c r="Z100" s="358"/>
    </row>
    <row r="101" spans="1:26" ht="13.5" customHeight="1">
      <c r="A101" s="358"/>
      <c r="B101" s="358"/>
      <c r="C101" s="358"/>
      <c r="D101" s="358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Z101" s="358"/>
    </row>
    <row r="102" spans="1:26" ht="13.5" customHeight="1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8"/>
      <c r="P102" s="358"/>
      <c r="Q102" s="358"/>
      <c r="R102" s="358"/>
      <c r="S102" s="358"/>
      <c r="T102" s="358"/>
      <c r="U102" s="358"/>
      <c r="V102" s="358"/>
      <c r="W102" s="358"/>
      <c r="X102" s="358"/>
      <c r="Y102" s="358"/>
      <c r="Z102" s="358"/>
    </row>
    <row r="103" spans="1:26" ht="13.5" customHeight="1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8"/>
      <c r="P103" s="358"/>
      <c r="Q103" s="358"/>
      <c r="R103" s="358"/>
      <c r="S103" s="358"/>
      <c r="T103" s="358"/>
      <c r="U103" s="358"/>
      <c r="V103" s="358"/>
      <c r="W103" s="358"/>
      <c r="X103" s="358"/>
      <c r="Y103" s="358"/>
      <c r="Z103" s="358"/>
    </row>
    <row r="104" spans="1:26" ht="13.5" customHeight="1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</row>
    <row r="105" spans="1:26" ht="13.5" customHeight="1">
      <c r="A105" s="358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58"/>
      <c r="Z105" s="358"/>
    </row>
    <row r="106" spans="1:26" ht="13.5" customHeight="1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58"/>
      <c r="Z106" s="358"/>
    </row>
    <row r="107" spans="1:26" ht="13.5" customHeight="1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358"/>
      <c r="V107" s="358"/>
      <c r="W107" s="358"/>
      <c r="X107" s="358"/>
      <c r="Y107" s="358"/>
      <c r="Z107" s="358"/>
    </row>
    <row r="108" spans="1:26" ht="13.5" customHeight="1">
      <c r="A108" s="358"/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358"/>
      <c r="V108" s="358"/>
      <c r="W108" s="358"/>
      <c r="X108" s="358"/>
      <c r="Y108" s="358"/>
      <c r="Z108" s="358"/>
    </row>
    <row r="109" spans="1:26" ht="13.5" customHeight="1">
      <c r="A109" s="358"/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</row>
    <row r="110" spans="1:26" ht="13.5" customHeight="1">
      <c r="A110" s="358"/>
      <c r="B110" s="358"/>
      <c r="C110" s="358"/>
      <c r="D110" s="358"/>
      <c r="E110" s="358"/>
      <c r="F110" s="358"/>
      <c r="G110" s="358"/>
      <c r="H110" s="358"/>
      <c r="I110" s="358"/>
      <c r="J110" s="358"/>
      <c r="K110" s="358"/>
      <c r="L110" s="358"/>
      <c r="M110" s="358"/>
      <c r="N110" s="358"/>
      <c r="O110" s="358"/>
      <c r="P110" s="358"/>
      <c r="Q110" s="358"/>
      <c r="R110" s="358"/>
      <c r="S110" s="358"/>
      <c r="T110" s="358"/>
      <c r="U110" s="358"/>
      <c r="V110" s="358"/>
      <c r="W110" s="358"/>
      <c r="X110" s="358"/>
      <c r="Y110" s="358"/>
      <c r="Z110" s="358"/>
    </row>
    <row r="111" spans="1:26" ht="13.5" customHeight="1">
      <c r="A111" s="358"/>
      <c r="B111" s="358"/>
      <c r="C111" s="358"/>
      <c r="D111" s="358"/>
      <c r="E111" s="358"/>
      <c r="F111" s="358"/>
      <c r="G111" s="358"/>
      <c r="H111" s="358"/>
      <c r="I111" s="358"/>
      <c r="J111" s="358"/>
      <c r="K111" s="358"/>
      <c r="L111" s="358"/>
      <c r="M111" s="358"/>
      <c r="N111" s="358"/>
      <c r="O111" s="358"/>
      <c r="P111" s="358"/>
      <c r="Q111" s="358"/>
      <c r="R111" s="358"/>
      <c r="S111" s="358"/>
      <c r="T111" s="358"/>
      <c r="U111" s="358"/>
      <c r="V111" s="358"/>
      <c r="W111" s="358"/>
      <c r="X111" s="358"/>
      <c r="Y111" s="358"/>
      <c r="Z111" s="358"/>
    </row>
    <row r="112" spans="1:26" ht="13.5" customHeight="1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8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Z112" s="358"/>
    </row>
    <row r="113" spans="1:26" ht="13.5" customHeight="1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Z113" s="358"/>
    </row>
    <row r="114" spans="1:26" ht="13.5" customHeight="1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Z114" s="358"/>
    </row>
    <row r="115" spans="1:26" ht="13.5" customHeight="1">
      <c r="A115" s="358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</row>
    <row r="116" spans="1:26" ht="13.5" customHeight="1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</row>
    <row r="117" spans="1:26" ht="13.5" customHeight="1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Z117" s="358"/>
    </row>
    <row r="118" spans="1:26" ht="13.5" customHeight="1">
      <c r="A118" s="358"/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Z118" s="358"/>
    </row>
    <row r="119" spans="1:26" ht="13.5" customHeight="1">
      <c r="A119" s="358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</row>
    <row r="120" spans="1:26" ht="13.5" customHeight="1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8"/>
      <c r="P120" s="358"/>
      <c r="Q120" s="358"/>
      <c r="R120" s="358"/>
      <c r="S120" s="358"/>
      <c r="T120" s="358"/>
      <c r="U120" s="358"/>
      <c r="V120" s="358"/>
      <c r="W120" s="358"/>
      <c r="X120" s="358"/>
      <c r="Y120" s="358"/>
      <c r="Z120" s="358"/>
    </row>
    <row r="121" spans="1:26" ht="13.5" customHeight="1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58"/>
      <c r="Z121" s="358"/>
    </row>
    <row r="122" spans="1:26" ht="13.5" customHeight="1">
      <c r="A122" s="358"/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</row>
    <row r="123" spans="1:26" ht="13.5" customHeight="1">
      <c r="A123" s="358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8"/>
      <c r="P123" s="358"/>
      <c r="Q123" s="358"/>
      <c r="R123" s="358"/>
      <c r="S123" s="358"/>
      <c r="T123" s="358"/>
      <c r="U123" s="358"/>
      <c r="V123" s="358"/>
      <c r="W123" s="358"/>
      <c r="X123" s="358"/>
      <c r="Y123" s="358"/>
      <c r="Z123" s="358"/>
    </row>
    <row r="124" spans="1:26" ht="13.5" customHeight="1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8"/>
      <c r="P124" s="358"/>
      <c r="Q124" s="358"/>
      <c r="R124" s="358"/>
      <c r="S124" s="358"/>
      <c r="T124" s="358"/>
      <c r="U124" s="358"/>
      <c r="V124" s="358"/>
      <c r="W124" s="358"/>
      <c r="X124" s="358"/>
      <c r="Y124" s="358"/>
      <c r="Z124" s="358"/>
    </row>
    <row r="125" spans="1:26" ht="13.5" customHeight="1">
      <c r="A125" s="358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</row>
    <row r="126" spans="1:26" ht="13.5" customHeight="1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8"/>
      <c r="P126" s="358"/>
      <c r="Q126" s="358"/>
      <c r="R126" s="358"/>
      <c r="S126" s="358"/>
      <c r="T126" s="358"/>
      <c r="U126" s="358"/>
      <c r="V126" s="358"/>
      <c r="W126" s="358"/>
      <c r="X126" s="358"/>
      <c r="Y126" s="358"/>
      <c r="Z126" s="358"/>
    </row>
    <row r="127" spans="1:26" ht="13.5" customHeight="1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58"/>
      <c r="Z127" s="358"/>
    </row>
    <row r="128" spans="1:26" ht="13.5" customHeight="1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</row>
    <row r="129" spans="1:26" ht="13.5" customHeight="1">
      <c r="A129" s="358"/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</row>
    <row r="130" spans="1:26" ht="13.5" customHeight="1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</row>
    <row r="131" spans="1:26" ht="13.5" customHeight="1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58"/>
      <c r="Z131" s="358"/>
    </row>
    <row r="132" spans="1:26" ht="13.5" customHeight="1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58"/>
      <c r="Z132" s="358"/>
    </row>
    <row r="133" spans="1:26" ht="13.5" customHeight="1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58"/>
      <c r="W133" s="358"/>
      <c r="X133" s="358"/>
      <c r="Y133" s="358"/>
      <c r="Z133" s="358"/>
    </row>
    <row r="134" spans="1:26" ht="13.5" customHeight="1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Z134" s="358"/>
    </row>
    <row r="135" spans="1:26" ht="13.5" customHeight="1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</row>
    <row r="136" spans="1:26" ht="13.5" customHeight="1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</row>
    <row r="137" spans="1:26" ht="13.5" customHeight="1">
      <c r="A137" s="358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58"/>
      <c r="Z137" s="358"/>
    </row>
    <row r="138" spans="1:26" ht="13.5" customHeight="1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58"/>
      <c r="Z138" s="358"/>
    </row>
    <row r="139" spans="1:26" ht="13.5" customHeight="1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  <c r="Z139" s="358"/>
    </row>
    <row r="140" spans="1:26" ht="13.5" customHeight="1">
      <c r="A140" s="358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58"/>
      <c r="Z140" s="358"/>
    </row>
    <row r="141" spans="1:26" ht="13.5" customHeight="1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58"/>
      <c r="T141" s="358"/>
      <c r="U141" s="358"/>
      <c r="V141" s="358"/>
      <c r="W141" s="358"/>
      <c r="X141" s="358"/>
      <c r="Y141" s="358"/>
      <c r="Z141" s="358"/>
    </row>
    <row r="142" spans="1:26" ht="13.5" customHeight="1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</row>
    <row r="143" spans="1:26" ht="13.5" customHeight="1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</row>
    <row r="144" spans="1:26" ht="13.5" customHeight="1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58"/>
      <c r="Z144" s="358"/>
    </row>
    <row r="145" spans="1:26" ht="13.5" customHeight="1">
      <c r="A145" s="358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58"/>
      <c r="Z145" s="358"/>
    </row>
    <row r="146" spans="1:26" ht="13.5" customHeight="1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58"/>
      <c r="Z146" s="358"/>
    </row>
    <row r="147" spans="1:26" ht="13.5" customHeight="1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  <c r="P147" s="358"/>
      <c r="Q147" s="358"/>
      <c r="R147" s="358"/>
      <c r="S147" s="358"/>
      <c r="T147" s="358"/>
      <c r="U147" s="358"/>
      <c r="V147" s="358"/>
      <c r="W147" s="358"/>
      <c r="X147" s="358"/>
      <c r="Y147" s="358"/>
      <c r="Z147" s="358"/>
    </row>
    <row r="148" spans="1:26" ht="13.5" customHeight="1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8"/>
      <c r="P148" s="358"/>
      <c r="Q148" s="358"/>
      <c r="R148" s="358"/>
      <c r="S148" s="358"/>
      <c r="T148" s="358"/>
      <c r="U148" s="358"/>
      <c r="V148" s="358"/>
      <c r="W148" s="358"/>
      <c r="X148" s="358"/>
      <c r="Y148" s="358"/>
      <c r="Z148" s="358"/>
    </row>
    <row r="149" spans="1:26" ht="13.5" customHeight="1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</row>
    <row r="150" spans="1:26" ht="13.5" customHeight="1">
      <c r="A150" s="358"/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</row>
    <row r="151" spans="1:26" ht="13.5" customHeight="1">
      <c r="A151" s="358"/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</row>
    <row r="152" spans="1:26" ht="13.5" customHeight="1">
      <c r="A152" s="358"/>
      <c r="B152" s="358"/>
      <c r="C152" s="358"/>
      <c r="D152" s="358"/>
      <c r="E152" s="358"/>
      <c r="F152" s="358"/>
      <c r="G152" s="358"/>
      <c r="H152" s="358"/>
      <c r="I152" s="358"/>
      <c r="J152" s="358"/>
      <c r="K152" s="358"/>
      <c r="L152" s="358"/>
      <c r="M152" s="358"/>
      <c r="N152" s="358"/>
      <c r="O152" s="358"/>
      <c r="P152" s="358"/>
      <c r="Q152" s="358"/>
      <c r="R152" s="358"/>
      <c r="S152" s="358"/>
      <c r="T152" s="358"/>
      <c r="U152" s="358"/>
      <c r="V152" s="358"/>
      <c r="W152" s="358"/>
      <c r="X152" s="358"/>
      <c r="Y152" s="358"/>
      <c r="Z152" s="358"/>
    </row>
    <row r="153" spans="1:26" ht="13.5" customHeight="1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8"/>
      <c r="P153" s="358"/>
      <c r="Q153" s="358"/>
      <c r="R153" s="358"/>
      <c r="S153" s="358"/>
      <c r="T153" s="358"/>
      <c r="U153" s="358"/>
      <c r="V153" s="358"/>
      <c r="W153" s="358"/>
      <c r="X153" s="358"/>
      <c r="Y153" s="358"/>
      <c r="Z153" s="358"/>
    </row>
    <row r="154" spans="1:26" ht="13.5" customHeight="1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8"/>
      <c r="P154" s="358"/>
      <c r="Q154" s="358"/>
      <c r="R154" s="358"/>
      <c r="S154" s="358"/>
      <c r="T154" s="358"/>
      <c r="U154" s="358"/>
      <c r="V154" s="358"/>
      <c r="W154" s="358"/>
      <c r="X154" s="358"/>
      <c r="Y154" s="358"/>
      <c r="Z154" s="358"/>
    </row>
    <row r="155" spans="1:26" ht="13.5" customHeight="1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</row>
    <row r="156" spans="1:26" ht="13.5" customHeight="1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58"/>
      <c r="Z156" s="358"/>
    </row>
    <row r="157" spans="1:26" ht="13.5" customHeight="1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58"/>
      <c r="Z157" s="358"/>
    </row>
    <row r="158" spans="1:26" ht="13.5" customHeight="1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58"/>
      <c r="Z158" s="358"/>
    </row>
    <row r="159" spans="1:26" ht="13.5" customHeight="1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58"/>
      <c r="Z159" s="358"/>
    </row>
    <row r="160" spans="1:26" ht="13.5" customHeight="1">
      <c r="A160" s="358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</row>
    <row r="161" spans="1:26" ht="13.5" customHeight="1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</row>
    <row r="162" spans="1:26" ht="13.5" customHeight="1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58"/>
      <c r="Z162" s="358"/>
    </row>
    <row r="163" spans="1:26" ht="13.5" customHeight="1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58"/>
      <c r="Z163" s="358"/>
    </row>
    <row r="164" spans="1:26" ht="13.5" customHeight="1">
      <c r="A164" s="358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58"/>
      <c r="Z164" s="358"/>
    </row>
    <row r="165" spans="1:26" ht="13.5" customHeight="1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</row>
    <row r="166" spans="1:26" ht="13.5" customHeight="1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58"/>
      <c r="Z166" s="358"/>
    </row>
    <row r="167" spans="1:26" ht="13.5" customHeight="1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58"/>
      <c r="Z167" s="358"/>
    </row>
    <row r="168" spans="1:26" ht="13.5" customHeight="1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58"/>
      <c r="Z168" s="358"/>
    </row>
    <row r="169" spans="1:26" ht="13.5" customHeight="1">
      <c r="A169" s="358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58"/>
      <c r="Z169" s="358"/>
    </row>
    <row r="170" spans="1:26" ht="13.5" customHeight="1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</row>
    <row r="171" spans="1:26" ht="13.5" customHeight="1">
      <c r="A171" s="358"/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</row>
    <row r="172" spans="1:26" ht="13.5" customHeight="1">
      <c r="A172" s="358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58"/>
      <c r="N172" s="358"/>
      <c r="O172" s="358"/>
      <c r="P172" s="358"/>
      <c r="Q172" s="358"/>
      <c r="R172" s="358"/>
      <c r="S172" s="358"/>
      <c r="T172" s="358"/>
      <c r="U172" s="358"/>
      <c r="V172" s="358"/>
      <c r="W172" s="358"/>
      <c r="X172" s="358"/>
      <c r="Y172" s="358"/>
      <c r="Z172" s="358"/>
    </row>
    <row r="173" spans="1:26" ht="13.5" customHeight="1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8"/>
      <c r="P173" s="358"/>
      <c r="Q173" s="358"/>
      <c r="R173" s="358"/>
      <c r="S173" s="358"/>
      <c r="T173" s="358"/>
      <c r="U173" s="358"/>
      <c r="V173" s="358"/>
      <c r="W173" s="358"/>
      <c r="X173" s="358"/>
      <c r="Y173" s="358"/>
      <c r="Z173" s="358"/>
    </row>
    <row r="174" spans="1:26" ht="13.5" customHeight="1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58"/>
      <c r="Z174" s="358"/>
    </row>
    <row r="175" spans="1:26" ht="13.5" customHeight="1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58"/>
      <c r="Z175" s="358"/>
    </row>
    <row r="176" spans="1:26" ht="13.5" customHeight="1">
      <c r="A176" s="358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58"/>
      <c r="Z176" s="358"/>
    </row>
    <row r="177" spans="1:26" ht="13.5" customHeight="1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8"/>
      <c r="P177" s="358"/>
      <c r="Q177" s="358"/>
      <c r="R177" s="358"/>
      <c r="S177" s="358"/>
      <c r="T177" s="358"/>
      <c r="U177" s="358"/>
      <c r="V177" s="358"/>
      <c r="W177" s="358"/>
      <c r="X177" s="358"/>
      <c r="Y177" s="358"/>
      <c r="Z177" s="358"/>
    </row>
    <row r="178" spans="1:26" ht="13.5" customHeight="1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58"/>
      <c r="Z178" s="358"/>
    </row>
    <row r="179" spans="1:26" ht="13.5" customHeight="1">
      <c r="A179" s="358"/>
      <c r="B179" s="358"/>
      <c r="C179" s="358"/>
      <c r="D179" s="358"/>
      <c r="E179" s="358"/>
      <c r="F179" s="358"/>
      <c r="G179" s="358"/>
      <c r="H179" s="358"/>
      <c r="I179" s="358"/>
      <c r="J179" s="358"/>
      <c r="K179" s="358"/>
      <c r="L179" s="358"/>
      <c r="M179" s="358"/>
      <c r="N179" s="358"/>
      <c r="O179" s="358"/>
      <c r="P179" s="358"/>
      <c r="Q179" s="358"/>
      <c r="R179" s="358"/>
      <c r="S179" s="358"/>
      <c r="T179" s="358"/>
      <c r="U179" s="358"/>
      <c r="V179" s="358"/>
      <c r="W179" s="358"/>
      <c r="X179" s="358"/>
      <c r="Y179" s="358"/>
      <c r="Z179" s="358"/>
    </row>
    <row r="180" spans="1:26" ht="13.5" customHeight="1">
      <c r="A180" s="358"/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</row>
    <row r="181" spans="1:26" ht="13.5" customHeight="1">
      <c r="A181" s="358"/>
      <c r="B181" s="358"/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58"/>
      <c r="P181" s="358"/>
      <c r="Q181" s="358"/>
      <c r="R181" s="358"/>
      <c r="S181" s="358"/>
      <c r="T181" s="358"/>
      <c r="U181" s="358"/>
      <c r="V181" s="358"/>
      <c r="W181" s="358"/>
      <c r="X181" s="358"/>
      <c r="Y181" s="358"/>
      <c r="Z181" s="358"/>
    </row>
    <row r="182" spans="1:26" ht="13.5" customHeight="1">
      <c r="A182" s="358"/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</row>
    <row r="183" spans="1:26" ht="13.5" customHeight="1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8"/>
      <c r="P183" s="358"/>
      <c r="Q183" s="358"/>
      <c r="R183" s="358"/>
      <c r="S183" s="358"/>
      <c r="T183" s="358"/>
      <c r="U183" s="358"/>
      <c r="V183" s="358"/>
      <c r="W183" s="358"/>
      <c r="X183" s="358"/>
      <c r="Y183" s="358"/>
      <c r="Z183" s="358"/>
    </row>
    <row r="184" spans="1:26" ht="13.5" customHeight="1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8"/>
      <c r="P184" s="358"/>
      <c r="Q184" s="358"/>
      <c r="R184" s="358"/>
      <c r="S184" s="358"/>
      <c r="T184" s="358"/>
      <c r="U184" s="358"/>
      <c r="V184" s="358"/>
      <c r="W184" s="358"/>
      <c r="X184" s="358"/>
      <c r="Y184" s="358"/>
      <c r="Z184" s="358"/>
    </row>
    <row r="185" spans="1:26" ht="13.5" customHeight="1">
      <c r="A185" s="358"/>
      <c r="B185" s="358"/>
      <c r="C185" s="358"/>
      <c r="D185" s="358"/>
      <c r="E185" s="358"/>
      <c r="F185" s="358"/>
      <c r="G185" s="358"/>
      <c r="H185" s="358"/>
      <c r="I185" s="358"/>
      <c r="J185" s="358"/>
      <c r="K185" s="358"/>
      <c r="L185" s="358"/>
      <c r="M185" s="358"/>
      <c r="N185" s="358"/>
      <c r="O185" s="358"/>
      <c r="P185" s="358"/>
      <c r="Q185" s="358"/>
      <c r="R185" s="358"/>
      <c r="S185" s="358"/>
      <c r="T185" s="358"/>
      <c r="U185" s="358"/>
      <c r="V185" s="358"/>
      <c r="W185" s="358"/>
      <c r="X185" s="358"/>
      <c r="Y185" s="358"/>
      <c r="Z185" s="358"/>
    </row>
    <row r="186" spans="1:26" ht="13.5" customHeight="1">
      <c r="A186" s="358"/>
      <c r="B186" s="358"/>
      <c r="C186" s="358"/>
      <c r="D186" s="358"/>
      <c r="E186" s="358"/>
      <c r="F186" s="358"/>
      <c r="G186" s="358"/>
      <c r="H186" s="358"/>
      <c r="I186" s="358"/>
      <c r="J186" s="358"/>
      <c r="K186" s="358"/>
      <c r="L186" s="358"/>
      <c r="M186" s="358"/>
      <c r="N186" s="358"/>
      <c r="O186" s="358"/>
      <c r="P186" s="358"/>
      <c r="Q186" s="358"/>
      <c r="R186" s="358"/>
      <c r="S186" s="358"/>
      <c r="T186" s="358"/>
      <c r="U186" s="358"/>
      <c r="V186" s="358"/>
      <c r="W186" s="358"/>
      <c r="X186" s="358"/>
      <c r="Y186" s="358"/>
      <c r="Z186" s="358"/>
    </row>
    <row r="187" spans="1:26" ht="13.5" customHeight="1">
      <c r="A187" s="358"/>
      <c r="B187" s="358"/>
      <c r="C187" s="358"/>
      <c r="D187" s="358"/>
      <c r="E187" s="358"/>
      <c r="F187" s="358"/>
      <c r="G187" s="358"/>
      <c r="H187" s="358"/>
      <c r="I187" s="358"/>
      <c r="J187" s="358"/>
      <c r="K187" s="358"/>
      <c r="L187" s="358"/>
      <c r="M187" s="358"/>
      <c r="N187" s="358"/>
      <c r="O187" s="358"/>
      <c r="P187" s="358"/>
      <c r="Q187" s="358"/>
      <c r="R187" s="358"/>
      <c r="S187" s="358"/>
      <c r="T187" s="358"/>
      <c r="U187" s="358"/>
      <c r="V187" s="358"/>
      <c r="W187" s="358"/>
      <c r="X187" s="358"/>
      <c r="Y187" s="358"/>
      <c r="Z187" s="358"/>
    </row>
    <row r="188" spans="1:26" ht="13.5" customHeight="1">
      <c r="A188" s="358"/>
      <c r="B188" s="358"/>
      <c r="C188" s="358"/>
      <c r="D188" s="358"/>
      <c r="E188" s="358"/>
      <c r="F188" s="358"/>
      <c r="G188" s="358"/>
      <c r="H188" s="358"/>
      <c r="I188" s="358"/>
      <c r="J188" s="358"/>
      <c r="K188" s="358"/>
      <c r="L188" s="358"/>
      <c r="M188" s="358"/>
      <c r="N188" s="358"/>
      <c r="O188" s="358"/>
      <c r="P188" s="358"/>
      <c r="Q188" s="358"/>
      <c r="R188" s="358"/>
      <c r="S188" s="358"/>
      <c r="T188" s="358"/>
      <c r="U188" s="358"/>
      <c r="V188" s="358"/>
      <c r="W188" s="358"/>
      <c r="X188" s="358"/>
      <c r="Y188" s="358"/>
      <c r="Z188" s="358"/>
    </row>
    <row r="189" spans="1:26" ht="13.5" customHeight="1">
      <c r="A189" s="358"/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8"/>
      <c r="P189" s="358"/>
      <c r="Q189" s="358"/>
      <c r="R189" s="358"/>
      <c r="S189" s="358"/>
      <c r="T189" s="358"/>
      <c r="U189" s="358"/>
      <c r="V189" s="358"/>
      <c r="W189" s="358"/>
      <c r="X189" s="358"/>
      <c r="Y189" s="358"/>
      <c r="Z189" s="358"/>
    </row>
    <row r="190" spans="1:26" ht="13.5" customHeight="1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8"/>
      <c r="P190" s="358"/>
      <c r="Q190" s="358"/>
      <c r="R190" s="358"/>
      <c r="S190" s="358"/>
      <c r="T190" s="358"/>
      <c r="U190" s="358"/>
      <c r="V190" s="358"/>
      <c r="W190" s="358"/>
      <c r="X190" s="358"/>
      <c r="Y190" s="358"/>
      <c r="Z190" s="358"/>
    </row>
    <row r="191" spans="1:26" ht="13.5" customHeight="1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8"/>
      <c r="P191" s="358"/>
      <c r="Q191" s="358"/>
      <c r="R191" s="358"/>
      <c r="S191" s="358"/>
      <c r="T191" s="358"/>
      <c r="U191" s="358"/>
      <c r="V191" s="358"/>
      <c r="W191" s="358"/>
      <c r="X191" s="358"/>
      <c r="Y191" s="358"/>
      <c r="Z191" s="358"/>
    </row>
    <row r="192" spans="1:26" ht="13.5" customHeight="1">
      <c r="A192" s="358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</row>
    <row r="193" spans="1:26" ht="13.5" customHeight="1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8"/>
      <c r="N193" s="358"/>
      <c r="O193" s="358"/>
      <c r="P193" s="358"/>
      <c r="Q193" s="358"/>
      <c r="R193" s="358"/>
      <c r="S193" s="358"/>
      <c r="T193" s="358"/>
      <c r="U193" s="358"/>
      <c r="V193" s="358"/>
      <c r="W193" s="358"/>
      <c r="X193" s="358"/>
      <c r="Y193" s="358"/>
      <c r="Z193" s="358"/>
    </row>
    <row r="194" spans="1:26" ht="13.5" customHeight="1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58"/>
      <c r="Z194" s="358"/>
    </row>
    <row r="195" spans="1:26" ht="13.5" customHeight="1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58"/>
      <c r="Z195" s="358"/>
    </row>
    <row r="196" spans="1:26" ht="13.5" customHeight="1">
      <c r="A196" s="358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58"/>
      <c r="Z196" s="358"/>
    </row>
    <row r="197" spans="1:26" ht="13.5" customHeight="1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8"/>
      <c r="N197" s="358"/>
      <c r="O197" s="358"/>
      <c r="P197" s="358"/>
      <c r="Q197" s="358"/>
      <c r="R197" s="358"/>
      <c r="S197" s="358"/>
      <c r="T197" s="358"/>
      <c r="U197" s="358"/>
      <c r="V197" s="358"/>
      <c r="W197" s="358"/>
      <c r="X197" s="358"/>
      <c r="Y197" s="358"/>
      <c r="Z197" s="358"/>
    </row>
    <row r="198" spans="1:26" ht="13.5" customHeight="1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58"/>
      <c r="Z198" s="358"/>
    </row>
    <row r="199" spans="1:26" ht="13.5" customHeight="1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8"/>
      <c r="P199" s="358"/>
      <c r="Q199" s="358"/>
      <c r="R199" s="358"/>
      <c r="S199" s="358"/>
      <c r="T199" s="358"/>
      <c r="U199" s="358"/>
      <c r="V199" s="358"/>
      <c r="W199" s="358"/>
      <c r="X199" s="358"/>
      <c r="Y199" s="358"/>
      <c r="Z199" s="358"/>
    </row>
    <row r="200" spans="1:26" ht="13.5" customHeight="1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8"/>
      <c r="N200" s="358"/>
      <c r="O200" s="358"/>
      <c r="P200" s="358"/>
      <c r="Q200" s="358"/>
      <c r="R200" s="358"/>
      <c r="S200" s="358"/>
      <c r="T200" s="358"/>
      <c r="U200" s="358"/>
      <c r="V200" s="358"/>
      <c r="W200" s="358"/>
      <c r="X200" s="358"/>
      <c r="Y200" s="358"/>
      <c r="Z200" s="358"/>
    </row>
    <row r="201" spans="1:26" ht="13.5" customHeight="1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58"/>
      <c r="Z201" s="358"/>
    </row>
    <row r="202" spans="1:26" ht="13.5" customHeight="1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58"/>
      <c r="Z202" s="358"/>
    </row>
    <row r="203" spans="1:26" ht="13.5" customHeight="1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58"/>
      <c r="Z203" s="358"/>
    </row>
    <row r="204" spans="1:26" ht="13.5" customHeight="1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58"/>
      <c r="Z204" s="358"/>
    </row>
    <row r="205" spans="1:26" ht="13.5" customHeight="1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58"/>
      <c r="Z205" s="358"/>
    </row>
    <row r="206" spans="1:26" ht="13.5" customHeight="1">
      <c r="A206" s="358"/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</row>
    <row r="207" spans="1:26" ht="13.5" customHeight="1">
      <c r="A207" s="358"/>
      <c r="B207" s="358"/>
      <c r="C207" s="358"/>
      <c r="D207" s="358"/>
      <c r="E207" s="358"/>
      <c r="F207" s="358"/>
      <c r="G207" s="358"/>
      <c r="H207" s="358"/>
      <c r="I207" s="358"/>
      <c r="J207" s="358"/>
      <c r="K207" s="358"/>
      <c r="L207" s="358"/>
      <c r="M207" s="358"/>
      <c r="N207" s="358"/>
      <c r="O207" s="358"/>
      <c r="P207" s="358"/>
      <c r="Q207" s="358"/>
      <c r="R207" s="358"/>
      <c r="S207" s="358"/>
      <c r="T207" s="358"/>
      <c r="U207" s="358"/>
      <c r="V207" s="358"/>
      <c r="W207" s="358"/>
      <c r="X207" s="358"/>
      <c r="Y207" s="358"/>
      <c r="Z207" s="358"/>
    </row>
    <row r="208" spans="1:26" ht="13.5" customHeight="1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W208" s="358"/>
      <c r="X208" s="358"/>
      <c r="Y208" s="358"/>
      <c r="Z208" s="358"/>
    </row>
    <row r="209" spans="1:26" ht="13.5" customHeight="1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8"/>
      <c r="P209" s="358"/>
      <c r="Q209" s="358"/>
      <c r="R209" s="358"/>
      <c r="S209" s="358"/>
      <c r="T209" s="358"/>
      <c r="U209" s="358"/>
      <c r="V209" s="358"/>
      <c r="W209" s="358"/>
      <c r="X209" s="358"/>
      <c r="Y209" s="358"/>
      <c r="Z209" s="358"/>
    </row>
    <row r="210" spans="1:26" ht="13.5" customHeight="1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8"/>
      <c r="N210" s="358"/>
      <c r="O210" s="358"/>
      <c r="P210" s="358"/>
      <c r="Q210" s="358"/>
      <c r="R210" s="358"/>
      <c r="S210" s="358"/>
      <c r="T210" s="358"/>
      <c r="U210" s="358"/>
      <c r="V210" s="358"/>
      <c r="W210" s="358"/>
      <c r="X210" s="358"/>
      <c r="Y210" s="358"/>
      <c r="Z210" s="358"/>
    </row>
    <row r="211" spans="1:26" ht="13.5" customHeight="1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58"/>
      <c r="Z211" s="358"/>
    </row>
    <row r="212" spans="1:26" ht="13.5" customHeight="1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58"/>
      <c r="Z212" s="358"/>
    </row>
    <row r="213" spans="1:26" ht="13.5" customHeight="1">
      <c r="A213" s="358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</row>
    <row r="214" spans="1:26" ht="13.5" customHeight="1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W214" s="358"/>
      <c r="X214" s="358"/>
      <c r="Y214" s="358"/>
      <c r="Z214" s="358"/>
    </row>
    <row r="215" spans="1:26" ht="13.5" customHeight="1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58"/>
      <c r="Z215" s="358"/>
    </row>
    <row r="216" spans="1:26" ht="13.5" customHeight="1">
      <c r="A216" s="358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58"/>
      <c r="Z216" s="358"/>
    </row>
    <row r="217" spans="1:26" ht="13.5" customHeight="1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58"/>
      <c r="Z217" s="358"/>
    </row>
    <row r="218" spans="1:26" ht="13.5" customHeight="1">
      <c r="A218" s="358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58"/>
      <c r="Z218" s="358"/>
    </row>
    <row r="219" spans="1:26" ht="13.5" customHeight="1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58"/>
      <c r="Z219" s="358"/>
    </row>
    <row r="220" spans="1:26" ht="13.5" customHeight="1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</row>
    <row r="221" spans="1:26" ht="13.5" customHeight="1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</row>
    <row r="222" spans="1:26" ht="13.5" customHeight="1">
      <c r="A222" s="358"/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</row>
    <row r="223" spans="1:26" ht="13.5" customHeight="1">
      <c r="A223" s="358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W223" s="358"/>
      <c r="X223" s="358"/>
      <c r="Y223" s="358"/>
      <c r="Z223" s="358"/>
    </row>
    <row r="224" spans="1:26" ht="13.5" customHeight="1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8"/>
      <c r="N224" s="358"/>
      <c r="O224" s="358"/>
      <c r="P224" s="358"/>
      <c r="Q224" s="358"/>
      <c r="R224" s="358"/>
      <c r="S224" s="358"/>
      <c r="T224" s="358"/>
      <c r="U224" s="358"/>
      <c r="V224" s="358"/>
      <c r="W224" s="358"/>
      <c r="X224" s="358"/>
      <c r="Y224" s="358"/>
      <c r="Z224" s="358"/>
    </row>
    <row r="225" spans="1:26" ht="13.5" customHeight="1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58"/>
      <c r="Z225" s="358"/>
    </row>
    <row r="226" spans="1:26" ht="13.5" customHeight="1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58"/>
      <c r="Z226" s="358"/>
    </row>
    <row r="227" spans="1:26" ht="13.5" customHeight="1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58"/>
      <c r="Z227" s="358"/>
    </row>
    <row r="228" spans="1:26" ht="13.5" customHeight="1">
      <c r="A228" s="358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58"/>
      <c r="Z228" s="358"/>
    </row>
    <row r="229" spans="1:26" ht="13.5" customHeight="1">
      <c r="A229" s="358"/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58"/>
      <c r="Z229" s="358"/>
    </row>
    <row r="230" spans="1:26" ht="13.5" customHeight="1">
      <c r="A230" s="358"/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</row>
    <row r="231" spans="1:26" ht="13.5" customHeight="1">
      <c r="A231" s="358"/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</row>
    <row r="232" spans="1:26" ht="13.5" customHeight="1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</row>
    <row r="233" spans="1:26" ht="13.5" customHeight="1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8"/>
      <c r="P233" s="358"/>
      <c r="Q233" s="358"/>
      <c r="R233" s="358"/>
      <c r="S233" s="358"/>
      <c r="T233" s="358"/>
      <c r="U233" s="358"/>
      <c r="V233" s="358"/>
      <c r="W233" s="358"/>
      <c r="X233" s="358"/>
      <c r="Y233" s="358"/>
      <c r="Z233" s="358"/>
    </row>
    <row r="234" spans="1:26" ht="13.5" customHeight="1">
      <c r="A234" s="358"/>
      <c r="B234" s="358"/>
      <c r="C234" s="358"/>
      <c r="D234" s="358"/>
      <c r="E234" s="358"/>
      <c r="F234" s="358"/>
      <c r="G234" s="358"/>
      <c r="H234" s="358"/>
      <c r="I234" s="358"/>
      <c r="J234" s="358"/>
      <c r="K234" s="358"/>
      <c r="L234" s="358"/>
      <c r="M234" s="358"/>
      <c r="N234" s="358"/>
      <c r="O234" s="358"/>
      <c r="P234" s="358"/>
      <c r="Q234" s="358"/>
      <c r="R234" s="358"/>
      <c r="S234" s="358"/>
      <c r="T234" s="358"/>
      <c r="U234" s="358"/>
      <c r="V234" s="358"/>
      <c r="W234" s="358"/>
      <c r="X234" s="358"/>
      <c r="Y234" s="358"/>
      <c r="Z234" s="358"/>
    </row>
    <row r="235" spans="1:26" ht="13.5" customHeight="1">
      <c r="A235" s="358"/>
      <c r="B235" s="358"/>
      <c r="C235" s="358"/>
      <c r="D235" s="358"/>
      <c r="E235" s="358"/>
      <c r="F235" s="358"/>
      <c r="G235" s="358"/>
      <c r="H235" s="358"/>
      <c r="I235" s="358"/>
      <c r="J235" s="358"/>
      <c r="K235" s="358"/>
      <c r="L235" s="358"/>
      <c r="M235" s="358"/>
      <c r="N235" s="358"/>
      <c r="O235" s="358"/>
      <c r="P235" s="358"/>
      <c r="Q235" s="358"/>
      <c r="R235" s="358"/>
      <c r="S235" s="358"/>
      <c r="T235" s="358"/>
      <c r="U235" s="358"/>
      <c r="V235" s="358"/>
      <c r="W235" s="358"/>
      <c r="X235" s="358"/>
      <c r="Y235" s="358"/>
      <c r="Z235" s="358"/>
    </row>
    <row r="236" spans="1:26" ht="13.5" customHeight="1">
      <c r="A236" s="358"/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W236" s="358"/>
      <c r="X236" s="358"/>
      <c r="Y236" s="358"/>
      <c r="Z236" s="358"/>
    </row>
    <row r="237" spans="1:26" ht="13.5" customHeight="1">
      <c r="A237" s="358"/>
      <c r="B237" s="358"/>
      <c r="C237" s="358"/>
      <c r="D237" s="358"/>
      <c r="E237" s="358"/>
      <c r="F237" s="358"/>
      <c r="G237" s="358"/>
      <c r="H237" s="358"/>
      <c r="I237" s="358"/>
      <c r="J237" s="358"/>
      <c r="K237" s="358"/>
      <c r="L237" s="358"/>
      <c r="M237" s="358"/>
      <c r="N237" s="358"/>
      <c r="O237" s="358"/>
      <c r="P237" s="358"/>
      <c r="Q237" s="358"/>
      <c r="R237" s="358"/>
      <c r="S237" s="358"/>
      <c r="T237" s="358"/>
      <c r="U237" s="358"/>
      <c r="V237" s="358"/>
      <c r="W237" s="358"/>
      <c r="X237" s="358"/>
      <c r="Y237" s="358"/>
      <c r="Z237" s="358"/>
    </row>
    <row r="238" spans="1:26" ht="13.5" customHeight="1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</row>
    <row r="239" spans="1:26" ht="13.5" customHeight="1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</row>
    <row r="240" spans="1:26" ht="13.5" customHeight="1">
      <c r="A240" s="358"/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</row>
    <row r="241" spans="1:26" ht="13.5" customHeight="1">
      <c r="A241" s="358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358"/>
      <c r="Y241" s="358"/>
      <c r="Z241" s="358"/>
    </row>
    <row r="242" spans="1:26" ht="13.5" customHeight="1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8"/>
      <c r="P242" s="358"/>
      <c r="Q242" s="358"/>
      <c r="R242" s="358"/>
      <c r="S242" s="358"/>
      <c r="T242" s="358"/>
      <c r="U242" s="358"/>
      <c r="V242" s="358"/>
      <c r="W242" s="358"/>
      <c r="X242" s="358"/>
      <c r="Y242" s="358"/>
      <c r="Z242" s="358"/>
    </row>
    <row r="243" spans="1:26" ht="13.5" customHeight="1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</row>
    <row r="244" spans="1:26" ht="13.5" customHeight="1">
      <c r="A244" s="358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58"/>
      <c r="Z244" s="358"/>
    </row>
    <row r="245" spans="1:26" ht="13.5" customHeight="1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8"/>
      <c r="N245" s="358"/>
      <c r="O245" s="358"/>
      <c r="P245" s="358"/>
      <c r="Q245" s="358"/>
      <c r="R245" s="358"/>
      <c r="S245" s="358"/>
      <c r="T245" s="358"/>
      <c r="U245" s="358"/>
      <c r="V245" s="358"/>
      <c r="W245" s="358"/>
      <c r="X245" s="358"/>
      <c r="Y245" s="358"/>
      <c r="Z245" s="358"/>
    </row>
    <row r="246" spans="1:26" ht="13.5" customHeight="1">
      <c r="A246" s="358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58"/>
      <c r="Z246" s="358"/>
    </row>
    <row r="247" spans="1:26" ht="13.5" customHeight="1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8"/>
      <c r="N247" s="358"/>
      <c r="O247" s="358"/>
      <c r="P247" s="358"/>
      <c r="Q247" s="358"/>
      <c r="R247" s="358"/>
      <c r="S247" s="358"/>
      <c r="T247" s="358"/>
      <c r="U247" s="358"/>
      <c r="V247" s="358"/>
      <c r="W247" s="358"/>
      <c r="X247" s="358"/>
      <c r="Y247" s="358"/>
      <c r="Z247" s="358"/>
    </row>
    <row r="248" spans="1:26" ht="13.5" customHeight="1">
      <c r="A248" s="358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</row>
    <row r="249" spans="1:26" ht="13.5" customHeight="1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8"/>
      <c r="N249" s="358"/>
      <c r="O249" s="358"/>
      <c r="P249" s="358"/>
      <c r="Q249" s="358"/>
      <c r="R249" s="358"/>
      <c r="S249" s="358"/>
      <c r="T249" s="358"/>
      <c r="U249" s="358"/>
      <c r="V249" s="358"/>
      <c r="W249" s="358"/>
      <c r="X249" s="358"/>
      <c r="Y249" s="358"/>
      <c r="Z249" s="358"/>
    </row>
    <row r="250" spans="1:26" ht="13.5" customHeight="1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</row>
    <row r="251" spans="1:26" ht="13.5" customHeight="1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8"/>
      <c r="P251" s="358"/>
      <c r="Q251" s="358"/>
      <c r="R251" s="358"/>
      <c r="S251" s="358"/>
      <c r="T251" s="358"/>
      <c r="U251" s="358"/>
      <c r="V251" s="358"/>
      <c r="W251" s="358"/>
      <c r="X251" s="358"/>
      <c r="Y251" s="358"/>
      <c r="Z251" s="358"/>
    </row>
    <row r="252" spans="1:26" ht="13.5" customHeight="1">
      <c r="A252" s="358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58"/>
      <c r="Z252" s="358"/>
    </row>
    <row r="253" spans="1:26" ht="13.5" customHeight="1">
      <c r="A253" s="358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58"/>
      <c r="N253" s="358"/>
      <c r="O253" s="358"/>
      <c r="P253" s="358"/>
      <c r="Q253" s="358"/>
      <c r="R253" s="358"/>
      <c r="S253" s="358"/>
      <c r="T253" s="358"/>
      <c r="U253" s="358"/>
      <c r="V253" s="358"/>
      <c r="W253" s="358"/>
      <c r="X253" s="358"/>
      <c r="Y253" s="358"/>
      <c r="Z253" s="358"/>
    </row>
    <row r="254" spans="1:26" ht="13.5" customHeight="1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W254" s="358"/>
      <c r="X254" s="358"/>
      <c r="Y254" s="358"/>
      <c r="Z254" s="358"/>
    </row>
    <row r="255" spans="1:26" ht="13.5" customHeight="1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</row>
    <row r="256" spans="1:26" ht="13.5" customHeight="1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8"/>
      <c r="P256" s="358"/>
      <c r="Q256" s="358"/>
      <c r="R256" s="358"/>
      <c r="S256" s="358"/>
      <c r="T256" s="358"/>
      <c r="U256" s="358"/>
      <c r="V256" s="358"/>
      <c r="W256" s="358"/>
      <c r="X256" s="358"/>
      <c r="Y256" s="358"/>
      <c r="Z256" s="358"/>
    </row>
    <row r="257" spans="1:26" ht="13.5" customHeight="1">
      <c r="A257" s="358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58"/>
      <c r="Z257" s="358"/>
    </row>
    <row r="258" spans="1:26" ht="13.5" customHeight="1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58"/>
      <c r="P258" s="358"/>
      <c r="Q258" s="358"/>
      <c r="R258" s="358"/>
      <c r="S258" s="358"/>
      <c r="T258" s="358"/>
      <c r="U258" s="358"/>
      <c r="V258" s="358"/>
      <c r="W258" s="358"/>
      <c r="X258" s="358"/>
      <c r="Y258" s="358"/>
      <c r="Z258" s="358"/>
    </row>
    <row r="259" spans="1:26" ht="13.5" customHeight="1">
      <c r="A259" s="358"/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58"/>
      <c r="Z259" s="358"/>
    </row>
    <row r="260" spans="1:26" ht="13.5" customHeight="1">
      <c r="A260" s="358"/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</row>
    <row r="261" spans="1:26" ht="13.5" customHeight="1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W261" s="358"/>
      <c r="X261" s="358"/>
      <c r="Y261" s="358"/>
      <c r="Z261" s="358"/>
    </row>
    <row r="262" spans="1:26" ht="13.5" customHeight="1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W262" s="358"/>
      <c r="X262" s="358"/>
      <c r="Y262" s="358"/>
      <c r="Z262" s="358"/>
    </row>
    <row r="263" spans="1:26" ht="13.5" customHeight="1">
      <c r="A263" s="358"/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W263" s="358"/>
      <c r="X263" s="358"/>
      <c r="Y263" s="358"/>
      <c r="Z263" s="358"/>
    </row>
    <row r="264" spans="1:26" ht="13.5" customHeight="1">
      <c r="A264" s="358"/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58"/>
      <c r="P264" s="358"/>
      <c r="Q264" s="358"/>
      <c r="R264" s="358"/>
      <c r="S264" s="358"/>
      <c r="T264" s="358"/>
      <c r="U264" s="358"/>
      <c r="V264" s="358"/>
      <c r="W264" s="358"/>
      <c r="X264" s="358"/>
      <c r="Y264" s="358"/>
      <c r="Z264" s="358"/>
    </row>
    <row r="265" spans="1:26" ht="13.5" customHeight="1">
      <c r="A265" s="358"/>
      <c r="B265" s="358"/>
      <c r="C265" s="358"/>
      <c r="D265" s="358"/>
      <c r="E265" s="358"/>
      <c r="F265" s="358"/>
      <c r="G265" s="358"/>
      <c r="H265" s="358"/>
      <c r="I265" s="358"/>
      <c r="J265" s="358"/>
      <c r="K265" s="358"/>
      <c r="L265" s="358"/>
      <c r="M265" s="358"/>
      <c r="N265" s="358"/>
      <c r="O265" s="358"/>
      <c r="P265" s="358"/>
      <c r="Q265" s="358"/>
      <c r="R265" s="358"/>
      <c r="S265" s="358"/>
      <c r="T265" s="358"/>
      <c r="U265" s="358"/>
      <c r="V265" s="358"/>
      <c r="W265" s="358"/>
      <c r="X265" s="358"/>
      <c r="Y265" s="358"/>
      <c r="Z265" s="358"/>
    </row>
    <row r="266" spans="1:26" ht="13.5" customHeight="1">
      <c r="A266" s="358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358"/>
      <c r="Y266" s="358"/>
      <c r="Z266" s="358"/>
    </row>
    <row r="267" spans="1:26" ht="13.5" customHeight="1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</row>
    <row r="268" spans="1:26" ht="13.5" customHeight="1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58"/>
      <c r="Z268" s="358"/>
    </row>
    <row r="269" spans="1:26" ht="13.5" customHeight="1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58"/>
      <c r="Z269" s="358"/>
    </row>
    <row r="270" spans="1:26" ht="13.5" customHeight="1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58"/>
      <c r="Z270" s="358"/>
    </row>
    <row r="271" spans="1:26" ht="13.5" customHeight="1">
      <c r="A271" s="358"/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58"/>
      <c r="Z271" s="358"/>
    </row>
    <row r="272" spans="1:26" ht="13.5" customHeight="1">
      <c r="A272" s="358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58"/>
      <c r="N272" s="358"/>
      <c r="O272" s="358"/>
      <c r="P272" s="358"/>
      <c r="Q272" s="358"/>
      <c r="R272" s="358"/>
      <c r="S272" s="358"/>
      <c r="T272" s="358"/>
      <c r="U272" s="358"/>
      <c r="V272" s="358"/>
      <c r="W272" s="358"/>
      <c r="X272" s="358"/>
      <c r="Y272" s="358"/>
      <c r="Z272" s="358"/>
    </row>
    <row r="273" spans="1:26" ht="13.5" customHeight="1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8"/>
      <c r="N273" s="358"/>
      <c r="O273" s="358"/>
      <c r="P273" s="358"/>
      <c r="Q273" s="358"/>
      <c r="R273" s="358"/>
      <c r="S273" s="358"/>
      <c r="T273" s="358"/>
      <c r="U273" s="358"/>
      <c r="V273" s="358"/>
      <c r="W273" s="358"/>
      <c r="X273" s="358"/>
      <c r="Y273" s="358"/>
      <c r="Z273" s="358"/>
    </row>
    <row r="274" spans="1:26" ht="13.5" customHeight="1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58"/>
      <c r="Z274" s="358"/>
    </row>
    <row r="275" spans="1:26" ht="13.5" customHeight="1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58"/>
      <c r="Z275" s="358"/>
    </row>
    <row r="276" spans="1:26" ht="13.5" customHeight="1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58"/>
      <c r="Z276" s="358"/>
    </row>
    <row r="277" spans="1:26" ht="13.5" customHeight="1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58"/>
      <c r="Z277" s="358"/>
    </row>
    <row r="278" spans="1:26" ht="13.5" customHeight="1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358"/>
      <c r="P278" s="358"/>
      <c r="Q278" s="358"/>
      <c r="R278" s="358"/>
      <c r="S278" s="358"/>
      <c r="T278" s="358"/>
      <c r="U278" s="358"/>
      <c r="V278" s="358"/>
      <c r="W278" s="358"/>
      <c r="X278" s="358"/>
      <c r="Y278" s="358"/>
      <c r="Z278" s="358"/>
    </row>
    <row r="279" spans="1:26" ht="13.5" customHeight="1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8"/>
      <c r="P279" s="358"/>
      <c r="Q279" s="358"/>
      <c r="R279" s="358"/>
      <c r="S279" s="358"/>
      <c r="T279" s="358"/>
      <c r="U279" s="358"/>
      <c r="V279" s="358"/>
      <c r="W279" s="358"/>
      <c r="X279" s="358"/>
      <c r="Y279" s="358"/>
      <c r="Z279" s="358"/>
    </row>
    <row r="280" spans="1:26" ht="13.5" customHeight="1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58"/>
      <c r="Z280" s="358"/>
    </row>
    <row r="281" spans="1:26" ht="13.5" customHeight="1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58"/>
      <c r="Z281" s="358"/>
    </row>
    <row r="282" spans="1:26" ht="13.5" customHeight="1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58"/>
      <c r="Z282" s="358"/>
    </row>
    <row r="283" spans="1:26" ht="13.5" customHeight="1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58"/>
      <c r="Z283" s="358"/>
    </row>
    <row r="284" spans="1:26" ht="13.5" customHeight="1">
      <c r="A284" s="358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8"/>
      <c r="P284" s="358"/>
      <c r="Q284" s="358"/>
      <c r="R284" s="358"/>
      <c r="S284" s="358"/>
      <c r="T284" s="358"/>
      <c r="U284" s="358"/>
      <c r="V284" s="358"/>
      <c r="W284" s="358"/>
      <c r="X284" s="358"/>
      <c r="Y284" s="358"/>
      <c r="Z284" s="358"/>
    </row>
    <row r="285" spans="1:26" ht="13.5" customHeight="1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W285" s="358"/>
      <c r="X285" s="358"/>
      <c r="Y285" s="358"/>
      <c r="Z285" s="358"/>
    </row>
    <row r="286" spans="1:26" ht="13.5" customHeight="1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58"/>
      <c r="Z286" s="358"/>
    </row>
    <row r="287" spans="1:26" ht="13.5" customHeight="1">
      <c r="A287" s="358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58"/>
      <c r="Z287" s="358"/>
    </row>
    <row r="288" spans="1:26" ht="13.5" customHeight="1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58"/>
      <c r="Z288" s="358"/>
    </row>
    <row r="289" spans="1:26" ht="13.5" customHeight="1">
      <c r="A289" s="358"/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58"/>
      <c r="Z289" s="358"/>
    </row>
    <row r="290" spans="1:26" ht="13.5" customHeight="1">
      <c r="A290" s="358"/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58"/>
      <c r="Z290" s="358"/>
    </row>
    <row r="291" spans="1:26" ht="13.5" customHeight="1">
      <c r="A291" s="358"/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W291" s="358"/>
      <c r="X291" s="358"/>
      <c r="Y291" s="358"/>
      <c r="Z291" s="358"/>
    </row>
    <row r="292" spans="1:26" ht="13.5" customHeight="1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58"/>
      <c r="P292" s="358"/>
      <c r="Q292" s="358"/>
      <c r="R292" s="358"/>
      <c r="S292" s="358"/>
      <c r="T292" s="358"/>
      <c r="U292" s="358"/>
      <c r="V292" s="358"/>
      <c r="W292" s="358"/>
      <c r="X292" s="358"/>
      <c r="Y292" s="358"/>
      <c r="Z292" s="358"/>
    </row>
    <row r="293" spans="1:26" ht="13.5" customHeight="1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W293" s="358"/>
      <c r="X293" s="358"/>
      <c r="Y293" s="358"/>
      <c r="Z293" s="358"/>
    </row>
    <row r="294" spans="1:26" ht="13.5" customHeight="1">
      <c r="A294" s="358"/>
      <c r="B294" s="358"/>
      <c r="C294" s="358"/>
      <c r="D294" s="358"/>
      <c r="E294" s="358"/>
      <c r="F294" s="358"/>
      <c r="G294" s="358"/>
      <c r="H294" s="358"/>
      <c r="I294" s="358"/>
      <c r="J294" s="358"/>
      <c r="K294" s="358"/>
      <c r="L294" s="358"/>
      <c r="M294" s="358"/>
      <c r="N294" s="358"/>
      <c r="O294" s="358"/>
      <c r="P294" s="358"/>
      <c r="Q294" s="358"/>
      <c r="R294" s="358"/>
      <c r="S294" s="358"/>
      <c r="T294" s="358"/>
      <c r="U294" s="358"/>
      <c r="V294" s="358"/>
      <c r="W294" s="358"/>
      <c r="X294" s="358"/>
      <c r="Y294" s="358"/>
      <c r="Z294" s="358"/>
    </row>
    <row r="295" spans="1:26" ht="13.5" customHeight="1">
      <c r="A295" s="358"/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W295" s="358"/>
      <c r="X295" s="358"/>
      <c r="Y295" s="358"/>
      <c r="Z295" s="358"/>
    </row>
    <row r="296" spans="1:26" ht="13.5" customHeight="1">
      <c r="A296" s="358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358"/>
      <c r="Y296" s="358"/>
      <c r="Z296" s="358"/>
    </row>
    <row r="297" spans="1:26" ht="13.5" customHeight="1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8"/>
      <c r="N297" s="358"/>
      <c r="O297" s="358"/>
      <c r="P297" s="358"/>
      <c r="Q297" s="358"/>
      <c r="R297" s="358"/>
      <c r="S297" s="358"/>
      <c r="T297" s="358"/>
      <c r="U297" s="358"/>
      <c r="V297" s="358"/>
      <c r="W297" s="358"/>
      <c r="X297" s="358"/>
      <c r="Y297" s="358"/>
      <c r="Z297" s="358"/>
    </row>
    <row r="298" spans="1:26" ht="13.5" customHeight="1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58"/>
      <c r="Z298" s="358"/>
    </row>
    <row r="299" spans="1:26" ht="13.5" customHeight="1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58"/>
      <c r="Z299" s="358"/>
    </row>
    <row r="300" spans="1:26" ht="13.5" customHeight="1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</row>
    <row r="301" spans="1:26" ht="13.5" customHeight="1">
      <c r="A301" s="358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58"/>
      <c r="Z301" s="358"/>
    </row>
    <row r="302" spans="1:26" ht="13.5" customHeight="1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8"/>
      <c r="N302" s="358"/>
      <c r="O302" s="358"/>
      <c r="P302" s="358"/>
      <c r="Q302" s="358"/>
      <c r="R302" s="358"/>
      <c r="S302" s="358"/>
      <c r="T302" s="358"/>
      <c r="U302" s="358"/>
      <c r="V302" s="358"/>
      <c r="W302" s="358"/>
      <c r="X302" s="358"/>
      <c r="Y302" s="358"/>
      <c r="Z302" s="358"/>
    </row>
    <row r="303" spans="1:26" ht="13.5" customHeight="1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58"/>
      <c r="Z303" s="358"/>
    </row>
    <row r="304" spans="1:26" ht="13.5" customHeight="1">
      <c r="A304" s="358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58"/>
      <c r="Z304" s="358"/>
    </row>
    <row r="305" spans="1:26" ht="13.5" customHeight="1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58"/>
      <c r="Z305" s="358"/>
    </row>
    <row r="306" spans="1:26" ht="13.5" customHeight="1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58"/>
      <c r="Z306" s="358"/>
    </row>
    <row r="307" spans="1:26" ht="13.5" customHeight="1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58"/>
      <c r="Z307" s="358"/>
    </row>
    <row r="308" spans="1:26" ht="13.5" customHeight="1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58"/>
      <c r="Z308" s="358"/>
    </row>
    <row r="309" spans="1:26" ht="13.5" customHeight="1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58"/>
      <c r="Z309" s="358"/>
    </row>
    <row r="310" spans="1:26" ht="13.5" customHeight="1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W310" s="358"/>
      <c r="X310" s="358"/>
      <c r="Y310" s="358"/>
      <c r="Z310" s="358"/>
    </row>
    <row r="311" spans="1:26" ht="13.5" customHeight="1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58"/>
      <c r="Z311" s="358"/>
    </row>
    <row r="312" spans="1:26" ht="13.5" customHeight="1">
      <c r="A312" s="358"/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58"/>
      <c r="Z312" s="358"/>
    </row>
    <row r="313" spans="1:26" ht="13.5" customHeight="1">
      <c r="A313" s="358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8"/>
      <c r="N313" s="358"/>
      <c r="O313" s="358"/>
      <c r="P313" s="358"/>
      <c r="Q313" s="358"/>
      <c r="R313" s="358"/>
      <c r="S313" s="358"/>
      <c r="T313" s="358"/>
      <c r="U313" s="358"/>
      <c r="V313" s="358"/>
      <c r="W313" s="358"/>
      <c r="X313" s="358"/>
      <c r="Y313" s="358"/>
      <c r="Z313" s="358"/>
    </row>
    <row r="314" spans="1:26" ht="13.5" customHeight="1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8"/>
      <c r="N314" s="358"/>
      <c r="O314" s="358"/>
      <c r="P314" s="358"/>
      <c r="Q314" s="358"/>
      <c r="R314" s="358"/>
      <c r="S314" s="358"/>
      <c r="T314" s="358"/>
      <c r="U314" s="358"/>
      <c r="V314" s="358"/>
      <c r="W314" s="358"/>
      <c r="X314" s="358"/>
      <c r="Y314" s="358"/>
      <c r="Z314" s="358"/>
    </row>
    <row r="315" spans="1:26" ht="13.5" customHeight="1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58"/>
      <c r="Z315" s="358"/>
    </row>
    <row r="316" spans="1:26" ht="13.5" customHeight="1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58"/>
      <c r="Z316" s="358"/>
    </row>
    <row r="317" spans="1:26" ht="13.5" customHeight="1">
      <c r="A317" s="358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58"/>
      <c r="Z317" s="358"/>
    </row>
    <row r="318" spans="1:26" ht="13.5" customHeight="1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8"/>
      <c r="N318" s="358"/>
      <c r="O318" s="358"/>
      <c r="P318" s="358"/>
      <c r="Q318" s="358"/>
      <c r="R318" s="358"/>
      <c r="S318" s="358"/>
      <c r="T318" s="358"/>
      <c r="U318" s="358"/>
      <c r="V318" s="358"/>
      <c r="W318" s="358"/>
      <c r="X318" s="358"/>
      <c r="Y318" s="358"/>
      <c r="Z318" s="358"/>
    </row>
    <row r="319" spans="1:26" ht="13.5" customHeight="1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58"/>
      <c r="Z319" s="358"/>
    </row>
    <row r="320" spans="1:26" ht="13.5" customHeight="1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8"/>
      <c r="N320" s="358"/>
      <c r="O320" s="358"/>
      <c r="P320" s="358"/>
      <c r="Q320" s="358"/>
      <c r="R320" s="358"/>
      <c r="S320" s="358"/>
      <c r="T320" s="358"/>
      <c r="U320" s="358"/>
      <c r="V320" s="358"/>
      <c r="W320" s="358"/>
      <c r="X320" s="358"/>
      <c r="Y320" s="358"/>
      <c r="Z320" s="358"/>
    </row>
    <row r="321" spans="1:26" ht="13.5" customHeight="1">
      <c r="A321" s="358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58"/>
      <c r="Z321" s="358"/>
    </row>
    <row r="322" spans="1:26" ht="13.5" customHeight="1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58"/>
      <c r="Z322" s="358"/>
    </row>
    <row r="323" spans="1:26" ht="13.5" customHeight="1">
      <c r="A323" s="358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58"/>
      <c r="N323" s="358"/>
      <c r="O323" s="358"/>
      <c r="P323" s="358"/>
      <c r="Q323" s="358"/>
      <c r="R323" s="358"/>
      <c r="S323" s="358"/>
      <c r="T323" s="358"/>
      <c r="U323" s="358"/>
      <c r="V323" s="358"/>
      <c r="W323" s="358"/>
      <c r="X323" s="358"/>
      <c r="Y323" s="358"/>
      <c r="Z323" s="358"/>
    </row>
    <row r="324" spans="1:26" ht="13.5" customHeight="1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58"/>
      <c r="Z324" s="358"/>
    </row>
    <row r="325" spans="1:26" ht="13.5" customHeight="1">
      <c r="A325" s="358"/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58"/>
      <c r="Z325" s="358"/>
    </row>
    <row r="326" spans="1:26" ht="13.5" customHeight="1">
      <c r="A326" s="35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</row>
    <row r="327" spans="1:26" ht="13.5" customHeight="1">
      <c r="A327" s="358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58"/>
      <c r="Z327" s="358"/>
    </row>
    <row r="328" spans="1:26" ht="13.5" customHeight="1">
      <c r="A328" s="358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58"/>
      <c r="P328" s="358"/>
      <c r="Q328" s="358"/>
      <c r="R328" s="358"/>
      <c r="S328" s="358"/>
      <c r="T328" s="358"/>
      <c r="U328" s="358"/>
      <c r="V328" s="358"/>
      <c r="W328" s="358"/>
      <c r="X328" s="358"/>
      <c r="Y328" s="358"/>
      <c r="Z328" s="358"/>
    </row>
    <row r="329" spans="1:26" ht="13.5" customHeight="1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W329" s="358"/>
      <c r="X329" s="358"/>
      <c r="Y329" s="358"/>
      <c r="Z329" s="358"/>
    </row>
    <row r="330" spans="1:26" ht="13.5" customHeight="1">
      <c r="A330" s="358"/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</row>
    <row r="331" spans="1:26" ht="13.5" customHeight="1">
      <c r="A331" s="358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58"/>
      <c r="Z331" s="358"/>
    </row>
    <row r="332" spans="1:26" ht="13.5" customHeight="1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W332" s="358"/>
      <c r="X332" s="358"/>
      <c r="Y332" s="358"/>
      <c r="Z332" s="358"/>
    </row>
    <row r="333" spans="1:26" ht="13.5" customHeight="1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58"/>
      <c r="Z333" s="358"/>
    </row>
    <row r="334" spans="1:26" ht="13.5" customHeight="1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8"/>
      <c r="P334" s="358"/>
      <c r="Q334" s="358"/>
      <c r="R334" s="358"/>
      <c r="S334" s="358"/>
      <c r="T334" s="358"/>
      <c r="U334" s="358"/>
      <c r="V334" s="358"/>
      <c r="W334" s="358"/>
      <c r="X334" s="358"/>
      <c r="Y334" s="358"/>
      <c r="Z334" s="358"/>
    </row>
    <row r="335" spans="1:26" ht="13.5" customHeight="1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358"/>
      <c r="P335" s="358"/>
      <c r="Q335" s="358"/>
      <c r="R335" s="358"/>
      <c r="S335" s="358"/>
      <c r="T335" s="358"/>
      <c r="U335" s="358"/>
      <c r="V335" s="358"/>
      <c r="W335" s="358"/>
      <c r="X335" s="358"/>
      <c r="Y335" s="358"/>
      <c r="Z335" s="358"/>
    </row>
    <row r="336" spans="1:26" ht="13.5" customHeight="1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58"/>
      <c r="Z336" s="358"/>
    </row>
    <row r="337" spans="1:26" ht="13.5" customHeight="1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358"/>
      <c r="Y337" s="358"/>
      <c r="Z337" s="358"/>
    </row>
    <row r="338" spans="1:26" ht="13.5" customHeight="1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58"/>
      <c r="Z338" s="358"/>
    </row>
    <row r="339" spans="1:26" ht="13.5" customHeight="1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58"/>
      <c r="Z339" s="358"/>
    </row>
    <row r="340" spans="1:26" ht="13.5" customHeight="1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8"/>
      <c r="N340" s="358"/>
      <c r="O340" s="358"/>
      <c r="P340" s="358"/>
      <c r="Q340" s="358"/>
      <c r="R340" s="358"/>
      <c r="S340" s="358"/>
      <c r="T340" s="358"/>
      <c r="U340" s="358"/>
      <c r="V340" s="358"/>
      <c r="W340" s="358"/>
      <c r="X340" s="358"/>
      <c r="Y340" s="358"/>
      <c r="Z340" s="358"/>
    </row>
    <row r="341" spans="1:26" ht="13.5" customHeight="1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8"/>
      <c r="N341" s="358"/>
      <c r="O341" s="358"/>
      <c r="P341" s="358"/>
      <c r="Q341" s="358"/>
      <c r="R341" s="358"/>
      <c r="S341" s="358"/>
      <c r="T341" s="358"/>
      <c r="U341" s="358"/>
      <c r="V341" s="358"/>
      <c r="W341" s="358"/>
      <c r="X341" s="358"/>
      <c r="Y341" s="358"/>
      <c r="Z341" s="358"/>
    </row>
    <row r="342" spans="1:26" ht="13.5" customHeight="1">
      <c r="A342" s="358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58"/>
      <c r="Z342" s="358"/>
    </row>
    <row r="343" spans="1:26" ht="13.5" customHeight="1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358"/>
      <c r="Z343" s="358"/>
    </row>
    <row r="344" spans="1:26" ht="13.5" customHeight="1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58"/>
      <c r="Z344" s="358"/>
    </row>
    <row r="345" spans="1:26" ht="13.5" customHeight="1">
      <c r="A345" s="358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8"/>
      <c r="N345" s="358"/>
      <c r="O345" s="358"/>
      <c r="P345" s="358"/>
      <c r="Q345" s="358"/>
      <c r="R345" s="358"/>
      <c r="S345" s="358"/>
      <c r="T345" s="358"/>
      <c r="U345" s="358"/>
      <c r="V345" s="358"/>
      <c r="W345" s="358"/>
      <c r="X345" s="358"/>
      <c r="Y345" s="358"/>
      <c r="Z345" s="358"/>
    </row>
    <row r="346" spans="1:26" ht="13.5" customHeight="1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8"/>
      <c r="N346" s="358"/>
      <c r="O346" s="358"/>
      <c r="P346" s="358"/>
      <c r="Q346" s="358"/>
      <c r="R346" s="358"/>
      <c r="S346" s="358"/>
      <c r="T346" s="358"/>
      <c r="U346" s="358"/>
      <c r="V346" s="358"/>
      <c r="W346" s="358"/>
      <c r="X346" s="358"/>
      <c r="Y346" s="358"/>
      <c r="Z346" s="358"/>
    </row>
    <row r="347" spans="1:26" ht="13.5" customHeight="1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58"/>
      <c r="Z347" s="358"/>
    </row>
    <row r="348" spans="1:26" ht="13.5" customHeight="1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58"/>
      <c r="Z348" s="358"/>
    </row>
    <row r="349" spans="1:26" ht="13.5" customHeight="1">
      <c r="A349" s="358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58"/>
      <c r="Z349" s="358"/>
    </row>
    <row r="350" spans="1:26" ht="13.5" customHeight="1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8"/>
      <c r="N350" s="358"/>
      <c r="O350" s="358"/>
      <c r="P350" s="358"/>
      <c r="Q350" s="358"/>
      <c r="R350" s="358"/>
      <c r="S350" s="358"/>
      <c r="T350" s="358"/>
      <c r="U350" s="358"/>
      <c r="V350" s="358"/>
      <c r="W350" s="358"/>
      <c r="X350" s="358"/>
      <c r="Y350" s="358"/>
      <c r="Z350" s="358"/>
    </row>
    <row r="351" spans="1:26" ht="13.5" customHeight="1">
      <c r="A351" s="358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58"/>
      <c r="Z351" s="358"/>
    </row>
    <row r="352" spans="1:26" ht="13.5" customHeight="1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58"/>
      <c r="Z352" s="358"/>
    </row>
    <row r="353" spans="1:26" ht="13.5" customHeight="1">
      <c r="A353" s="358"/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58"/>
      <c r="Z353" s="358"/>
    </row>
    <row r="354" spans="1:26" ht="13.5" customHeight="1">
      <c r="A354" s="358"/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58"/>
      <c r="Z354" s="358"/>
    </row>
    <row r="355" spans="1:26" ht="13.5" customHeight="1">
      <c r="A355" s="358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58"/>
      <c r="N355" s="358"/>
      <c r="O355" s="358"/>
      <c r="P355" s="358"/>
      <c r="Q355" s="358"/>
      <c r="R355" s="358"/>
      <c r="S355" s="358"/>
      <c r="T355" s="358"/>
      <c r="U355" s="358"/>
      <c r="V355" s="358"/>
      <c r="W355" s="358"/>
      <c r="X355" s="358"/>
      <c r="Y355" s="358"/>
      <c r="Z355" s="358"/>
    </row>
    <row r="356" spans="1:26" ht="13.5" customHeight="1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58"/>
      <c r="N356" s="358"/>
      <c r="O356" s="358"/>
      <c r="P356" s="358"/>
      <c r="Q356" s="358"/>
      <c r="R356" s="358"/>
      <c r="S356" s="358"/>
      <c r="T356" s="358"/>
      <c r="U356" s="358"/>
      <c r="V356" s="358"/>
      <c r="W356" s="358"/>
      <c r="X356" s="358"/>
      <c r="Y356" s="358"/>
      <c r="Z356" s="358"/>
    </row>
    <row r="357" spans="1:26" ht="13.5" customHeight="1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58"/>
      <c r="Z357" s="358"/>
    </row>
    <row r="358" spans="1:26" ht="13.5" customHeight="1">
      <c r="A358" s="358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8"/>
      <c r="N358" s="358"/>
      <c r="O358" s="358"/>
      <c r="P358" s="358"/>
      <c r="Q358" s="358"/>
      <c r="R358" s="358"/>
      <c r="S358" s="358"/>
      <c r="T358" s="358"/>
      <c r="U358" s="358"/>
      <c r="V358" s="358"/>
      <c r="W358" s="358"/>
      <c r="X358" s="358"/>
      <c r="Y358" s="358"/>
      <c r="Z358" s="358"/>
    </row>
    <row r="359" spans="1:26" ht="13.5" customHeight="1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8"/>
      <c r="N359" s="358"/>
      <c r="O359" s="358"/>
      <c r="P359" s="358"/>
      <c r="Q359" s="358"/>
      <c r="R359" s="358"/>
      <c r="S359" s="358"/>
      <c r="T359" s="358"/>
      <c r="U359" s="358"/>
      <c r="V359" s="358"/>
      <c r="W359" s="358"/>
      <c r="X359" s="358"/>
      <c r="Y359" s="358"/>
      <c r="Z359" s="358"/>
    </row>
    <row r="360" spans="1:26" ht="13.5" customHeight="1">
      <c r="A360" s="358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58"/>
      <c r="Z360" s="358"/>
    </row>
    <row r="361" spans="1:26" ht="13.5" customHeight="1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58"/>
      <c r="N361" s="358"/>
      <c r="O361" s="358"/>
      <c r="P361" s="358"/>
      <c r="Q361" s="358"/>
      <c r="R361" s="358"/>
      <c r="S361" s="358"/>
      <c r="T361" s="358"/>
      <c r="U361" s="358"/>
      <c r="V361" s="358"/>
      <c r="W361" s="358"/>
      <c r="X361" s="358"/>
      <c r="Y361" s="358"/>
      <c r="Z361" s="358"/>
    </row>
    <row r="362" spans="1:26" ht="13.5" customHeight="1">
      <c r="A362" s="358"/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58"/>
      <c r="Z362" s="358"/>
    </row>
    <row r="363" spans="1:26" ht="13.5" customHeight="1">
      <c r="A363" s="358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358"/>
      <c r="Y363" s="358"/>
      <c r="Z363" s="358"/>
    </row>
    <row r="364" spans="1:26" ht="13.5" customHeight="1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8"/>
      <c r="N364" s="358"/>
      <c r="O364" s="358"/>
      <c r="P364" s="358"/>
      <c r="Q364" s="358"/>
      <c r="R364" s="358"/>
      <c r="S364" s="358"/>
      <c r="T364" s="358"/>
      <c r="U364" s="358"/>
      <c r="V364" s="358"/>
      <c r="W364" s="358"/>
      <c r="X364" s="358"/>
      <c r="Y364" s="358"/>
      <c r="Z364" s="358"/>
    </row>
    <row r="365" spans="1:26" ht="13.5" customHeight="1">
      <c r="A365" s="358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58"/>
      <c r="Z365" s="358"/>
    </row>
    <row r="366" spans="1:26" ht="13.5" customHeight="1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58"/>
      <c r="N366" s="358"/>
      <c r="O366" s="358"/>
      <c r="P366" s="358"/>
      <c r="Q366" s="358"/>
      <c r="R366" s="358"/>
      <c r="S366" s="358"/>
      <c r="T366" s="358"/>
      <c r="U366" s="358"/>
      <c r="V366" s="358"/>
      <c r="W366" s="358"/>
      <c r="X366" s="358"/>
      <c r="Y366" s="358"/>
      <c r="Z366" s="358"/>
    </row>
    <row r="367" spans="1:26" ht="13.5" customHeight="1">
      <c r="A367" s="358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58"/>
      <c r="Z367" s="358"/>
    </row>
    <row r="368" spans="1:26" ht="13.5" customHeight="1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358"/>
      <c r="Z368" s="358"/>
    </row>
    <row r="369" spans="1:26" ht="13.5" customHeight="1">
      <c r="A369" s="358"/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58"/>
      <c r="Z369" s="358"/>
    </row>
    <row r="370" spans="1:26" ht="13.5" customHeight="1">
      <c r="A370" s="358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8"/>
      <c r="N370" s="358"/>
      <c r="O370" s="358"/>
      <c r="P370" s="358"/>
      <c r="Q370" s="358"/>
      <c r="R370" s="358"/>
      <c r="S370" s="358"/>
      <c r="T370" s="358"/>
      <c r="U370" s="358"/>
      <c r="V370" s="358"/>
      <c r="W370" s="358"/>
      <c r="X370" s="358"/>
      <c r="Y370" s="358"/>
      <c r="Z370" s="358"/>
    </row>
    <row r="371" spans="1:26" ht="13.5" customHeight="1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8"/>
      <c r="N371" s="358"/>
      <c r="O371" s="358"/>
      <c r="P371" s="358"/>
      <c r="Q371" s="358"/>
      <c r="R371" s="358"/>
      <c r="S371" s="358"/>
      <c r="T371" s="358"/>
      <c r="U371" s="358"/>
      <c r="V371" s="358"/>
      <c r="W371" s="358"/>
      <c r="X371" s="358"/>
      <c r="Y371" s="358"/>
      <c r="Z371" s="358"/>
    </row>
    <row r="372" spans="1:26" ht="13.5" customHeight="1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58"/>
      <c r="Z372" s="358"/>
    </row>
    <row r="373" spans="1:26" ht="13.5" customHeight="1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58"/>
      <c r="N373" s="358"/>
      <c r="O373" s="358"/>
      <c r="P373" s="358"/>
      <c r="Q373" s="358"/>
      <c r="R373" s="358"/>
      <c r="S373" s="358"/>
      <c r="T373" s="358"/>
      <c r="U373" s="358"/>
      <c r="V373" s="358"/>
      <c r="W373" s="358"/>
      <c r="X373" s="358"/>
      <c r="Y373" s="358"/>
      <c r="Z373" s="358"/>
    </row>
    <row r="374" spans="1:26" ht="13.5" customHeight="1">
      <c r="A374" s="358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58"/>
      <c r="Z374" s="358"/>
    </row>
    <row r="375" spans="1:26" ht="13.5" customHeight="1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58"/>
      <c r="Z375" s="358"/>
    </row>
    <row r="376" spans="1:26" ht="13.5" customHeight="1">
      <c r="A376" s="358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58"/>
      <c r="N376" s="358"/>
      <c r="O376" s="358"/>
      <c r="P376" s="358"/>
      <c r="Q376" s="358"/>
      <c r="R376" s="358"/>
      <c r="S376" s="358"/>
      <c r="T376" s="358"/>
      <c r="U376" s="358"/>
      <c r="V376" s="358"/>
      <c r="W376" s="358"/>
      <c r="X376" s="358"/>
      <c r="Y376" s="358"/>
      <c r="Z376" s="358"/>
    </row>
    <row r="377" spans="1:26" ht="13.5" customHeight="1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58"/>
      <c r="Z377" s="358"/>
    </row>
    <row r="378" spans="1:26" ht="13.5" customHeight="1">
      <c r="A378" s="358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58"/>
      <c r="Z378" s="358"/>
    </row>
    <row r="379" spans="1:26" ht="13.5" customHeight="1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58"/>
      <c r="Z379" s="358"/>
    </row>
    <row r="380" spans="1:26" ht="13.5" customHeight="1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58"/>
      <c r="Z380" s="358"/>
    </row>
    <row r="381" spans="1:26" ht="13.5" customHeight="1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8"/>
      <c r="N381" s="358"/>
      <c r="O381" s="358"/>
      <c r="P381" s="358"/>
      <c r="Q381" s="358"/>
      <c r="R381" s="358"/>
      <c r="S381" s="358"/>
      <c r="T381" s="358"/>
      <c r="U381" s="358"/>
      <c r="V381" s="358"/>
      <c r="W381" s="358"/>
      <c r="X381" s="358"/>
      <c r="Y381" s="358"/>
      <c r="Z381" s="358"/>
    </row>
    <row r="382" spans="1:26" ht="13.5" customHeight="1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8"/>
      <c r="N382" s="358"/>
      <c r="O382" s="358"/>
      <c r="P382" s="358"/>
      <c r="Q382" s="358"/>
      <c r="R382" s="358"/>
      <c r="S382" s="358"/>
      <c r="T382" s="358"/>
      <c r="U382" s="358"/>
      <c r="V382" s="358"/>
      <c r="W382" s="358"/>
      <c r="X382" s="358"/>
      <c r="Y382" s="358"/>
      <c r="Z382" s="358"/>
    </row>
    <row r="383" spans="1:26" ht="13.5" customHeight="1">
      <c r="A383" s="358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58"/>
      <c r="Z383" s="358"/>
    </row>
    <row r="384" spans="1:26" ht="13.5" customHeight="1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W384" s="358"/>
      <c r="X384" s="358"/>
      <c r="Y384" s="358"/>
      <c r="Z384" s="358"/>
    </row>
    <row r="385" spans="1:26" ht="13.5" customHeight="1">
      <c r="A385" s="358"/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58"/>
      <c r="Z385" s="358"/>
    </row>
    <row r="386" spans="1:26" ht="13.5" customHeight="1">
      <c r="A386" s="358"/>
      <c r="B386" s="358"/>
      <c r="C386" s="358"/>
      <c r="D386" s="358"/>
      <c r="E386" s="358"/>
      <c r="F386" s="358"/>
      <c r="G386" s="358"/>
      <c r="H386" s="358"/>
      <c r="I386" s="358"/>
      <c r="J386" s="358"/>
      <c r="K386" s="358"/>
      <c r="L386" s="358"/>
      <c r="M386" s="358"/>
      <c r="N386" s="358"/>
      <c r="O386" s="358"/>
      <c r="P386" s="358"/>
      <c r="Q386" s="358"/>
      <c r="R386" s="358"/>
      <c r="S386" s="358"/>
      <c r="T386" s="358"/>
      <c r="U386" s="358"/>
      <c r="V386" s="358"/>
      <c r="W386" s="358"/>
      <c r="X386" s="358"/>
      <c r="Y386" s="358"/>
      <c r="Z386" s="358"/>
    </row>
    <row r="387" spans="1:26" ht="13.5" customHeight="1">
      <c r="A387" s="358"/>
      <c r="B387" s="358"/>
      <c r="C387" s="358"/>
      <c r="D387" s="358"/>
      <c r="E387" s="358"/>
      <c r="F387" s="358"/>
      <c r="G387" s="358"/>
      <c r="H387" s="358"/>
      <c r="I387" s="358"/>
      <c r="J387" s="358"/>
      <c r="K387" s="358"/>
      <c r="L387" s="358"/>
      <c r="M387" s="358"/>
      <c r="N387" s="358"/>
      <c r="O387" s="358"/>
      <c r="P387" s="358"/>
      <c r="Q387" s="358"/>
      <c r="R387" s="358"/>
      <c r="S387" s="358"/>
      <c r="T387" s="358"/>
      <c r="U387" s="358"/>
      <c r="V387" s="358"/>
      <c r="W387" s="358"/>
      <c r="X387" s="358"/>
      <c r="Y387" s="358"/>
      <c r="Z387" s="358"/>
    </row>
    <row r="388" spans="1:26" ht="13.5" customHeight="1">
      <c r="A388" s="358"/>
      <c r="B388" s="358"/>
      <c r="C388" s="358"/>
      <c r="D388" s="358"/>
      <c r="E388" s="358"/>
      <c r="F388" s="358"/>
      <c r="G388" s="358"/>
      <c r="H388" s="358"/>
      <c r="I388" s="358"/>
      <c r="J388" s="358"/>
      <c r="K388" s="358"/>
      <c r="L388" s="358"/>
      <c r="M388" s="358"/>
      <c r="N388" s="358"/>
      <c r="O388" s="358"/>
      <c r="P388" s="358"/>
      <c r="Q388" s="358"/>
      <c r="R388" s="358"/>
      <c r="S388" s="358"/>
      <c r="T388" s="358"/>
      <c r="U388" s="358"/>
      <c r="V388" s="358"/>
      <c r="W388" s="358"/>
      <c r="X388" s="358"/>
      <c r="Y388" s="358"/>
      <c r="Z388" s="358"/>
    </row>
    <row r="389" spans="1:26" ht="13.5" customHeight="1">
      <c r="A389" s="358"/>
      <c r="B389" s="358"/>
      <c r="C389" s="358"/>
      <c r="D389" s="358"/>
      <c r="E389" s="358"/>
      <c r="F389" s="358"/>
      <c r="G389" s="358"/>
      <c r="H389" s="358"/>
      <c r="I389" s="358"/>
      <c r="J389" s="358"/>
      <c r="K389" s="358"/>
      <c r="L389" s="358"/>
      <c r="M389" s="358"/>
      <c r="N389" s="358"/>
      <c r="O389" s="358"/>
      <c r="P389" s="358"/>
      <c r="Q389" s="358"/>
      <c r="R389" s="358"/>
      <c r="S389" s="358"/>
      <c r="T389" s="358"/>
      <c r="U389" s="358"/>
      <c r="V389" s="358"/>
      <c r="W389" s="358"/>
      <c r="X389" s="358"/>
      <c r="Y389" s="358"/>
      <c r="Z389" s="358"/>
    </row>
    <row r="390" spans="1:26" ht="13.5" customHeight="1">
      <c r="A390" s="358"/>
      <c r="B390" s="358"/>
      <c r="C390" s="358"/>
      <c r="D390" s="358"/>
      <c r="E390" s="358"/>
      <c r="F390" s="358"/>
      <c r="G390" s="358"/>
      <c r="H390" s="358"/>
      <c r="I390" s="358"/>
      <c r="J390" s="358"/>
      <c r="K390" s="358"/>
      <c r="L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W390" s="358"/>
      <c r="X390" s="358"/>
      <c r="Y390" s="358"/>
      <c r="Z390" s="358"/>
    </row>
    <row r="391" spans="1:26" ht="13.5" customHeight="1">
      <c r="A391" s="358"/>
      <c r="B391" s="358"/>
      <c r="C391" s="358"/>
      <c r="D391" s="358"/>
      <c r="E391" s="358"/>
      <c r="F391" s="358"/>
      <c r="G391" s="358"/>
      <c r="H391" s="358"/>
      <c r="I391" s="358"/>
      <c r="J391" s="358"/>
      <c r="K391" s="358"/>
      <c r="L391" s="358"/>
      <c r="M391" s="358"/>
      <c r="N391" s="358"/>
      <c r="O391" s="358"/>
      <c r="P391" s="358"/>
      <c r="Q391" s="358"/>
      <c r="R391" s="358"/>
      <c r="S391" s="358"/>
      <c r="T391" s="358"/>
      <c r="U391" s="358"/>
      <c r="V391" s="358"/>
      <c r="W391" s="358"/>
      <c r="X391" s="358"/>
      <c r="Y391" s="358"/>
      <c r="Z391" s="358"/>
    </row>
    <row r="392" spans="1:26" ht="13.5" customHeight="1">
      <c r="A392" s="358"/>
      <c r="B392" s="358"/>
      <c r="C392" s="358"/>
      <c r="D392" s="358"/>
      <c r="E392" s="358"/>
      <c r="F392" s="358"/>
      <c r="G392" s="358"/>
      <c r="H392" s="358"/>
      <c r="I392" s="358"/>
      <c r="J392" s="358"/>
      <c r="K392" s="358"/>
      <c r="L392" s="358"/>
      <c r="M392" s="358"/>
      <c r="N392" s="358"/>
      <c r="O392" s="358"/>
      <c r="P392" s="358"/>
      <c r="Q392" s="358"/>
      <c r="R392" s="358"/>
      <c r="S392" s="358"/>
      <c r="T392" s="358"/>
      <c r="U392" s="358"/>
      <c r="V392" s="358"/>
      <c r="W392" s="358"/>
      <c r="X392" s="358"/>
      <c r="Y392" s="358"/>
      <c r="Z392" s="358"/>
    </row>
    <row r="393" spans="1:26" ht="13.5" customHeight="1">
      <c r="A393" s="358"/>
      <c r="B393" s="358"/>
      <c r="C393" s="358"/>
      <c r="D393" s="358"/>
      <c r="E393" s="358"/>
      <c r="F393" s="358"/>
      <c r="G393" s="358"/>
      <c r="H393" s="358"/>
      <c r="I393" s="358"/>
      <c r="J393" s="358"/>
      <c r="K393" s="358"/>
      <c r="L393" s="358"/>
      <c r="M393" s="358"/>
      <c r="N393" s="358"/>
      <c r="O393" s="358"/>
      <c r="P393" s="358"/>
      <c r="Q393" s="358"/>
      <c r="R393" s="358"/>
      <c r="S393" s="358"/>
      <c r="T393" s="358"/>
      <c r="U393" s="358"/>
      <c r="V393" s="358"/>
      <c r="W393" s="358"/>
      <c r="X393" s="358"/>
      <c r="Y393" s="358"/>
      <c r="Z393" s="358"/>
    </row>
    <row r="394" spans="1:26" ht="13.5" customHeight="1">
      <c r="A394" s="358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58"/>
      <c r="N394" s="358"/>
      <c r="O394" s="358"/>
      <c r="P394" s="358"/>
      <c r="Q394" s="358"/>
      <c r="R394" s="358"/>
      <c r="S394" s="358"/>
      <c r="T394" s="358"/>
      <c r="U394" s="358"/>
      <c r="V394" s="358"/>
      <c r="W394" s="358"/>
      <c r="X394" s="358"/>
      <c r="Y394" s="358"/>
      <c r="Z394" s="358"/>
    </row>
    <row r="395" spans="1:26" ht="13.5" customHeight="1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58"/>
      <c r="N395" s="358"/>
      <c r="O395" s="358"/>
      <c r="P395" s="358"/>
      <c r="Q395" s="358"/>
      <c r="R395" s="358"/>
      <c r="S395" s="358"/>
      <c r="T395" s="358"/>
      <c r="U395" s="358"/>
      <c r="V395" s="358"/>
      <c r="W395" s="358"/>
      <c r="X395" s="358"/>
      <c r="Y395" s="358"/>
      <c r="Z395" s="358"/>
    </row>
    <row r="396" spans="1:26" ht="13.5" customHeight="1">
      <c r="A396" s="358"/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58"/>
      <c r="Z396" s="358"/>
    </row>
    <row r="397" spans="1:26" ht="13.5" customHeight="1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358"/>
      <c r="Y397" s="358"/>
      <c r="Z397" s="358"/>
    </row>
    <row r="398" spans="1:26" ht="13.5" customHeight="1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8"/>
      <c r="N398" s="358"/>
      <c r="O398" s="358"/>
      <c r="P398" s="358"/>
      <c r="Q398" s="358"/>
      <c r="R398" s="358"/>
      <c r="S398" s="358"/>
      <c r="T398" s="358"/>
      <c r="U398" s="358"/>
      <c r="V398" s="358"/>
      <c r="W398" s="358"/>
      <c r="X398" s="358"/>
      <c r="Y398" s="358"/>
      <c r="Z398" s="358"/>
    </row>
    <row r="399" spans="1:26" ht="13.5" customHeight="1">
      <c r="A399" s="358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58"/>
      <c r="Z399" s="358"/>
    </row>
    <row r="400" spans="1:26" ht="13.5" customHeight="1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58"/>
      <c r="N400" s="358"/>
      <c r="O400" s="358"/>
      <c r="P400" s="358"/>
      <c r="Q400" s="358"/>
      <c r="R400" s="358"/>
      <c r="S400" s="358"/>
      <c r="T400" s="358"/>
      <c r="U400" s="358"/>
      <c r="V400" s="358"/>
      <c r="W400" s="358"/>
      <c r="X400" s="358"/>
      <c r="Y400" s="358"/>
      <c r="Z400" s="358"/>
    </row>
    <row r="401" spans="1:26" ht="13.5" customHeight="1">
      <c r="A401" s="358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58"/>
      <c r="Z401" s="358"/>
    </row>
    <row r="402" spans="1:26" ht="13.5" customHeight="1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58"/>
      <c r="N402" s="358"/>
      <c r="O402" s="358"/>
      <c r="P402" s="358"/>
      <c r="Q402" s="358"/>
      <c r="R402" s="358"/>
      <c r="S402" s="358"/>
      <c r="T402" s="358"/>
      <c r="U402" s="358"/>
      <c r="V402" s="358"/>
      <c r="W402" s="358"/>
      <c r="X402" s="358"/>
      <c r="Y402" s="358"/>
      <c r="Z402" s="358"/>
    </row>
    <row r="403" spans="1:26" ht="13.5" customHeight="1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58"/>
      <c r="Z403" s="358"/>
    </row>
    <row r="404" spans="1:26" ht="13.5" customHeight="1">
      <c r="A404" s="358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8"/>
      <c r="N404" s="358"/>
      <c r="O404" s="358"/>
      <c r="P404" s="358"/>
      <c r="Q404" s="358"/>
      <c r="R404" s="358"/>
      <c r="S404" s="358"/>
      <c r="T404" s="358"/>
      <c r="U404" s="358"/>
      <c r="V404" s="358"/>
      <c r="W404" s="358"/>
      <c r="X404" s="358"/>
      <c r="Y404" s="358"/>
      <c r="Z404" s="358"/>
    </row>
    <row r="405" spans="1:26" ht="13.5" customHeight="1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358"/>
      <c r="Y405" s="358"/>
      <c r="Z405" s="358"/>
    </row>
    <row r="406" spans="1:26" ht="13.5" customHeight="1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58"/>
      <c r="Z406" s="358"/>
    </row>
    <row r="407" spans="1:26" ht="13.5" customHeight="1">
      <c r="A407" s="358"/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58"/>
      <c r="Z407" s="358"/>
    </row>
    <row r="408" spans="1:26" ht="13.5" customHeight="1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8"/>
      <c r="N408" s="358"/>
      <c r="O408" s="358"/>
      <c r="P408" s="358"/>
      <c r="Q408" s="358"/>
      <c r="R408" s="358"/>
      <c r="S408" s="358"/>
      <c r="T408" s="358"/>
      <c r="U408" s="358"/>
      <c r="V408" s="358"/>
      <c r="W408" s="358"/>
      <c r="X408" s="358"/>
      <c r="Y408" s="358"/>
      <c r="Z408" s="358"/>
    </row>
    <row r="409" spans="1:26" ht="13.5" customHeight="1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8"/>
      <c r="N409" s="358"/>
      <c r="O409" s="358"/>
      <c r="P409" s="358"/>
      <c r="Q409" s="358"/>
      <c r="R409" s="358"/>
      <c r="S409" s="358"/>
      <c r="T409" s="358"/>
      <c r="U409" s="358"/>
      <c r="V409" s="358"/>
      <c r="W409" s="358"/>
      <c r="X409" s="358"/>
      <c r="Y409" s="358"/>
      <c r="Z409" s="358"/>
    </row>
    <row r="410" spans="1:26" ht="13.5" customHeight="1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58"/>
      <c r="Z410" s="358"/>
    </row>
    <row r="411" spans="1:26" ht="13.5" customHeight="1">
      <c r="A411" s="358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58"/>
      <c r="Z411" s="358"/>
    </row>
    <row r="412" spans="1:26" ht="13.5" customHeight="1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58"/>
      <c r="N412" s="358"/>
      <c r="O412" s="358"/>
      <c r="P412" s="358"/>
      <c r="Q412" s="358"/>
      <c r="R412" s="358"/>
      <c r="S412" s="358"/>
      <c r="T412" s="358"/>
      <c r="U412" s="358"/>
      <c r="V412" s="358"/>
      <c r="W412" s="358"/>
      <c r="X412" s="358"/>
      <c r="Y412" s="358"/>
      <c r="Z412" s="358"/>
    </row>
    <row r="413" spans="1:26" ht="13.5" customHeight="1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58"/>
      <c r="N413" s="358"/>
      <c r="O413" s="358"/>
      <c r="P413" s="358"/>
      <c r="Q413" s="358"/>
      <c r="R413" s="358"/>
      <c r="S413" s="358"/>
      <c r="T413" s="358"/>
      <c r="U413" s="358"/>
      <c r="V413" s="358"/>
      <c r="W413" s="358"/>
      <c r="X413" s="358"/>
      <c r="Y413" s="358"/>
      <c r="Z413" s="358"/>
    </row>
    <row r="414" spans="1:26" ht="13.5" customHeight="1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58"/>
      <c r="Z414" s="358"/>
    </row>
    <row r="415" spans="1:26" ht="13.5" customHeight="1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58"/>
      <c r="Z415" s="358"/>
    </row>
    <row r="416" spans="1:26" ht="13.5" customHeight="1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58"/>
      <c r="Z416" s="358"/>
    </row>
    <row r="417" spans="1:26" ht="13.5" customHeight="1">
      <c r="A417" s="358"/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58"/>
      <c r="Z417" s="358"/>
    </row>
    <row r="418" spans="1:26" ht="13.5" customHeight="1">
      <c r="A418" s="358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58"/>
      <c r="Z418" s="358"/>
    </row>
    <row r="419" spans="1:26" ht="13.5" customHeight="1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58"/>
      <c r="N419" s="358"/>
      <c r="O419" s="358"/>
      <c r="P419" s="358"/>
      <c r="Q419" s="358"/>
      <c r="R419" s="358"/>
      <c r="S419" s="358"/>
      <c r="T419" s="358"/>
      <c r="U419" s="358"/>
      <c r="V419" s="358"/>
      <c r="W419" s="358"/>
      <c r="X419" s="358"/>
      <c r="Y419" s="358"/>
      <c r="Z419" s="358"/>
    </row>
    <row r="420" spans="1:26" ht="13.5" customHeight="1">
      <c r="A420" s="358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58"/>
      <c r="Z420" s="358"/>
    </row>
    <row r="421" spans="1:26" ht="13.5" customHeight="1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8"/>
      <c r="N421" s="358"/>
      <c r="O421" s="358"/>
      <c r="P421" s="358"/>
      <c r="Q421" s="358"/>
      <c r="R421" s="358"/>
      <c r="S421" s="358"/>
      <c r="T421" s="358"/>
      <c r="U421" s="358"/>
      <c r="V421" s="358"/>
      <c r="W421" s="358"/>
      <c r="X421" s="358"/>
      <c r="Y421" s="358"/>
      <c r="Z421" s="358"/>
    </row>
    <row r="422" spans="1:26" ht="13.5" customHeight="1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58"/>
      <c r="Z422" s="358"/>
    </row>
    <row r="423" spans="1:26" ht="13.5" customHeight="1">
      <c r="A423" s="358"/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58"/>
      <c r="Z423" s="358"/>
    </row>
    <row r="424" spans="1:26" ht="13.5" customHeight="1">
      <c r="A424" s="358"/>
      <c r="B424" s="358"/>
      <c r="C424" s="358"/>
      <c r="D424" s="358"/>
      <c r="E424" s="358"/>
      <c r="F424" s="358"/>
      <c r="G424" s="358"/>
      <c r="H424" s="358"/>
      <c r="I424" s="358"/>
      <c r="J424" s="358"/>
      <c r="K424" s="358"/>
      <c r="L424" s="358"/>
      <c r="M424" s="358"/>
      <c r="N424" s="358"/>
      <c r="O424" s="358"/>
      <c r="P424" s="358"/>
      <c r="Q424" s="358"/>
      <c r="R424" s="358"/>
      <c r="S424" s="358"/>
      <c r="T424" s="358"/>
      <c r="U424" s="358"/>
      <c r="V424" s="358"/>
      <c r="W424" s="358"/>
      <c r="X424" s="358"/>
      <c r="Y424" s="358"/>
      <c r="Z424" s="358"/>
    </row>
    <row r="425" spans="1:26" ht="13.5" customHeight="1">
      <c r="A425" s="358"/>
      <c r="B425" s="358"/>
      <c r="C425" s="358"/>
      <c r="D425" s="358"/>
      <c r="E425" s="358"/>
      <c r="F425" s="358"/>
      <c r="G425" s="358"/>
      <c r="H425" s="358"/>
      <c r="I425" s="358"/>
      <c r="J425" s="358"/>
      <c r="K425" s="358"/>
      <c r="L425" s="358"/>
      <c r="M425" s="358"/>
      <c r="N425" s="358"/>
      <c r="O425" s="358"/>
      <c r="P425" s="358"/>
      <c r="Q425" s="358"/>
      <c r="R425" s="358"/>
      <c r="S425" s="358"/>
      <c r="T425" s="358"/>
      <c r="U425" s="358"/>
      <c r="V425" s="358"/>
      <c r="W425" s="358"/>
      <c r="X425" s="358"/>
      <c r="Y425" s="358"/>
      <c r="Z425" s="358"/>
    </row>
    <row r="426" spans="1:26" ht="13.5" customHeight="1">
      <c r="A426" s="358"/>
      <c r="B426" s="358"/>
      <c r="C426" s="358"/>
      <c r="D426" s="358"/>
      <c r="E426" s="358"/>
      <c r="F426" s="358"/>
      <c r="G426" s="358"/>
      <c r="H426" s="358"/>
      <c r="I426" s="358"/>
      <c r="J426" s="358"/>
      <c r="K426" s="358"/>
      <c r="L426" s="358"/>
      <c r="M426" s="358"/>
      <c r="N426" s="358"/>
      <c r="O426" s="358"/>
      <c r="P426" s="358"/>
      <c r="Q426" s="358"/>
      <c r="R426" s="358"/>
      <c r="S426" s="358"/>
      <c r="T426" s="358"/>
      <c r="U426" s="358"/>
      <c r="V426" s="358"/>
      <c r="W426" s="358"/>
      <c r="X426" s="358"/>
      <c r="Y426" s="358"/>
      <c r="Z426" s="358"/>
    </row>
    <row r="427" spans="1:26" ht="13.5" customHeight="1">
      <c r="A427" s="358"/>
      <c r="B427" s="358"/>
      <c r="C427" s="358"/>
      <c r="D427" s="358"/>
      <c r="E427" s="358"/>
      <c r="F427" s="358"/>
      <c r="G427" s="358"/>
      <c r="H427" s="358"/>
      <c r="I427" s="358"/>
      <c r="J427" s="358"/>
      <c r="K427" s="358"/>
      <c r="L427" s="358"/>
      <c r="M427" s="358"/>
      <c r="N427" s="358"/>
      <c r="O427" s="358"/>
      <c r="P427" s="358"/>
      <c r="Q427" s="358"/>
      <c r="R427" s="358"/>
      <c r="S427" s="358"/>
      <c r="T427" s="358"/>
      <c r="U427" s="358"/>
      <c r="V427" s="358"/>
      <c r="W427" s="358"/>
      <c r="X427" s="358"/>
      <c r="Y427" s="358"/>
      <c r="Z427" s="358"/>
    </row>
    <row r="428" spans="1:26" ht="13.5" customHeight="1">
      <c r="A428" s="358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58"/>
      <c r="N428" s="358"/>
      <c r="O428" s="358"/>
      <c r="P428" s="358"/>
      <c r="Q428" s="358"/>
      <c r="R428" s="358"/>
      <c r="S428" s="358"/>
      <c r="T428" s="358"/>
      <c r="U428" s="358"/>
      <c r="V428" s="358"/>
      <c r="W428" s="358"/>
      <c r="X428" s="358"/>
      <c r="Y428" s="358"/>
      <c r="Z428" s="358"/>
    </row>
    <row r="429" spans="1:26" ht="13.5" customHeight="1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58"/>
      <c r="N429" s="358"/>
      <c r="O429" s="358"/>
      <c r="P429" s="358"/>
      <c r="Q429" s="358"/>
      <c r="R429" s="358"/>
      <c r="S429" s="358"/>
      <c r="T429" s="358"/>
      <c r="U429" s="358"/>
      <c r="V429" s="358"/>
      <c r="W429" s="358"/>
      <c r="X429" s="358"/>
      <c r="Y429" s="358"/>
      <c r="Z429" s="358"/>
    </row>
    <row r="430" spans="1:26" ht="13.5" customHeight="1">
      <c r="A430" s="358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58"/>
      <c r="Z430" s="358"/>
    </row>
    <row r="431" spans="1:26" ht="13.5" customHeight="1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8"/>
      <c r="N431" s="358"/>
      <c r="O431" s="358"/>
      <c r="P431" s="358"/>
      <c r="Q431" s="358"/>
      <c r="R431" s="358"/>
      <c r="S431" s="358"/>
      <c r="T431" s="358"/>
      <c r="U431" s="358"/>
      <c r="V431" s="358"/>
      <c r="W431" s="358"/>
      <c r="X431" s="358"/>
      <c r="Y431" s="358"/>
      <c r="Z431" s="358"/>
    </row>
    <row r="432" spans="1:26" ht="13.5" customHeight="1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58"/>
      <c r="Z432" s="358"/>
    </row>
    <row r="433" spans="1:26" ht="13.5" customHeight="1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58"/>
      <c r="Z433" s="358"/>
    </row>
    <row r="434" spans="1:26" ht="13.5" customHeight="1">
      <c r="A434" s="358"/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58"/>
      <c r="Z434" s="358"/>
    </row>
    <row r="435" spans="1:26" ht="13.5" customHeight="1">
      <c r="A435" s="358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8"/>
      <c r="N435" s="358"/>
      <c r="O435" s="358"/>
      <c r="P435" s="358"/>
      <c r="Q435" s="358"/>
      <c r="R435" s="358"/>
      <c r="S435" s="358"/>
      <c r="T435" s="358"/>
      <c r="U435" s="358"/>
      <c r="V435" s="358"/>
      <c r="W435" s="358"/>
      <c r="X435" s="358"/>
      <c r="Y435" s="358"/>
      <c r="Z435" s="358"/>
    </row>
    <row r="436" spans="1:26" ht="13.5" customHeight="1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8"/>
      <c r="N436" s="358"/>
      <c r="O436" s="358"/>
      <c r="P436" s="358"/>
      <c r="Q436" s="358"/>
      <c r="R436" s="358"/>
      <c r="S436" s="358"/>
      <c r="T436" s="358"/>
      <c r="U436" s="358"/>
      <c r="V436" s="358"/>
      <c r="W436" s="358"/>
      <c r="X436" s="358"/>
      <c r="Y436" s="358"/>
      <c r="Z436" s="358"/>
    </row>
    <row r="437" spans="1:26" ht="13.5" customHeight="1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58"/>
      <c r="Z437" s="358"/>
    </row>
    <row r="438" spans="1:26" ht="13.5" customHeight="1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58"/>
      <c r="Z438" s="358"/>
    </row>
    <row r="439" spans="1:26" ht="13.5" customHeight="1">
      <c r="A439" s="358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58"/>
      <c r="Z439" s="358"/>
    </row>
    <row r="440" spans="1:26" ht="13.5" customHeight="1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58"/>
      <c r="Z440" s="358"/>
    </row>
    <row r="441" spans="1:26" ht="13.5" customHeight="1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58"/>
      <c r="Z441" s="358"/>
    </row>
    <row r="442" spans="1:26" ht="13.5" customHeight="1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58"/>
      <c r="Z442" s="358"/>
    </row>
    <row r="443" spans="1:26" ht="13.5" customHeight="1">
      <c r="A443" s="358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8"/>
      <c r="N443" s="358"/>
      <c r="O443" s="358"/>
      <c r="P443" s="358"/>
      <c r="Q443" s="358"/>
      <c r="R443" s="358"/>
      <c r="S443" s="358"/>
      <c r="T443" s="358"/>
      <c r="U443" s="358"/>
      <c r="V443" s="358"/>
      <c r="W443" s="358"/>
      <c r="X443" s="358"/>
      <c r="Y443" s="358"/>
      <c r="Z443" s="358"/>
    </row>
    <row r="444" spans="1:26" ht="13.5" customHeight="1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8"/>
      <c r="N444" s="358"/>
      <c r="O444" s="358"/>
      <c r="P444" s="358"/>
      <c r="Q444" s="358"/>
      <c r="R444" s="358"/>
      <c r="S444" s="358"/>
      <c r="T444" s="358"/>
      <c r="U444" s="358"/>
      <c r="V444" s="358"/>
      <c r="W444" s="358"/>
      <c r="X444" s="358"/>
      <c r="Y444" s="358"/>
      <c r="Z444" s="358"/>
    </row>
    <row r="445" spans="1:26" ht="13.5" customHeight="1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58"/>
      <c r="N445" s="358"/>
      <c r="O445" s="358"/>
      <c r="P445" s="358"/>
      <c r="Q445" s="358"/>
      <c r="R445" s="358"/>
      <c r="S445" s="358"/>
      <c r="T445" s="358"/>
      <c r="U445" s="358"/>
      <c r="V445" s="358"/>
      <c r="W445" s="358"/>
      <c r="X445" s="358"/>
      <c r="Y445" s="358"/>
      <c r="Z445" s="358"/>
    </row>
    <row r="446" spans="1:26" ht="13.5" customHeight="1">
      <c r="A446" s="358"/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58"/>
      <c r="Z446" s="358"/>
    </row>
    <row r="447" spans="1:26" ht="13.5" customHeight="1">
      <c r="A447" s="358"/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58"/>
      <c r="Z447" s="358"/>
    </row>
    <row r="448" spans="1:26" ht="13.5" customHeight="1">
      <c r="A448" s="358"/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58"/>
      <c r="Z448" s="358"/>
    </row>
    <row r="449" spans="1:26" ht="13.5" customHeight="1">
      <c r="A449" s="358"/>
      <c r="B449" s="358"/>
      <c r="C449" s="358"/>
      <c r="D449" s="358"/>
      <c r="E449" s="358"/>
      <c r="F449" s="358"/>
      <c r="G449" s="358"/>
      <c r="H449" s="358"/>
      <c r="I449" s="358"/>
      <c r="J449" s="358"/>
      <c r="K449" s="358"/>
      <c r="L449" s="358"/>
      <c r="M449" s="358"/>
      <c r="N449" s="358"/>
      <c r="O449" s="358"/>
      <c r="P449" s="358"/>
      <c r="Q449" s="358"/>
      <c r="R449" s="358"/>
      <c r="S449" s="358"/>
      <c r="T449" s="358"/>
      <c r="U449" s="358"/>
      <c r="V449" s="358"/>
      <c r="W449" s="358"/>
      <c r="X449" s="358"/>
      <c r="Y449" s="358"/>
      <c r="Z449" s="358"/>
    </row>
    <row r="450" spans="1:26" ht="13.5" customHeight="1">
      <c r="A450" s="358"/>
      <c r="B450" s="358"/>
      <c r="C450" s="358"/>
      <c r="D450" s="358"/>
      <c r="E450" s="358"/>
      <c r="F450" s="358"/>
      <c r="G450" s="358"/>
      <c r="H450" s="358"/>
      <c r="I450" s="358"/>
      <c r="J450" s="358"/>
      <c r="K450" s="358"/>
      <c r="L450" s="358"/>
      <c r="M450" s="358"/>
      <c r="N450" s="358"/>
      <c r="O450" s="358"/>
      <c r="P450" s="358"/>
      <c r="Q450" s="358"/>
      <c r="R450" s="358"/>
      <c r="S450" s="358"/>
      <c r="T450" s="358"/>
      <c r="U450" s="358"/>
      <c r="V450" s="358"/>
      <c r="W450" s="358"/>
      <c r="X450" s="358"/>
      <c r="Y450" s="358"/>
      <c r="Z450" s="358"/>
    </row>
    <row r="451" spans="1:26" ht="13.5" customHeight="1">
      <c r="A451" s="358"/>
      <c r="B451" s="358"/>
      <c r="C451" s="358"/>
      <c r="D451" s="358"/>
      <c r="E451" s="358"/>
      <c r="F451" s="358"/>
      <c r="G451" s="358"/>
      <c r="H451" s="358"/>
      <c r="I451" s="358"/>
      <c r="J451" s="358"/>
      <c r="K451" s="358"/>
      <c r="L451" s="358"/>
      <c r="M451" s="358"/>
      <c r="N451" s="358"/>
      <c r="O451" s="358"/>
      <c r="P451" s="358"/>
      <c r="Q451" s="358"/>
      <c r="R451" s="358"/>
      <c r="S451" s="358"/>
      <c r="T451" s="358"/>
      <c r="U451" s="358"/>
      <c r="V451" s="358"/>
      <c r="W451" s="358"/>
      <c r="X451" s="358"/>
      <c r="Y451" s="358"/>
      <c r="Z451" s="358"/>
    </row>
    <row r="452" spans="1:26" ht="13.5" customHeight="1">
      <c r="A452" s="358"/>
      <c r="B452" s="358"/>
      <c r="C452" s="358"/>
      <c r="D452" s="358"/>
      <c r="E452" s="358"/>
      <c r="F452" s="358"/>
      <c r="G452" s="358"/>
      <c r="H452" s="358"/>
      <c r="I452" s="358"/>
      <c r="J452" s="358"/>
      <c r="K452" s="358"/>
      <c r="L452" s="358"/>
      <c r="M452" s="358"/>
      <c r="N452" s="358"/>
      <c r="O452" s="358"/>
      <c r="P452" s="358"/>
      <c r="Q452" s="358"/>
      <c r="R452" s="358"/>
      <c r="S452" s="358"/>
      <c r="T452" s="358"/>
      <c r="U452" s="358"/>
      <c r="V452" s="358"/>
      <c r="W452" s="358"/>
      <c r="X452" s="358"/>
      <c r="Y452" s="358"/>
      <c r="Z452" s="358"/>
    </row>
    <row r="453" spans="1:26" ht="13.5" customHeight="1">
      <c r="A453" s="358"/>
      <c r="B453" s="358"/>
      <c r="C453" s="358"/>
      <c r="D453" s="358"/>
      <c r="E453" s="358"/>
      <c r="F453" s="358"/>
      <c r="G453" s="358"/>
      <c r="H453" s="358"/>
      <c r="I453" s="358"/>
      <c r="J453" s="358"/>
      <c r="K453" s="358"/>
      <c r="L453" s="358"/>
      <c r="M453" s="358"/>
      <c r="N453" s="358"/>
      <c r="O453" s="358"/>
      <c r="P453" s="358"/>
      <c r="Q453" s="358"/>
      <c r="R453" s="358"/>
      <c r="S453" s="358"/>
      <c r="T453" s="358"/>
      <c r="U453" s="358"/>
      <c r="V453" s="358"/>
      <c r="W453" s="358"/>
      <c r="X453" s="358"/>
      <c r="Y453" s="358"/>
      <c r="Z453" s="358"/>
    </row>
    <row r="454" spans="1:26" ht="13.5" customHeight="1">
      <c r="A454" s="358"/>
      <c r="B454" s="358"/>
      <c r="C454" s="358"/>
      <c r="D454" s="358"/>
      <c r="E454" s="358"/>
      <c r="F454" s="358"/>
      <c r="G454" s="358"/>
      <c r="H454" s="358"/>
      <c r="I454" s="358"/>
      <c r="J454" s="358"/>
      <c r="K454" s="358"/>
      <c r="L454" s="358"/>
      <c r="M454" s="358"/>
      <c r="N454" s="358"/>
      <c r="O454" s="358"/>
      <c r="P454" s="358"/>
      <c r="Q454" s="358"/>
      <c r="R454" s="358"/>
      <c r="S454" s="358"/>
      <c r="T454" s="358"/>
      <c r="U454" s="358"/>
      <c r="V454" s="358"/>
      <c r="W454" s="358"/>
      <c r="X454" s="358"/>
      <c r="Y454" s="358"/>
      <c r="Z454" s="358"/>
    </row>
    <row r="455" spans="1:26" ht="13.5" customHeight="1">
      <c r="A455" s="358"/>
      <c r="B455" s="358"/>
      <c r="C455" s="358"/>
      <c r="D455" s="358"/>
      <c r="E455" s="358"/>
      <c r="F455" s="358"/>
      <c r="G455" s="358"/>
      <c r="H455" s="358"/>
      <c r="I455" s="358"/>
      <c r="J455" s="358"/>
      <c r="K455" s="358"/>
      <c r="L455" s="358"/>
      <c r="M455" s="358"/>
      <c r="N455" s="358"/>
      <c r="O455" s="358"/>
      <c r="P455" s="358"/>
      <c r="Q455" s="358"/>
      <c r="R455" s="358"/>
      <c r="S455" s="358"/>
      <c r="T455" s="358"/>
      <c r="U455" s="358"/>
      <c r="V455" s="358"/>
      <c r="W455" s="358"/>
      <c r="X455" s="358"/>
      <c r="Y455" s="358"/>
      <c r="Z455" s="358"/>
    </row>
    <row r="456" spans="1:26" ht="13.5" customHeight="1">
      <c r="A456" s="358"/>
      <c r="B456" s="358"/>
      <c r="C456" s="358"/>
      <c r="D456" s="358"/>
      <c r="E456" s="358"/>
      <c r="F456" s="358"/>
      <c r="G456" s="358"/>
      <c r="H456" s="358"/>
      <c r="I456" s="358"/>
      <c r="J456" s="358"/>
      <c r="K456" s="358"/>
      <c r="L456" s="358"/>
      <c r="M456" s="358"/>
      <c r="N456" s="358"/>
      <c r="O456" s="358"/>
      <c r="P456" s="358"/>
      <c r="Q456" s="358"/>
      <c r="R456" s="358"/>
      <c r="S456" s="358"/>
      <c r="T456" s="358"/>
      <c r="U456" s="358"/>
      <c r="V456" s="358"/>
      <c r="W456" s="358"/>
      <c r="X456" s="358"/>
      <c r="Y456" s="358"/>
      <c r="Z456" s="358"/>
    </row>
    <row r="457" spans="1:26" ht="13.5" customHeight="1">
      <c r="A457" s="358"/>
      <c r="B457" s="358"/>
      <c r="C457" s="358"/>
      <c r="D457" s="358"/>
      <c r="E457" s="358"/>
      <c r="F457" s="358"/>
      <c r="G457" s="358"/>
      <c r="H457" s="358"/>
      <c r="I457" s="358"/>
      <c r="J457" s="358"/>
      <c r="K457" s="358"/>
      <c r="L457" s="358"/>
      <c r="M457" s="358"/>
      <c r="N457" s="358"/>
      <c r="O457" s="358"/>
      <c r="P457" s="358"/>
      <c r="Q457" s="358"/>
      <c r="R457" s="358"/>
      <c r="S457" s="358"/>
      <c r="T457" s="358"/>
      <c r="U457" s="358"/>
      <c r="V457" s="358"/>
      <c r="W457" s="358"/>
      <c r="X457" s="358"/>
      <c r="Y457" s="358"/>
      <c r="Z457" s="358"/>
    </row>
    <row r="458" spans="1:26" ht="13.5" customHeight="1">
      <c r="A458" s="358"/>
      <c r="B458" s="358"/>
      <c r="C458" s="358"/>
      <c r="D458" s="358"/>
      <c r="E458" s="358"/>
      <c r="F458" s="358"/>
      <c r="G458" s="358"/>
      <c r="H458" s="358"/>
      <c r="I458" s="358"/>
      <c r="J458" s="358"/>
      <c r="K458" s="358"/>
      <c r="L458" s="358"/>
      <c r="M458" s="358"/>
      <c r="N458" s="358"/>
      <c r="O458" s="358"/>
      <c r="P458" s="358"/>
      <c r="Q458" s="358"/>
      <c r="R458" s="358"/>
      <c r="S458" s="358"/>
      <c r="T458" s="358"/>
      <c r="U458" s="358"/>
      <c r="V458" s="358"/>
      <c r="W458" s="358"/>
      <c r="X458" s="358"/>
      <c r="Y458" s="358"/>
      <c r="Z458" s="358"/>
    </row>
    <row r="459" spans="1:26" ht="13.5" customHeight="1">
      <c r="A459" s="358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8"/>
      <c r="N459" s="358"/>
      <c r="O459" s="358"/>
      <c r="P459" s="358"/>
      <c r="Q459" s="358"/>
      <c r="R459" s="358"/>
      <c r="S459" s="358"/>
      <c r="T459" s="358"/>
      <c r="U459" s="358"/>
      <c r="V459" s="358"/>
      <c r="W459" s="358"/>
      <c r="X459" s="358"/>
      <c r="Y459" s="358"/>
      <c r="Z459" s="358"/>
    </row>
    <row r="460" spans="1:26" ht="13.5" customHeight="1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8"/>
      <c r="N460" s="358"/>
      <c r="O460" s="358"/>
      <c r="P460" s="358"/>
      <c r="Q460" s="358"/>
      <c r="R460" s="358"/>
      <c r="S460" s="358"/>
      <c r="T460" s="358"/>
      <c r="U460" s="358"/>
      <c r="V460" s="358"/>
      <c r="W460" s="358"/>
      <c r="X460" s="358"/>
      <c r="Y460" s="358"/>
      <c r="Z460" s="358"/>
    </row>
    <row r="461" spans="1:26" ht="13.5" customHeight="1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58"/>
      <c r="Z461" s="358"/>
    </row>
    <row r="462" spans="1:26" ht="13.5" customHeight="1">
      <c r="A462" s="358"/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58"/>
      <c r="Z462" s="358"/>
    </row>
    <row r="463" spans="1:26" ht="13.5" customHeight="1">
      <c r="A463" s="358"/>
      <c r="B463" s="358"/>
      <c r="C463" s="358"/>
      <c r="D463" s="358"/>
      <c r="E463" s="358"/>
      <c r="F463" s="358"/>
      <c r="G463" s="358"/>
      <c r="H463" s="358"/>
      <c r="I463" s="358"/>
      <c r="J463" s="358"/>
      <c r="K463" s="358"/>
      <c r="L463" s="358"/>
      <c r="M463" s="358"/>
      <c r="N463" s="358"/>
      <c r="O463" s="358"/>
      <c r="P463" s="358"/>
      <c r="Q463" s="358"/>
      <c r="R463" s="358"/>
      <c r="S463" s="358"/>
      <c r="T463" s="358"/>
      <c r="U463" s="358"/>
      <c r="V463" s="358"/>
      <c r="W463" s="358"/>
      <c r="X463" s="358"/>
      <c r="Y463" s="358"/>
      <c r="Z463" s="358"/>
    </row>
    <row r="464" spans="1:26" ht="13.5" customHeight="1">
      <c r="A464" s="358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8"/>
      <c r="N464" s="358"/>
      <c r="O464" s="358"/>
      <c r="P464" s="358"/>
      <c r="Q464" s="358"/>
      <c r="R464" s="358"/>
      <c r="S464" s="358"/>
      <c r="T464" s="358"/>
      <c r="U464" s="358"/>
      <c r="V464" s="358"/>
      <c r="W464" s="358"/>
      <c r="X464" s="358"/>
      <c r="Y464" s="358"/>
      <c r="Z464" s="358"/>
    </row>
    <row r="465" spans="1:26" ht="13.5" customHeight="1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8"/>
      <c r="N465" s="358"/>
      <c r="O465" s="358"/>
      <c r="P465" s="358"/>
      <c r="Q465" s="358"/>
      <c r="R465" s="358"/>
      <c r="S465" s="358"/>
      <c r="T465" s="358"/>
      <c r="U465" s="358"/>
      <c r="V465" s="358"/>
      <c r="W465" s="358"/>
      <c r="X465" s="358"/>
      <c r="Y465" s="358"/>
      <c r="Z465" s="358"/>
    </row>
    <row r="466" spans="1:26" ht="13.5" customHeight="1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58"/>
      <c r="Z466" s="358"/>
    </row>
    <row r="467" spans="1:26" ht="13.5" customHeight="1">
      <c r="A467" s="358"/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58"/>
      <c r="Z467" s="358"/>
    </row>
    <row r="468" spans="1:26" ht="13.5" customHeight="1">
      <c r="A468" s="358"/>
      <c r="B468" s="358"/>
      <c r="C468" s="358"/>
      <c r="D468" s="358"/>
      <c r="E468" s="358"/>
      <c r="F468" s="358"/>
      <c r="G468" s="358"/>
      <c r="H468" s="358"/>
      <c r="I468" s="358"/>
      <c r="J468" s="358"/>
      <c r="K468" s="358"/>
      <c r="L468" s="358"/>
      <c r="M468" s="358"/>
      <c r="N468" s="358"/>
      <c r="O468" s="358"/>
      <c r="P468" s="358"/>
      <c r="Q468" s="358"/>
      <c r="R468" s="358"/>
      <c r="S468" s="358"/>
      <c r="T468" s="358"/>
      <c r="U468" s="358"/>
      <c r="V468" s="358"/>
      <c r="W468" s="358"/>
      <c r="X468" s="358"/>
      <c r="Y468" s="358"/>
      <c r="Z468" s="358"/>
    </row>
    <row r="469" spans="1:26" ht="13.5" customHeight="1">
      <c r="A469" s="358"/>
      <c r="B469" s="358"/>
      <c r="C469" s="358"/>
      <c r="D469" s="358"/>
      <c r="E469" s="358"/>
      <c r="F469" s="358"/>
      <c r="G469" s="358"/>
      <c r="H469" s="358"/>
      <c r="I469" s="358"/>
      <c r="J469" s="358"/>
      <c r="K469" s="358"/>
      <c r="L469" s="358"/>
      <c r="M469" s="358"/>
      <c r="N469" s="358"/>
      <c r="O469" s="358"/>
      <c r="P469" s="358"/>
      <c r="Q469" s="358"/>
      <c r="R469" s="358"/>
      <c r="S469" s="358"/>
      <c r="T469" s="358"/>
      <c r="U469" s="358"/>
      <c r="V469" s="358"/>
      <c r="W469" s="358"/>
      <c r="X469" s="358"/>
      <c r="Y469" s="358"/>
      <c r="Z469" s="358"/>
    </row>
    <row r="470" spans="1:26" ht="13.5" customHeight="1">
      <c r="A470" s="358"/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8"/>
      <c r="N470" s="358"/>
      <c r="O470" s="358"/>
      <c r="P470" s="358"/>
      <c r="Q470" s="358"/>
      <c r="R470" s="358"/>
      <c r="S470" s="358"/>
      <c r="T470" s="358"/>
      <c r="U470" s="358"/>
      <c r="V470" s="358"/>
      <c r="W470" s="358"/>
      <c r="X470" s="358"/>
      <c r="Y470" s="358"/>
      <c r="Z470" s="358"/>
    </row>
    <row r="471" spans="1:26" ht="13.5" customHeight="1">
      <c r="A471" s="358"/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8"/>
      <c r="N471" s="358"/>
      <c r="O471" s="358"/>
      <c r="P471" s="358"/>
      <c r="Q471" s="358"/>
      <c r="R471" s="358"/>
      <c r="S471" s="358"/>
      <c r="T471" s="358"/>
      <c r="U471" s="358"/>
      <c r="V471" s="358"/>
      <c r="W471" s="358"/>
      <c r="X471" s="358"/>
      <c r="Y471" s="358"/>
      <c r="Z471" s="358"/>
    </row>
    <row r="472" spans="1:26" ht="13.5" customHeight="1">
      <c r="A472" s="358"/>
      <c r="B472" s="358"/>
      <c r="C472" s="358"/>
      <c r="D472" s="358"/>
      <c r="E472" s="358"/>
      <c r="F472" s="358"/>
      <c r="G472" s="358"/>
      <c r="H472" s="358"/>
      <c r="I472" s="358"/>
      <c r="J472" s="358"/>
      <c r="K472" s="358"/>
      <c r="L472" s="358"/>
      <c r="M472" s="358"/>
      <c r="N472" s="358"/>
      <c r="O472" s="358"/>
      <c r="P472" s="358"/>
      <c r="Q472" s="358"/>
      <c r="R472" s="358"/>
      <c r="S472" s="358"/>
      <c r="T472" s="358"/>
      <c r="U472" s="358"/>
      <c r="V472" s="358"/>
      <c r="W472" s="358"/>
      <c r="X472" s="358"/>
      <c r="Y472" s="358"/>
      <c r="Z472" s="358"/>
    </row>
    <row r="473" spans="1:26" ht="13.5" customHeight="1">
      <c r="A473" s="358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8"/>
      <c r="N473" s="358"/>
      <c r="O473" s="358"/>
      <c r="P473" s="358"/>
      <c r="Q473" s="358"/>
      <c r="R473" s="358"/>
      <c r="S473" s="358"/>
      <c r="T473" s="358"/>
      <c r="U473" s="358"/>
      <c r="V473" s="358"/>
      <c r="W473" s="358"/>
      <c r="X473" s="358"/>
      <c r="Y473" s="358"/>
      <c r="Z473" s="358"/>
    </row>
    <row r="474" spans="1:26" ht="13.5" customHeight="1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8"/>
      <c r="N474" s="358"/>
      <c r="O474" s="358"/>
      <c r="P474" s="358"/>
      <c r="Q474" s="358"/>
      <c r="R474" s="358"/>
      <c r="S474" s="358"/>
      <c r="T474" s="358"/>
      <c r="U474" s="358"/>
      <c r="V474" s="358"/>
      <c r="W474" s="358"/>
      <c r="X474" s="358"/>
      <c r="Y474" s="358"/>
      <c r="Z474" s="358"/>
    </row>
    <row r="475" spans="1:26" ht="13.5" customHeight="1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58"/>
      <c r="Z475" s="358"/>
    </row>
    <row r="476" spans="1:26" ht="13.5" customHeight="1">
      <c r="A476" s="358"/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58"/>
      <c r="Z476" s="358"/>
    </row>
    <row r="477" spans="1:26" ht="13.5" customHeight="1">
      <c r="A477" s="358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8"/>
      <c r="N477" s="358"/>
      <c r="O477" s="358"/>
      <c r="P477" s="358"/>
      <c r="Q477" s="358"/>
      <c r="R477" s="358"/>
      <c r="S477" s="358"/>
      <c r="T477" s="358"/>
      <c r="U477" s="358"/>
      <c r="V477" s="358"/>
      <c r="W477" s="358"/>
      <c r="X477" s="358"/>
      <c r="Y477" s="358"/>
      <c r="Z477" s="358"/>
    </row>
    <row r="478" spans="1:26" ht="13.5" customHeight="1">
      <c r="A478" s="358"/>
      <c r="B478" s="358"/>
      <c r="C478" s="358"/>
      <c r="D478" s="358"/>
      <c r="E478" s="358"/>
      <c r="F478" s="358"/>
      <c r="G478" s="358"/>
      <c r="H478" s="358"/>
      <c r="I478" s="358"/>
      <c r="J478" s="358"/>
      <c r="K478" s="358"/>
      <c r="L478" s="358"/>
      <c r="M478" s="358"/>
      <c r="N478" s="358"/>
      <c r="O478" s="358"/>
      <c r="P478" s="358"/>
      <c r="Q478" s="358"/>
      <c r="R478" s="358"/>
      <c r="S478" s="358"/>
      <c r="T478" s="358"/>
      <c r="U478" s="358"/>
      <c r="V478" s="358"/>
      <c r="W478" s="358"/>
      <c r="X478" s="358"/>
      <c r="Y478" s="358"/>
      <c r="Z478" s="358"/>
    </row>
    <row r="479" spans="1:26" ht="13.5" customHeight="1">
      <c r="A479" s="358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8"/>
      <c r="N479" s="358"/>
      <c r="O479" s="358"/>
      <c r="P479" s="358"/>
      <c r="Q479" s="358"/>
      <c r="R479" s="358"/>
      <c r="S479" s="358"/>
      <c r="T479" s="358"/>
      <c r="U479" s="358"/>
      <c r="V479" s="358"/>
      <c r="W479" s="358"/>
      <c r="X479" s="358"/>
      <c r="Y479" s="358"/>
      <c r="Z479" s="358"/>
    </row>
    <row r="480" spans="1:26" ht="13.5" customHeight="1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8"/>
      <c r="N480" s="358"/>
      <c r="O480" s="358"/>
      <c r="P480" s="358"/>
      <c r="Q480" s="358"/>
      <c r="R480" s="358"/>
      <c r="S480" s="358"/>
      <c r="T480" s="358"/>
      <c r="U480" s="358"/>
      <c r="V480" s="358"/>
      <c r="W480" s="358"/>
      <c r="X480" s="358"/>
      <c r="Y480" s="358"/>
      <c r="Z480" s="358"/>
    </row>
    <row r="481" spans="1:26" ht="13.5" customHeight="1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58"/>
      <c r="Z481" s="358"/>
    </row>
    <row r="482" spans="1:26" ht="13.5" customHeight="1">
      <c r="A482" s="358"/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58"/>
      <c r="Z482" s="358"/>
    </row>
    <row r="483" spans="1:26" ht="13.5" customHeight="1">
      <c r="A483" s="358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58"/>
      <c r="Z483" s="358"/>
    </row>
    <row r="484" spans="1:26" ht="13.5" customHeight="1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58"/>
      <c r="Z484" s="358"/>
    </row>
    <row r="485" spans="1:26" ht="13.5" customHeight="1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8"/>
      <c r="N485" s="358"/>
      <c r="O485" s="358"/>
      <c r="P485" s="358"/>
      <c r="Q485" s="358"/>
      <c r="R485" s="358"/>
      <c r="S485" s="358"/>
      <c r="T485" s="358"/>
      <c r="U485" s="358"/>
      <c r="V485" s="358"/>
      <c r="W485" s="358"/>
      <c r="X485" s="358"/>
      <c r="Y485" s="358"/>
      <c r="Z485" s="358"/>
    </row>
    <row r="486" spans="1:26" ht="13.5" customHeight="1">
      <c r="A486" s="358"/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58"/>
      <c r="Z486" s="358"/>
    </row>
    <row r="487" spans="1:26" ht="13.5" customHeight="1">
      <c r="A487" s="358"/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58"/>
      <c r="Z487" s="358"/>
    </row>
    <row r="488" spans="1:26" ht="13.5" customHeight="1">
      <c r="A488" s="358"/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58"/>
      <c r="Z488" s="358"/>
    </row>
    <row r="489" spans="1:26" ht="13.5" customHeight="1">
      <c r="A489" s="358"/>
      <c r="B489" s="358"/>
      <c r="C489" s="358"/>
      <c r="D489" s="358"/>
      <c r="E489" s="358"/>
      <c r="F489" s="358"/>
      <c r="G489" s="358"/>
      <c r="H489" s="358"/>
      <c r="I489" s="358"/>
      <c r="J489" s="358"/>
      <c r="K489" s="358"/>
      <c r="L489" s="358"/>
      <c r="M489" s="358"/>
      <c r="N489" s="358"/>
      <c r="O489" s="358"/>
      <c r="P489" s="358"/>
      <c r="Q489" s="358"/>
      <c r="R489" s="358"/>
      <c r="S489" s="358"/>
      <c r="T489" s="358"/>
      <c r="U489" s="358"/>
      <c r="V489" s="358"/>
      <c r="W489" s="358"/>
      <c r="X489" s="358"/>
      <c r="Y489" s="358"/>
      <c r="Z489" s="358"/>
    </row>
    <row r="490" spans="1:26" ht="13.5" customHeight="1">
      <c r="A490" s="358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58"/>
      <c r="N490" s="358"/>
      <c r="O490" s="358"/>
      <c r="P490" s="358"/>
      <c r="Q490" s="358"/>
      <c r="R490" s="358"/>
      <c r="S490" s="358"/>
      <c r="T490" s="358"/>
      <c r="U490" s="358"/>
      <c r="V490" s="358"/>
      <c r="W490" s="358"/>
      <c r="X490" s="358"/>
      <c r="Y490" s="358"/>
      <c r="Z490" s="358"/>
    </row>
    <row r="491" spans="1:26" ht="13.5" customHeight="1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58"/>
      <c r="N491" s="358"/>
      <c r="O491" s="358"/>
      <c r="P491" s="358"/>
      <c r="Q491" s="358"/>
      <c r="R491" s="358"/>
      <c r="S491" s="358"/>
      <c r="T491" s="358"/>
      <c r="U491" s="358"/>
      <c r="V491" s="358"/>
      <c r="W491" s="358"/>
      <c r="X491" s="358"/>
      <c r="Y491" s="358"/>
      <c r="Z491" s="358"/>
    </row>
    <row r="492" spans="1:26" ht="13.5" customHeight="1">
      <c r="A492" s="358"/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58"/>
      <c r="Z492" s="358"/>
    </row>
    <row r="493" spans="1:26" ht="13.5" customHeight="1">
      <c r="A493" s="358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8"/>
      <c r="N493" s="358"/>
      <c r="O493" s="358"/>
      <c r="P493" s="358"/>
      <c r="Q493" s="358"/>
      <c r="R493" s="358"/>
      <c r="S493" s="358"/>
      <c r="T493" s="358"/>
      <c r="U493" s="358"/>
      <c r="V493" s="358"/>
      <c r="W493" s="358"/>
      <c r="X493" s="358"/>
      <c r="Y493" s="358"/>
      <c r="Z493" s="358"/>
    </row>
    <row r="494" spans="1:26" ht="13.5" customHeight="1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8"/>
      <c r="N494" s="358"/>
      <c r="O494" s="358"/>
      <c r="P494" s="358"/>
      <c r="Q494" s="358"/>
      <c r="R494" s="358"/>
      <c r="S494" s="358"/>
      <c r="T494" s="358"/>
      <c r="U494" s="358"/>
      <c r="V494" s="358"/>
      <c r="W494" s="358"/>
      <c r="X494" s="358"/>
      <c r="Y494" s="358"/>
      <c r="Z494" s="358"/>
    </row>
    <row r="495" spans="1:26" ht="13.5" customHeight="1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58"/>
      <c r="Z495" s="358"/>
    </row>
    <row r="496" spans="1:26" ht="13.5" customHeight="1">
      <c r="A496" s="358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58"/>
      <c r="Z496" s="358"/>
    </row>
    <row r="497" spans="1:26" ht="13.5" customHeight="1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58"/>
      <c r="N497" s="358"/>
      <c r="O497" s="358"/>
      <c r="P497" s="358"/>
      <c r="Q497" s="358"/>
      <c r="R497" s="358"/>
      <c r="S497" s="358"/>
      <c r="T497" s="358"/>
      <c r="U497" s="358"/>
      <c r="V497" s="358"/>
      <c r="W497" s="358"/>
      <c r="X497" s="358"/>
      <c r="Y497" s="358"/>
      <c r="Z497" s="358"/>
    </row>
    <row r="498" spans="1:26" ht="13.5" customHeight="1">
      <c r="A498" s="358"/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58"/>
      <c r="Z498" s="358"/>
    </row>
    <row r="499" spans="1:26" ht="13.5" customHeight="1">
      <c r="A499" s="358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8"/>
      <c r="N499" s="358"/>
      <c r="O499" s="358"/>
      <c r="P499" s="358"/>
      <c r="Q499" s="358"/>
      <c r="R499" s="358"/>
      <c r="S499" s="358"/>
      <c r="T499" s="358"/>
      <c r="U499" s="358"/>
      <c r="V499" s="358"/>
      <c r="W499" s="358"/>
      <c r="X499" s="358"/>
      <c r="Y499" s="358"/>
      <c r="Z499" s="358"/>
    </row>
    <row r="500" spans="1:26" ht="13.5" customHeight="1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8"/>
      <c r="N500" s="358"/>
      <c r="O500" s="358"/>
      <c r="P500" s="358"/>
      <c r="Q500" s="358"/>
      <c r="R500" s="358"/>
      <c r="S500" s="358"/>
      <c r="T500" s="358"/>
      <c r="U500" s="358"/>
      <c r="V500" s="358"/>
      <c r="W500" s="358"/>
      <c r="X500" s="358"/>
      <c r="Y500" s="358"/>
      <c r="Z500" s="358"/>
    </row>
    <row r="501" spans="1:26" ht="13.5" customHeight="1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58"/>
      <c r="Z501" s="358"/>
    </row>
    <row r="502" spans="1:26" ht="13.5" customHeight="1">
      <c r="A502" s="3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58"/>
      <c r="Z502" s="358"/>
    </row>
    <row r="503" spans="1:26" ht="13.5" customHeight="1">
      <c r="A503" s="358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58"/>
      <c r="N503" s="358"/>
      <c r="O503" s="358"/>
      <c r="P503" s="358"/>
      <c r="Q503" s="358"/>
      <c r="R503" s="358"/>
      <c r="S503" s="358"/>
      <c r="T503" s="358"/>
      <c r="U503" s="358"/>
      <c r="V503" s="358"/>
      <c r="W503" s="358"/>
      <c r="X503" s="358"/>
      <c r="Y503" s="358"/>
      <c r="Z503" s="358"/>
    </row>
    <row r="504" spans="1:26" ht="13.5" customHeight="1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58"/>
      <c r="N504" s="358"/>
      <c r="O504" s="358"/>
      <c r="P504" s="358"/>
      <c r="Q504" s="358"/>
      <c r="R504" s="358"/>
      <c r="S504" s="358"/>
      <c r="T504" s="358"/>
      <c r="U504" s="358"/>
      <c r="V504" s="358"/>
      <c r="W504" s="358"/>
      <c r="X504" s="358"/>
      <c r="Y504" s="358"/>
      <c r="Z504" s="358"/>
    </row>
    <row r="505" spans="1:26" ht="13.5" customHeight="1">
      <c r="A505" s="358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58"/>
      <c r="Z505" s="358"/>
    </row>
    <row r="506" spans="1:26" ht="13.5" customHeight="1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8"/>
      <c r="N506" s="358"/>
      <c r="O506" s="358"/>
      <c r="P506" s="358"/>
      <c r="Q506" s="358"/>
      <c r="R506" s="358"/>
      <c r="S506" s="358"/>
      <c r="T506" s="358"/>
      <c r="U506" s="358"/>
      <c r="V506" s="358"/>
      <c r="W506" s="358"/>
      <c r="X506" s="358"/>
      <c r="Y506" s="358"/>
      <c r="Z506" s="358"/>
    </row>
    <row r="507" spans="1:26" ht="13.5" customHeight="1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8"/>
      <c r="N507" s="358"/>
      <c r="O507" s="358"/>
      <c r="P507" s="358"/>
      <c r="Q507" s="358"/>
      <c r="R507" s="358"/>
      <c r="S507" s="358"/>
      <c r="T507" s="358"/>
      <c r="U507" s="358"/>
      <c r="V507" s="358"/>
      <c r="W507" s="358"/>
      <c r="X507" s="358"/>
      <c r="Y507" s="358"/>
      <c r="Z507" s="358"/>
    </row>
    <row r="508" spans="1:26" ht="13.5" customHeight="1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58"/>
      <c r="Z508" s="358"/>
    </row>
    <row r="509" spans="1:26" ht="13.5" customHeight="1">
      <c r="A509" s="358"/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58"/>
      <c r="Z509" s="358"/>
    </row>
    <row r="510" spans="1:26" ht="13.5" customHeight="1">
      <c r="A510" s="358"/>
      <c r="B510" s="358"/>
      <c r="C510" s="358"/>
      <c r="D510" s="358"/>
      <c r="E510" s="358"/>
      <c r="F510" s="358"/>
      <c r="G510" s="358"/>
      <c r="H510" s="358"/>
      <c r="I510" s="358"/>
      <c r="J510" s="358"/>
      <c r="K510" s="358"/>
      <c r="L510" s="358"/>
      <c r="M510" s="358"/>
      <c r="N510" s="358"/>
      <c r="O510" s="358"/>
      <c r="P510" s="358"/>
      <c r="Q510" s="358"/>
      <c r="R510" s="358"/>
      <c r="S510" s="358"/>
      <c r="T510" s="358"/>
      <c r="U510" s="358"/>
      <c r="V510" s="358"/>
      <c r="W510" s="358"/>
      <c r="X510" s="358"/>
      <c r="Y510" s="358"/>
      <c r="Z510" s="358"/>
    </row>
    <row r="511" spans="1:26" ht="13.5" customHeight="1">
      <c r="A511" s="358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58"/>
      <c r="N511" s="358"/>
      <c r="O511" s="358"/>
      <c r="P511" s="358"/>
      <c r="Q511" s="358"/>
      <c r="R511" s="358"/>
      <c r="S511" s="358"/>
      <c r="T511" s="358"/>
      <c r="U511" s="358"/>
      <c r="V511" s="358"/>
      <c r="W511" s="358"/>
      <c r="X511" s="358"/>
      <c r="Y511" s="358"/>
      <c r="Z511" s="358"/>
    </row>
    <row r="512" spans="1:26" ht="13.5" customHeight="1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58"/>
      <c r="N512" s="358"/>
      <c r="O512" s="358"/>
      <c r="P512" s="358"/>
      <c r="Q512" s="358"/>
      <c r="R512" s="358"/>
      <c r="S512" s="358"/>
      <c r="T512" s="358"/>
      <c r="U512" s="358"/>
      <c r="V512" s="358"/>
      <c r="W512" s="358"/>
      <c r="X512" s="358"/>
      <c r="Y512" s="358"/>
      <c r="Z512" s="358"/>
    </row>
    <row r="513" spans="1:26" ht="13.5" customHeight="1">
      <c r="A513" s="358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8"/>
      <c r="N513" s="358"/>
      <c r="O513" s="358"/>
      <c r="P513" s="358"/>
      <c r="Q513" s="358"/>
      <c r="R513" s="358"/>
      <c r="S513" s="358"/>
      <c r="T513" s="358"/>
      <c r="U513" s="358"/>
      <c r="V513" s="358"/>
      <c r="W513" s="358"/>
      <c r="X513" s="358"/>
      <c r="Y513" s="358"/>
      <c r="Z513" s="358"/>
    </row>
    <row r="514" spans="1:26" ht="13.5" customHeight="1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8"/>
      <c r="N514" s="358"/>
      <c r="O514" s="358"/>
      <c r="P514" s="358"/>
      <c r="Q514" s="358"/>
      <c r="R514" s="358"/>
      <c r="S514" s="358"/>
      <c r="T514" s="358"/>
      <c r="U514" s="358"/>
      <c r="V514" s="358"/>
      <c r="W514" s="358"/>
      <c r="X514" s="358"/>
      <c r="Y514" s="358"/>
      <c r="Z514" s="358"/>
    </row>
    <row r="515" spans="1:26" ht="13.5" customHeight="1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W515" s="358"/>
      <c r="X515" s="358"/>
      <c r="Y515" s="358"/>
      <c r="Z515" s="358"/>
    </row>
    <row r="516" spans="1:26" ht="13.5" customHeight="1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58"/>
      <c r="N516" s="358"/>
      <c r="O516" s="358"/>
      <c r="P516" s="358"/>
      <c r="Q516" s="358"/>
      <c r="R516" s="358"/>
      <c r="S516" s="358"/>
      <c r="T516" s="358"/>
      <c r="U516" s="358"/>
      <c r="V516" s="358"/>
      <c r="W516" s="358"/>
      <c r="X516" s="358"/>
      <c r="Y516" s="358"/>
      <c r="Z516" s="358"/>
    </row>
    <row r="517" spans="1:26" ht="13.5" customHeight="1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58"/>
      <c r="N517" s="358"/>
      <c r="O517" s="358"/>
      <c r="P517" s="358"/>
      <c r="Q517" s="358"/>
      <c r="R517" s="358"/>
      <c r="S517" s="358"/>
      <c r="T517" s="358"/>
      <c r="U517" s="358"/>
      <c r="V517" s="358"/>
      <c r="W517" s="358"/>
      <c r="X517" s="358"/>
      <c r="Y517" s="358"/>
      <c r="Z517" s="358"/>
    </row>
    <row r="518" spans="1:26" ht="13.5" customHeight="1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58"/>
      <c r="N518" s="358"/>
      <c r="O518" s="358"/>
      <c r="P518" s="358"/>
      <c r="Q518" s="358"/>
      <c r="R518" s="358"/>
      <c r="S518" s="358"/>
      <c r="T518" s="358"/>
      <c r="U518" s="358"/>
      <c r="V518" s="358"/>
      <c r="W518" s="358"/>
      <c r="X518" s="358"/>
      <c r="Y518" s="358"/>
      <c r="Z518" s="358"/>
    </row>
    <row r="519" spans="1:26" ht="13.5" customHeight="1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58"/>
      <c r="N519" s="358"/>
      <c r="O519" s="358"/>
      <c r="P519" s="358"/>
      <c r="Q519" s="358"/>
      <c r="R519" s="358"/>
      <c r="S519" s="358"/>
      <c r="T519" s="358"/>
      <c r="U519" s="358"/>
      <c r="V519" s="358"/>
      <c r="W519" s="358"/>
      <c r="X519" s="358"/>
      <c r="Y519" s="358"/>
      <c r="Z519" s="358"/>
    </row>
    <row r="520" spans="1:26" ht="13.5" customHeight="1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58"/>
      <c r="N520" s="358"/>
      <c r="O520" s="358"/>
      <c r="P520" s="358"/>
      <c r="Q520" s="358"/>
      <c r="R520" s="358"/>
      <c r="S520" s="358"/>
      <c r="T520" s="358"/>
      <c r="U520" s="358"/>
      <c r="V520" s="358"/>
      <c r="W520" s="358"/>
      <c r="X520" s="358"/>
      <c r="Y520" s="358"/>
      <c r="Z520" s="358"/>
    </row>
    <row r="521" spans="1:26" ht="13.5" customHeight="1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58"/>
      <c r="N521" s="358"/>
      <c r="O521" s="358"/>
      <c r="P521" s="358"/>
      <c r="Q521" s="358"/>
      <c r="R521" s="358"/>
      <c r="S521" s="358"/>
      <c r="T521" s="358"/>
      <c r="U521" s="358"/>
      <c r="V521" s="358"/>
      <c r="W521" s="358"/>
      <c r="X521" s="358"/>
      <c r="Y521" s="358"/>
      <c r="Z521" s="358"/>
    </row>
    <row r="522" spans="1:26" ht="13.5" customHeight="1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358"/>
      <c r="N522" s="358"/>
      <c r="O522" s="358"/>
      <c r="P522" s="358"/>
      <c r="Q522" s="358"/>
      <c r="R522" s="358"/>
      <c r="S522" s="358"/>
      <c r="T522" s="358"/>
      <c r="U522" s="358"/>
      <c r="V522" s="358"/>
      <c r="W522" s="358"/>
      <c r="X522" s="358"/>
      <c r="Y522" s="358"/>
      <c r="Z522" s="358"/>
    </row>
    <row r="523" spans="1:26" ht="13.5" customHeight="1">
      <c r="A523" s="358"/>
      <c r="B523" s="358"/>
      <c r="C523" s="358"/>
      <c r="D523" s="358"/>
      <c r="E523" s="358"/>
      <c r="F523" s="358"/>
      <c r="G523" s="358"/>
      <c r="H523" s="358"/>
      <c r="I523" s="358"/>
      <c r="J523" s="358"/>
      <c r="K523" s="358"/>
      <c r="L523" s="358"/>
      <c r="M523" s="358"/>
      <c r="N523" s="358"/>
      <c r="O523" s="358"/>
      <c r="P523" s="358"/>
      <c r="Q523" s="358"/>
      <c r="R523" s="358"/>
      <c r="S523" s="358"/>
      <c r="T523" s="358"/>
      <c r="U523" s="358"/>
      <c r="V523" s="358"/>
      <c r="W523" s="358"/>
      <c r="X523" s="358"/>
      <c r="Y523" s="358"/>
      <c r="Z523" s="358"/>
    </row>
    <row r="524" spans="1:26" ht="13.5" customHeight="1">
      <c r="A524" s="358"/>
      <c r="B524" s="358"/>
      <c r="C524" s="358"/>
      <c r="D524" s="358"/>
      <c r="E524" s="358"/>
      <c r="F524" s="358"/>
      <c r="G524" s="358"/>
      <c r="H524" s="358"/>
      <c r="I524" s="358"/>
      <c r="J524" s="358"/>
      <c r="K524" s="358"/>
      <c r="L524" s="358"/>
      <c r="M524" s="358"/>
      <c r="N524" s="358"/>
      <c r="O524" s="358"/>
      <c r="P524" s="358"/>
      <c r="Q524" s="358"/>
      <c r="R524" s="358"/>
      <c r="S524" s="358"/>
      <c r="T524" s="358"/>
      <c r="U524" s="358"/>
      <c r="V524" s="358"/>
      <c r="W524" s="358"/>
      <c r="X524" s="358"/>
      <c r="Y524" s="358"/>
      <c r="Z524" s="358"/>
    </row>
    <row r="525" spans="1:26" ht="13.5" customHeight="1">
      <c r="A525" s="358"/>
      <c r="B525" s="358"/>
      <c r="C525" s="358"/>
      <c r="D525" s="358"/>
      <c r="E525" s="358"/>
      <c r="F525" s="358"/>
      <c r="G525" s="358"/>
      <c r="H525" s="358"/>
      <c r="I525" s="358"/>
      <c r="J525" s="358"/>
      <c r="K525" s="358"/>
      <c r="L525" s="358"/>
      <c r="M525" s="358"/>
      <c r="N525" s="358"/>
      <c r="O525" s="358"/>
      <c r="P525" s="358"/>
      <c r="Q525" s="358"/>
      <c r="R525" s="358"/>
      <c r="S525" s="358"/>
      <c r="T525" s="358"/>
      <c r="U525" s="358"/>
      <c r="V525" s="358"/>
      <c r="W525" s="358"/>
      <c r="X525" s="358"/>
      <c r="Y525" s="358"/>
      <c r="Z525" s="358"/>
    </row>
    <row r="526" spans="1:26" ht="13.5" customHeight="1">
      <c r="A526" s="358"/>
      <c r="B526" s="358"/>
      <c r="C526" s="358"/>
      <c r="D526" s="358"/>
      <c r="E526" s="358"/>
      <c r="F526" s="358"/>
      <c r="G526" s="358"/>
      <c r="H526" s="358"/>
      <c r="I526" s="358"/>
      <c r="J526" s="358"/>
      <c r="K526" s="358"/>
      <c r="L526" s="358"/>
      <c r="M526" s="358"/>
      <c r="N526" s="358"/>
      <c r="O526" s="358"/>
      <c r="P526" s="358"/>
      <c r="Q526" s="358"/>
      <c r="R526" s="358"/>
      <c r="S526" s="358"/>
      <c r="T526" s="358"/>
      <c r="U526" s="358"/>
      <c r="V526" s="358"/>
      <c r="W526" s="358"/>
      <c r="X526" s="358"/>
      <c r="Y526" s="358"/>
      <c r="Z526" s="358"/>
    </row>
    <row r="527" spans="1:26" ht="13.5" customHeight="1">
      <c r="A527" s="358"/>
      <c r="B527" s="358"/>
      <c r="C527" s="358"/>
      <c r="D527" s="358"/>
      <c r="E527" s="358"/>
      <c r="F527" s="358"/>
      <c r="G527" s="358"/>
      <c r="H527" s="358"/>
      <c r="I527" s="358"/>
      <c r="J527" s="358"/>
      <c r="K527" s="358"/>
      <c r="L527" s="358"/>
      <c r="M527" s="358"/>
      <c r="N527" s="358"/>
      <c r="O527" s="358"/>
      <c r="P527" s="358"/>
      <c r="Q527" s="358"/>
      <c r="R527" s="358"/>
      <c r="S527" s="358"/>
      <c r="T527" s="358"/>
      <c r="U527" s="358"/>
      <c r="V527" s="358"/>
      <c r="W527" s="358"/>
      <c r="X527" s="358"/>
      <c r="Y527" s="358"/>
      <c r="Z527" s="358"/>
    </row>
    <row r="528" spans="1:26" ht="13.5" customHeight="1">
      <c r="A528" s="358"/>
      <c r="B528" s="358"/>
      <c r="C528" s="358"/>
      <c r="D528" s="358"/>
      <c r="E528" s="358"/>
      <c r="F528" s="358"/>
      <c r="G528" s="358"/>
      <c r="H528" s="358"/>
      <c r="I528" s="358"/>
      <c r="J528" s="358"/>
      <c r="K528" s="358"/>
      <c r="L528" s="358"/>
      <c r="M528" s="358"/>
      <c r="N528" s="358"/>
      <c r="O528" s="358"/>
      <c r="P528" s="358"/>
      <c r="Q528" s="358"/>
      <c r="R528" s="358"/>
      <c r="S528" s="358"/>
      <c r="T528" s="358"/>
      <c r="U528" s="358"/>
      <c r="V528" s="358"/>
      <c r="W528" s="358"/>
      <c r="X528" s="358"/>
      <c r="Y528" s="358"/>
      <c r="Z528" s="358"/>
    </row>
    <row r="529" spans="1:26" ht="13.5" customHeight="1">
      <c r="A529" s="358"/>
      <c r="B529" s="358"/>
      <c r="C529" s="358"/>
      <c r="D529" s="358"/>
      <c r="E529" s="358"/>
      <c r="F529" s="358"/>
      <c r="G529" s="358"/>
      <c r="H529" s="358"/>
      <c r="I529" s="358"/>
      <c r="J529" s="358"/>
      <c r="K529" s="358"/>
      <c r="L529" s="358"/>
      <c r="M529" s="358"/>
      <c r="N529" s="358"/>
      <c r="O529" s="358"/>
      <c r="P529" s="358"/>
      <c r="Q529" s="358"/>
      <c r="R529" s="358"/>
      <c r="S529" s="358"/>
      <c r="T529" s="358"/>
      <c r="U529" s="358"/>
      <c r="V529" s="358"/>
      <c r="W529" s="358"/>
      <c r="X529" s="358"/>
      <c r="Y529" s="358"/>
      <c r="Z529" s="358"/>
    </row>
    <row r="530" spans="1:26" ht="13.5" customHeight="1">
      <c r="A530" s="358"/>
      <c r="B530" s="358"/>
      <c r="C530" s="358"/>
      <c r="D530" s="358"/>
      <c r="E530" s="358"/>
      <c r="F530" s="358"/>
      <c r="G530" s="358"/>
      <c r="H530" s="358"/>
      <c r="I530" s="358"/>
      <c r="J530" s="358"/>
      <c r="K530" s="358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W530" s="358"/>
      <c r="X530" s="358"/>
      <c r="Y530" s="358"/>
      <c r="Z530" s="358"/>
    </row>
    <row r="531" spans="1:26" ht="13.5" customHeight="1">
      <c r="A531" s="358"/>
      <c r="B531" s="358"/>
      <c r="C531" s="358"/>
      <c r="D531" s="358"/>
      <c r="E531" s="358"/>
      <c r="F531" s="358"/>
      <c r="G531" s="358"/>
      <c r="H531" s="358"/>
      <c r="I531" s="358"/>
      <c r="J531" s="358"/>
      <c r="K531" s="358"/>
      <c r="L531" s="358"/>
      <c r="M531" s="358"/>
      <c r="N531" s="358"/>
      <c r="O531" s="358"/>
      <c r="P531" s="358"/>
      <c r="Q531" s="358"/>
      <c r="R531" s="358"/>
      <c r="S531" s="358"/>
      <c r="T531" s="358"/>
      <c r="U531" s="358"/>
      <c r="V531" s="358"/>
      <c r="W531" s="358"/>
      <c r="X531" s="358"/>
      <c r="Y531" s="358"/>
      <c r="Z531" s="358"/>
    </row>
    <row r="532" spans="1:26" ht="13.5" customHeight="1">
      <c r="A532" s="358"/>
      <c r="B532" s="358"/>
      <c r="C532" s="358"/>
      <c r="D532" s="358"/>
      <c r="E532" s="358"/>
      <c r="F532" s="358"/>
      <c r="G532" s="358"/>
      <c r="H532" s="358"/>
      <c r="I532" s="358"/>
      <c r="J532" s="358"/>
      <c r="K532" s="358"/>
      <c r="L532" s="358"/>
      <c r="M532" s="358"/>
      <c r="N532" s="358"/>
      <c r="O532" s="358"/>
      <c r="P532" s="358"/>
      <c r="Q532" s="358"/>
      <c r="R532" s="358"/>
      <c r="S532" s="358"/>
      <c r="T532" s="358"/>
      <c r="U532" s="358"/>
      <c r="V532" s="358"/>
      <c r="W532" s="358"/>
      <c r="X532" s="358"/>
      <c r="Y532" s="358"/>
      <c r="Z532" s="358"/>
    </row>
    <row r="533" spans="1:26" ht="13.5" customHeight="1">
      <c r="A533" s="358"/>
      <c r="B533" s="358"/>
      <c r="C533" s="358"/>
      <c r="D533" s="358"/>
      <c r="E533" s="358"/>
      <c r="F533" s="358"/>
      <c r="G533" s="358"/>
      <c r="H533" s="358"/>
      <c r="I533" s="358"/>
      <c r="J533" s="358"/>
      <c r="K533" s="358"/>
      <c r="L533" s="358"/>
      <c r="M533" s="358"/>
      <c r="N533" s="358"/>
      <c r="O533" s="358"/>
      <c r="P533" s="358"/>
      <c r="Q533" s="358"/>
      <c r="R533" s="358"/>
      <c r="S533" s="358"/>
      <c r="T533" s="358"/>
      <c r="U533" s="358"/>
      <c r="V533" s="358"/>
      <c r="W533" s="358"/>
      <c r="X533" s="358"/>
      <c r="Y533" s="358"/>
      <c r="Z533" s="358"/>
    </row>
    <row r="534" spans="1:26" ht="13.5" customHeight="1">
      <c r="A534" s="358"/>
      <c r="B534" s="358"/>
      <c r="C534" s="358"/>
      <c r="D534" s="358"/>
      <c r="E534" s="358"/>
      <c r="F534" s="358"/>
      <c r="G534" s="358"/>
      <c r="H534" s="358"/>
      <c r="I534" s="358"/>
      <c r="J534" s="358"/>
      <c r="K534" s="358"/>
      <c r="L534" s="358"/>
      <c r="M534" s="358"/>
      <c r="N534" s="358"/>
      <c r="O534" s="358"/>
      <c r="P534" s="358"/>
      <c r="Q534" s="358"/>
      <c r="R534" s="358"/>
      <c r="S534" s="358"/>
      <c r="T534" s="358"/>
      <c r="U534" s="358"/>
      <c r="V534" s="358"/>
      <c r="W534" s="358"/>
      <c r="X534" s="358"/>
      <c r="Y534" s="358"/>
      <c r="Z534" s="358"/>
    </row>
    <row r="535" spans="1:26" ht="13.5" customHeight="1">
      <c r="A535" s="358"/>
      <c r="B535" s="358"/>
      <c r="C535" s="358"/>
      <c r="D535" s="358"/>
      <c r="E535" s="358"/>
      <c r="F535" s="358"/>
      <c r="G535" s="358"/>
      <c r="H535" s="358"/>
      <c r="I535" s="358"/>
      <c r="J535" s="358"/>
      <c r="K535" s="358"/>
      <c r="L535" s="358"/>
      <c r="M535" s="358"/>
      <c r="N535" s="358"/>
      <c r="O535" s="358"/>
      <c r="P535" s="358"/>
      <c r="Q535" s="358"/>
      <c r="R535" s="358"/>
      <c r="S535" s="358"/>
      <c r="T535" s="358"/>
      <c r="U535" s="358"/>
      <c r="V535" s="358"/>
      <c r="W535" s="358"/>
      <c r="X535" s="358"/>
      <c r="Y535" s="358"/>
      <c r="Z535" s="358"/>
    </row>
    <row r="536" spans="1:26" ht="13.5" customHeight="1">
      <c r="A536" s="358"/>
      <c r="B536" s="358"/>
      <c r="C536" s="358"/>
      <c r="D536" s="358"/>
      <c r="E536" s="358"/>
      <c r="F536" s="358"/>
      <c r="G536" s="358"/>
      <c r="H536" s="358"/>
      <c r="I536" s="358"/>
      <c r="J536" s="358"/>
      <c r="K536" s="358"/>
      <c r="L536" s="358"/>
      <c r="M536" s="358"/>
      <c r="N536" s="358"/>
      <c r="O536" s="358"/>
      <c r="P536" s="358"/>
      <c r="Q536" s="358"/>
      <c r="R536" s="358"/>
      <c r="S536" s="358"/>
      <c r="T536" s="358"/>
      <c r="U536" s="358"/>
      <c r="V536" s="358"/>
      <c r="W536" s="358"/>
      <c r="X536" s="358"/>
      <c r="Y536" s="358"/>
      <c r="Z536" s="358"/>
    </row>
    <row r="537" spans="1:26" ht="13.5" customHeight="1">
      <c r="A537" s="358"/>
      <c r="B537" s="358"/>
      <c r="C537" s="358"/>
      <c r="D537" s="358"/>
      <c r="E537" s="358"/>
      <c r="F537" s="358"/>
      <c r="G537" s="358"/>
      <c r="H537" s="358"/>
      <c r="I537" s="358"/>
      <c r="J537" s="358"/>
      <c r="K537" s="358"/>
      <c r="L537" s="358"/>
      <c r="M537" s="358"/>
      <c r="N537" s="358"/>
      <c r="O537" s="358"/>
      <c r="P537" s="358"/>
      <c r="Q537" s="358"/>
      <c r="R537" s="358"/>
      <c r="S537" s="358"/>
      <c r="T537" s="358"/>
      <c r="U537" s="358"/>
      <c r="V537" s="358"/>
      <c r="W537" s="358"/>
      <c r="X537" s="358"/>
      <c r="Y537" s="358"/>
      <c r="Z537" s="358"/>
    </row>
    <row r="538" spans="1:26" ht="13.5" customHeight="1">
      <c r="A538" s="358"/>
      <c r="B538" s="358"/>
      <c r="C538" s="358"/>
      <c r="D538" s="358"/>
      <c r="E538" s="358"/>
      <c r="F538" s="358"/>
      <c r="G538" s="358"/>
      <c r="H538" s="358"/>
      <c r="I538" s="358"/>
      <c r="J538" s="358"/>
      <c r="K538" s="358"/>
      <c r="L538" s="358"/>
      <c r="M538" s="358"/>
      <c r="N538" s="358"/>
      <c r="O538" s="358"/>
      <c r="P538" s="358"/>
      <c r="Q538" s="358"/>
      <c r="R538" s="358"/>
      <c r="S538" s="358"/>
      <c r="T538" s="358"/>
      <c r="U538" s="358"/>
      <c r="V538" s="358"/>
      <c r="W538" s="358"/>
      <c r="X538" s="358"/>
      <c r="Y538" s="358"/>
      <c r="Z538" s="358"/>
    </row>
    <row r="539" spans="1:26" ht="13.5" customHeight="1">
      <c r="A539" s="358"/>
      <c r="B539" s="358"/>
      <c r="C539" s="358"/>
      <c r="D539" s="358"/>
      <c r="E539" s="358"/>
      <c r="F539" s="358"/>
      <c r="G539" s="358"/>
      <c r="H539" s="358"/>
      <c r="I539" s="358"/>
      <c r="J539" s="358"/>
      <c r="K539" s="358"/>
      <c r="L539" s="358"/>
      <c r="M539" s="358"/>
      <c r="N539" s="358"/>
      <c r="O539" s="358"/>
      <c r="P539" s="358"/>
      <c r="Q539" s="358"/>
      <c r="R539" s="358"/>
      <c r="S539" s="358"/>
      <c r="T539" s="358"/>
      <c r="U539" s="358"/>
      <c r="V539" s="358"/>
      <c r="W539" s="358"/>
      <c r="X539" s="358"/>
      <c r="Y539" s="358"/>
      <c r="Z539" s="358"/>
    </row>
    <row r="540" spans="1:26" ht="13.5" customHeight="1">
      <c r="A540" s="358"/>
      <c r="B540" s="358"/>
      <c r="C540" s="358"/>
      <c r="D540" s="358"/>
      <c r="E540" s="358"/>
      <c r="F540" s="358"/>
      <c r="G540" s="358"/>
      <c r="H540" s="358"/>
      <c r="I540" s="358"/>
      <c r="J540" s="358"/>
      <c r="K540" s="358"/>
      <c r="L540" s="358"/>
      <c r="M540" s="358"/>
      <c r="N540" s="358"/>
      <c r="O540" s="358"/>
      <c r="P540" s="358"/>
      <c r="Q540" s="358"/>
      <c r="R540" s="358"/>
      <c r="S540" s="358"/>
      <c r="T540" s="358"/>
      <c r="U540" s="358"/>
      <c r="V540" s="358"/>
      <c r="W540" s="358"/>
      <c r="X540" s="358"/>
      <c r="Y540" s="358"/>
      <c r="Z540" s="358"/>
    </row>
    <row r="541" spans="1:26" ht="13.5" customHeight="1">
      <c r="A541" s="358"/>
      <c r="B541" s="358"/>
      <c r="C541" s="358"/>
      <c r="D541" s="358"/>
      <c r="E541" s="358"/>
      <c r="F541" s="358"/>
      <c r="G541" s="358"/>
      <c r="H541" s="358"/>
      <c r="I541" s="358"/>
      <c r="J541" s="358"/>
      <c r="K541" s="358"/>
      <c r="L541" s="358"/>
      <c r="M541" s="358"/>
      <c r="N541" s="358"/>
      <c r="O541" s="358"/>
      <c r="P541" s="358"/>
      <c r="Q541" s="358"/>
      <c r="R541" s="358"/>
      <c r="S541" s="358"/>
      <c r="T541" s="358"/>
      <c r="U541" s="358"/>
      <c r="V541" s="358"/>
      <c r="W541" s="358"/>
      <c r="X541" s="358"/>
      <c r="Y541" s="358"/>
      <c r="Z541" s="358"/>
    </row>
    <row r="542" spans="1:26" ht="13.5" customHeight="1">
      <c r="A542" s="358"/>
      <c r="B542" s="358"/>
      <c r="C542" s="358"/>
      <c r="D542" s="358"/>
      <c r="E542" s="358"/>
      <c r="F542" s="358"/>
      <c r="G542" s="358"/>
      <c r="H542" s="358"/>
      <c r="I542" s="358"/>
      <c r="J542" s="358"/>
      <c r="K542" s="358"/>
      <c r="L542" s="358"/>
      <c r="M542" s="358"/>
      <c r="N542" s="358"/>
      <c r="O542" s="358"/>
      <c r="P542" s="358"/>
      <c r="Q542" s="358"/>
      <c r="R542" s="358"/>
      <c r="S542" s="358"/>
      <c r="T542" s="358"/>
      <c r="U542" s="358"/>
      <c r="V542" s="358"/>
      <c r="W542" s="358"/>
      <c r="X542" s="358"/>
      <c r="Y542" s="358"/>
      <c r="Z542" s="358"/>
    </row>
    <row r="543" spans="1:26" ht="13.5" customHeight="1">
      <c r="A543" s="358"/>
      <c r="B543" s="358"/>
      <c r="C543" s="358"/>
      <c r="D543" s="358"/>
      <c r="E543" s="358"/>
      <c r="F543" s="358"/>
      <c r="G543" s="358"/>
      <c r="H543" s="358"/>
      <c r="I543" s="358"/>
      <c r="J543" s="358"/>
      <c r="K543" s="358"/>
      <c r="L543" s="358"/>
      <c r="M543" s="358"/>
      <c r="N543" s="358"/>
      <c r="O543" s="358"/>
      <c r="P543" s="358"/>
      <c r="Q543" s="358"/>
      <c r="R543" s="358"/>
      <c r="S543" s="358"/>
      <c r="T543" s="358"/>
      <c r="U543" s="358"/>
      <c r="V543" s="358"/>
      <c r="W543" s="358"/>
      <c r="X543" s="358"/>
      <c r="Y543" s="358"/>
      <c r="Z543" s="358"/>
    </row>
    <row r="544" spans="1:26" ht="13.5" customHeight="1">
      <c r="A544" s="358"/>
      <c r="B544" s="358"/>
      <c r="C544" s="358"/>
      <c r="D544" s="358"/>
      <c r="E544" s="358"/>
      <c r="F544" s="358"/>
      <c r="G544" s="358"/>
      <c r="H544" s="358"/>
      <c r="I544" s="358"/>
      <c r="J544" s="358"/>
      <c r="K544" s="358"/>
      <c r="L544" s="358"/>
      <c r="M544" s="358"/>
      <c r="N544" s="358"/>
      <c r="O544" s="358"/>
      <c r="P544" s="358"/>
      <c r="Q544" s="358"/>
      <c r="R544" s="358"/>
      <c r="S544" s="358"/>
      <c r="T544" s="358"/>
      <c r="U544" s="358"/>
      <c r="V544" s="358"/>
      <c r="W544" s="358"/>
      <c r="X544" s="358"/>
      <c r="Y544" s="358"/>
      <c r="Z544" s="358"/>
    </row>
    <row r="545" spans="1:26" ht="13.5" customHeight="1">
      <c r="A545" s="358"/>
      <c r="B545" s="358"/>
      <c r="C545" s="358"/>
      <c r="D545" s="358"/>
      <c r="E545" s="358"/>
      <c r="F545" s="358"/>
      <c r="G545" s="358"/>
      <c r="H545" s="358"/>
      <c r="I545" s="358"/>
      <c r="J545" s="358"/>
      <c r="K545" s="358"/>
      <c r="L545" s="358"/>
      <c r="M545" s="358"/>
      <c r="N545" s="358"/>
      <c r="O545" s="358"/>
      <c r="P545" s="358"/>
      <c r="Q545" s="358"/>
      <c r="R545" s="358"/>
      <c r="S545" s="358"/>
      <c r="T545" s="358"/>
      <c r="U545" s="358"/>
      <c r="V545" s="358"/>
      <c r="W545" s="358"/>
      <c r="X545" s="358"/>
      <c r="Y545" s="358"/>
      <c r="Z545" s="358"/>
    </row>
    <row r="546" spans="1:26" ht="13.5" customHeight="1">
      <c r="A546" s="358"/>
      <c r="B546" s="358"/>
      <c r="C546" s="358"/>
      <c r="D546" s="358"/>
      <c r="E546" s="358"/>
      <c r="F546" s="358"/>
      <c r="G546" s="358"/>
      <c r="H546" s="358"/>
      <c r="I546" s="358"/>
      <c r="J546" s="358"/>
      <c r="K546" s="358"/>
      <c r="L546" s="358"/>
      <c r="M546" s="358"/>
      <c r="N546" s="358"/>
      <c r="O546" s="358"/>
      <c r="P546" s="358"/>
      <c r="Q546" s="358"/>
      <c r="R546" s="358"/>
      <c r="S546" s="358"/>
      <c r="T546" s="358"/>
      <c r="U546" s="358"/>
      <c r="V546" s="358"/>
      <c r="W546" s="358"/>
      <c r="X546" s="358"/>
      <c r="Y546" s="358"/>
      <c r="Z546" s="358"/>
    </row>
    <row r="547" spans="1:26" ht="13.5" customHeight="1">
      <c r="A547" s="358"/>
      <c r="B547" s="358"/>
      <c r="C547" s="358"/>
      <c r="D547" s="358"/>
      <c r="E547" s="358"/>
      <c r="F547" s="358"/>
      <c r="G547" s="358"/>
      <c r="H547" s="358"/>
      <c r="I547" s="358"/>
      <c r="J547" s="358"/>
      <c r="K547" s="358"/>
      <c r="L547" s="358"/>
      <c r="M547" s="358"/>
      <c r="N547" s="358"/>
      <c r="O547" s="358"/>
      <c r="P547" s="358"/>
      <c r="Q547" s="358"/>
      <c r="R547" s="358"/>
      <c r="S547" s="358"/>
      <c r="T547" s="358"/>
      <c r="U547" s="358"/>
      <c r="V547" s="358"/>
      <c r="W547" s="358"/>
      <c r="X547" s="358"/>
      <c r="Y547" s="358"/>
      <c r="Z547" s="358"/>
    </row>
    <row r="548" spans="1:26" ht="13.5" customHeight="1">
      <c r="A548" s="358"/>
      <c r="B548" s="358"/>
      <c r="C548" s="358"/>
      <c r="D548" s="358"/>
      <c r="E548" s="358"/>
      <c r="F548" s="358"/>
      <c r="G548" s="358"/>
      <c r="H548" s="358"/>
      <c r="I548" s="358"/>
      <c r="J548" s="358"/>
      <c r="K548" s="358"/>
      <c r="L548" s="358"/>
      <c r="M548" s="358"/>
      <c r="N548" s="358"/>
      <c r="O548" s="358"/>
      <c r="P548" s="358"/>
      <c r="Q548" s="358"/>
      <c r="R548" s="358"/>
      <c r="S548" s="358"/>
      <c r="T548" s="358"/>
      <c r="U548" s="358"/>
      <c r="V548" s="358"/>
      <c r="W548" s="358"/>
      <c r="X548" s="358"/>
      <c r="Y548" s="358"/>
      <c r="Z548" s="358"/>
    </row>
    <row r="549" spans="1:26" ht="13.5" customHeight="1">
      <c r="A549" s="358"/>
      <c r="B549" s="358"/>
      <c r="C549" s="358"/>
      <c r="D549" s="358"/>
      <c r="E549" s="358"/>
      <c r="F549" s="358"/>
      <c r="G549" s="358"/>
      <c r="H549" s="358"/>
      <c r="I549" s="358"/>
      <c r="J549" s="358"/>
      <c r="K549" s="358"/>
      <c r="L549" s="358"/>
      <c r="M549" s="358"/>
      <c r="N549" s="358"/>
      <c r="O549" s="358"/>
      <c r="P549" s="358"/>
      <c r="Q549" s="358"/>
      <c r="R549" s="358"/>
      <c r="S549" s="358"/>
      <c r="T549" s="358"/>
      <c r="U549" s="358"/>
      <c r="V549" s="358"/>
      <c r="W549" s="358"/>
      <c r="X549" s="358"/>
      <c r="Y549" s="358"/>
      <c r="Z549" s="358"/>
    </row>
    <row r="550" spans="1:26" ht="13.5" customHeight="1">
      <c r="A550" s="358"/>
      <c r="B550" s="358"/>
      <c r="C550" s="358"/>
      <c r="D550" s="358"/>
      <c r="E550" s="358"/>
      <c r="F550" s="358"/>
      <c r="G550" s="358"/>
      <c r="H550" s="358"/>
      <c r="I550" s="358"/>
      <c r="J550" s="358"/>
      <c r="K550" s="358"/>
      <c r="L550" s="358"/>
      <c r="M550" s="358"/>
      <c r="N550" s="358"/>
      <c r="O550" s="358"/>
      <c r="P550" s="358"/>
      <c r="Q550" s="358"/>
      <c r="R550" s="358"/>
      <c r="S550" s="358"/>
      <c r="T550" s="358"/>
      <c r="U550" s="358"/>
      <c r="V550" s="358"/>
      <c r="W550" s="358"/>
      <c r="X550" s="358"/>
      <c r="Y550" s="358"/>
      <c r="Z550" s="358"/>
    </row>
    <row r="551" spans="1:26" ht="13.5" customHeight="1">
      <c r="A551" s="358"/>
      <c r="B551" s="358"/>
      <c r="C551" s="358"/>
      <c r="D551" s="358"/>
      <c r="E551" s="358"/>
      <c r="F551" s="358"/>
      <c r="G551" s="358"/>
      <c r="H551" s="358"/>
      <c r="I551" s="358"/>
      <c r="J551" s="358"/>
      <c r="K551" s="358"/>
      <c r="L551" s="358"/>
      <c r="M551" s="358"/>
      <c r="N551" s="358"/>
      <c r="O551" s="358"/>
      <c r="P551" s="358"/>
      <c r="Q551" s="358"/>
      <c r="R551" s="358"/>
      <c r="S551" s="358"/>
      <c r="T551" s="358"/>
      <c r="U551" s="358"/>
      <c r="V551" s="358"/>
      <c r="W551" s="358"/>
      <c r="X551" s="358"/>
      <c r="Y551" s="358"/>
      <c r="Z551" s="358"/>
    </row>
    <row r="552" spans="1:26" ht="13.5" customHeight="1">
      <c r="A552" s="358"/>
      <c r="B552" s="358"/>
      <c r="C552" s="358"/>
      <c r="D552" s="358"/>
      <c r="E552" s="358"/>
      <c r="F552" s="358"/>
      <c r="G552" s="358"/>
      <c r="H552" s="358"/>
      <c r="I552" s="358"/>
      <c r="J552" s="358"/>
      <c r="K552" s="358"/>
      <c r="L552" s="358"/>
      <c r="M552" s="358"/>
      <c r="N552" s="358"/>
      <c r="O552" s="358"/>
      <c r="P552" s="358"/>
      <c r="Q552" s="358"/>
      <c r="R552" s="358"/>
      <c r="S552" s="358"/>
      <c r="T552" s="358"/>
      <c r="U552" s="358"/>
      <c r="V552" s="358"/>
      <c r="W552" s="358"/>
      <c r="X552" s="358"/>
      <c r="Y552" s="358"/>
      <c r="Z552" s="358"/>
    </row>
    <row r="553" spans="1:26" ht="13.5" customHeight="1">
      <c r="A553" s="358"/>
      <c r="B553" s="358"/>
      <c r="C553" s="358"/>
      <c r="D553" s="358"/>
      <c r="E553" s="358"/>
      <c r="F553" s="358"/>
      <c r="G553" s="358"/>
      <c r="H553" s="358"/>
      <c r="I553" s="358"/>
      <c r="J553" s="358"/>
      <c r="K553" s="358"/>
      <c r="L553" s="358"/>
      <c r="M553" s="358"/>
      <c r="N553" s="358"/>
      <c r="O553" s="358"/>
      <c r="P553" s="358"/>
      <c r="Q553" s="358"/>
      <c r="R553" s="358"/>
      <c r="S553" s="358"/>
      <c r="T553" s="358"/>
      <c r="U553" s="358"/>
      <c r="V553" s="358"/>
      <c r="W553" s="358"/>
      <c r="X553" s="358"/>
      <c r="Y553" s="358"/>
      <c r="Z553" s="358"/>
    </row>
    <row r="554" spans="1:26" ht="13.5" customHeight="1">
      <c r="A554" s="358"/>
      <c r="B554" s="358"/>
      <c r="C554" s="358"/>
      <c r="D554" s="358"/>
      <c r="E554" s="358"/>
      <c r="F554" s="358"/>
      <c r="G554" s="358"/>
      <c r="H554" s="358"/>
      <c r="I554" s="358"/>
      <c r="J554" s="358"/>
      <c r="K554" s="358"/>
      <c r="L554" s="358"/>
      <c r="M554" s="358"/>
      <c r="N554" s="358"/>
      <c r="O554" s="358"/>
      <c r="P554" s="358"/>
      <c r="Q554" s="358"/>
      <c r="R554" s="358"/>
      <c r="S554" s="358"/>
      <c r="T554" s="358"/>
      <c r="U554" s="358"/>
      <c r="V554" s="358"/>
      <c r="W554" s="358"/>
      <c r="X554" s="358"/>
      <c r="Y554" s="358"/>
      <c r="Z554" s="358"/>
    </row>
    <row r="555" spans="1:26" ht="13.5" customHeight="1">
      <c r="A555" s="358"/>
      <c r="B555" s="358"/>
      <c r="C555" s="358"/>
      <c r="D555" s="358"/>
      <c r="E555" s="358"/>
      <c r="F555" s="358"/>
      <c r="G555" s="358"/>
      <c r="H555" s="358"/>
      <c r="I555" s="358"/>
      <c r="J555" s="358"/>
      <c r="K555" s="358"/>
      <c r="L555" s="358"/>
      <c r="M555" s="358"/>
      <c r="N555" s="358"/>
      <c r="O555" s="358"/>
      <c r="P555" s="358"/>
      <c r="Q555" s="358"/>
      <c r="R555" s="358"/>
      <c r="S555" s="358"/>
      <c r="T555" s="358"/>
      <c r="U555" s="358"/>
      <c r="V555" s="358"/>
      <c r="W555" s="358"/>
      <c r="X555" s="358"/>
      <c r="Y555" s="358"/>
      <c r="Z555" s="358"/>
    </row>
    <row r="556" spans="1:26" ht="13.5" customHeight="1">
      <c r="A556" s="358"/>
      <c r="B556" s="358"/>
      <c r="C556" s="358"/>
      <c r="D556" s="358"/>
      <c r="E556" s="358"/>
      <c r="F556" s="358"/>
      <c r="G556" s="358"/>
      <c r="H556" s="358"/>
      <c r="I556" s="358"/>
      <c r="J556" s="358"/>
      <c r="K556" s="358"/>
      <c r="L556" s="358"/>
      <c r="M556" s="358"/>
      <c r="N556" s="358"/>
      <c r="O556" s="358"/>
      <c r="P556" s="358"/>
      <c r="Q556" s="358"/>
      <c r="R556" s="358"/>
      <c r="S556" s="358"/>
      <c r="T556" s="358"/>
      <c r="U556" s="358"/>
      <c r="V556" s="358"/>
      <c r="W556" s="358"/>
      <c r="X556" s="358"/>
      <c r="Y556" s="358"/>
      <c r="Z556" s="358"/>
    </row>
    <row r="557" spans="1:26" ht="13.5" customHeight="1">
      <c r="A557" s="358"/>
      <c r="B557" s="358"/>
      <c r="C557" s="358"/>
      <c r="D557" s="358"/>
      <c r="E557" s="358"/>
      <c r="F557" s="358"/>
      <c r="G557" s="358"/>
      <c r="H557" s="358"/>
      <c r="I557" s="358"/>
      <c r="J557" s="358"/>
      <c r="K557" s="358"/>
      <c r="L557" s="358"/>
      <c r="M557" s="358"/>
      <c r="N557" s="358"/>
      <c r="O557" s="358"/>
      <c r="P557" s="358"/>
      <c r="Q557" s="358"/>
      <c r="R557" s="358"/>
      <c r="S557" s="358"/>
      <c r="T557" s="358"/>
      <c r="U557" s="358"/>
      <c r="V557" s="358"/>
      <c r="W557" s="358"/>
      <c r="X557" s="358"/>
      <c r="Y557" s="358"/>
      <c r="Z557" s="358"/>
    </row>
    <row r="558" spans="1:26" ht="13.5" customHeight="1">
      <c r="A558" s="358"/>
      <c r="B558" s="358"/>
      <c r="C558" s="358"/>
      <c r="D558" s="358"/>
      <c r="E558" s="358"/>
      <c r="F558" s="358"/>
      <c r="G558" s="358"/>
      <c r="H558" s="358"/>
      <c r="I558" s="358"/>
      <c r="J558" s="358"/>
      <c r="K558" s="358"/>
      <c r="L558" s="358"/>
      <c r="M558" s="358"/>
      <c r="N558" s="358"/>
      <c r="O558" s="358"/>
      <c r="P558" s="358"/>
      <c r="Q558" s="358"/>
      <c r="R558" s="358"/>
      <c r="S558" s="358"/>
      <c r="T558" s="358"/>
      <c r="U558" s="358"/>
      <c r="V558" s="358"/>
      <c r="W558" s="358"/>
      <c r="X558" s="358"/>
      <c r="Y558" s="358"/>
      <c r="Z558" s="358"/>
    </row>
    <row r="559" spans="1:26" ht="13.5" customHeight="1">
      <c r="A559" s="358"/>
      <c r="B559" s="358"/>
      <c r="C559" s="358"/>
      <c r="D559" s="358"/>
      <c r="E559" s="358"/>
      <c r="F559" s="358"/>
      <c r="G559" s="358"/>
      <c r="H559" s="358"/>
      <c r="I559" s="358"/>
      <c r="J559" s="358"/>
      <c r="K559" s="358"/>
      <c r="L559" s="358"/>
      <c r="M559" s="358"/>
      <c r="N559" s="358"/>
      <c r="O559" s="358"/>
      <c r="P559" s="358"/>
      <c r="Q559" s="358"/>
      <c r="R559" s="358"/>
      <c r="S559" s="358"/>
      <c r="T559" s="358"/>
      <c r="U559" s="358"/>
      <c r="V559" s="358"/>
      <c r="W559" s="358"/>
      <c r="X559" s="358"/>
      <c r="Y559" s="358"/>
      <c r="Z559" s="358"/>
    </row>
    <row r="560" spans="1:26" ht="13.5" customHeight="1">
      <c r="A560" s="358"/>
      <c r="B560" s="358"/>
      <c r="C560" s="358"/>
      <c r="D560" s="358"/>
      <c r="E560" s="358"/>
      <c r="F560" s="358"/>
      <c r="G560" s="358"/>
      <c r="H560" s="358"/>
      <c r="I560" s="358"/>
      <c r="J560" s="358"/>
      <c r="K560" s="358"/>
      <c r="L560" s="358"/>
      <c r="M560" s="358"/>
      <c r="N560" s="358"/>
      <c r="O560" s="358"/>
      <c r="P560" s="358"/>
      <c r="Q560" s="358"/>
      <c r="R560" s="358"/>
      <c r="S560" s="358"/>
      <c r="T560" s="358"/>
      <c r="U560" s="358"/>
      <c r="V560" s="358"/>
      <c r="W560" s="358"/>
      <c r="X560" s="358"/>
      <c r="Y560" s="358"/>
      <c r="Z560" s="358"/>
    </row>
    <row r="561" spans="1:26" ht="13.5" customHeight="1">
      <c r="A561" s="358"/>
      <c r="B561" s="358"/>
      <c r="C561" s="358"/>
      <c r="D561" s="358"/>
      <c r="E561" s="358"/>
      <c r="F561" s="358"/>
      <c r="G561" s="358"/>
      <c r="H561" s="358"/>
      <c r="I561" s="358"/>
      <c r="J561" s="358"/>
      <c r="K561" s="358"/>
      <c r="L561" s="358"/>
      <c r="M561" s="358"/>
      <c r="N561" s="358"/>
      <c r="O561" s="358"/>
      <c r="P561" s="358"/>
      <c r="Q561" s="358"/>
      <c r="R561" s="358"/>
      <c r="S561" s="358"/>
      <c r="T561" s="358"/>
      <c r="U561" s="358"/>
      <c r="V561" s="358"/>
      <c r="W561" s="358"/>
      <c r="X561" s="358"/>
      <c r="Y561" s="358"/>
      <c r="Z561" s="358"/>
    </row>
    <row r="562" spans="1:26" ht="13.5" customHeight="1">
      <c r="A562" s="358"/>
      <c r="B562" s="358"/>
      <c r="C562" s="358"/>
      <c r="D562" s="358"/>
      <c r="E562" s="358"/>
      <c r="F562" s="358"/>
      <c r="G562" s="358"/>
      <c r="H562" s="358"/>
      <c r="I562" s="358"/>
      <c r="J562" s="358"/>
      <c r="K562" s="358"/>
      <c r="L562" s="358"/>
      <c r="M562" s="358"/>
      <c r="N562" s="358"/>
      <c r="O562" s="358"/>
      <c r="P562" s="358"/>
      <c r="Q562" s="358"/>
      <c r="R562" s="358"/>
      <c r="S562" s="358"/>
      <c r="T562" s="358"/>
      <c r="U562" s="358"/>
      <c r="V562" s="358"/>
      <c r="W562" s="358"/>
      <c r="X562" s="358"/>
      <c r="Y562" s="358"/>
      <c r="Z562" s="358"/>
    </row>
    <row r="563" spans="1:26" ht="13.5" customHeight="1">
      <c r="A563" s="358"/>
      <c r="B563" s="358"/>
      <c r="C563" s="358"/>
      <c r="D563" s="358"/>
      <c r="E563" s="358"/>
      <c r="F563" s="358"/>
      <c r="G563" s="358"/>
      <c r="H563" s="358"/>
      <c r="I563" s="358"/>
      <c r="J563" s="358"/>
      <c r="K563" s="358"/>
      <c r="L563" s="358"/>
      <c r="M563" s="358"/>
      <c r="N563" s="358"/>
      <c r="O563" s="358"/>
      <c r="P563" s="358"/>
      <c r="Q563" s="358"/>
      <c r="R563" s="358"/>
      <c r="S563" s="358"/>
      <c r="T563" s="358"/>
      <c r="U563" s="358"/>
      <c r="V563" s="358"/>
      <c r="W563" s="358"/>
      <c r="X563" s="358"/>
      <c r="Y563" s="358"/>
      <c r="Z563" s="358"/>
    </row>
    <row r="564" spans="1:26" ht="13.5" customHeight="1">
      <c r="A564" s="358"/>
      <c r="B564" s="358"/>
      <c r="C564" s="358"/>
      <c r="D564" s="358"/>
      <c r="E564" s="358"/>
      <c r="F564" s="358"/>
      <c r="G564" s="358"/>
      <c r="H564" s="358"/>
      <c r="I564" s="358"/>
      <c r="J564" s="358"/>
      <c r="K564" s="358"/>
      <c r="L564" s="358"/>
      <c r="M564" s="358"/>
      <c r="N564" s="358"/>
      <c r="O564" s="358"/>
      <c r="P564" s="358"/>
      <c r="Q564" s="358"/>
      <c r="R564" s="358"/>
      <c r="S564" s="358"/>
      <c r="T564" s="358"/>
      <c r="U564" s="358"/>
      <c r="V564" s="358"/>
      <c r="W564" s="358"/>
      <c r="X564" s="358"/>
      <c r="Y564" s="358"/>
      <c r="Z564" s="358"/>
    </row>
    <row r="565" spans="1:26" ht="13.5" customHeight="1">
      <c r="A565" s="358"/>
      <c r="B565" s="358"/>
      <c r="C565" s="358"/>
      <c r="D565" s="358"/>
      <c r="E565" s="358"/>
      <c r="F565" s="358"/>
      <c r="G565" s="358"/>
      <c r="H565" s="358"/>
      <c r="I565" s="358"/>
      <c r="J565" s="358"/>
      <c r="K565" s="358"/>
      <c r="L565" s="358"/>
      <c r="M565" s="358"/>
      <c r="N565" s="358"/>
      <c r="O565" s="358"/>
      <c r="P565" s="358"/>
      <c r="Q565" s="358"/>
      <c r="R565" s="358"/>
      <c r="S565" s="358"/>
      <c r="T565" s="358"/>
      <c r="U565" s="358"/>
      <c r="V565" s="358"/>
      <c r="W565" s="358"/>
      <c r="X565" s="358"/>
      <c r="Y565" s="358"/>
      <c r="Z565" s="358"/>
    </row>
    <row r="566" spans="1:26" ht="13.5" customHeight="1">
      <c r="A566" s="358"/>
      <c r="B566" s="358"/>
      <c r="C566" s="358"/>
      <c r="D566" s="358"/>
      <c r="E566" s="358"/>
      <c r="F566" s="358"/>
      <c r="G566" s="358"/>
      <c r="H566" s="358"/>
      <c r="I566" s="358"/>
      <c r="J566" s="358"/>
      <c r="K566" s="358"/>
      <c r="L566" s="358"/>
      <c r="M566" s="358"/>
      <c r="N566" s="358"/>
      <c r="O566" s="358"/>
      <c r="P566" s="358"/>
      <c r="Q566" s="358"/>
      <c r="R566" s="358"/>
      <c r="S566" s="358"/>
      <c r="T566" s="358"/>
      <c r="U566" s="358"/>
      <c r="V566" s="358"/>
      <c r="W566" s="358"/>
      <c r="X566" s="358"/>
      <c r="Y566" s="358"/>
      <c r="Z566" s="358"/>
    </row>
    <row r="567" spans="1:26" ht="13.5" customHeight="1">
      <c r="A567" s="358"/>
      <c r="B567" s="358"/>
      <c r="C567" s="358"/>
      <c r="D567" s="358"/>
      <c r="E567" s="358"/>
      <c r="F567" s="358"/>
      <c r="G567" s="358"/>
      <c r="H567" s="358"/>
      <c r="I567" s="358"/>
      <c r="J567" s="358"/>
      <c r="K567" s="358"/>
      <c r="L567" s="358"/>
      <c r="M567" s="358"/>
      <c r="N567" s="358"/>
      <c r="O567" s="358"/>
      <c r="P567" s="358"/>
      <c r="Q567" s="358"/>
      <c r="R567" s="358"/>
      <c r="S567" s="358"/>
      <c r="T567" s="358"/>
      <c r="U567" s="358"/>
      <c r="V567" s="358"/>
      <c r="W567" s="358"/>
      <c r="X567" s="358"/>
      <c r="Y567" s="358"/>
      <c r="Z567" s="358"/>
    </row>
    <row r="568" spans="1:26" ht="13.5" customHeight="1">
      <c r="A568" s="358"/>
      <c r="B568" s="358"/>
      <c r="C568" s="358"/>
      <c r="D568" s="358"/>
      <c r="E568" s="358"/>
      <c r="F568" s="358"/>
      <c r="G568" s="358"/>
      <c r="H568" s="358"/>
      <c r="I568" s="358"/>
      <c r="J568" s="358"/>
      <c r="K568" s="358"/>
      <c r="L568" s="358"/>
      <c r="M568" s="358"/>
      <c r="N568" s="358"/>
      <c r="O568" s="358"/>
      <c r="P568" s="358"/>
      <c r="Q568" s="358"/>
      <c r="R568" s="358"/>
      <c r="S568" s="358"/>
      <c r="T568" s="358"/>
      <c r="U568" s="358"/>
      <c r="V568" s="358"/>
      <c r="W568" s="358"/>
      <c r="X568" s="358"/>
      <c r="Y568" s="358"/>
      <c r="Z568" s="358"/>
    </row>
    <row r="569" spans="1:26" ht="13.5" customHeight="1">
      <c r="A569" s="358"/>
      <c r="B569" s="358"/>
      <c r="C569" s="358"/>
      <c r="D569" s="358"/>
      <c r="E569" s="358"/>
      <c r="F569" s="358"/>
      <c r="G569" s="358"/>
      <c r="H569" s="358"/>
      <c r="I569" s="358"/>
      <c r="J569" s="358"/>
      <c r="K569" s="358"/>
      <c r="L569" s="358"/>
      <c r="M569" s="358"/>
      <c r="N569" s="358"/>
      <c r="O569" s="358"/>
      <c r="P569" s="358"/>
      <c r="Q569" s="358"/>
      <c r="R569" s="358"/>
      <c r="S569" s="358"/>
      <c r="T569" s="358"/>
      <c r="U569" s="358"/>
      <c r="V569" s="358"/>
      <c r="W569" s="358"/>
      <c r="X569" s="358"/>
      <c r="Y569" s="358"/>
      <c r="Z569" s="358"/>
    </row>
    <row r="570" spans="1:26" ht="13.5" customHeight="1">
      <c r="A570" s="358"/>
      <c r="B570" s="358"/>
      <c r="C570" s="358"/>
      <c r="D570" s="358"/>
      <c r="E570" s="358"/>
      <c r="F570" s="358"/>
      <c r="G570" s="358"/>
      <c r="H570" s="358"/>
      <c r="I570" s="358"/>
      <c r="J570" s="358"/>
      <c r="K570" s="358"/>
      <c r="L570" s="358"/>
      <c r="M570" s="358"/>
      <c r="N570" s="358"/>
      <c r="O570" s="358"/>
      <c r="P570" s="358"/>
      <c r="Q570" s="358"/>
      <c r="R570" s="358"/>
      <c r="S570" s="358"/>
      <c r="T570" s="358"/>
      <c r="U570" s="358"/>
      <c r="V570" s="358"/>
      <c r="W570" s="358"/>
      <c r="X570" s="358"/>
      <c r="Y570" s="358"/>
      <c r="Z570" s="358"/>
    </row>
    <row r="571" spans="1:26" ht="13.5" customHeight="1">
      <c r="A571" s="358"/>
      <c r="B571" s="358"/>
      <c r="C571" s="358"/>
      <c r="D571" s="358"/>
      <c r="E571" s="358"/>
      <c r="F571" s="358"/>
      <c r="G571" s="358"/>
      <c r="H571" s="358"/>
      <c r="I571" s="358"/>
      <c r="J571" s="358"/>
      <c r="K571" s="358"/>
      <c r="L571" s="358"/>
      <c r="M571" s="358"/>
      <c r="N571" s="358"/>
      <c r="O571" s="358"/>
      <c r="P571" s="358"/>
      <c r="Q571" s="358"/>
      <c r="R571" s="358"/>
      <c r="S571" s="358"/>
      <c r="T571" s="358"/>
      <c r="U571" s="358"/>
      <c r="V571" s="358"/>
      <c r="W571" s="358"/>
      <c r="X571" s="358"/>
      <c r="Y571" s="358"/>
      <c r="Z571" s="358"/>
    </row>
    <row r="572" spans="1:26" ht="13.5" customHeight="1">
      <c r="A572" s="358"/>
      <c r="B572" s="358"/>
      <c r="C572" s="358"/>
      <c r="D572" s="358"/>
      <c r="E572" s="358"/>
      <c r="F572" s="358"/>
      <c r="G572" s="358"/>
      <c r="H572" s="358"/>
      <c r="I572" s="358"/>
      <c r="J572" s="358"/>
      <c r="K572" s="358"/>
      <c r="L572" s="358"/>
      <c r="M572" s="358"/>
      <c r="N572" s="358"/>
      <c r="O572" s="358"/>
      <c r="P572" s="358"/>
      <c r="Q572" s="358"/>
      <c r="R572" s="358"/>
      <c r="S572" s="358"/>
      <c r="T572" s="358"/>
      <c r="U572" s="358"/>
      <c r="V572" s="358"/>
      <c r="W572" s="358"/>
      <c r="X572" s="358"/>
      <c r="Y572" s="358"/>
      <c r="Z572" s="358"/>
    </row>
    <row r="573" spans="1:26" ht="13.5" customHeight="1">
      <c r="A573" s="358"/>
      <c r="B573" s="358"/>
      <c r="C573" s="358"/>
      <c r="D573" s="358"/>
      <c r="E573" s="358"/>
      <c r="F573" s="358"/>
      <c r="G573" s="358"/>
      <c r="H573" s="358"/>
      <c r="I573" s="358"/>
      <c r="J573" s="358"/>
      <c r="K573" s="358"/>
      <c r="L573" s="358"/>
      <c r="M573" s="358"/>
      <c r="N573" s="358"/>
      <c r="O573" s="358"/>
      <c r="P573" s="358"/>
      <c r="Q573" s="358"/>
      <c r="R573" s="358"/>
      <c r="S573" s="358"/>
      <c r="T573" s="358"/>
      <c r="U573" s="358"/>
      <c r="V573" s="358"/>
      <c r="W573" s="358"/>
      <c r="X573" s="358"/>
      <c r="Y573" s="358"/>
      <c r="Z573" s="358"/>
    </row>
    <row r="574" spans="1:26" ht="13.5" customHeight="1">
      <c r="A574" s="358"/>
      <c r="B574" s="358"/>
      <c r="C574" s="358"/>
      <c r="D574" s="358"/>
      <c r="E574" s="358"/>
      <c r="F574" s="358"/>
      <c r="G574" s="358"/>
      <c r="H574" s="358"/>
      <c r="I574" s="358"/>
      <c r="J574" s="358"/>
      <c r="K574" s="358"/>
      <c r="L574" s="358"/>
      <c r="M574" s="358"/>
      <c r="N574" s="358"/>
      <c r="O574" s="358"/>
      <c r="P574" s="358"/>
      <c r="Q574" s="358"/>
      <c r="R574" s="358"/>
      <c r="S574" s="358"/>
      <c r="T574" s="358"/>
      <c r="U574" s="358"/>
      <c r="V574" s="358"/>
      <c r="W574" s="358"/>
      <c r="X574" s="358"/>
      <c r="Y574" s="358"/>
      <c r="Z574" s="358"/>
    </row>
    <row r="575" spans="1:26" ht="13.5" customHeight="1">
      <c r="A575" s="358"/>
      <c r="B575" s="358"/>
      <c r="C575" s="358"/>
      <c r="D575" s="358"/>
      <c r="E575" s="358"/>
      <c r="F575" s="358"/>
      <c r="G575" s="358"/>
      <c r="H575" s="358"/>
      <c r="I575" s="358"/>
      <c r="J575" s="358"/>
      <c r="K575" s="358"/>
      <c r="L575" s="358"/>
      <c r="M575" s="358"/>
      <c r="N575" s="358"/>
      <c r="O575" s="358"/>
      <c r="P575" s="358"/>
      <c r="Q575" s="358"/>
      <c r="R575" s="358"/>
      <c r="S575" s="358"/>
      <c r="T575" s="358"/>
      <c r="U575" s="358"/>
      <c r="V575" s="358"/>
      <c r="W575" s="358"/>
      <c r="X575" s="358"/>
      <c r="Y575" s="358"/>
      <c r="Z575" s="358"/>
    </row>
    <row r="576" spans="1:26" ht="13.5" customHeight="1">
      <c r="A576" s="358"/>
      <c r="B576" s="358"/>
      <c r="C576" s="358"/>
      <c r="D576" s="358"/>
      <c r="E576" s="358"/>
      <c r="F576" s="358"/>
      <c r="G576" s="358"/>
      <c r="H576" s="358"/>
      <c r="I576" s="358"/>
      <c r="J576" s="358"/>
      <c r="K576" s="358"/>
      <c r="L576" s="358"/>
      <c r="M576" s="358"/>
      <c r="N576" s="358"/>
      <c r="O576" s="358"/>
      <c r="P576" s="358"/>
      <c r="Q576" s="358"/>
      <c r="R576" s="358"/>
      <c r="S576" s="358"/>
      <c r="T576" s="358"/>
      <c r="U576" s="358"/>
      <c r="V576" s="358"/>
      <c r="W576" s="358"/>
      <c r="X576" s="358"/>
      <c r="Y576" s="358"/>
      <c r="Z576" s="358"/>
    </row>
    <row r="577" spans="1:26" ht="13.5" customHeight="1">
      <c r="A577" s="358"/>
      <c r="B577" s="358"/>
      <c r="C577" s="358"/>
      <c r="D577" s="358"/>
      <c r="E577" s="358"/>
      <c r="F577" s="358"/>
      <c r="G577" s="358"/>
      <c r="H577" s="358"/>
      <c r="I577" s="358"/>
      <c r="J577" s="358"/>
      <c r="K577" s="358"/>
      <c r="L577" s="358"/>
      <c r="M577" s="358"/>
      <c r="N577" s="358"/>
      <c r="O577" s="358"/>
      <c r="P577" s="358"/>
      <c r="Q577" s="358"/>
      <c r="R577" s="358"/>
      <c r="S577" s="358"/>
      <c r="T577" s="358"/>
      <c r="U577" s="358"/>
      <c r="V577" s="358"/>
      <c r="W577" s="358"/>
      <c r="X577" s="358"/>
      <c r="Y577" s="358"/>
      <c r="Z577" s="358"/>
    </row>
    <row r="578" spans="1:26" ht="13.5" customHeight="1">
      <c r="A578" s="358"/>
      <c r="B578" s="358"/>
      <c r="C578" s="358"/>
      <c r="D578" s="358"/>
      <c r="E578" s="358"/>
      <c r="F578" s="358"/>
      <c r="G578" s="358"/>
      <c r="H578" s="358"/>
      <c r="I578" s="358"/>
      <c r="J578" s="358"/>
      <c r="K578" s="358"/>
      <c r="L578" s="358"/>
      <c r="M578" s="358"/>
      <c r="N578" s="358"/>
      <c r="O578" s="358"/>
      <c r="P578" s="358"/>
      <c r="Q578" s="358"/>
      <c r="R578" s="358"/>
      <c r="S578" s="358"/>
      <c r="T578" s="358"/>
      <c r="U578" s="358"/>
      <c r="V578" s="358"/>
      <c r="W578" s="358"/>
      <c r="X578" s="358"/>
      <c r="Y578" s="358"/>
      <c r="Z578" s="358"/>
    </row>
    <row r="579" spans="1:26" ht="13.5" customHeight="1">
      <c r="A579" s="358"/>
      <c r="B579" s="358"/>
      <c r="C579" s="358"/>
      <c r="D579" s="358"/>
      <c r="E579" s="358"/>
      <c r="F579" s="358"/>
      <c r="G579" s="358"/>
      <c r="H579" s="358"/>
      <c r="I579" s="358"/>
      <c r="J579" s="358"/>
      <c r="K579" s="358"/>
      <c r="L579" s="358"/>
      <c r="M579" s="358"/>
      <c r="N579" s="358"/>
      <c r="O579" s="358"/>
      <c r="P579" s="358"/>
      <c r="Q579" s="358"/>
      <c r="R579" s="358"/>
      <c r="S579" s="358"/>
      <c r="T579" s="358"/>
      <c r="U579" s="358"/>
      <c r="V579" s="358"/>
      <c r="W579" s="358"/>
      <c r="X579" s="358"/>
      <c r="Y579" s="358"/>
      <c r="Z579" s="358"/>
    </row>
    <row r="580" spans="1:26" ht="13.5" customHeight="1">
      <c r="A580" s="358"/>
      <c r="B580" s="358"/>
      <c r="C580" s="358"/>
      <c r="D580" s="358"/>
      <c r="E580" s="358"/>
      <c r="F580" s="358"/>
      <c r="G580" s="358"/>
      <c r="H580" s="358"/>
      <c r="I580" s="358"/>
      <c r="J580" s="358"/>
      <c r="K580" s="358"/>
      <c r="L580" s="358"/>
      <c r="M580" s="358"/>
      <c r="N580" s="358"/>
      <c r="O580" s="358"/>
      <c r="P580" s="358"/>
      <c r="Q580" s="358"/>
      <c r="R580" s="358"/>
      <c r="S580" s="358"/>
      <c r="T580" s="358"/>
      <c r="U580" s="358"/>
      <c r="V580" s="358"/>
      <c r="W580" s="358"/>
      <c r="X580" s="358"/>
      <c r="Y580" s="358"/>
      <c r="Z580" s="358"/>
    </row>
    <row r="581" spans="1:26" ht="13.5" customHeight="1">
      <c r="A581" s="358"/>
      <c r="B581" s="358"/>
      <c r="C581" s="358"/>
      <c r="D581" s="358"/>
      <c r="E581" s="358"/>
      <c r="F581" s="358"/>
      <c r="G581" s="358"/>
      <c r="H581" s="358"/>
      <c r="I581" s="358"/>
      <c r="J581" s="358"/>
      <c r="K581" s="358"/>
      <c r="L581" s="358"/>
      <c r="M581" s="358"/>
      <c r="N581" s="358"/>
      <c r="O581" s="358"/>
      <c r="P581" s="358"/>
      <c r="Q581" s="358"/>
      <c r="R581" s="358"/>
      <c r="S581" s="358"/>
      <c r="T581" s="358"/>
      <c r="U581" s="358"/>
      <c r="V581" s="358"/>
      <c r="W581" s="358"/>
      <c r="X581" s="358"/>
      <c r="Y581" s="358"/>
      <c r="Z581" s="358"/>
    </row>
    <row r="582" spans="1:26" ht="13.5" customHeight="1">
      <c r="A582" s="358"/>
      <c r="B582" s="358"/>
      <c r="C582" s="358"/>
      <c r="D582" s="358"/>
      <c r="E582" s="358"/>
      <c r="F582" s="358"/>
      <c r="G582" s="358"/>
      <c r="H582" s="358"/>
      <c r="I582" s="358"/>
      <c r="J582" s="358"/>
      <c r="K582" s="358"/>
      <c r="L582" s="358"/>
      <c r="M582" s="358"/>
      <c r="N582" s="358"/>
      <c r="O582" s="358"/>
      <c r="P582" s="358"/>
      <c r="Q582" s="358"/>
      <c r="R582" s="358"/>
      <c r="S582" s="358"/>
      <c r="T582" s="358"/>
      <c r="U582" s="358"/>
      <c r="V582" s="358"/>
      <c r="W582" s="358"/>
      <c r="X582" s="358"/>
      <c r="Y582" s="358"/>
      <c r="Z582" s="358"/>
    </row>
    <row r="583" spans="1:26" ht="13.5" customHeight="1">
      <c r="A583" s="358"/>
      <c r="B583" s="358"/>
      <c r="C583" s="358"/>
      <c r="D583" s="358"/>
      <c r="E583" s="358"/>
      <c r="F583" s="358"/>
      <c r="G583" s="358"/>
      <c r="H583" s="358"/>
      <c r="I583" s="358"/>
      <c r="J583" s="358"/>
      <c r="K583" s="358"/>
      <c r="L583" s="358"/>
      <c r="M583" s="358"/>
      <c r="N583" s="358"/>
      <c r="O583" s="358"/>
      <c r="P583" s="358"/>
      <c r="Q583" s="358"/>
      <c r="R583" s="358"/>
      <c r="S583" s="358"/>
      <c r="T583" s="358"/>
      <c r="U583" s="358"/>
      <c r="V583" s="358"/>
      <c r="W583" s="358"/>
      <c r="X583" s="358"/>
      <c r="Y583" s="358"/>
      <c r="Z583" s="358"/>
    </row>
    <row r="584" spans="1:26" ht="13.5" customHeight="1">
      <c r="A584" s="358"/>
      <c r="B584" s="358"/>
      <c r="C584" s="358"/>
      <c r="D584" s="358"/>
      <c r="E584" s="358"/>
      <c r="F584" s="358"/>
      <c r="G584" s="358"/>
      <c r="H584" s="358"/>
      <c r="I584" s="358"/>
      <c r="J584" s="358"/>
      <c r="K584" s="358"/>
      <c r="L584" s="358"/>
      <c r="M584" s="358"/>
      <c r="N584" s="358"/>
      <c r="O584" s="358"/>
      <c r="P584" s="358"/>
      <c r="Q584" s="358"/>
      <c r="R584" s="358"/>
      <c r="S584" s="358"/>
      <c r="T584" s="358"/>
      <c r="U584" s="358"/>
      <c r="V584" s="358"/>
      <c r="W584" s="358"/>
      <c r="X584" s="358"/>
      <c r="Y584" s="358"/>
      <c r="Z584" s="358"/>
    </row>
    <row r="585" spans="1:26" ht="13.5" customHeight="1">
      <c r="A585" s="358"/>
      <c r="B585" s="358"/>
      <c r="C585" s="358"/>
      <c r="D585" s="358"/>
      <c r="E585" s="358"/>
      <c r="F585" s="358"/>
      <c r="G585" s="358"/>
      <c r="H585" s="358"/>
      <c r="I585" s="358"/>
      <c r="J585" s="358"/>
      <c r="K585" s="358"/>
      <c r="L585" s="358"/>
      <c r="M585" s="358"/>
      <c r="N585" s="358"/>
      <c r="O585" s="358"/>
      <c r="P585" s="358"/>
      <c r="Q585" s="358"/>
      <c r="R585" s="358"/>
      <c r="S585" s="358"/>
      <c r="T585" s="358"/>
      <c r="U585" s="358"/>
      <c r="V585" s="358"/>
      <c r="W585" s="358"/>
      <c r="X585" s="358"/>
      <c r="Y585" s="358"/>
      <c r="Z585" s="358"/>
    </row>
    <row r="586" spans="1:26" ht="13.5" customHeight="1">
      <c r="A586" s="358"/>
      <c r="B586" s="358"/>
      <c r="C586" s="358"/>
      <c r="D586" s="358"/>
      <c r="E586" s="358"/>
      <c r="F586" s="358"/>
      <c r="G586" s="358"/>
      <c r="H586" s="358"/>
      <c r="I586" s="358"/>
      <c r="J586" s="358"/>
      <c r="K586" s="358"/>
      <c r="L586" s="358"/>
      <c r="M586" s="358"/>
      <c r="N586" s="358"/>
      <c r="O586" s="358"/>
      <c r="P586" s="358"/>
      <c r="Q586" s="358"/>
      <c r="R586" s="358"/>
      <c r="S586" s="358"/>
      <c r="T586" s="358"/>
      <c r="U586" s="358"/>
      <c r="V586" s="358"/>
      <c r="W586" s="358"/>
      <c r="X586" s="358"/>
      <c r="Y586" s="358"/>
      <c r="Z586" s="358"/>
    </row>
    <row r="587" spans="1:26" ht="13.5" customHeight="1">
      <c r="A587" s="358"/>
      <c r="B587" s="358"/>
      <c r="C587" s="358"/>
      <c r="D587" s="358"/>
      <c r="E587" s="358"/>
      <c r="F587" s="358"/>
      <c r="G587" s="358"/>
      <c r="H587" s="358"/>
      <c r="I587" s="358"/>
      <c r="J587" s="358"/>
      <c r="K587" s="358"/>
      <c r="L587" s="358"/>
      <c r="M587" s="358"/>
      <c r="N587" s="358"/>
      <c r="O587" s="358"/>
      <c r="P587" s="358"/>
      <c r="Q587" s="358"/>
      <c r="R587" s="358"/>
      <c r="S587" s="358"/>
      <c r="T587" s="358"/>
      <c r="U587" s="358"/>
      <c r="V587" s="358"/>
      <c r="W587" s="358"/>
      <c r="X587" s="358"/>
      <c r="Y587" s="358"/>
      <c r="Z587" s="358"/>
    </row>
    <row r="588" spans="1:26" ht="13.5" customHeight="1">
      <c r="A588" s="358"/>
      <c r="B588" s="358"/>
      <c r="C588" s="358"/>
      <c r="D588" s="358"/>
      <c r="E588" s="358"/>
      <c r="F588" s="358"/>
      <c r="G588" s="358"/>
      <c r="H588" s="358"/>
      <c r="I588" s="358"/>
      <c r="J588" s="358"/>
      <c r="K588" s="358"/>
      <c r="L588" s="358"/>
      <c r="M588" s="358"/>
      <c r="N588" s="358"/>
      <c r="O588" s="358"/>
      <c r="P588" s="358"/>
      <c r="Q588" s="358"/>
      <c r="R588" s="358"/>
      <c r="S588" s="358"/>
      <c r="T588" s="358"/>
      <c r="U588" s="358"/>
      <c r="V588" s="358"/>
      <c r="W588" s="358"/>
      <c r="X588" s="358"/>
      <c r="Y588" s="358"/>
      <c r="Z588" s="358"/>
    </row>
    <row r="589" spans="1:26" ht="13.5" customHeight="1">
      <c r="A589" s="358"/>
      <c r="B589" s="358"/>
      <c r="C589" s="358"/>
      <c r="D589" s="358"/>
      <c r="E589" s="358"/>
      <c r="F589" s="358"/>
      <c r="G589" s="358"/>
      <c r="H589" s="358"/>
      <c r="I589" s="358"/>
      <c r="J589" s="358"/>
      <c r="K589" s="358"/>
      <c r="L589" s="358"/>
      <c r="M589" s="358"/>
      <c r="N589" s="358"/>
      <c r="O589" s="358"/>
      <c r="P589" s="358"/>
      <c r="Q589" s="358"/>
      <c r="R589" s="358"/>
      <c r="S589" s="358"/>
      <c r="T589" s="358"/>
      <c r="U589" s="358"/>
      <c r="V589" s="358"/>
      <c r="W589" s="358"/>
      <c r="X589" s="358"/>
      <c r="Y589" s="358"/>
      <c r="Z589" s="358"/>
    </row>
    <row r="590" spans="1:26" ht="13.5" customHeight="1">
      <c r="A590" s="358"/>
      <c r="B590" s="358"/>
      <c r="C590" s="358"/>
      <c r="D590" s="358"/>
      <c r="E590" s="358"/>
      <c r="F590" s="358"/>
      <c r="G590" s="358"/>
      <c r="H590" s="358"/>
      <c r="I590" s="358"/>
      <c r="J590" s="358"/>
      <c r="K590" s="358"/>
      <c r="L590" s="358"/>
      <c r="M590" s="358"/>
      <c r="N590" s="358"/>
      <c r="O590" s="358"/>
      <c r="P590" s="358"/>
      <c r="Q590" s="358"/>
      <c r="R590" s="358"/>
      <c r="S590" s="358"/>
      <c r="T590" s="358"/>
      <c r="U590" s="358"/>
      <c r="V590" s="358"/>
      <c r="W590" s="358"/>
      <c r="X590" s="358"/>
      <c r="Y590" s="358"/>
      <c r="Z590" s="358"/>
    </row>
    <row r="591" spans="1:26" ht="13.5" customHeight="1">
      <c r="A591" s="358"/>
      <c r="B591" s="358"/>
      <c r="C591" s="358"/>
      <c r="D591" s="358"/>
      <c r="E591" s="358"/>
      <c r="F591" s="358"/>
      <c r="G591" s="358"/>
      <c r="H591" s="358"/>
      <c r="I591" s="358"/>
      <c r="J591" s="358"/>
      <c r="K591" s="358"/>
      <c r="L591" s="358"/>
      <c r="M591" s="358"/>
      <c r="N591" s="358"/>
      <c r="O591" s="358"/>
      <c r="P591" s="358"/>
      <c r="Q591" s="358"/>
      <c r="R591" s="358"/>
      <c r="S591" s="358"/>
      <c r="T591" s="358"/>
      <c r="U591" s="358"/>
      <c r="V591" s="358"/>
      <c r="W591" s="358"/>
      <c r="X591" s="358"/>
      <c r="Y591" s="358"/>
      <c r="Z591" s="358"/>
    </row>
    <row r="592" spans="1:26" ht="13.5" customHeight="1">
      <c r="A592" s="358"/>
      <c r="B592" s="358"/>
      <c r="C592" s="358"/>
      <c r="D592" s="358"/>
      <c r="E592" s="358"/>
      <c r="F592" s="358"/>
      <c r="G592" s="358"/>
      <c r="H592" s="358"/>
      <c r="I592" s="358"/>
      <c r="J592" s="358"/>
      <c r="K592" s="358"/>
      <c r="L592" s="358"/>
      <c r="M592" s="358"/>
      <c r="N592" s="358"/>
      <c r="O592" s="358"/>
      <c r="P592" s="358"/>
      <c r="Q592" s="358"/>
      <c r="R592" s="358"/>
      <c r="S592" s="358"/>
      <c r="T592" s="358"/>
      <c r="U592" s="358"/>
      <c r="V592" s="358"/>
      <c r="W592" s="358"/>
      <c r="X592" s="358"/>
      <c r="Y592" s="358"/>
      <c r="Z592" s="358"/>
    </row>
    <row r="593" spans="1:26" ht="13.5" customHeight="1">
      <c r="A593" s="358"/>
      <c r="B593" s="358"/>
      <c r="C593" s="358"/>
      <c r="D593" s="358"/>
      <c r="E593" s="358"/>
      <c r="F593" s="358"/>
      <c r="G593" s="358"/>
      <c r="H593" s="358"/>
      <c r="I593" s="358"/>
      <c r="J593" s="358"/>
      <c r="K593" s="358"/>
      <c r="L593" s="358"/>
      <c r="M593" s="358"/>
      <c r="N593" s="358"/>
      <c r="O593" s="358"/>
      <c r="P593" s="358"/>
      <c r="Q593" s="358"/>
      <c r="R593" s="358"/>
      <c r="S593" s="358"/>
      <c r="T593" s="358"/>
      <c r="U593" s="358"/>
      <c r="V593" s="358"/>
      <c r="W593" s="358"/>
      <c r="X593" s="358"/>
      <c r="Y593" s="358"/>
      <c r="Z593" s="358"/>
    </row>
    <row r="594" spans="1:26" ht="13.5" customHeight="1">
      <c r="A594" s="358"/>
      <c r="B594" s="358"/>
      <c r="C594" s="358"/>
      <c r="D594" s="358"/>
      <c r="E594" s="358"/>
      <c r="F594" s="358"/>
      <c r="G594" s="358"/>
      <c r="H594" s="358"/>
      <c r="I594" s="358"/>
      <c r="J594" s="358"/>
      <c r="K594" s="358"/>
      <c r="L594" s="358"/>
      <c r="M594" s="358"/>
      <c r="N594" s="358"/>
      <c r="O594" s="358"/>
      <c r="P594" s="358"/>
      <c r="Q594" s="358"/>
      <c r="R594" s="358"/>
      <c r="S594" s="358"/>
      <c r="T594" s="358"/>
      <c r="U594" s="358"/>
      <c r="V594" s="358"/>
      <c r="W594" s="358"/>
      <c r="X594" s="358"/>
      <c r="Y594" s="358"/>
      <c r="Z594" s="358"/>
    </row>
    <row r="595" spans="1:26" ht="13.5" customHeight="1">
      <c r="A595" s="358"/>
      <c r="B595" s="358"/>
      <c r="C595" s="358"/>
      <c r="D595" s="358"/>
      <c r="E595" s="358"/>
      <c r="F595" s="358"/>
      <c r="G595" s="358"/>
      <c r="H595" s="358"/>
      <c r="I595" s="358"/>
      <c r="J595" s="358"/>
      <c r="K595" s="358"/>
      <c r="L595" s="358"/>
      <c r="M595" s="358"/>
      <c r="N595" s="358"/>
      <c r="O595" s="358"/>
      <c r="P595" s="358"/>
      <c r="Q595" s="358"/>
      <c r="R595" s="358"/>
      <c r="S595" s="358"/>
      <c r="T595" s="358"/>
      <c r="U595" s="358"/>
      <c r="V595" s="358"/>
      <c r="W595" s="358"/>
      <c r="X595" s="358"/>
      <c r="Y595" s="358"/>
      <c r="Z595" s="358"/>
    </row>
    <row r="596" spans="1:26" ht="13.5" customHeight="1">
      <c r="A596" s="358"/>
      <c r="B596" s="358"/>
      <c r="C596" s="358"/>
      <c r="D596" s="358"/>
      <c r="E596" s="358"/>
      <c r="F596" s="358"/>
      <c r="G596" s="358"/>
      <c r="H596" s="358"/>
      <c r="I596" s="358"/>
      <c r="J596" s="358"/>
      <c r="K596" s="358"/>
      <c r="L596" s="358"/>
      <c r="M596" s="358"/>
      <c r="N596" s="358"/>
      <c r="O596" s="358"/>
      <c r="P596" s="358"/>
      <c r="Q596" s="358"/>
      <c r="R596" s="358"/>
      <c r="S596" s="358"/>
      <c r="T596" s="358"/>
      <c r="U596" s="358"/>
      <c r="V596" s="358"/>
      <c r="W596" s="358"/>
      <c r="X596" s="358"/>
      <c r="Y596" s="358"/>
      <c r="Z596" s="358"/>
    </row>
    <row r="597" spans="1:26" ht="13.5" customHeight="1">
      <c r="A597" s="358"/>
      <c r="B597" s="358"/>
      <c r="C597" s="358"/>
      <c r="D597" s="358"/>
      <c r="E597" s="358"/>
      <c r="F597" s="358"/>
      <c r="G597" s="358"/>
      <c r="H597" s="358"/>
      <c r="I597" s="358"/>
      <c r="J597" s="358"/>
      <c r="K597" s="358"/>
      <c r="L597" s="358"/>
      <c r="M597" s="358"/>
      <c r="N597" s="358"/>
      <c r="O597" s="358"/>
      <c r="P597" s="358"/>
      <c r="Q597" s="358"/>
      <c r="R597" s="358"/>
      <c r="S597" s="358"/>
      <c r="T597" s="358"/>
      <c r="U597" s="358"/>
      <c r="V597" s="358"/>
      <c r="W597" s="358"/>
      <c r="X597" s="358"/>
      <c r="Y597" s="358"/>
      <c r="Z597" s="358"/>
    </row>
    <row r="598" spans="1:26" ht="13.5" customHeight="1">
      <c r="A598" s="358"/>
      <c r="B598" s="358"/>
      <c r="C598" s="358"/>
      <c r="D598" s="358"/>
      <c r="E598" s="358"/>
      <c r="F598" s="358"/>
      <c r="G598" s="358"/>
      <c r="H598" s="358"/>
      <c r="I598" s="358"/>
      <c r="J598" s="358"/>
      <c r="K598" s="358"/>
      <c r="L598" s="358"/>
      <c r="M598" s="358"/>
      <c r="N598" s="358"/>
      <c r="O598" s="358"/>
      <c r="P598" s="358"/>
      <c r="Q598" s="358"/>
      <c r="R598" s="358"/>
      <c r="S598" s="358"/>
      <c r="T598" s="358"/>
      <c r="U598" s="358"/>
      <c r="V598" s="358"/>
      <c r="W598" s="358"/>
      <c r="X598" s="358"/>
      <c r="Y598" s="358"/>
      <c r="Z598" s="358"/>
    </row>
    <row r="599" spans="1:26" ht="13.5" customHeight="1">
      <c r="A599" s="358"/>
      <c r="B599" s="358"/>
      <c r="C599" s="358"/>
      <c r="D599" s="358"/>
      <c r="E599" s="358"/>
      <c r="F599" s="358"/>
      <c r="G599" s="358"/>
      <c r="H599" s="358"/>
      <c r="I599" s="358"/>
      <c r="J599" s="358"/>
      <c r="K599" s="358"/>
      <c r="L599" s="358"/>
      <c r="M599" s="358"/>
      <c r="N599" s="358"/>
      <c r="O599" s="358"/>
      <c r="P599" s="358"/>
      <c r="Q599" s="358"/>
      <c r="R599" s="358"/>
      <c r="S599" s="358"/>
      <c r="T599" s="358"/>
      <c r="U599" s="358"/>
      <c r="V599" s="358"/>
      <c r="W599" s="358"/>
      <c r="X599" s="358"/>
      <c r="Y599" s="358"/>
      <c r="Z599" s="358"/>
    </row>
    <row r="600" spans="1:26" ht="13.5" customHeight="1">
      <c r="A600" s="358"/>
      <c r="B600" s="358"/>
      <c r="C600" s="358"/>
      <c r="D600" s="358"/>
      <c r="E600" s="358"/>
      <c r="F600" s="358"/>
      <c r="G600" s="358"/>
      <c r="H600" s="358"/>
      <c r="I600" s="358"/>
      <c r="J600" s="358"/>
      <c r="K600" s="358"/>
      <c r="L600" s="358"/>
      <c r="M600" s="358"/>
      <c r="N600" s="358"/>
      <c r="O600" s="358"/>
      <c r="P600" s="358"/>
      <c r="Q600" s="358"/>
      <c r="R600" s="358"/>
      <c r="S600" s="358"/>
      <c r="T600" s="358"/>
      <c r="U600" s="358"/>
      <c r="V600" s="358"/>
      <c r="W600" s="358"/>
      <c r="X600" s="358"/>
      <c r="Y600" s="358"/>
      <c r="Z600" s="358"/>
    </row>
    <row r="601" spans="1:26" ht="13.5" customHeight="1">
      <c r="A601" s="358"/>
      <c r="B601" s="358"/>
      <c r="C601" s="358"/>
      <c r="D601" s="358"/>
      <c r="E601" s="358"/>
      <c r="F601" s="358"/>
      <c r="G601" s="358"/>
      <c r="H601" s="358"/>
      <c r="I601" s="358"/>
      <c r="J601" s="358"/>
      <c r="K601" s="358"/>
      <c r="L601" s="358"/>
      <c r="M601" s="358"/>
      <c r="N601" s="358"/>
      <c r="O601" s="358"/>
      <c r="P601" s="358"/>
      <c r="Q601" s="358"/>
      <c r="R601" s="358"/>
      <c r="S601" s="358"/>
      <c r="T601" s="358"/>
      <c r="U601" s="358"/>
      <c r="V601" s="358"/>
      <c r="W601" s="358"/>
      <c r="X601" s="358"/>
      <c r="Y601" s="358"/>
      <c r="Z601" s="358"/>
    </row>
    <row r="602" spans="1:26" ht="13.5" customHeight="1">
      <c r="A602" s="358"/>
      <c r="B602" s="358"/>
      <c r="C602" s="358"/>
      <c r="D602" s="358"/>
      <c r="E602" s="358"/>
      <c r="F602" s="358"/>
      <c r="G602" s="358"/>
      <c r="H602" s="358"/>
      <c r="I602" s="358"/>
      <c r="J602" s="358"/>
      <c r="K602" s="358"/>
      <c r="L602" s="358"/>
      <c r="M602" s="358"/>
      <c r="N602" s="358"/>
      <c r="O602" s="358"/>
      <c r="P602" s="358"/>
      <c r="Q602" s="358"/>
      <c r="R602" s="358"/>
      <c r="S602" s="358"/>
      <c r="T602" s="358"/>
      <c r="U602" s="358"/>
      <c r="V602" s="358"/>
      <c r="W602" s="358"/>
      <c r="X602" s="358"/>
      <c r="Y602" s="358"/>
      <c r="Z602" s="358"/>
    </row>
    <row r="603" spans="1:26" ht="13.5" customHeight="1">
      <c r="A603" s="358"/>
      <c r="B603" s="358"/>
      <c r="C603" s="358"/>
      <c r="D603" s="358"/>
      <c r="E603" s="358"/>
      <c r="F603" s="358"/>
      <c r="G603" s="358"/>
      <c r="H603" s="358"/>
      <c r="I603" s="358"/>
      <c r="J603" s="358"/>
      <c r="K603" s="358"/>
      <c r="L603" s="358"/>
      <c r="M603" s="358"/>
      <c r="N603" s="358"/>
      <c r="O603" s="358"/>
      <c r="P603" s="358"/>
      <c r="Q603" s="358"/>
      <c r="R603" s="358"/>
      <c r="S603" s="358"/>
      <c r="T603" s="358"/>
      <c r="U603" s="358"/>
      <c r="V603" s="358"/>
      <c r="W603" s="358"/>
      <c r="X603" s="358"/>
      <c r="Y603" s="358"/>
      <c r="Z603" s="358"/>
    </row>
    <row r="604" spans="1:26" ht="13.5" customHeight="1">
      <c r="A604" s="358"/>
      <c r="B604" s="358"/>
      <c r="C604" s="358"/>
      <c r="D604" s="358"/>
      <c r="E604" s="358"/>
      <c r="F604" s="358"/>
      <c r="G604" s="358"/>
      <c r="H604" s="358"/>
      <c r="I604" s="358"/>
      <c r="J604" s="358"/>
      <c r="K604" s="358"/>
      <c r="L604" s="358"/>
      <c r="M604" s="358"/>
      <c r="N604" s="358"/>
      <c r="O604" s="358"/>
      <c r="P604" s="358"/>
      <c r="Q604" s="358"/>
      <c r="R604" s="358"/>
      <c r="S604" s="358"/>
      <c r="T604" s="358"/>
      <c r="U604" s="358"/>
      <c r="V604" s="358"/>
      <c r="W604" s="358"/>
      <c r="X604" s="358"/>
      <c r="Y604" s="358"/>
      <c r="Z604" s="358"/>
    </row>
    <row r="605" spans="1:26" ht="13.5" customHeight="1">
      <c r="A605" s="358"/>
      <c r="B605" s="358"/>
      <c r="C605" s="358"/>
      <c r="D605" s="358"/>
      <c r="E605" s="358"/>
      <c r="F605" s="358"/>
      <c r="G605" s="358"/>
      <c r="H605" s="358"/>
      <c r="I605" s="358"/>
      <c r="J605" s="358"/>
      <c r="K605" s="358"/>
      <c r="L605" s="358"/>
      <c r="M605" s="358"/>
      <c r="N605" s="358"/>
      <c r="O605" s="358"/>
      <c r="P605" s="358"/>
      <c r="Q605" s="358"/>
      <c r="R605" s="358"/>
      <c r="S605" s="358"/>
      <c r="T605" s="358"/>
      <c r="U605" s="358"/>
      <c r="V605" s="358"/>
      <c r="W605" s="358"/>
      <c r="X605" s="358"/>
      <c r="Y605" s="358"/>
      <c r="Z605" s="358"/>
    </row>
    <row r="606" spans="1:26" ht="13.5" customHeight="1">
      <c r="A606" s="358"/>
      <c r="B606" s="358"/>
      <c r="C606" s="358"/>
      <c r="D606" s="358"/>
      <c r="E606" s="358"/>
      <c r="F606" s="358"/>
      <c r="G606" s="358"/>
      <c r="H606" s="358"/>
      <c r="I606" s="358"/>
      <c r="J606" s="358"/>
      <c r="K606" s="358"/>
      <c r="L606" s="358"/>
      <c r="M606" s="358"/>
      <c r="N606" s="358"/>
      <c r="O606" s="358"/>
      <c r="P606" s="358"/>
      <c r="Q606" s="358"/>
      <c r="R606" s="358"/>
      <c r="S606" s="358"/>
      <c r="T606" s="358"/>
      <c r="U606" s="358"/>
      <c r="V606" s="358"/>
      <c r="W606" s="358"/>
      <c r="X606" s="358"/>
      <c r="Y606" s="358"/>
      <c r="Z606" s="358"/>
    </row>
    <row r="607" spans="1:26" ht="13.5" customHeight="1">
      <c r="A607" s="358"/>
      <c r="B607" s="358"/>
      <c r="C607" s="358"/>
      <c r="D607" s="358"/>
      <c r="E607" s="358"/>
      <c r="F607" s="358"/>
      <c r="G607" s="358"/>
      <c r="H607" s="358"/>
      <c r="I607" s="358"/>
      <c r="J607" s="358"/>
      <c r="K607" s="358"/>
      <c r="L607" s="358"/>
      <c r="M607" s="358"/>
      <c r="N607" s="358"/>
      <c r="O607" s="358"/>
      <c r="P607" s="358"/>
      <c r="Q607" s="358"/>
      <c r="R607" s="358"/>
      <c r="S607" s="358"/>
      <c r="T607" s="358"/>
      <c r="U607" s="358"/>
      <c r="V607" s="358"/>
      <c r="W607" s="358"/>
      <c r="X607" s="358"/>
      <c r="Y607" s="358"/>
      <c r="Z607" s="358"/>
    </row>
    <row r="608" spans="1:26" ht="13.5" customHeight="1">
      <c r="A608" s="358"/>
      <c r="B608" s="358"/>
      <c r="C608" s="358"/>
      <c r="D608" s="358"/>
      <c r="E608" s="358"/>
      <c r="F608" s="358"/>
      <c r="G608" s="358"/>
      <c r="H608" s="358"/>
      <c r="I608" s="358"/>
      <c r="J608" s="358"/>
      <c r="K608" s="358"/>
      <c r="L608" s="358"/>
      <c r="M608" s="358"/>
      <c r="N608" s="358"/>
      <c r="O608" s="358"/>
      <c r="P608" s="358"/>
      <c r="Q608" s="358"/>
      <c r="R608" s="358"/>
      <c r="S608" s="358"/>
      <c r="T608" s="358"/>
      <c r="U608" s="358"/>
      <c r="V608" s="358"/>
      <c r="W608" s="358"/>
      <c r="X608" s="358"/>
      <c r="Y608" s="358"/>
      <c r="Z608" s="358"/>
    </row>
    <row r="609" spans="1:26" ht="13.5" customHeight="1">
      <c r="A609" s="358"/>
      <c r="B609" s="358"/>
      <c r="C609" s="358"/>
      <c r="D609" s="358"/>
      <c r="E609" s="358"/>
      <c r="F609" s="358"/>
      <c r="G609" s="358"/>
      <c r="H609" s="358"/>
      <c r="I609" s="358"/>
      <c r="J609" s="358"/>
      <c r="K609" s="358"/>
      <c r="L609" s="358"/>
      <c r="M609" s="358"/>
      <c r="N609" s="358"/>
      <c r="O609" s="358"/>
      <c r="P609" s="358"/>
      <c r="Q609" s="358"/>
      <c r="R609" s="358"/>
      <c r="S609" s="358"/>
      <c r="T609" s="358"/>
      <c r="U609" s="358"/>
      <c r="V609" s="358"/>
      <c r="W609" s="358"/>
      <c r="X609" s="358"/>
      <c r="Y609" s="358"/>
      <c r="Z609" s="358"/>
    </row>
    <row r="610" spans="1:26" ht="13.5" customHeight="1">
      <c r="A610" s="358"/>
      <c r="B610" s="358"/>
      <c r="C610" s="358"/>
      <c r="D610" s="358"/>
      <c r="E610" s="358"/>
      <c r="F610" s="358"/>
      <c r="G610" s="358"/>
      <c r="H610" s="358"/>
      <c r="I610" s="358"/>
      <c r="J610" s="358"/>
      <c r="K610" s="358"/>
      <c r="L610" s="358"/>
      <c r="M610" s="358"/>
      <c r="N610" s="358"/>
      <c r="O610" s="358"/>
      <c r="P610" s="358"/>
      <c r="Q610" s="358"/>
      <c r="R610" s="358"/>
      <c r="S610" s="358"/>
      <c r="T610" s="358"/>
      <c r="U610" s="358"/>
      <c r="V610" s="358"/>
      <c r="W610" s="358"/>
      <c r="X610" s="358"/>
      <c r="Y610" s="358"/>
      <c r="Z610" s="358"/>
    </row>
    <row r="611" spans="1:26" ht="13.5" customHeight="1">
      <c r="A611" s="358"/>
      <c r="B611" s="358"/>
      <c r="C611" s="358"/>
      <c r="D611" s="358"/>
      <c r="E611" s="358"/>
      <c r="F611" s="358"/>
      <c r="G611" s="358"/>
      <c r="H611" s="358"/>
      <c r="I611" s="358"/>
      <c r="J611" s="358"/>
      <c r="K611" s="358"/>
      <c r="L611" s="358"/>
      <c r="M611" s="358"/>
      <c r="N611" s="358"/>
      <c r="O611" s="358"/>
      <c r="P611" s="358"/>
      <c r="Q611" s="358"/>
      <c r="R611" s="358"/>
      <c r="S611" s="358"/>
      <c r="T611" s="358"/>
      <c r="U611" s="358"/>
      <c r="V611" s="358"/>
      <c r="W611" s="358"/>
      <c r="X611" s="358"/>
      <c r="Y611" s="358"/>
      <c r="Z611" s="358"/>
    </row>
    <row r="612" spans="1:26" ht="13.5" customHeight="1">
      <c r="A612" s="358"/>
      <c r="B612" s="358"/>
      <c r="C612" s="358"/>
      <c r="D612" s="358"/>
      <c r="E612" s="358"/>
      <c r="F612" s="358"/>
      <c r="G612" s="358"/>
      <c r="H612" s="358"/>
      <c r="I612" s="358"/>
      <c r="J612" s="358"/>
      <c r="K612" s="358"/>
      <c r="L612" s="358"/>
      <c r="M612" s="358"/>
      <c r="N612" s="358"/>
      <c r="O612" s="358"/>
      <c r="P612" s="358"/>
      <c r="Q612" s="358"/>
      <c r="R612" s="358"/>
      <c r="S612" s="358"/>
      <c r="T612" s="358"/>
      <c r="U612" s="358"/>
      <c r="V612" s="358"/>
      <c r="W612" s="358"/>
      <c r="X612" s="358"/>
      <c r="Y612" s="358"/>
      <c r="Z612" s="358"/>
    </row>
    <row r="613" spans="1:26" ht="13.5" customHeight="1">
      <c r="A613" s="358"/>
      <c r="B613" s="358"/>
      <c r="C613" s="358"/>
      <c r="D613" s="358"/>
      <c r="E613" s="358"/>
      <c r="F613" s="358"/>
      <c r="G613" s="358"/>
      <c r="H613" s="358"/>
      <c r="I613" s="358"/>
      <c r="J613" s="358"/>
      <c r="K613" s="358"/>
      <c r="L613" s="358"/>
      <c r="M613" s="358"/>
      <c r="N613" s="358"/>
      <c r="O613" s="358"/>
      <c r="P613" s="358"/>
      <c r="Q613" s="358"/>
      <c r="R613" s="358"/>
      <c r="S613" s="358"/>
      <c r="T613" s="358"/>
      <c r="U613" s="358"/>
      <c r="V613" s="358"/>
      <c r="W613" s="358"/>
      <c r="X613" s="358"/>
      <c r="Y613" s="358"/>
      <c r="Z613" s="358"/>
    </row>
    <row r="614" spans="1:26" ht="13.5" customHeight="1">
      <c r="A614" s="358"/>
      <c r="B614" s="358"/>
      <c r="C614" s="358"/>
      <c r="D614" s="358"/>
      <c r="E614" s="358"/>
      <c r="F614" s="358"/>
      <c r="G614" s="358"/>
      <c r="H614" s="358"/>
      <c r="I614" s="358"/>
      <c r="J614" s="358"/>
      <c r="K614" s="358"/>
      <c r="L614" s="358"/>
      <c r="M614" s="358"/>
      <c r="N614" s="358"/>
      <c r="O614" s="358"/>
      <c r="P614" s="358"/>
      <c r="Q614" s="358"/>
      <c r="R614" s="358"/>
      <c r="S614" s="358"/>
      <c r="T614" s="358"/>
      <c r="U614" s="358"/>
      <c r="V614" s="358"/>
      <c r="W614" s="358"/>
      <c r="X614" s="358"/>
      <c r="Y614" s="358"/>
      <c r="Z614" s="358"/>
    </row>
    <row r="615" spans="1:26" ht="13.5" customHeight="1">
      <c r="A615" s="358"/>
      <c r="B615" s="358"/>
      <c r="C615" s="358"/>
      <c r="D615" s="358"/>
      <c r="E615" s="358"/>
      <c r="F615" s="358"/>
      <c r="G615" s="358"/>
      <c r="H615" s="358"/>
      <c r="I615" s="358"/>
      <c r="J615" s="358"/>
      <c r="K615" s="358"/>
      <c r="L615" s="358"/>
      <c r="M615" s="358"/>
      <c r="N615" s="358"/>
      <c r="O615" s="358"/>
      <c r="P615" s="358"/>
      <c r="Q615" s="358"/>
      <c r="R615" s="358"/>
      <c r="S615" s="358"/>
      <c r="T615" s="358"/>
      <c r="U615" s="358"/>
      <c r="V615" s="358"/>
      <c r="W615" s="358"/>
      <c r="X615" s="358"/>
      <c r="Y615" s="358"/>
      <c r="Z615" s="358"/>
    </row>
    <row r="616" spans="1:26" ht="13.5" customHeight="1">
      <c r="A616" s="358"/>
      <c r="B616" s="358"/>
      <c r="C616" s="358"/>
      <c r="D616" s="358"/>
      <c r="E616" s="358"/>
      <c r="F616" s="358"/>
      <c r="G616" s="358"/>
      <c r="H616" s="358"/>
      <c r="I616" s="358"/>
      <c r="J616" s="358"/>
      <c r="K616" s="358"/>
      <c r="L616" s="358"/>
      <c r="M616" s="358"/>
      <c r="N616" s="358"/>
      <c r="O616" s="358"/>
      <c r="P616" s="358"/>
      <c r="Q616" s="358"/>
      <c r="R616" s="358"/>
      <c r="S616" s="358"/>
      <c r="T616" s="358"/>
      <c r="U616" s="358"/>
      <c r="V616" s="358"/>
      <c r="W616" s="358"/>
      <c r="X616" s="358"/>
      <c r="Y616" s="358"/>
      <c r="Z616" s="358"/>
    </row>
    <row r="617" spans="1:26" ht="13.5" customHeight="1">
      <c r="A617" s="358"/>
      <c r="B617" s="358"/>
      <c r="C617" s="358"/>
      <c r="D617" s="358"/>
      <c r="E617" s="358"/>
      <c r="F617" s="358"/>
      <c r="G617" s="358"/>
      <c r="H617" s="358"/>
      <c r="I617" s="358"/>
      <c r="J617" s="358"/>
      <c r="K617" s="358"/>
      <c r="L617" s="358"/>
      <c r="M617" s="358"/>
      <c r="N617" s="358"/>
      <c r="O617" s="358"/>
      <c r="P617" s="358"/>
      <c r="Q617" s="358"/>
      <c r="R617" s="358"/>
      <c r="S617" s="358"/>
      <c r="T617" s="358"/>
      <c r="U617" s="358"/>
      <c r="V617" s="358"/>
      <c r="W617" s="358"/>
      <c r="X617" s="358"/>
      <c r="Y617" s="358"/>
      <c r="Z617" s="358"/>
    </row>
    <row r="618" spans="1:26" ht="13.5" customHeight="1">
      <c r="A618" s="358"/>
      <c r="B618" s="358"/>
      <c r="C618" s="358"/>
      <c r="D618" s="358"/>
      <c r="E618" s="358"/>
      <c r="F618" s="358"/>
      <c r="G618" s="358"/>
      <c r="H618" s="358"/>
      <c r="I618" s="358"/>
      <c r="J618" s="358"/>
      <c r="K618" s="358"/>
      <c r="L618" s="358"/>
      <c r="M618" s="358"/>
      <c r="N618" s="358"/>
      <c r="O618" s="358"/>
      <c r="P618" s="358"/>
      <c r="Q618" s="358"/>
      <c r="R618" s="358"/>
      <c r="S618" s="358"/>
      <c r="T618" s="358"/>
      <c r="U618" s="358"/>
      <c r="V618" s="358"/>
      <c r="W618" s="358"/>
      <c r="X618" s="358"/>
      <c r="Y618" s="358"/>
      <c r="Z618" s="358"/>
    </row>
    <row r="619" spans="1:26" ht="13.5" customHeight="1">
      <c r="A619" s="358"/>
      <c r="B619" s="358"/>
      <c r="C619" s="358"/>
      <c r="D619" s="358"/>
      <c r="E619" s="358"/>
      <c r="F619" s="358"/>
      <c r="G619" s="358"/>
      <c r="H619" s="358"/>
      <c r="I619" s="358"/>
      <c r="J619" s="358"/>
      <c r="K619" s="358"/>
      <c r="L619" s="358"/>
      <c r="M619" s="358"/>
      <c r="N619" s="358"/>
      <c r="O619" s="358"/>
      <c r="P619" s="358"/>
      <c r="Q619" s="358"/>
      <c r="R619" s="358"/>
      <c r="S619" s="358"/>
      <c r="T619" s="358"/>
      <c r="U619" s="358"/>
      <c r="V619" s="358"/>
      <c r="W619" s="358"/>
      <c r="X619" s="358"/>
      <c r="Y619" s="358"/>
      <c r="Z619" s="358"/>
    </row>
    <row r="620" spans="1:26" ht="13.5" customHeight="1">
      <c r="A620" s="358"/>
      <c r="B620" s="358"/>
      <c r="C620" s="358"/>
      <c r="D620" s="358"/>
      <c r="E620" s="358"/>
      <c r="F620" s="358"/>
      <c r="G620" s="358"/>
      <c r="H620" s="358"/>
      <c r="I620" s="358"/>
      <c r="J620" s="358"/>
      <c r="K620" s="358"/>
      <c r="L620" s="358"/>
      <c r="M620" s="358"/>
      <c r="N620" s="358"/>
      <c r="O620" s="358"/>
      <c r="P620" s="358"/>
      <c r="Q620" s="358"/>
      <c r="R620" s="358"/>
      <c r="S620" s="358"/>
      <c r="T620" s="358"/>
      <c r="U620" s="358"/>
      <c r="V620" s="358"/>
      <c r="W620" s="358"/>
      <c r="X620" s="358"/>
      <c r="Y620" s="358"/>
      <c r="Z620" s="358"/>
    </row>
    <row r="621" spans="1:26" ht="13.5" customHeight="1">
      <c r="A621" s="358"/>
      <c r="B621" s="358"/>
      <c r="C621" s="358"/>
      <c r="D621" s="358"/>
      <c r="E621" s="358"/>
      <c r="F621" s="358"/>
      <c r="G621" s="358"/>
      <c r="H621" s="358"/>
      <c r="I621" s="358"/>
      <c r="J621" s="358"/>
      <c r="K621" s="358"/>
      <c r="L621" s="358"/>
      <c r="M621" s="358"/>
      <c r="N621" s="358"/>
      <c r="O621" s="358"/>
      <c r="P621" s="358"/>
      <c r="Q621" s="358"/>
      <c r="R621" s="358"/>
      <c r="S621" s="358"/>
      <c r="T621" s="358"/>
      <c r="U621" s="358"/>
      <c r="V621" s="358"/>
      <c r="W621" s="358"/>
      <c r="X621" s="358"/>
      <c r="Y621" s="358"/>
      <c r="Z621" s="358"/>
    </row>
    <row r="622" spans="1:26" ht="13.5" customHeight="1">
      <c r="A622" s="358"/>
      <c r="B622" s="358"/>
      <c r="C622" s="358"/>
      <c r="D622" s="358"/>
      <c r="E622" s="358"/>
      <c r="F622" s="358"/>
      <c r="G622" s="358"/>
      <c r="H622" s="358"/>
      <c r="I622" s="358"/>
      <c r="J622" s="358"/>
      <c r="K622" s="358"/>
      <c r="L622" s="358"/>
      <c r="M622" s="358"/>
      <c r="N622" s="358"/>
      <c r="O622" s="358"/>
      <c r="P622" s="358"/>
      <c r="Q622" s="358"/>
      <c r="R622" s="358"/>
      <c r="S622" s="358"/>
      <c r="T622" s="358"/>
      <c r="U622" s="358"/>
      <c r="V622" s="358"/>
      <c r="W622" s="358"/>
      <c r="X622" s="358"/>
      <c r="Y622" s="358"/>
      <c r="Z622" s="358"/>
    </row>
    <row r="623" spans="1:26" ht="13.5" customHeight="1">
      <c r="A623" s="358"/>
      <c r="B623" s="358"/>
      <c r="C623" s="358"/>
      <c r="D623" s="358"/>
      <c r="E623" s="358"/>
      <c r="F623" s="358"/>
      <c r="G623" s="358"/>
      <c r="H623" s="358"/>
      <c r="I623" s="358"/>
      <c r="J623" s="358"/>
      <c r="K623" s="358"/>
      <c r="L623" s="358"/>
      <c r="M623" s="358"/>
      <c r="N623" s="358"/>
      <c r="O623" s="358"/>
      <c r="P623" s="358"/>
      <c r="Q623" s="358"/>
      <c r="R623" s="358"/>
      <c r="S623" s="358"/>
      <c r="T623" s="358"/>
      <c r="U623" s="358"/>
      <c r="V623" s="358"/>
      <c r="W623" s="358"/>
      <c r="X623" s="358"/>
      <c r="Y623" s="358"/>
      <c r="Z623" s="358"/>
    </row>
    <row r="624" spans="1:26" ht="13.5" customHeight="1">
      <c r="A624" s="358"/>
      <c r="B624" s="358"/>
      <c r="C624" s="358"/>
      <c r="D624" s="358"/>
      <c r="E624" s="358"/>
      <c r="F624" s="358"/>
      <c r="G624" s="358"/>
      <c r="H624" s="358"/>
      <c r="I624" s="358"/>
      <c r="J624" s="358"/>
      <c r="K624" s="358"/>
      <c r="L624" s="358"/>
      <c r="M624" s="358"/>
      <c r="N624" s="358"/>
      <c r="O624" s="358"/>
      <c r="P624" s="358"/>
      <c r="Q624" s="358"/>
      <c r="R624" s="358"/>
      <c r="S624" s="358"/>
      <c r="T624" s="358"/>
      <c r="U624" s="358"/>
      <c r="V624" s="358"/>
      <c r="W624" s="358"/>
      <c r="X624" s="358"/>
      <c r="Y624" s="358"/>
      <c r="Z624" s="358"/>
    </row>
    <row r="625" spans="1:26" ht="13.5" customHeight="1">
      <c r="A625" s="358"/>
      <c r="B625" s="358"/>
      <c r="C625" s="358"/>
      <c r="D625" s="358"/>
      <c r="E625" s="358"/>
      <c r="F625" s="358"/>
      <c r="G625" s="358"/>
      <c r="H625" s="358"/>
      <c r="I625" s="358"/>
      <c r="J625" s="358"/>
      <c r="K625" s="358"/>
      <c r="L625" s="358"/>
      <c r="M625" s="358"/>
      <c r="N625" s="358"/>
      <c r="O625" s="358"/>
      <c r="P625" s="358"/>
      <c r="Q625" s="358"/>
      <c r="R625" s="358"/>
      <c r="S625" s="358"/>
      <c r="T625" s="358"/>
      <c r="U625" s="358"/>
      <c r="V625" s="358"/>
      <c r="W625" s="358"/>
      <c r="X625" s="358"/>
      <c r="Y625" s="358"/>
      <c r="Z625" s="358"/>
    </row>
    <row r="626" spans="1:26" ht="13.5" customHeight="1">
      <c r="A626" s="358"/>
      <c r="B626" s="358"/>
      <c r="C626" s="358"/>
      <c r="D626" s="358"/>
      <c r="E626" s="358"/>
      <c r="F626" s="358"/>
      <c r="G626" s="358"/>
      <c r="H626" s="358"/>
      <c r="I626" s="358"/>
      <c r="J626" s="358"/>
      <c r="K626" s="358"/>
      <c r="L626" s="358"/>
      <c r="M626" s="358"/>
      <c r="N626" s="358"/>
      <c r="O626" s="358"/>
      <c r="P626" s="358"/>
      <c r="Q626" s="358"/>
      <c r="R626" s="358"/>
      <c r="S626" s="358"/>
      <c r="T626" s="358"/>
      <c r="U626" s="358"/>
      <c r="V626" s="358"/>
      <c r="W626" s="358"/>
      <c r="X626" s="358"/>
      <c r="Y626" s="358"/>
      <c r="Z626" s="358"/>
    </row>
    <row r="627" spans="1:26" ht="13.5" customHeight="1">
      <c r="A627" s="358"/>
      <c r="B627" s="358"/>
      <c r="C627" s="358"/>
      <c r="D627" s="358"/>
      <c r="E627" s="358"/>
      <c r="F627" s="358"/>
      <c r="G627" s="358"/>
      <c r="H627" s="358"/>
      <c r="I627" s="358"/>
      <c r="J627" s="358"/>
      <c r="K627" s="358"/>
      <c r="L627" s="358"/>
      <c r="M627" s="358"/>
      <c r="N627" s="358"/>
      <c r="O627" s="358"/>
      <c r="P627" s="358"/>
      <c r="Q627" s="358"/>
      <c r="R627" s="358"/>
      <c r="S627" s="358"/>
      <c r="T627" s="358"/>
      <c r="U627" s="358"/>
      <c r="V627" s="358"/>
      <c r="W627" s="358"/>
      <c r="X627" s="358"/>
      <c r="Y627" s="358"/>
      <c r="Z627" s="358"/>
    </row>
    <row r="628" spans="1:26" ht="13.5" customHeight="1">
      <c r="A628" s="358"/>
      <c r="B628" s="358"/>
      <c r="C628" s="358"/>
      <c r="D628" s="358"/>
      <c r="E628" s="358"/>
      <c r="F628" s="358"/>
      <c r="G628" s="358"/>
      <c r="H628" s="358"/>
      <c r="I628" s="358"/>
      <c r="J628" s="358"/>
      <c r="K628" s="358"/>
      <c r="L628" s="358"/>
      <c r="M628" s="358"/>
      <c r="N628" s="358"/>
      <c r="O628" s="358"/>
      <c r="P628" s="358"/>
      <c r="Q628" s="358"/>
      <c r="R628" s="358"/>
      <c r="S628" s="358"/>
      <c r="T628" s="358"/>
      <c r="U628" s="358"/>
      <c r="V628" s="358"/>
      <c r="W628" s="358"/>
      <c r="X628" s="358"/>
      <c r="Y628" s="358"/>
      <c r="Z628" s="358"/>
    </row>
    <row r="629" spans="1:26" ht="13.5" customHeight="1">
      <c r="A629" s="358"/>
      <c r="B629" s="358"/>
      <c r="C629" s="358"/>
      <c r="D629" s="358"/>
      <c r="E629" s="358"/>
      <c r="F629" s="358"/>
      <c r="G629" s="358"/>
      <c r="H629" s="358"/>
      <c r="I629" s="358"/>
      <c r="J629" s="358"/>
      <c r="K629" s="358"/>
      <c r="L629" s="358"/>
      <c r="M629" s="358"/>
      <c r="N629" s="358"/>
      <c r="O629" s="358"/>
      <c r="P629" s="358"/>
      <c r="Q629" s="358"/>
      <c r="R629" s="358"/>
      <c r="S629" s="358"/>
      <c r="T629" s="358"/>
      <c r="U629" s="358"/>
      <c r="V629" s="358"/>
      <c r="W629" s="358"/>
      <c r="X629" s="358"/>
      <c r="Y629" s="358"/>
      <c r="Z629" s="358"/>
    </row>
    <row r="630" spans="1:26" ht="13.5" customHeight="1">
      <c r="A630" s="358"/>
      <c r="B630" s="358"/>
      <c r="C630" s="358"/>
      <c r="D630" s="358"/>
      <c r="E630" s="358"/>
      <c r="F630" s="358"/>
      <c r="G630" s="358"/>
      <c r="H630" s="358"/>
      <c r="I630" s="358"/>
      <c r="J630" s="358"/>
      <c r="K630" s="358"/>
      <c r="L630" s="358"/>
      <c r="M630" s="358"/>
      <c r="N630" s="358"/>
      <c r="O630" s="358"/>
      <c r="P630" s="358"/>
      <c r="Q630" s="358"/>
      <c r="R630" s="358"/>
      <c r="S630" s="358"/>
      <c r="T630" s="358"/>
      <c r="U630" s="358"/>
      <c r="V630" s="358"/>
      <c r="W630" s="358"/>
      <c r="X630" s="358"/>
      <c r="Y630" s="358"/>
      <c r="Z630" s="358"/>
    </row>
    <row r="631" spans="1:26" ht="13.5" customHeight="1">
      <c r="A631" s="358"/>
      <c r="B631" s="358"/>
      <c r="C631" s="358"/>
      <c r="D631" s="358"/>
      <c r="E631" s="358"/>
      <c r="F631" s="358"/>
      <c r="G631" s="358"/>
      <c r="H631" s="358"/>
      <c r="I631" s="358"/>
      <c r="J631" s="358"/>
      <c r="K631" s="358"/>
      <c r="L631" s="358"/>
      <c r="M631" s="358"/>
      <c r="N631" s="358"/>
      <c r="O631" s="358"/>
      <c r="P631" s="358"/>
      <c r="Q631" s="358"/>
      <c r="R631" s="358"/>
      <c r="S631" s="358"/>
      <c r="T631" s="358"/>
      <c r="U631" s="358"/>
      <c r="V631" s="358"/>
      <c r="W631" s="358"/>
      <c r="X631" s="358"/>
      <c r="Y631" s="358"/>
      <c r="Z631" s="358"/>
    </row>
    <row r="632" spans="1:26" ht="13.5" customHeight="1">
      <c r="A632" s="358"/>
      <c r="B632" s="358"/>
      <c r="C632" s="358"/>
      <c r="D632" s="358"/>
      <c r="E632" s="358"/>
      <c r="F632" s="358"/>
      <c r="G632" s="358"/>
      <c r="H632" s="358"/>
      <c r="I632" s="358"/>
      <c r="J632" s="358"/>
      <c r="K632" s="358"/>
      <c r="L632" s="358"/>
      <c r="M632" s="358"/>
      <c r="N632" s="358"/>
      <c r="O632" s="358"/>
      <c r="P632" s="358"/>
      <c r="Q632" s="358"/>
      <c r="R632" s="358"/>
      <c r="S632" s="358"/>
      <c r="T632" s="358"/>
      <c r="U632" s="358"/>
      <c r="V632" s="358"/>
      <c r="W632" s="358"/>
      <c r="X632" s="358"/>
      <c r="Y632" s="358"/>
      <c r="Z632" s="358"/>
    </row>
    <row r="633" spans="1:26" ht="13.5" customHeight="1">
      <c r="A633" s="358"/>
      <c r="B633" s="358"/>
      <c r="C633" s="358"/>
      <c r="D633" s="358"/>
      <c r="E633" s="358"/>
      <c r="F633" s="358"/>
      <c r="G633" s="358"/>
      <c r="H633" s="358"/>
      <c r="I633" s="358"/>
      <c r="J633" s="358"/>
      <c r="K633" s="358"/>
      <c r="L633" s="358"/>
      <c r="M633" s="358"/>
      <c r="N633" s="358"/>
      <c r="O633" s="358"/>
      <c r="P633" s="358"/>
      <c r="Q633" s="358"/>
      <c r="R633" s="358"/>
      <c r="S633" s="358"/>
      <c r="T633" s="358"/>
      <c r="U633" s="358"/>
      <c r="V633" s="358"/>
      <c r="W633" s="358"/>
      <c r="X633" s="358"/>
      <c r="Y633" s="358"/>
      <c r="Z633" s="358"/>
    </row>
    <row r="634" spans="1:26" ht="13.5" customHeight="1">
      <c r="A634" s="358"/>
      <c r="B634" s="358"/>
      <c r="C634" s="358"/>
      <c r="D634" s="358"/>
      <c r="E634" s="358"/>
      <c r="F634" s="358"/>
      <c r="G634" s="358"/>
      <c r="H634" s="358"/>
      <c r="I634" s="358"/>
      <c r="J634" s="358"/>
      <c r="K634" s="358"/>
      <c r="L634" s="358"/>
      <c r="M634" s="358"/>
      <c r="N634" s="358"/>
      <c r="O634" s="358"/>
      <c r="P634" s="358"/>
      <c r="Q634" s="358"/>
      <c r="R634" s="358"/>
      <c r="S634" s="358"/>
      <c r="T634" s="358"/>
      <c r="U634" s="358"/>
      <c r="V634" s="358"/>
      <c r="W634" s="358"/>
      <c r="X634" s="358"/>
      <c r="Y634" s="358"/>
      <c r="Z634" s="358"/>
    </row>
    <row r="635" spans="1:26" ht="13.5" customHeight="1">
      <c r="A635" s="358"/>
      <c r="B635" s="358"/>
      <c r="C635" s="358"/>
      <c r="D635" s="358"/>
      <c r="E635" s="358"/>
      <c r="F635" s="358"/>
      <c r="G635" s="358"/>
      <c r="H635" s="358"/>
      <c r="I635" s="358"/>
      <c r="J635" s="358"/>
      <c r="K635" s="358"/>
      <c r="L635" s="358"/>
      <c r="M635" s="358"/>
      <c r="N635" s="358"/>
      <c r="O635" s="358"/>
      <c r="P635" s="358"/>
      <c r="Q635" s="358"/>
      <c r="R635" s="358"/>
      <c r="S635" s="358"/>
      <c r="T635" s="358"/>
      <c r="U635" s="358"/>
      <c r="V635" s="358"/>
      <c r="W635" s="358"/>
      <c r="X635" s="358"/>
      <c r="Y635" s="358"/>
      <c r="Z635" s="358"/>
    </row>
    <row r="636" spans="1:26" ht="13.5" customHeight="1">
      <c r="A636" s="358"/>
      <c r="B636" s="358"/>
      <c r="C636" s="358"/>
      <c r="D636" s="358"/>
      <c r="E636" s="358"/>
      <c r="F636" s="358"/>
      <c r="G636" s="358"/>
      <c r="H636" s="358"/>
      <c r="I636" s="358"/>
      <c r="J636" s="358"/>
      <c r="K636" s="358"/>
      <c r="L636" s="358"/>
      <c r="M636" s="358"/>
      <c r="N636" s="358"/>
      <c r="O636" s="358"/>
      <c r="P636" s="358"/>
      <c r="Q636" s="358"/>
      <c r="R636" s="358"/>
      <c r="S636" s="358"/>
      <c r="T636" s="358"/>
      <c r="U636" s="358"/>
      <c r="V636" s="358"/>
      <c r="W636" s="358"/>
      <c r="X636" s="358"/>
      <c r="Y636" s="358"/>
      <c r="Z636" s="358"/>
    </row>
    <row r="637" spans="1:26" ht="13.5" customHeight="1">
      <c r="A637" s="358"/>
      <c r="B637" s="358"/>
      <c r="C637" s="358"/>
      <c r="D637" s="358"/>
      <c r="E637" s="358"/>
      <c r="F637" s="358"/>
      <c r="G637" s="358"/>
      <c r="H637" s="358"/>
      <c r="I637" s="358"/>
      <c r="J637" s="358"/>
      <c r="K637" s="358"/>
      <c r="L637" s="358"/>
      <c r="M637" s="358"/>
      <c r="N637" s="358"/>
      <c r="O637" s="358"/>
      <c r="P637" s="358"/>
      <c r="Q637" s="358"/>
      <c r="R637" s="358"/>
      <c r="S637" s="358"/>
      <c r="T637" s="358"/>
      <c r="U637" s="358"/>
      <c r="V637" s="358"/>
      <c r="W637" s="358"/>
      <c r="X637" s="358"/>
      <c r="Y637" s="358"/>
      <c r="Z637" s="358"/>
    </row>
    <row r="638" spans="1:26" ht="13.5" customHeight="1">
      <c r="A638" s="358"/>
      <c r="B638" s="358"/>
      <c r="C638" s="358"/>
      <c r="D638" s="358"/>
      <c r="E638" s="358"/>
      <c r="F638" s="358"/>
      <c r="G638" s="358"/>
      <c r="H638" s="358"/>
      <c r="I638" s="358"/>
      <c r="J638" s="358"/>
      <c r="K638" s="358"/>
      <c r="L638" s="358"/>
      <c r="M638" s="358"/>
      <c r="N638" s="358"/>
      <c r="O638" s="358"/>
      <c r="P638" s="358"/>
      <c r="Q638" s="358"/>
      <c r="R638" s="358"/>
      <c r="S638" s="358"/>
      <c r="T638" s="358"/>
      <c r="U638" s="358"/>
      <c r="V638" s="358"/>
      <c r="W638" s="358"/>
      <c r="X638" s="358"/>
      <c r="Y638" s="358"/>
      <c r="Z638" s="358"/>
    </row>
    <row r="639" spans="1:26" ht="13.5" customHeight="1">
      <c r="A639" s="358"/>
      <c r="B639" s="358"/>
      <c r="C639" s="358"/>
      <c r="D639" s="358"/>
      <c r="E639" s="358"/>
      <c r="F639" s="358"/>
      <c r="G639" s="358"/>
      <c r="H639" s="358"/>
      <c r="I639" s="358"/>
      <c r="J639" s="358"/>
      <c r="K639" s="358"/>
      <c r="L639" s="358"/>
      <c r="M639" s="358"/>
      <c r="N639" s="358"/>
      <c r="O639" s="358"/>
      <c r="P639" s="358"/>
      <c r="Q639" s="358"/>
      <c r="R639" s="358"/>
      <c r="S639" s="358"/>
      <c r="T639" s="358"/>
      <c r="U639" s="358"/>
      <c r="V639" s="358"/>
      <c r="W639" s="358"/>
      <c r="X639" s="358"/>
      <c r="Y639" s="358"/>
      <c r="Z639" s="358"/>
    </row>
    <row r="640" spans="1:26" ht="13.5" customHeight="1">
      <c r="A640" s="358"/>
      <c r="B640" s="358"/>
      <c r="C640" s="358"/>
      <c r="D640" s="358"/>
      <c r="E640" s="358"/>
      <c r="F640" s="358"/>
      <c r="G640" s="358"/>
      <c r="H640" s="358"/>
      <c r="I640" s="358"/>
      <c r="J640" s="358"/>
      <c r="K640" s="358"/>
      <c r="L640" s="358"/>
      <c r="M640" s="358"/>
      <c r="N640" s="358"/>
      <c r="O640" s="358"/>
      <c r="P640" s="358"/>
      <c r="Q640" s="358"/>
      <c r="R640" s="358"/>
      <c r="S640" s="358"/>
      <c r="T640" s="358"/>
      <c r="U640" s="358"/>
      <c r="V640" s="358"/>
      <c r="W640" s="358"/>
      <c r="X640" s="358"/>
      <c r="Y640" s="358"/>
      <c r="Z640" s="358"/>
    </row>
    <row r="641" spans="1:26" ht="13.5" customHeight="1">
      <c r="A641" s="358"/>
      <c r="B641" s="358"/>
      <c r="C641" s="358"/>
      <c r="D641" s="358"/>
      <c r="E641" s="358"/>
      <c r="F641" s="358"/>
      <c r="G641" s="358"/>
      <c r="H641" s="358"/>
      <c r="I641" s="358"/>
      <c r="J641" s="358"/>
      <c r="K641" s="358"/>
      <c r="L641" s="358"/>
      <c r="M641" s="358"/>
      <c r="N641" s="358"/>
      <c r="O641" s="358"/>
      <c r="P641" s="358"/>
      <c r="Q641" s="358"/>
      <c r="R641" s="358"/>
      <c r="S641" s="358"/>
      <c r="T641" s="358"/>
      <c r="U641" s="358"/>
      <c r="V641" s="358"/>
      <c r="W641" s="358"/>
      <c r="X641" s="358"/>
      <c r="Y641" s="358"/>
      <c r="Z641" s="358"/>
    </row>
    <row r="642" spans="1:26" ht="13.5" customHeight="1">
      <c r="A642" s="358"/>
      <c r="B642" s="358"/>
      <c r="C642" s="358"/>
      <c r="D642" s="358"/>
      <c r="E642" s="358"/>
      <c r="F642" s="358"/>
      <c r="G642" s="358"/>
      <c r="H642" s="358"/>
      <c r="I642" s="358"/>
      <c r="J642" s="358"/>
      <c r="K642" s="358"/>
      <c r="L642" s="358"/>
      <c r="M642" s="358"/>
      <c r="N642" s="358"/>
      <c r="O642" s="358"/>
      <c r="P642" s="358"/>
      <c r="Q642" s="358"/>
      <c r="R642" s="358"/>
      <c r="S642" s="358"/>
      <c r="T642" s="358"/>
      <c r="U642" s="358"/>
      <c r="V642" s="358"/>
      <c r="W642" s="358"/>
      <c r="X642" s="358"/>
      <c r="Y642" s="358"/>
      <c r="Z642" s="358"/>
    </row>
    <row r="643" spans="1:26" ht="13.5" customHeight="1">
      <c r="A643" s="358"/>
      <c r="B643" s="358"/>
      <c r="C643" s="358"/>
      <c r="D643" s="358"/>
      <c r="E643" s="358"/>
      <c r="F643" s="358"/>
      <c r="G643" s="358"/>
      <c r="H643" s="358"/>
      <c r="I643" s="358"/>
      <c r="J643" s="358"/>
      <c r="K643" s="358"/>
      <c r="L643" s="358"/>
      <c r="M643" s="358"/>
      <c r="N643" s="358"/>
      <c r="O643" s="358"/>
      <c r="P643" s="358"/>
      <c r="Q643" s="358"/>
      <c r="R643" s="358"/>
      <c r="S643" s="358"/>
      <c r="T643" s="358"/>
      <c r="U643" s="358"/>
      <c r="V643" s="358"/>
      <c r="W643" s="358"/>
      <c r="X643" s="358"/>
      <c r="Y643" s="358"/>
      <c r="Z643" s="358"/>
    </row>
    <row r="644" spans="1:26" ht="13.5" customHeight="1">
      <c r="A644" s="358"/>
      <c r="B644" s="358"/>
      <c r="C644" s="358"/>
      <c r="D644" s="358"/>
      <c r="E644" s="358"/>
      <c r="F644" s="358"/>
      <c r="G644" s="358"/>
      <c r="H644" s="358"/>
      <c r="I644" s="358"/>
      <c r="J644" s="358"/>
      <c r="K644" s="358"/>
      <c r="L644" s="358"/>
      <c r="M644" s="358"/>
      <c r="N644" s="358"/>
      <c r="O644" s="358"/>
      <c r="P644" s="358"/>
      <c r="Q644" s="358"/>
      <c r="R644" s="358"/>
      <c r="S644" s="358"/>
      <c r="T644" s="358"/>
      <c r="U644" s="358"/>
      <c r="V644" s="358"/>
      <c r="W644" s="358"/>
      <c r="X644" s="358"/>
      <c r="Y644" s="358"/>
      <c r="Z644" s="358"/>
    </row>
    <row r="645" spans="1:26" ht="13.5" customHeight="1">
      <c r="A645" s="358"/>
      <c r="B645" s="358"/>
      <c r="C645" s="358"/>
      <c r="D645" s="358"/>
      <c r="E645" s="358"/>
      <c r="F645" s="358"/>
      <c r="G645" s="358"/>
      <c r="H645" s="358"/>
      <c r="I645" s="358"/>
      <c r="J645" s="358"/>
      <c r="K645" s="358"/>
      <c r="L645" s="358"/>
      <c r="M645" s="358"/>
      <c r="N645" s="358"/>
      <c r="O645" s="358"/>
      <c r="P645" s="358"/>
      <c r="Q645" s="358"/>
      <c r="R645" s="358"/>
      <c r="S645" s="358"/>
      <c r="T645" s="358"/>
      <c r="U645" s="358"/>
      <c r="V645" s="358"/>
      <c r="W645" s="358"/>
      <c r="X645" s="358"/>
      <c r="Y645" s="358"/>
      <c r="Z645" s="358"/>
    </row>
    <row r="646" spans="1:26" ht="13.5" customHeight="1">
      <c r="A646" s="358"/>
      <c r="B646" s="358"/>
      <c r="C646" s="358"/>
      <c r="D646" s="358"/>
      <c r="E646" s="358"/>
      <c r="F646" s="358"/>
      <c r="G646" s="358"/>
      <c r="H646" s="358"/>
      <c r="I646" s="358"/>
      <c r="J646" s="358"/>
      <c r="K646" s="358"/>
      <c r="L646" s="358"/>
      <c r="M646" s="358"/>
      <c r="N646" s="358"/>
      <c r="O646" s="358"/>
      <c r="P646" s="358"/>
      <c r="Q646" s="358"/>
      <c r="R646" s="358"/>
      <c r="S646" s="358"/>
      <c r="T646" s="358"/>
      <c r="U646" s="358"/>
      <c r="V646" s="358"/>
      <c r="W646" s="358"/>
      <c r="X646" s="358"/>
      <c r="Y646" s="358"/>
      <c r="Z646" s="358"/>
    </row>
    <row r="647" spans="1:26" ht="13.5" customHeight="1">
      <c r="A647" s="358"/>
      <c r="B647" s="358"/>
      <c r="C647" s="358"/>
      <c r="D647" s="358"/>
      <c r="E647" s="358"/>
      <c r="F647" s="358"/>
      <c r="G647" s="358"/>
      <c r="H647" s="358"/>
      <c r="I647" s="358"/>
      <c r="J647" s="358"/>
      <c r="K647" s="358"/>
      <c r="L647" s="358"/>
      <c r="M647" s="358"/>
      <c r="N647" s="358"/>
      <c r="O647" s="358"/>
      <c r="P647" s="358"/>
      <c r="Q647" s="358"/>
      <c r="R647" s="358"/>
      <c r="S647" s="358"/>
      <c r="T647" s="358"/>
      <c r="U647" s="358"/>
      <c r="V647" s="358"/>
      <c r="W647" s="358"/>
      <c r="X647" s="358"/>
      <c r="Y647" s="358"/>
      <c r="Z647" s="358"/>
    </row>
    <row r="648" spans="1:26" ht="13.5" customHeight="1">
      <c r="A648" s="358"/>
      <c r="B648" s="358"/>
      <c r="C648" s="358"/>
      <c r="D648" s="358"/>
      <c r="E648" s="358"/>
      <c r="F648" s="358"/>
      <c r="G648" s="358"/>
      <c r="H648" s="358"/>
      <c r="I648" s="358"/>
      <c r="J648" s="358"/>
      <c r="K648" s="358"/>
      <c r="L648" s="358"/>
      <c r="M648" s="358"/>
      <c r="N648" s="358"/>
      <c r="O648" s="358"/>
      <c r="P648" s="358"/>
      <c r="Q648" s="358"/>
      <c r="R648" s="358"/>
      <c r="S648" s="358"/>
      <c r="T648" s="358"/>
      <c r="U648" s="358"/>
      <c r="V648" s="358"/>
      <c r="W648" s="358"/>
      <c r="X648" s="358"/>
      <c r="Y648" s="358"/>
      <c r="Z648" s="358"/>
    </row>
    <row r="649" spans="1:26" ht="13.5" customHeight="1">
      <c r="A649" s="358"/>
      <c r="B649" s="358"/>
      <c r="C649" s="358"/>
      <c r="D649" s="358"/>
      <c r="E649" s="358"/>
      <c r="F649" s="358"/>
      <c r="G649" s="358"/>
      <c r="H649" s="358"/>
      <c r="I649" s="358"/>
      <c r="J649" s="358"/>
      <c r="K649" s="358"/>
      <c r="L649" s="358"/>
      <c r="M649" s="358"/>
      <c r="N649" s="358"/>
      <c r="O649" s="358"/>
      <c r="P649" s="358"/>
      <c r="Q649" s="358"/>
      <c r="R649" s="358"/>
      <c r="S649" s="358"/>
      <c r="T649" s="358"/>
      <c r="U649" s="358"/>
      <c r="V649" s="358"/>
      <c r="W649" s="358"/>
      <c r="X649" s="358"/>
      <c r="Y649" s="358"/>
      <c r="Z649" s="358"/>
    </row>
    <row r="650" spans="1:26" ht="13.5" customHeight="1">
      <c r="A650" s="358"/>
      <c r="B650" s="358"/>
      <c r="C650" s="358"/>
      <c r="D650" s="358"/>
      <c r="E650" s="358"/>
      <c r="F650" s="358"/>
      <c r="G650" s="358"/>
      <c r="H650" s="358"/>
      <c r="I650" s="358"/>
      <c r="J650" s="358"/>
      <c r="K650" s="358"/>
      <c r="L650" s="358"/>
      <c r="M650" s="358"/>
      <c r="N650" s="358"/>
      <c r="O650" s="358"/>
      <c r="P650" s="358"/>
      <c r="Q650" s="358"/>
      <c r="R650" s="358"/>
      <c r="S650" s="358"/>
      <c r="T650" s="358"/>
      <c r="U650" s="358"/>
      <c r="V650" s="358"/>
      <c r="W650" s="358"/>
      <c r="X650" s="358"/>
      <c r="Y650" s="358"/>
      <c r="Z650" s="358"/>
    </row>
    <row r="651" spans="1:26" ht="13.5" customHeight="1">
      <c r="A651" s="358"/>
      <c r="B651" s="358"/>
      <c r="C651" s="358"/>
      <c r="D651" s="358"/>
      <c r="E651" s="358"/>
      <c r="F651" s="358"/>
      <c r="G651" s="358"/>
      <c r="H651" s="358"/>
      <c r="I651" s="358"/>
      <c r="J651" s="358"/>
      <c r="K651" s="358"/>
      <c r="L651" s="358"/>
      <c r="M651" s="358"/>
      <c r="N651" s="358"/>
      <c r="O651" s="358"/>
      <c r="P651" s="358"/>
      <c r="Q651" s="358"/>
      <c r="R651" s="358"/>
      <c r="S651" s="358"/>
      <c r="T651" s="358"/>
      <c r="U651" s="358"/>
      <c r="V651" s="358"/>
      <c r="W651" s="358"/>
      <c r="X651" s="358"/>
      <c r="Y651" s="358"/>
      <c r="Z651" s="358"/>
    </row>
    <row r="652" spans="1:26" ht="13.5" customHeight="1">
      <c r="A652" s="358"/>
      <c r="B652" s="358"/>
      <c r="C652" s="358"/>
      <c r="D652" s="358"/>
      <c r="E652" s="358"/>
      <c r="F652" s="358"/>
      <c r="G652" s="358"/>
      <c r="H652" s="358"/>
      <c r="I652" s="358"/>
      <c r="J652" s="358"/>
      <c r="K652" s="358"/>
      <c r="L652" s="358"/>
      <c r="M652" s="358"/>
      <c r="N652" s="358"/>
      <c r="O652" s="358"/>
      <c r="P652" s="358"/>
      <c r="Q652" s="358"/>
      <c r="R652" s="358"/>
      <c r="S652" s="358"/>
      <c r="T652" s="358"/>
      <c r="U652" s="358"/>
      <c r="V652" s="358"/>
      <c r="W652" s="358"/>
      <c r="X652" s="358"/>
      <c r="Y652" s="358"/>
      <c r="Z652" s="358"/>
    </row>
    <row r="653" spans="1:26" ht="13.5" customHeight="1">
      <c r="A653" s="358"/>
      <c r="B653" s="358"/>
      <c r="C653" s="358"/>
      <c r="D653" s="358"/>
      <c r="E653" s="358"/>
      <c r="F653" s="358"/>
      <c r="G653" s="358"/>
      <c r="H653" s="358"/>
      <c r="I653" s="358"/>
      <c r="J653" s="358"/>
      <c r="K653" s="358"/>
      <c r="L653" s="358"/>
      <c r="M653" s="358"/>
      <c r="N653" s="358"/>
      <c r="O653" s="358"/>
      <c r="P653" s="358"/>
      <c r="Q653" s="358"/>
      <c r="R653" s="358"/>
      <c r="S653" s="358"/>
      <c r="T653" s="358"/>
      <c r="U653" s="358"/>
      <c r="V653" s="358"/>
      <c r="W653" s="358"/>
      <c r="X653" s="358"/>
      <c r="Y653" s="358"/>
      <c r="Z653" s="358"/>
    </row>
    <row r="654" spans="1:26" ht="13.5" customHeight="1">
      <c r="A654" s="358"/>
      <c r="B654" s="358"/>
      <c r="C654" s="358"/>
      <c r="D654" s="358"/>
      <c r="E654" s="358"/>
      <c r="F654" s="358"/>
      <c r="G654" s="358"/>
      <c r="H654" s="358"/>
      <c r="I654" s="358"/>
      <c r="J654" s="358"/>
      <c r="K654" s="358"/>
      <c r="L654" s="358"/>
      <c r="M654" s="358"/>
      <c r="N654" s="358"/>
      <c r="O654" s="358"/>
      <c r="P654" s="358"/>
      <c r="Q654" s="358"/>
      <c r="R654" s="358"/>
      <c r="S654" s="358"/>
      <c r="T654" s="358"/>
      <c r="U654" s="358"/>
      <c r="V654" s="358"/>
      <c r="W654" s="358"/>
      <c r="X654" s="358"/>
      <c r="Y654" s="358"/>
      <c r="Z654" s="358"/>
    </row>
    <row r="655" spans="1:26" ht="13.5" customHeight="1">
      <c r="A655" s="358"/>
      <c r="B655" s="358"/>
      <c r="C655" s="358"/>
      <c r="D655" s="358"/>
      <c r="E655" s="358"/>
      <c r="F655" s="358"/>
      <c r="G655" s="358"/>
      <c r="H655" s="358"/>
      <c r="I655" s="358"/>
      <c r="J655" s="358"/>
      <c r="K655" s="358"/>
      <c r="L655" s="358"/>
      <c r="M655" s="358"/>
      <c r="N655" s="358"/>
      <c r="O655" s="358"/>
      <c r="P655" s="358"/>
      <c r="Q655" s="358"/>
      <c r="R655" s="358"/>
      <c r="S655" s="358"/>
      <c r="T655" s="358"/>
      <c r="U655" s="358"/>
      <c r="V655" s="358"/>
      <c r="W655" s="358"/>
      <c r="X655" s="358"/>
      <c r="Y655" s="358"/>
      <c r="Z655" s="358"/>
    </row>
    <row r="656" spans="1:26" ht="13.5" customHeight="1">
      <c r="A656" s="358"/>
      <c r="B656" s="358"/>
      <c r="C656" s="358"/>
      <c r="D656" s="358"/>
      <c r="E656" s="358"/>
      <c r="F656" s="358"/>
      <c r="G656" s="358"/>
      <c r="H656" s="358"/>
      <c r="I656" s="358"/>
      <c r="J656" s="358"/>
      <c r="K656" s="358"/>
      <c r="L656" s="358"/>
      <c r="M656" s="358"/>
      <c r="N656" s="358"/>
      <c r="O656" s="358"/>
      <c r="P656" s="358"/>
      <c r="Q656" s="358"/>
      <c r="R656" s="358"/>
      <c r="S656" s="358"/>
      <c r="T656" s="358"/>
      <c r="U656" s="358"/>
      <c r="V656" s="358"/>
      <c r="W656" s="358"/>
      <c r="X656" s="358"/>
      <c r="Y656" s="358"/>
      <c r="Z656" s="358"/>
    </row>
    <row r="657" spans="1:26" ht="13.5" customHeight="1">
      <c r="A657" s="358"/>
      <c r="B657" s="358"/>
      <c r="C657" s="358"/>
      <c r="D657" s="358"/>
      <c r="E657" s="358"/>
      <c r="F657" s="358"/>
      <c r="G657" s="358"/>
      <c r="H657" s="358"/>
      <c r="I657" s="358"/>
      <c r="J657" s="358"/>
      <c r="K657" s="358"/>
      <c r="L657" s="358"/>
      <c r="M657" s="358"/>
      <c r="N657" s="358"/>
      <c r="O657" s="358"/>
      <c r="P657" s="358"/>
      <c r="Q657" s="358"/>
      <c r="R657" s="358"/>
      <c r="S657" s="358"/>
      <c r="T657" s="358"/>
      <c r="U657" s="358"/>
      <c r="V657" s="358"/>
      <c r="W657" s="358"/>
      <c r="X657" s="358"/>
      <c r="Y657" s="358"/>
      <c r="Z657" s="358"/>
    </row>
    <row r="658" spans="1:26" ht="13.5" customHeight="1">
      <c r="A658" s="358"/>
      <c r="B658" s="358"/>
      <c r="C658" s="358"/>
      <c r="D658" s="358"/>
      <c r="E658" s="358"/>
      <c r="F658" s="358"/>
      <c r="G658" s="358"/>
      <c r="H658" s="358"/>
      <c r="I658" s="358"/>
      <c r="J658" s="358"/>
      <c r="K658" s="358"/>
      <c r="L658" s="358"/>
      <c r="M658" s="358"/>
      <c r="N658" s="358"/>
      <c r="O658" s="358"/>
      <c r="P658" s="358"/>
      <c r="Q658" s="358"/>
      <c r="R658" s="358"/>
      <c r="S658" s="358"/>
      <c r="T658" s="358"/>
      <c r="U658" s="358"/>
      <c r="V658" s="358"/>
      <c r="W658" s="358"/>
      <c r="X658" s="358"/>
      <c r="Y658" s="358"/>
      <c r="Z658" s="358"/>
    </row>
    <row r="659" spans="1:26" ht="13.5" customHeight="1">
      <c r="A659" s="358"/>
      <c r="B659" s="358"/>
      <c r="C659" s="358"/>
      <c r="D659" s="358"/>
      <c r="E659" s="358"/>
      <c r="F659" s="358"/>
      <c r="G659" s="358"/>
      <c r="H659" s="358"/>
      <c r="I659" s="358"/>
      <c r="J659" s="358"/>
      <c r="K659" s="358"/>
      <c r="L659" s="358"/>
      <c r="M659" s="358"/>
      <c r="N659" s="358"/>
      <c r="O659" s="358"/>
      <c r="P659" s="358"/>
      <c r="Q659" s="358"/>
      <c r="R659" s="358"/>
      <c r="S659" s="358"/>
      <c r="T659" s="358"/>
      <c r="U659" s="358"/>
      <c r="V659" s="358"/>
      <c r="W659" s="358"/>
      <c r="X659" s="358"/>
      <c r="Y659" s="358"/>
      <c r="Z659" s="358"/>
    </row>
    <row r="660" spans="1:26" ht="13.5" customHeight="1">
      <c r="A660" s="358"/>
      <c r="B660" s="358"/>
      <c r="C660" s="358"/>
      <c r="D660" s="358"/>
      <c r="E660" s="358"/>
      <c r="F660" s="358"/>
      <c r="G660" s="358"/>
      <c r="H660" s="358"/>
      <c r="I660" s="358"/>
      <c r="J660" s="358"/>
      <c r="K660" s="358"/>
      <c r="L660" s="358"/>
      <c r="M660" s="358"/>
      <c r="N660" s="358"/>
      <c r="O660" s="358"/>
      <c r="P660" s="358"/>
      <c r="Q660" s="358"/>
      <c r="R660" s="358"/>
      <c r="S660" s="358"/>
      <c r="T660" s="358"/>
      <c r="U660" s="358"/>
      <c r="V660" s="358"/>
      <c r="W660" s="358"/>
      <c r="X660" s="358"/>
      <c r="Y660" s="358"/>
      <c r="Z660" s="358"/>
    </row>
    <row r="661" spans="1:26" ht="13.5" customHeight="1">
      <c r="A661" s="358"/>
      <c r="B661" s="358"/>
      <c r="C661" s="358"/>
      <c r="D661" s="358"/>
      <c r="E661" s="358"/>
      <c r="F661" s="358"/>
      <c r="G661" s="358"/>
      <c r="H661" s="358"/>
      <c r="I661" s="358"/>
      <c r="J661" s="358"/>
      <c r="K661" s="358"/>
      <c r="L661" s="358"/>
      <c r="M661" s="358"/>
      <c r="N661" s="358"/>
      <c r="O661" s="358"/>
      <c r="P661" s="358"/>
      <c r="Q661" s="358"/>
      <c r="R661" s="358"/>
      <c r="S661" s="358"/>
      <c r="T661" s="358"/>
      <c r="U661" s="358"/>
      <c r="V661" s="358"/>
      <c r="W661" s="358"/>
      <c r="X661" s="358"/>
      <c r="Y661" s="358"/>
      <c r="Z661" s="358"/>
    </row>
    <row r="662" spans="1:26" ht="13.5" customHeight="1">
      <c r="A662" s="358"/>
      <c r="B662" s="358"/>
      <c r="C662" s="358"/>
      <c r="D662" s="358"/>
      <c r="E662" s="358"/>
      <c r="F662" s="358"/>
      <c r="G662" s="358"/>
      <c r="H662" s="358"/>
      <c r="I662" s="358"/>
      <c r="J662" s="358"/>
      <c r="K662" s="358"/>
      <c r="L662" s="358"/>
      <c r="M662" s="358"/>
      <c r="N662" s="358"/>
      <c r="O662" s="358"/>
      <c r="P662" s="358"/>
      <c r="Q662" s="358"/>
      <c r="R662" s="358"/>
      <c r="S662" s="358"/>
      <c r="T662" s="358"/>
      <c r="U662" s="358"/>
      <c r="V662" s="358"/>
      <c r="W662" s="358"/>
      <c r="X662" s="358"/>
      <c r="Y662" s="358"/>
      <c r="Z662" s="358"/>
    </row>
    <row r="663" spans="1:26" ht="13.5" customHeight="1">
      <c r="A663" s="358"/>
      <c r="B663" s="358"/>
      <c r="C663" s="358"/>
      <c r="D663" s="358"/>
      <c r="E663" s="358"/>
      <c r="F663" s="358"/>
      <c r="G663" s="358"/>
      <c r="H663" s="358"/>
      <c r="I663" s="358"/>
      <c r="J663" s="358"/>
      <c r="K663" s="358"/>
      <c r="L663" s="358"/>
      <c r="M663" s="358"/>
      <c r="N663" s="358"/>
      <c r="O663" s="358"/>
      <c r="P663" s="358"/>
      <c r="Q663" s="358"/>
      <c r="R663" s="358"/>
      <c r="S663" s="358"/>
      <c r="T663" s="358"/>
      <c r="U663" s="358"/>
      <c r="V663" s="358"/>
      <c r="W663" s="358"/>
      <c r="X663" s="358"/>
      <c r="Y663" s="358"/>
      <c r="Z663" s="358"/>
    </row>
    <row r="664" spans="1:26" ht="13.5" customHeight="1">
      <c r="A664" s="358"/>
      <c r="B664" s="358"/>
      <c r="C664" s="358"/>
      <c r="D664" s="358"/>
      <c r="E664" s="358"/>
      <c r="F664" s="358"/>
      <c r="G664" s="358"/>
      <c r="H664" s="358"/>
      <c r="I664" s="358"/>
      <c r="J664" s="358"/>
      <c r="K664" s="358"/>
      <c r="L664" s="358"/>
      <c r="M664" s="358"/>
      <c r="N664" s="358"/>
      <c r="O664" s="358"/>
      <c r="P664" s="358"/>
      <c r="Q664" s="358"/>
      <c r="R664" s="358"/>
      <c r="S664" s="358"/>
      <c r="T664" s="358"/>
      <c r="U664" s="358"/>
      <c r="V664" s="358"/>
      <c r="W664" s="358"/>
      <c r="X664" s="358"/>
      <c r="Y664" s="358"/>
      <c r="Z664" s="358"/>
    </row>
    <row r="665" spans="1:26" ht="13.5" customHeight="1">
      <c r="A665" s="358"/>
      <c r="B665" s="358"/>
      <c r="C665" s="358"/>
      <c r="D665" s="358"/>
      <c r="E665" s="358"/>
      <c r="F665" s="358"/>
      <c r="G665" s="358"/>
      <c r="H665" s="358"/>
      <c r="I665" s="358"/>
      <c r="J665" s="358"/>
      <c r="K665" s="358"/>
      <c r="L665" s="358"/>
      <c r="M665" s="358"/>
      <c r="N665" s="358"/>
      <c r="O665" s="358"/>
      <c r="P665" s="358"/>
      <c r="Q665" s="358"/>
      <c r="R665" s="358"/>
      <c r="S665" s="358"/>
      <c r="T665" s="358"/>
      <c r="U665" s="358"/>
      <c r="V665" s="358"/>
      <c r="W665" s="358"/>
      <c r="X665" s="358"/>
      <c r="Y665" s="358"/>
      <c r="Z665" s="358"/>
    </row>
    <row r="666" spans="1:26" ht="13.5" customHeight="1">
      <c r="A666" s="358"/>
      <c r="B666" s="358"/>
      <c r="C666" s="358"/>
      <c r="D666" s="358"/>
      <c r="E666" s="358"/>
      <c r="F666" s="358"/>
      <c r="G666" s="358"/>
      <c r="H666" s="358"/>
      <c r="I666" s="358"/>
      <c r="J666" s="358"/>
      <c r="K666" s="358"/>
      <c r="L666" s="358"/>
      <c r="M666" s="358"/>
      <c r="N666" s="358"/>
      <c r="O666" s="358"/>
      <c r="P666" s="358"/>
      <c r="Q666" s="358"/>
      <c r="R666" s="358"/>
      <c r="S666" s="358"/>
      <c r="T666" s="358"/>
      <c r="U666" s="358"/>
      <c r="V666" s="358"/>
      <c r="W666" s="358"/>
      <c r="X666" s="358"/>
      <c r="Y666" s="358"/>
      <c r="Z666" s="358"/>
    </row>
    <row r="667" spans="1:26" ht="13.5" customHeight="1">
      <c r="A667" s="358"/>
      <c r="B667" s="358"/>
      <c r="C667" s="358"/>
      <c r="D667" s="358"/>
      <c r="E667" s="358"/>
      <c r="F667" s="358"/>
      <c r="G667" s="358"/>
      <c r="H667" s="358"/>
      <c r="I667" s="358"/>
      <c r="J667" s="358"/>
      <c r="K667" s="358"/>
      <c r="L667" s="358"/>
      <c r="M667" s="358"/>
      <c r="N667" s="358"/>
      <c r="O667" s="358"/>
      <c r="P667" s="358"/>
      <c r="Q667" s="358"/>
      <c r="R667" s="358"/>
      <c r="S667" s="358"/>
      <c r="T667" s="358"/>
      <c r="U667" s="358"/>
      <c r="V667" s="358"/>
      <c r="W667" s="358"/>
      <c r="X667" s="358"/>
      <c r="Y667" s="358"/>
      <c r="Z667" s="358"/>
    </row>
    <row r="668" spans="1:26" ht="13.5" customHeight="1">
      <c r="A668" s="358"/>
      <c r="B668" s="358"/>
      <c r="C668" s="358"/>
      <c r="D668" s="358"/>
      <c r="E668" s="358"/>
      <c r="F668" s="358"/>
      <c r="G668" s="358"/>
      <c r="H668" s="358"/>
      <c r="I668" s="358"/>
      <c r="J668" s="358"/>
      <c r="K668" s="358"/>
      <c r="L668" s="358"/>
      <c r="M668" s="358"/>
      <c r="N668" s="358"/>
      <c r="O668" s="358"/>
      <c r="P668" s="358"/>
      <c r="Q668" s="358"/>
      <c r="R668" s="358"/>
      <c r="S668" s="358"/>
      <c r="T668" s="358"/>
      <c r="U668" s="358"/>
      <c r="V668" s="358"/>
      <c r="W668" s="358"/>
      <c r="X668" s="358"/>
      <c r="Y668" s="358"/>
      <c r="Z668" s="358"/>
    </row>
    <row r="669" spans="1:26" ht="13.5" customHeight="1">
      <c r="A669" s="358"/>
      <c r="B669" s="358"/>
      <c r="C669" s="358"/>
      <c r="D669" s="358"/>
      <c r="E669" s="358"/>
      <c r="F669" s="358"/>
      <c r="G669" s="358"/>
      <c r="H669" s="358"/>
      <c r="I669" s="358"/>
      <c r="J669" s="358"/>
      <c r="K669" s="358"/>
      <c r="L669" s="358"/>
      <c r="M669" s="358"/>
      <c r="N669" s="358"/>
      <c r="O669" s="358"/>
      <c r="P669" s="358"/>
      <c r="Q669" s="358"/>
      <c r="R669" s="358"/>
      <c r="S669" s="358"/>
      <c r="T669" s="358"/>
      <c r="U669" s="358"/>
      <c r="V669" s="358"/>
      <c r="W669" s="358"/>
      <c r="X669" s="358"/>
      <c r="Y669" s="358"/>
      <c r="Z669" s="358"/>
    </row>
    <row r="670" spans="1:26" ht="13.5" customHeight="1">
      <c r="A670" s="358"/>
      <c r="B670" s="358"/>
      <c r="C670" s="358"/>
      <c r="D670" s="358"/>
      <c r="E670" s="358"/>
      <c r="F670" s="358"/>
      <c r="G670" s="358"/>
      <c r="H670" s="358"/>
      <c r="I670" s="358"/>
      <c r="J670" s="358"/>
      <c r="K670" s="358"/>
      <c r="L670" s="358"/>
      <c r="M670" s="358"/>
      <c r="N670" s="358"/>
      <c r="O670" s="358"/>
      <c r="P670" s="358"/>
      <c r="Q670" s="358"/>
      <c r="R670" s="358"/>
      <c r="S670" s="358"/>
      <c r="T670" s="358"/>
      <c r="U670" s="358"/>
      <c r="V670" s="358"/>
      <c r="W670" s="358"/>
      <c r="X670" s="358"/>
      <c r="Y670" s="358"/>
      <c r="Z670" s="358"/>
    </row>
    <row r="671" spans="1:26" ht="13.5" customHeight="1">
      <c r="A671" s="358"/>
      <c r="B671" s="358"/>
      <c r="C671" s="358"/>
      <c r="D671" s="358"/>
      <c r="E671" s="358"/>
      <c r="F671" s="358"/>
      <c r="G671" s="358"/>
      <c r="H671" s="358"/>
      <c r="I671" s="358"/>
      <c r="J671" s="358"/>
      <c r="K671" s="358"/>
      <c r="L671" s="358"/>
      <c r="M671" s="358"/>
      <c r="N671" s="358"/>
      <c r="O671" s="358"/>
      <c r="P671" s="358"/>
      <c r="Q671" s="358"/>
      <c r="R671" s="358"/>
      <c r="S671" s="358"/>
      <c r="T671" s="358"/>
      <c r="U671" s="358"/>
      <c r="V671" s="358"/>
      <c r="W671" s="358"/>
      <c r="X671" s="358"/>
      <c r="Y671" s="358"/>
      <c r="Z671" s="358"/>
    </row>
    <row r="672" spans="1:26" ht="13.5" customHeight="1">
      <c r="A672" s="358"/>
      <c r="B672" s="358"/>
      <c r="C672" s="358"/>
      <c r="D672" s="358"/>
      <c r="E672" s="358"/>
      <c r="F672" s="358"/>
      <c r="G672" s="358"/>
      <c r="H672" s="358"/>
      <c r="I672" s="358"/>
      <c r="J672" s="358"/>
      <c r="K672" s="358"/>
      <c r="L672" s="358"/>
      <c r="M672" s="358"/>
      <c r="N672" s="358"/>
      <c r="O672" s="358"/>
      <c r="P672" s="358"/>
      <c r="Q672" s="358"/>
      <c r="R672" s="358"/>
      <c r="S672" s="358"/>
      <c r="T672" s="358"/>
      <c r="U672" s="358"/>
      <c r="V672" s="358"/>
      <c r="W672" s="358"/>
      <c r="X672" s="358"/>
      <c r="Y672" s="358"/>
      <c r="Z672" s="358"/>
    </row>
    <row r="673" spans="1:26" ht="13.5" customHeight="1">
      <c r="A673" s="358"/>
      <c r="B673" s="358"/>
      <c r="C673" s="358"/>
      <c r="D673" s="358"/>
      <c r="E673" s="358"/>
      <c r="F673" s="358"/>
      <c r="G673" s="358"/>
      <c r="H673" s="358"/>
      <c r="I673" s="358"/>
      <c r="J673" s="358"/>
      <c r="K673" s="358"/>
      <c r="L673" s="358"/>
      <c r="M673" s="358"/>
      <c r="N673" s="358"/>
      <c r="O673" s="358"/>
      <c r="P673" s="358"/>
      <c r="Q673" s="358"/>
      <c r="R673" s="358"/>
      <c r="S673" s="358"/>
      <c r="T673" s="358"/>
      <c r="U673" s="358"/>
      <c r="V673" s="358"/>
      <c r="W673" s="358"/>
      <c r="X673" s="358"/>
      <c r="Y673" s="358"/>
      <c r="Z673" s="358"/>
    </row>
    <row r="674" spans="1:26" ht="13.5" customHeight="1">
      <c r="A674" s="358"/>
      <c r="B674" s="358"/>
      <c r="C674" s="358"/>
      <c r="D674" s="358"/>
      <c r="E674" s="358"/>
      <c r="F674" s="358"/>
      <c r="G674" s="358"/>
      <c r="H674" s="358"/>
      <c r="I674" s="358"/>
      <c r="J674" s="358"/>
      <c r="K674" s="358"/>
      <c r="L674" s="358"/>
      <c r="M674" s="358"/>
      <c r="N674" s="358"/>
      <c r="O674" s="358"/>
      <c r="P674" s="358"/>
      <c r="Q674" s="358"/>
      <c r="R674" s="358"/>
      <c r="S674" s="358"/>
      <c r="T674" s="358"/>
      <c r="U674" s="358"/>
      <c r="V674" s="358"/>
      <c r="W674" s="358"/>
      <c r="X674" s="358"/>
      <c r="Y674" s="358"/>
      <c r="Z674" s="358"/>
    </row>
    <row r="675" spans="1:26" ht="13.5" customHeight="1">
      <c r="A675" s="358"/>
      <c r="B675" s="358"/>
      <c r="C675" s="358"/>
      <c r="D675" s="358"/>
      <c r="E675" s="358"/>
      <c r="F675" s="358"/>
      <c r="G675" s="358"/>
      <c r="H675" s="358"/>
      <c r="I675" s="358"/>
      <c r="J675" s="358"/>
      <c r="K675" s="358"/>
      <c r="L675" s="358"/>
      <c r="M675" s="358"/>
      <c r="N675" s="358"/>
      <c r="O675" s="358"/>
      <c r="P675" s="358"/>
      <c r="Q675" s="358"/>
      <c r="R675" s="358"/>
      <c r="S675" s="358"/>
      <c r="T675" s="358"/>
      <c r="U675" s="358"/>
      <c r="V675" s="358"/>
      <c r="W675" s="358"/>
      <c r="X675" s="358"/>
      <c r="Y675" s="358"/>
      <c r="Z675" s="358"/>
    </row>
    <row r="676" spans="1:26" ht="13.5" customHeight="1">
      <c r="A676" s="358"/>
      <c r="B676" s="358"/>
      <c r="C676" s="358"/>
      <c r="D676" s="358"/>
      <c r="E676" s="358"/>
      <c r="F676" s="358"/>
      <c r="G676" s="358"/>
      <c r="H676" s="358"/>
      <c r="I676" s="358"/>
      <c r="J676" s="358"/>
      <c r="K676" s="358"/>
      <c r="L676" s="358"/>
      <c r="M676" s="358"/>
      <c r="N676" s="358"/>
      <c r="O676" s="358"/>
      <c r="P676" s="358"/>
      <c r="Q676" s="358"/>
      <c r="R676" s="358"/>
      <c r="S676" s="358"/>
      <c r="T676" s="358"/>
      <c r="U676" s="358"/>
      <c r="V676" s="358"/>
      <c r="W676" s="358"/>
      <c r="X676" s="358"/>
      <c r="Y676" s="358"/>
      <c r="Z676" s="358"/>
    </row>
    <row r="677" spans="1:26" ht="13.5" customHeight="1">
      <c r="A677" s="358"/>
      <c r="B677" s="358"/>
      <c r="C677" s="358"/>
      <c r="D677" s="358"/>
      <c r="E677" s="358"/>
      <c r="F677" s="358"/>
      <c r="G677" s="358"/>
      <c r="H677" s="358"/>
      <c r="I677" s="358"/>
      <c r="J677" s="358"/>
      <c r="K677" s="358"/>
      <c r="L677" s="358"/>
      <c r="M677" s="358"/>
      <c r="N677" s="358"/>
      <c r="O677" s="358"/>
      <c r="P677" s="358"/>
      <c r="Q677" s="358"/>
      <c r="R677" s="358"/>
      <c r="S677" s="358"/>
      <c r="T677" s="358"/>
      <c r="U677" s="358"/>
      <c r="V677" s="358"/>
      <c r="W677" s="358"/>
      <c r="X677" s="358"/>
      <c r="Y677" s="358"/>
      <c r="Z677" s="358"/>
    </row>
    <row r="678" spans="1:26" ht="13.5" customHeight="1">
      <c r="A678" s="358"/>
      <c r="B678" s="358"/>
      <c r="C678" s="358"/>
      <c r="D678" s="358"/>
      <c r="E678" s="358"/>
      <c r="F678" s="358"/>
      <c r="G678" s="358"/>
      <c r="H678" s="358"/>
      <c r="I678" s="358"/>
      <c r="J678" s="358"/>
      <c r="K678" s="358"/>
      <c r="L678" s="358"/>
      <c r="M678" s="358"/>
      <c r="N678" s="358"/>
      <c r="O678" s="358"/>
      <c r="P678" s="358"/>
      <c r="Q678" s="358"/>
      <c r="R678" s="358"/>
      <c r="S678" s="358"/>
      <c r="T678" s="358"/>
      <c r="U678" s="358"/>
      <c r="V678" s="358"/>
      <c r="W678" s="358"/>
      <c r="X678" s="358"/>
      <c r="Y678" s="358"/>
      <c r="Z678" s="358"/>
    </row>
    <row r="679" spans="1:26" ht="13.5" customHeight="1">
      <c r="A679" s="358"/>
      <c r="B679" s="358"/>
      <c r="C679" s="358"/>
      <c r="D679" s="358"/>
      <c r="E679" s="358"/>
      <c r="F679" s="358"/>
      <c r="G679" s="358"/>
      <c r="H679" s="358"/>
      <c r="I679" s="358"/>
      <c r="J679" s="358"/>
      <c r="K679" s="358"/>
      <c r="L679" s="358"/>
      <c r="M679" s="358"/>
      <c r="N679" s="358"/>
      <c r="O679" s="358"/>
      <c r="P679" s="358"/>
      <c r="Q679" s="358"/>
      <c r="R679" s="358"/>
      <c r="S679" s="358"/>
      <c r="T679" s="358"/>
      <c r="U679" s="358"/>
      <c r="V679" s="358"/>
      <c r="W679" s="358"/>
      <c r="X679" s="358"/>
      <c r="Y679" s="358"/>
      <c r="Z679" s="358"/>
    </row>
    <row r="680" spans="1:26" ht="13.5" customHeight="1">
      <c r="A680" s="358"/>
      <c r="B680" s="358"/>
      <c r="C680" s="358"/>
      <c r="D680" s="358"/>
      <c r="E680" s="358"/>
      <c r="F680" s="358"/>
      <c r="G680" s="358"/>
      <c r="H680" s="358"/>
      <c r="I680" s="358"/>
      <c r="J680" s="358"/>
      <c r="K680" s="358"/>
      <c r="L680" s="358"/>
      <c r="M680" s="358"/>
      <c r="N680" s="358"/>
      <c r="O680" s="358"/>
      <c r="P680" s="358"/>
      <c r="Q680" s="358"/>
      <c r="R680" s="358"/>
      <c r="S680" s="358"/>
      <c r="T680" s="358"/>
      <c r="U680" s="358"/>
      <c r="V680" s="358"/>
      <c r="W680" s="358"/>
      <c r="X680" s="358"/>
      <c r="Y680" s="358"/>
      <c r="Z680" s="358"/>
    </row>
    <row r="681" spans="1:26" ht="13.5" customHeight="1">
      <c r="A681" s="358"/>
      <c r="B681" s="358"/>
      <c r="C681" s="358"/>
      <c r="D681" s="358"/>
      <c r="E681" s="358"/>
      <c r="F681" s="358"/>
      <c r="G681" s="358"/>
      <c r="H681" s="358"/>
      <c r="I681" s="358"/>
      <c r="J681" s="358"/>
      <c r="K681" s="358"/>
      <c r="L681" s="358"/>
      <c r="M681" s="358"/>
      <c r="N681" s="358"/>
      <c r="O681" s="358"/>
      <c r="P681" s="358"/>
      <c r="Q681" s="358"/>
      <c r="R681" s="358"/>
      <c r="S681" s="358"/>
      <c r="T681" s="358"/>
      <c r="U681" s="358"/>
      <c r="V681" s="358"/>
      <c r="W681" s="358"/>
      <c r="X681" s="358"/>
      <c r="Y681" s="358"/>
      <c r="Z681" s="358"/>
    </row>
    <row r="682" spans="1:26" ht="13.5" customHeight="1">
      <c r="A682" s="358"/>
      <c r="B682" s="358"/>
      <c r="C682" s="358"/>
      <c r="D682" s="358"/>
      <c r="E682" s="358"/>
      <c r="F682" s="358"/>
      <c r="G682" s="358"/>
      <c r="H682" s="358"/>
      <c r="I682" s="358"/>
      <c r="J682" s="358"/>
      <c r="K682" s="358"/>
      <c r="L682" s="358"/>
      <c r="M682" s="358"/>
      <c r="N682" s="358"/>
      <c r="O682" s="358"/>
      <c r="P682" s="358"/>
      <c r="Q682" s="358"/>
      <c r="R682" s="358"/>
      <c r="S682" s="358"/>
      <c r="T682" s="358"/>
      <c r="U682" s="358"/>
      <c r="V682" s="358"/>
      <c r="W682" s="358"/>
      <c r="X682" s="358"/>
      <c r="Y682" s="358"/>
      <c r="Z682" s="358"/>
    </row>
    <row r="683" spans="1:26" ht="13.5" customHeight="1">
      <c r="A683" s="358"/>
      <c r="B683" s="358"/>
      <c r="C683" s="358"/>
      <c r="D683" s="358"/>
      <c r="E683" s="358"/>
      <c r="F683" s="358"/>
      <c r="G683" s="358"/>
      <c r="H683" s="358"/>
      <c r="I683" s="358"/>
      <c r="J683" s="358"/>
      <c r="K683" s="358"/>
      <c r="L683" s="358"/>
      <c r="M683" s="358"/>
      <c r="N683" s="358"/>
      <c r="O683" s="358"/>
      <c r="P683" s="358"/>
      <c r="Q683" s="358"/>
      <c r="R683" s="358"/>
      <c r="S683" s="358"/>
      <c r="T683" s="358"/>
      <c r="U683" s="358"/>
      <c r="V683" s="358"/>
      <c r="W683" s="358"/>
      <c r="X683" s="358"/>
      <c r="Y683" s="358"/>
      <c r="Z683" s="358"/>
    </row>
    <row r="684" spans="1:26" ht="13.5" customHeight="1">
      <c r="A684" s="358"/>
      <c r="B684" s="358"/>
      <c r="C684" s="358"/>
      <c r="D684" s="358"/>
      <c r="E684" s="358"/>
      <c r="F684" s="358"/>
      <c r="G684" s="358"/>
      <c r="H684" s="358"/>
      <c r="I684" s="358"/>
      <c r="J684" s="358"/>
      <c r="K684" s="358"/>
      <c r="L684" s="358"/>
      <c r="M684" s="358"/>
      <c r="N684" s="358"/>
      <c r="O684" s="358"/>
      <c r="P684" s="358"/>
      <c r="Q684" s="358"/>
      <c r="R684" s="358"/>
      <c r="S684" s="358"/>
      <c r="T684" s="358"/>
      <c r="U684" s="358"/>
      <c r="V684" s="358"/>
      <c r="W684" s="358"/>
      <c r="X684" s="358"/>
      <c r="Y684" s="358"/>
      <c r="Z684" s="358"/>
    </row>
    <row r="685" spans="1:26" ht="13.5" customHeight="1">
      <c r="A685" s="358"/>
      <c r="B685" s="358"/>
      <c r="C685" s="358"/>
      <c r="D685" s="358"/>
      <c r="E685" s="358"/>
      <c r="F685" s="358"/>
      <c r="G685" s="358"/>
      <c r="H685" s="358"/>
      <c r="I685" s="358"/>
      <c r="J685" s="358"/>
      <c r="K685" s="358"/>
      <c r="L685" s="358"/>
      <c r="M685" s="358"/>
      <c r="N685" s="358"/>
      <c r="O685" s="358"/>
      <c r="P685" s="358"/>
      <c r="Q685" s="358"/>
      <c r="R685" s="358"/>
      <c r="S685" s="358"/>
      <c r="T685" s="358"/>
      <c r="U685" s="358"/>
      <c r="V685" s="358"/>
      <c r="W685" s="358"/>
      <c r="X685" s="358"/>
      <c r="Y685" s="358"/>
      <c r="Z685" s="358"/>
    </row>
    <row r="686" spans="1:26" ht="13.5" customHeight="1">
      <c r="A686" s="358"/>
      <c r="B686" s="358"/>
      <c r="C686" s="358"/>
      <c r="D686" s="358"/>
      <c r="E686" s="358"/>
      <c r="F686" s="358"/>
      <c r="G686" s="358"/>
      <c r="H686" s="358"/>
      <c r="I686" s="358"/>
      <c r="J686" s="358"/>
      <c r="K686" s="358"/>
      <c r="L686" s="358"/>
      <c r="M686" s="358"/>
      <c r="N686" s="358"/>
      <c r="O686" s="358"/>
      <c r="P686" s="358"/>
      <c r="Q686" s="358"/>
      <c r="R686" s="358"/>
      <c r="S686" s="358"/>
      <c r="T686" s="358"/>
      <c r="U686" s="358"/>
      <c r="V686" s="358"/>
      <c r="W686" s="358"/>
      <c r="X686" s="358"/>
      <c r="Y686" s="358"/>
      <c r="Z686" s="358"/>
    </row>
    <row r="687" spans="1:26" ht="13.5" customHeight="1">
      <c r="A687" s="358"/>
      <c r="B687" s="358"/>
      <c r="C687" s="358"/>
      <c r="D687" s="358"/>
      <c r="E687" s="358"/>
      <c r="F687" s="358"/>
      <c r="G687" s="358"/>
      <c r="H687" s="358"/>
      <c r="I687" s="358"/>
      <c r="J687" s="358"/>
      <c r="K687" s="358"/>
      <c r="L687" s="358"/>
      <c r="M687" s="358"/>
      <c r="N687" s="358"/>
      <c r="O687" s="358"/>
      <c r="P687" s="358"/>
      <c r="Q687" s="358"/>
      <c r="R687" s="358"/>
      <c r="S687" s="358"/>
      <c r="T687" s="358"/>
      <c r="U687" s="358"/>
      <c r="V687" s="358"/>
      <c r="W687" s="358"/>
      <c r="X687" s="358"/>
      <c r="Y687" s="358"/>
      <c r="Z687" s="358"/>
    </row>
    <row r="688" spans="1:26" ht="13.5" customHeight="1">
      <c r="A688" s="358"/>
      <c r="B688" s="358"/>
      <c r="C688" s="358"/>
      <c r="D688" s="358"/>
      <c r="E688" s="358"/>
      <c r="F688" s="358"/>
      <c r="G688" s="358"/>
      <c r="H688" s="358"/>
      <c r="I688" s="358"/>
      <c r="J688" s="358"/>
      <c r="K688" s="358"/>
      <c r="L688" s="358"/>
      <c r="M688" s="358"/>
      <c r="N688" s="358"/>
      <c r="O688" s="358"/>
      <c r="P688" s="358"/>
      <c r="Q688" s="358"/>
      <c r="R688" s="358"/>
      <c r="S688" s="358"/>
      <c r="T688" s="358"/>
      <c r="U688" s="358"/>
      <c r="V688" s="358"/>
      <c r="W688" s="358"/>
      <c r="X688" s="358"/>
      <c r="Y688" s="358"/>
      <c r="Z688" s="358"/>
    </row>
    <row r="689" spans="1:26" ht="13.5" customHeight="1">
      <c r="A689" s="358"/>
      <c r="B689" s="358"/>
      <c r="C689" s="358"/>
      <c r="D689" s="358"/>
      <c r="E689" s="358"/>
      <c r="F689" s="358"/>
      <c r="G689" s="358"/>
      <c r="H689" s="358"/>
      <c r="I689" s="358"/>
      <c r="J689" s="358"/>
      <c r="K689" s="358"/>
      <c r="L689" s="358"/>
      <c r="M689" s="358"/>
      <c r="N689" s="358"/>
      <c r="O689" s="358"/>
      <c r="P689" s="358"/>
      <c r="Q689" s="358"/>
      <c r="R689" s="358"/>
      <c r="S689" s="358"/>
      <c r="T689" s="358"/>
      <c r="U689" s="358"/>
      <c r="V689" s="358"/>
      <c r="W689" s="358"/>
      <c r="X689" s="358"/>
      <c r="Y689" s="358"/>
      <c r="Z689" s="358"/>
    </row>
    <row r="690" spans="1:26" ht="13.5" customHeight="1">
      <c r="A690" s="358"/>
      <c r="B690" s="358"/>
      <c r="C690" s="358"/>
      <c r="D690" s="358"/>
      <c r="E690" s="358"/>
      <c r="F690" s="358"/>
      <c r="G690" s="358"/>
      <c r="H690" s="358"/>
      <c r="I690" s="358"/>
      <c r="J690" s="358"/>
      <c r="K690" s="358"/>
      <c r="L690" s="358"/>
      <c r="M690" s="358"/>
      <c r="N690" s="358"/>
      <c r="O690" s="358"/>
      <c r="P690" s="358"/>
      <c r="Q690" s="358"/>
      <c r="R690" s="358"/>
      <c r="S690" s="358"/>
      <c r="T690" s="358"/>
      <c r="U690" s="358"/>
      <c r="V690" s="358"/>
      <c r="W690" s="358"/>
      <c r="X690" s="358"/>
      <c r="Y690" s="358"/>
      <c r="Z690" s="358"/>
    </row>
    <row r="691" spans="1:26" ht="13.5" customHeight="1">
      <c r="A691" s="358"/>
      <c r="B691" s="358"/>
      <c r="C691" s="358"/>
      <c r="D691" s="358"/>
      <c r="E691" s="358"/>
      <c r="F691" s="358"/>
      <c r="G691" s="358"/>
      <c r="H691" s="358"/>
      <c r="I691" s="358"/>
      <c r="J691" s="358"/>
      <c r="K691" s="358"/>
      <c r="L691" s="358"/>
      <c r="M691" s="358"/>
      <c r="N691" s="358"/>
      <c r="O691" s="358"/>
      <c r="P691" s="358"/>
      <c r="Q691" s="358"/>
      <c r="R691" s="358"/>
      <c r="S691" s="358"/>
      <c r="T691" s="358"/>
      <c r="U691" s="358"/>
      <c r="V691" s="358"/>
      <c r="W691" s="358"/>
      <c r="X691" s="358"/>
      <c r="Y691" s="358"/>
      <c r="Z691" s="358"/>
    </row>
    <row r="692" spans="1:26" ht="13.5" customHeight="1">
      <c r="A692" s="358"/>
      <c r="B692" s="358"/>
      <c r="C692" s="358"/>
      <c r="D692" s="358"/>
      <c r="E692" s="358"/>
      <c r="F692" s="358"/>
      <c r="G692" s="358"/>
      <c r="H692" s="358"/>
      <c r="I692" s="358"/>
      <c r="J692" s="358"/>
      <c r="K692" s="358"/>
      <c r="L692" s="358"/>
      <c r="M692" s="358"/>
      <c r="N692" s="358"/>
      <c r="O692" s="358"/>
      <c r="P692" s="358"/>
      <c r="Q692" s="358"/>
      <c r="R692" s="358"/>
      <c r="S692" s="358"/>
      <c r="T692" s="358"/>
      <c r="U692" s="358"/>
      <c r="V692" s="358"/>
      <c r="W692" s="358"/>
      <c r="X692" s="358"/>
      <c r="Y692" s="358"/>
      <c r="Z692" s="358"/>
    </row>
    <row r="693" spans="1:26" ht="13.5" customHeight="1">
      <c r="A693" s="358"/>
      <c r="B693" s="358"/>
      <c r="C693" s="358"/>
      <c r="D693" s="358"/>
      <c r="E693" s="358"/>
      <c r="F693" s="358"/>
      <c r="G693" s="358"/>
      <c r="H693" s="358"/>
      <c r="I693" s="358"/>
      <c r="J693" s="358"/>
      <c r="K693" s="358"/>
      <c r="L693" s="358"/>
      <c r="M693" s="358"/>
      <c r="N693" s="358"/>
      <c r="O693" s="358"/>
      <c r="P693" s="358"/>
      <c r="Q693" s="358"/>
      <c r="R693" s="358"/>
      <c r="S693" s="358"/>
      <c r="T693" s="358"/>
      <c r="U693" s="358"/>
      <c r="V693" s="358"/>
      <c r="W693" s="358"/>
      <c r="X693" s="358"/>
      <c r="Y693" s="358"/>
      <c r="Z693" s="358"/>
    </row>
    <row r="694" spans="1:26" ht="13.5" customHeight="1">
      <c r="A694" s="358"/>
      <c r="B694" s="358"/>
      <c r="C694" s="358"/>
      <c r="D694" s="358"/>
      <c r="E694" s="358"/>
      <c r="F694" s="358"/>
      <c r="G694" s="358"/>
      <c r="H694" s="358"/>
      <c r="I694" s="358"/>
      <c r="J694" s="358"/>
      <c r="K694" s="358"/>
      <c r="L694" s="358"/>
      <c r="M694" s="358"/>
      <c r="N694" s="358"/>
      <c r="O694" s="358"/>
      <c r="P694" s="358"/>
      <c r="Q694" s="358"/>
      <c r="R694" s="358"/>
      <c r="S694" s="358"/>
      <c r="T694" s="358"/>
      <c r="U694" s="358"/>
      <c r="V694" s="358"/>
      <c r="W694" s="358"/>
      <c r="X694" s="358"/>
      <c r="Y694" s="358"/>
      <c r="Z694" s="358"/>
    </row>
    <row r="695" spans="1:26" ht="13.5" customHeight="1">
      <c r="A695" s="358"/>
      <c r="B695" s="358"/>
      <c r="C695" s="358"/>
      <c r="D695" s="358"/>
      <c r="E695" s="358"/>
      <c r="F695" s="358"/>
      <c r="G695" s="358"/>
      <c r="H695" s="358"/>
      <c r="I695" s="358"/>
      <c r="J695" s="358"/>
      <c r="K695" s="358"/>
      <c r="L695" s="358"/>
      <c r="M695" s="358"/>
      <c r="N695" s="358"/>
      <c r="O695" s="358"/>
      <c r="P695" s="358"/>
      <c r="Q695" s="358"/>
      <c r="R695" s="358"/>
      <c r="S695" s="358"/>
      <c r="T695" s="358"/>
      <c r="U695" s="358"/>
      <c r="V695" s="358"/>
      <c r="W695" s="358"/>
      <c r="X695" s="358"/>
      <c r="Y695" s="358"/>
      <c r="Z695" s="358"/>
    </row>
    <row r="696" spans="1:26" ht="13.5" customHeight="1">
      <c r="A696" s="358"/>
      <c r="B696" s="358"/>
      <c r="C696" s="358"/>
      <c r="D696" s="358"/>
      <c r="E696" s="358"/>
      <c r="F696" s="358"/>
      <c r="G696" s="358"/>
      <c r="H696" s="358"/>
      <c r="I696" s="358"/>
      <c r="J696" s="358"/>
      <c r="K696" s="358"/>
      <c r="L696" s="358"/>
      <c r="M696" s="358"/>
      <c r="N696" s="358"/>
      <c r="O696" s="358"/>
      <c r="P696" s="358"/>
      <c r="Q696" s="358"/>
      <c r="R696" s="358"/>
      <c r="S696" s="358"/>
      <c r="T696" s="358"/>
      <c r="U696" s="358"/>
      <c r="V696" s="358"/>
      <c r="W696" s="358"/>
      <c r="X696" s="358"/>
      <c r="Y696" s="358"/>
      <c r="Z696" s="358"/>
    </row>
    <row r="697" spans="1:26" ht="13.5" customHeight="1">
      <c r="A697" s="358"/>
      <c r="B697" s="358"/>
      <c r="C697" s="358"/>
      <c r="D697" s="358"/>
      <c r="E697" s="358"/>
      <c r="F697" s="358"/>
      <c r="G697" s="358"/>
      <c r="H697" s="358"/>
      <c r="I697" s="358"/>
      <c r="J697" s="358"/>
      <c r="K697" s="358"/>
      <c r="L697" s="358"/>
      <c r="M697" s="358"/>
      <c r="N697" s="358"/>
      <c r="O697" s="358"/>
      <c r="P697" s="358"/>
      <c r="Q697" s="358"/>
      <c r="R697" s="358"/>
      <c r="S697" s="358"/>
      <c r="T697" s="358"/>
      <c r="U697" s="358"/>
      <c r="V697" s="358"/>
      <c r="W697" s="358"/>
      <c r="X697" s="358"/>
      <c r="Y697" s="358"/>
      <c r="Z697" s="358"/>
    </row>
    <row r="698" spans="1:26" ht="13.5" customHeight="1">
      <c r="A698" s="358"/>
      <c r="B698" s="358"/>
      <c r="C698" s="358"/>
      <c r="D698" s="358"/>
      <c r="E698" s="358"/>
      <c r="F698" s="358"/>
      <c r="G698" s="358"/>
      <c r="H698" s="358"/>
      <c r="I698" s="358"/>
      <c r="J698" s="358"/>
      <c r="K698" s="358"/>
      <c r="L698" s="358"/>
      <c r="M698" s="358"/>
      <c r="N698" s="358"/>
      <c r="O698" s="358"/>
      <c r="P698" s="358"/>
      <c r="Q698" s="358"/>
      <c r="R698" s="358"/>
      <c r="S698" s="358"/>
      <c r="T698" s="358"/>
      <c r="U698" s="358"/>
      <c r="V698" s="358"/>
      <c r="W698" s="358"/>
      <c r="X698" s="358"/>
      <c r="Y698" s="358"/>
      <c r="Z698" s="358"/>
    </row>
    <row r="699" spans="1:26" ht="13.5" customHeight="1">
      <c r="A699" s="358"/>
      <c r="B699" s="358"/>
      <c r="C699" s="358"/>
      <c r="D699" s="358"/>
      <c r="E699" s="358"/>
      <c r="F699" s="358"/>
      <c r="G699" s="358"/>
      <c r="H699" s="358"/>
      <c r="I699" s="358"/>
      <c r="J699" s="358"/>
      <c r="K699" s="358"/>
      <c r="L699" s="358"/>
      <c r="M699" s="358"/>
      <c r="N699" s="358"/>
      <c r="O699" s="358"/>
      <c r="P699" s="358"/>
      <c r="Q699" s="358"/>
      <c r="R699" s="358"/>
      <c r="S699" s="358"/>
      <c r="T699" s="358"/>
      <c r="U699" s="358"/>
      <c r="V699" s="358"/>
      <c r="W699" s="358"/>
      <c r="X699" s="358"/>
      <c r="Y699" s="358"/>
      <c r="Z699" s="358"/>
    </row>
    <row r="700" spans="1:26" ht="13.5" customHeight="1">
      <c r="A700" s="358"/>
      <c r="B700" s="358"/>
      <c r="C700" s="358"/>
      <c r="D700" s="358"/>
      <c r="E700" s="358"/>
      <c r="F700" s="358"/>
      <c r="G700" s="358"/>
      <c r="H700" s="358"/>
      <c r="I700" s="358"/>
      <c r="J700" s="358"/>
      <c r="K700" s="358"/>
      <c r="L700" s="358"/>
      <c r="M700" s="358"/>
      <c r="N700" s="358"/>
      <c r="O700" s="358"/>
      <c r="P700" s="358"/>
      <c r="Q700" s="358"/>
      <c r="R700" s="358"/>
      <c r="S700" s="358"/>
      <c r="T700" s="358"/>
      <c r="U700" s="358"/>
      <c r="V700" s="358"/>
      <c r="W700" s="358"/>
      <c r="X700" s="358"/>
      <c r="Y700" s="358"/>
      <c r="Z700" s="358"/>
    </row>
    <row r="701" spans="1:26" ht="13.5" customHeight="1">
      <c r="A701" s="358"/>
      <c r="B701" s="358"/>
      <c r="C701" s="358"/>
      <c r="D701" s="358"/>
      <c r="E701" s="358"/>
      <c r="F701" s="358"/>
      <c r="G701" s="358"/>
      <c r="H701" s="358"/>
      <c r="I701" s="358"/>
      <c r="J701" s="358"/>
      <c r="K701" s="358"/>
      <c r="L701" s="358"/>
      <c r="M701" s="358"/>
      <c r="N701" s="358"/>
      <c r="O701" s="358"/>
      <c r="P701" s="358"/>
      <c r="Q701" s="358"/>
      <c r="R701" s="358"/>
      <c r="S701" s="358"/>
      <c r="T701" s="358"/>
      <c r="U701" s="358"/>
      <c r="V701" s="358"/>
      <c r="W701" s="358"/>
      <c r="X701" s="358"/>
      <c r="Y701" s="358"/>
      <c r="Z701" s="358"/>
    </row>
    <row r="702" spans="1:26" ht="13.5" customHeight="1">
      <c r="A702" s="358"/>
      <c r="B702" s="358"/>
      <c r="C702" s="358"/>
      <c r="D702" s="358"/>
      <c r="E702" s="358"/>
      <c r="F702" s="358"/>
      <c r="G702" s="358"/>
      <c r="H702" s="358"/>
      <c r="I702" s="358"/>
      <c r="J702" s="358"/>
      <c r="K702" s="358"/>
      <c r="L702" s="358"/>
      <c r="M702" s="358"/>
      <c r="N702" s="358"/>
      <c r="O702" s="358"/>
      <c r="P702" s="358"/>
      <c r="Q702" s="358"/>
      <c r="R702" s="358"/>
      <c r="S702" s="358"/>
      <c r="T702" s="358"/>
      <c r="U702" s="358"/>
      <c r="V702" s="358"/>
      <c r="W702" s="358"/>
      <c r="X702" s="358"/>
      <c r="Y702" s="358"/>
      <c r="Z702" s="358"/>
    </row>
    <row r="703" spans="1:26" ht="13.5" customHeight="1">
      <c r="A703" s="358"/>
      <c r="B703" s="358"/>
      <c r="C703" s="358"/>
      <c r="D703" s="358"/>
      <c r="E703" s="358"/>
      <c r="F703" s="358"/>
      <c r="G703" s="358"/>
      <c r="H703" s="358"/>
      <c r="I703" s="358"/>
      <c r="J703" s="358"/>
      <c r="K703" s="358"/>
      <c r="L703" s="358"/>
      <c r="M703" s="358"/>
      <c r="N703" s="358"/>
      <c r="O703" s="358"/>
      <c r="P703" s="358"/>
      <c r="Q703" s="358"/>
      <c r="R703" s="358"/>
      <c r="S703" s="358"/>
      <c r="T703" s="358"/>
      <c r="U703" s="358"/>
      <c r="V703" s="358"/>
      <c r="W703" s="358"/>
      <c r="X703" s="358"/>
      <c r="Y703" s="358"/>
      <c r="Z703" s="358"/>
    </row>
    <row r="704" spans="1:26" ht="13.5" customHeight="1">
      <c r="A704" s="358"/>
      <c r="B704" s="358"/>
      <c r="C704" s="358"/>
      <c r="D704" s="358"/>
      <c r="E704" s="358"/>
      <c r="F704" s="358"/>
      <c r="G704" s="358"/>
      <c r="H704" s="358"/>
      <c r="I704" s="358"/>
      <c r="J704" s="358"/>
      <c r="K704" s="358"/>
      <c r="L704" s="358"/>
      <c r="M704" s="358"/>
      <c r="N704" s="358"/>
      <c r="O704" s="358"/>
      <c r="P704" s="358"/>
      <c r="Q704" s="358"/>
      <c r="R704" s="358"/>
      <c r="S704" s="358"/>
      <c r="T704" s="358"/>
      <c r="U704" s="358"/>
      <c r="V704" s="358"/>
      <c r="W704" s="358"/>
      <c r="X704" s="358"/>
      <c r="Y704" s="358"/>
      <c r="Z704" s="358"/>
    </row>
    <row r="705" spans="1:26" ht="13.5" customHeight="1">
      <c r="A705" s="358"/>
      <c r="B705" s="358"/>
      <c r="C705" s="358"/>
      <c r="D705" s="358"/>
      <c r="E705" s="358"/>
      <c r="F705" s="358"/>
      <c r="G705" s="358"/>
      <c r="H705" s="358"/>
      <c r="I705" s="358"/>
      <c r="J705" s="358"/>
      <c r="K705" s="358"/>
      <c r="L705" s="358"/>
      <c r="M705" s="358"/>
      <c r="N705" s="358"/>
      <c r="O705" s="358"/>
      <c r="P705" s="358"/>
      <c r="Q705" s="358"/>
      <c r="R705" s="358"/>
      <c r="S705" s="358"/>
      <c r="T705" s="358"/>
      <c r="U705" s="358"/>
      <c r="V705" s="358"/>
      <c r="W705" s="358"/>
      <c r="X705" s="358"/>
      <c r="Y705" s="358"/>
      <c r="Z705" s="358"/>
    </row>
    <row r="706" spans="1:26" ht="13.5" customHeight="1">
      <c r="A706" s="358"/>
      <c r="B706" s="358"/>
      <c r="C706" s="358"/>
      <c r="D706" s="358"/>
      <c r="E706" s="358"/>
      <c r="F706" s="358"/>
      <c r="G706" s="358"/>
      <c r="H706" s="358"/>
      <c r="I706" s="358"/>
      <c r="J706" s="358"/>
      <c r="K706" s="358"/>
      <c r="L706" s="358"/>
      <c r="M706" s="358"/>
      <c r="N706" s="358"/>
      <c r="O706" s="358"/>
      <c r="P706" s="358"/>
      <c r="Q706" s="358"/>
      <c r="R706" s="358"/>
      <c r="S706" s="358"/>
      <c r="T706" s="358"/>
      <c r="U706" s="358"/>
      <c r="V706" s="358"/>
      <c r="W706" s="358"/>
      <c r="X706" s="358"/>
      <c r="Y706" s="358"/>
      <c r="Z706" s="358"/>
    </row>
    <row r="707" spans="1:26" ht="13.5" customHeight="1">
      <c r="A707" s="358"/>
      <c r="B707" s="358"/>
      <c r="C707" s="358"/>
      <c r="D707" s="358"/>
      <c r="E707" s="358"/>
      <c r="F707" s="358"/>
      <c r="G707" s="358"/>
      <c r="H707" s="358"/>
      <c r="I707" s="358"/>
      <c r="J707" s="358"/>
      <c r="K707" s="358"/>
      <c r="L707" s="358"/>
      <c r="M707" s="358"/>
      <c r="N707" s="358"/>
      <c r="O707" s="358"/>
      <c r="P707" s="358"/>
      <c r="Q707" s="358"/>
      <c r="R707" s="358"/>
      <c r="S707" s="358"/>
      <c r="T707" s="358"/>
      <c r="U707" s="358"/>
      <c r="V707" s="358"/>
      <c r="W707" s="358"/>
      <c r="X707" s="358"/>
      <c r="Y707" s="358"/>
      <c r="Z707" s="358"/>
    </row>
    <row r="708" spans="1:26" ht="13.5" customHeight="1">
      <c r="A708" s="358"/>
      <c r="B708" s="358"/>
      <c r="C708" s="358"/>
      <c r="D708" s="358"/>
      <c r="E708" s="358"/>
      <c r="F708" s="358"/>
      <c r="G708" s="358"/>
      <c r="H708" s="358"/>
      <c r="I708" s="358"/>
      <c r="J708" s="358"/>
      <c r="K708" s="358"/>
      <c r="L708" s="358"/>
      <c r="M708" s="358"/>
      <c r="N708" s="358"/>
      <c r="O708" s="358"/>
      <c r="P708" s="358"/>
      <c r="Q708" s="358"/>
      <c r="R708" s="358"/>
      <c r="S708" s="358"/>
      <c r="T708" s="358"/>
      <c r="U708" s="358"/>
      <c r="V708" s="358"/>
      <c r="W708" s="358"/>
      <c r="X708" s="358"/>
      <c r="Y708" s="358"/>
      <c r="Z708" s="358"/>
    </row>
    <row r="709" spans="1:26" ht="13.5" customHeight="1">
      <c r="A709" s="358"/>
      <c r="B709" s="358"/>
      <c r="C709" s="358"/>
      <c r="D709" s="358"/>
      <c r="E709" s="358"/>
      <c r="F709" s="358"/>
      <c r="G709" s="358"/>
      <c r="H709" s="358"/>
      <c r="I709" s="358"/>
      <c r="J709" s="358"/>
      <c r="K709" s="358"/>
      <c r="L709" s="358"/>
      <c r="M709" s="358"/>
      <c r="N709" s="358"/>
      <c r="O709" s="358"/>
      <c r="P709" s="358"/>
      <c r="Q709" s="358"/>
      <c r="R709" s="358"/>
      <c r="S709" s="358"/>
      <c r="T709" s="358"/>
      <c r="U709" s="358"/>
      <c r="V709" s="358"/>
      <c r="W709" s="358"/>
      <c r="X709" s="358"/>
      <c r="Y709" s="358"/>
      <c r="Z709" s="358"/>
    </row>
    <row r="710" spans="1:26" ht="13.5" customHeight="1">
      <c r="A710" s="358"/>
      <c r="B710" s="358"/>
      <c r="C710" s="358"/>
      <c r="D710" s="358"/>
      <c r="E710" s="358"/>
      <c r="F710" s="358"/>
      <c r="G710" s="358"/>
      <c r="H710" s="358"/>
      <c r="I710" s="358"/>
      <c r="J710" s="358"/>
      <c r="K710" s="358"/>
      <c r="L710" s="358"/>
      <c r="M710" s="358"/>
      <c r="N710" s="358"/>
      <c r="O710" s="358"/>
      <c r="P710" s="358"/>
      <c r="Q710" s="358"/>
      <c r="R710" s="358"/>
      <c r="S710" s="358"/>
      <c r="T710" s="358"/>
      <c r="U710" s="358"/>
      <c r="V710" s="358"/>
      <c r="W710" s="358"/>
      <c r="X710" s="358"/>
      <c r="Y710" s="358"/>
      <c r="Z710" s="358"/>
    </row>
    <row r="711" spans="1:26" ht="13.5" customHeight="1">
      <c r="A711" s="358"/>
      <c r="B711" s="358"/>
      <c r="C711" s="358"/>
      <c r="D711" s="358"/>
      <c r="E711" s="358"/>
      <c r="F711" s="358"/>
      <c r="G711" s="358"/>
      <c r="H711" s="358"/>
      <c r="I711" s="358"/>
      <c r="J711" s="358"/>
      <c r="K711" s="358"/>
      <c r="L711" s="358"/>
      <c r="M711" s="358"/>
      <c r="N711" s="358"/>
      <c r="O711" s="358"/>
      <c r="P711" s="358"/>
      <c r="Q711" s="358"/>
      <c r="R711" s="358"/>
      <c r="S711" s="358"/>
      <c r="T711" s="358"/>
      <c r="U711" s="358"/>
      <c r="V711" s="358"/>
      <c r="W711" s="358"/>
      <c r="X711" s="358"/>
      <c r="Y711" s="358"/>
      <c r="Z711" s="358"/>
    </row>
    <row r="712" spans="1:26" ht="13.5" customHeight="1">
      <c r="A712" s="358"/>
      <c r="B712" s="358"/>
      <c r="C712" s="358"/>
      <c r="D712" s="358"/>
      <c r="E712" s="358"/>
      <c r="F712" s="358"/>
      <c r="G712" s="358"/>
      <c r="H712" s="358"/>
      <c r="I712" s="358"/>
      <c r="J712" s="358"/>
      <c r="K712" s="358"/>
      <c r="L712" s="358"/>
      <c r="M712" s="358"/>
      <c r="N712" s="358"/>
      <c r="O712" s="358"/>
      <c r="P712" s="358"/>
      <c r="Q712" s="358"/>
      <c r="R712" s="358"/>
      <c r="S712" s="358"/>
      <c r="T712" s="358"/>
      <c r="U712" s="358"/>
      <c r="V712" s="358"/>
      <c r="W712" s="358"/>
      <c r="X712" s="358"/>
      <c r="Y712" s="358"/>
      <c r="Z712" s="358"/>
    </row>
    <row r="713" spans="1:26" ht="13.5" customHeight="1">
      <c r="A713" s="358"/>
      <c r="B713" s="358"/>
      <c r="C713" s="358"/>
      <c r="D713" s="358"/>
      <c r="E713" s="358"/>
      <c r="F713" s="358"/>
      <c r="G713" s="358"/>
      <c r="H713" s="358"/>
      <c r="I713" s="358"/>
      <c r="J713" s="358"/>
      <c r="K713" s="358"/>
      <c r="L713" s="358"/>
      <c r="M713" s="358"/>
      <c r="N713" s="358"/>
      <c r="O713" s="358"/>
      <c r="P713" s="358"/>
      <c r="Q713" s="358"/>
      <c r="R713" s="358"/>
      <c r="S713" s="358"/>
      <c r="T713" s="358"/>
      <c r="U713" s="358"/>
      <c r="V713" s="358"/>
      <c r="W713" s="358"/>
      <c r="X713" s="358"/>
      <c r="Y713" s="358"/>
      <c r="Z713" s="358"/>
    </row>
    <row r="714" spans="1:26" ht="13.5" customHeight="1">
      <c r="A714" s="358"/>
      <c r="B714" s="358"/>
      <c r="C714" s="358"/>
      <c r="D714" s="358"/>
      <c r="E714" s="358"/>
      <c r="F714" s="358"/>
      <c r="G714" s="358"/>
      <c r="H714" s="358"/>
      <c r="I714" s="358"/>
      <c r="J714" s="358"/>
      <c r="K714" s="358"/>
      <c r="L714" s="358"/>
      <c r="M714" s="358"/>
      <c r="N714" s="358"/>
      <c r="O714" s="358"/>
      <c r="P714" s="358"/>
      <c r="Q714" s="358"/>
      <c r="R714" s="358"/>
      <c r="S714" s="358"/>
      <c r="T714" s="358"/>
      <c r="U714" s="358"/>
      <c r="V714" s="358"/>
      <c r="W714" s="358"/>
      <c r="X714" s="358"/>
      <c r="Y714" s="358"/>
      <c r="Z714" s="358"/>
    </row>
    <row r="715" spans="1:26" ht="13.5" customHeight="1">
      <c r="A715" s="358"/>
      <c r="B715" s="358"/>
      <c r="C715" s="358"/>
      <c r="D715" s="358"/>
      <c r="E715" s="358"/>
      <c r="F715" s="358"/>
      <c r="G715" s="358"/>
      <c r="H715" s="358"/>
      <c r="I715" s="358"/>
      <c r="J715" s="358"/>
      <c r="K715" s="358"/>
      <c r="L715" s="358"/>
      <c r="M715" s="358"/>
      <c r="N715" s="358"/>
      <c r="O715" s="358"/>
      <c r="P715" s="358"/>
      <c r="Q715" s="358"/>
      <c r="R715" s="358"/>
      <c r="S715" s="358"/>
      <c r="T715" s="358"/>
      <c r="U715" s="358"/>
      <c r="V715" s="358"/>
      <c r="W715" s="358"/>
      <c r="X715" s="358"/>
      <c r="Y715" s="358"/>
      <c r="Z715" s="358"/>
    </row>
    <row r="716" spans="1:26" ht="13.5" customHeight="1">
      <c r="A716" s="358"/>
      <c r="B716" s="358"/>
      <c r="C716" s="358"/>
      <c r="D716" s="358"/>
      <c r="E716" s="358"/>
      <c r="F716" s="358"/>
      <c r="G716" s="358"/>
      <c r="H716" s="358"/>
      <c r="I716" s="358"/>
      <c r="J716" s="358"/>
      <c r="K716" s="358"/>
      <c r="L716" s="358"/>
      <c r="M716" s="358"/>
      <c r="N716" s="358"/>
      <c r="O716" s="358"/>
      <c r="P716" s="358"/>
      <c r="Q716" s="358"/>
      <c r="R716" s="358"/>
      <c r="S716" s="358"/>
      <c r="T716" s="358"/>
      <c r="U716" s="358"/>
      <c r="V716" s="358"/>
      <c r="W716" s="358"/>
      <c r="X716" s="358"/>
      <c r="Y716" s="358"/>
      <c r="Z716" s="358"/>
    </row>
    <row r="717" spans="1:26" ht="13.5" customHeight="1">
      <c r="A717" s="358"/>
      <c r="B717" s="358"/>
      <c r="C717" s="358"/>
      <c r="D717" s="358"/>
      <c r="E717" s="358"/>
      <c r="F717" s="358"/>
      <c r="G717" s="358"/>
      <c r="H717" s="358"/>
      <c r="I717" s="358"/>
      <c r="J717" s="358"/>
      <c r="K717" s="358"/>
      <c r="L717" s="358"/>
      <c r="M717" s="358"/>
      <c r="N717" s="358"/>
      <c r="O717" s="358"/>
      <c r="P717" s="358"/>
      <c r="Q717" s="358"/>
      <c r="R717" s="358"/>
      <c r="S717" s="358"/>
      <c r="T717" s="358"/>
      <c r="U717" s="358"/>
      <c r="V717" s="358"/>
      <c r="W717" s="358"/>
      <c r="X717" s="358"/>
      <c r="Y717" s="358"/>
      <c r="Z717" s="358"/>
    </row>
    <row r="718" spans="1:26" ht="13.5" customHeight="1">
      <c r="A718" s="358"/>
      <c r="B718" s="358"/>
      <c r="C718" s="358"/>
      <c r="D718" s="358"/>
      <c r="E718" s="358"/>
      <c r="F718" s="358"/>
      <c r="G718" s="358"/>
      <c r="H718" s="358"/>
      <c r="I718" s="358"/>
      <c r="J718" s="358"/>
      <c r="K718" s="358"/>
      <c r="L718" s="358"/>
      <c r="M718" s="358"/>
      <c r="N718" s="358"/>
      <c r="O718" s="358"/>
      <c r="P718" s="358"/>
      <c r="Q718" s="358"/>
      <c r="R718" s="358"/>
      <c r="S718" s="358"/>
      <c r="T718" s="358"/>
      <c r="U718" s="358"/>
      <c r="V718" s="358"/>
      <c r="W718" s="358"/>
      <c r="X718" s="358"/>
      <c r="Y718" s="358"/>
      <c r="Z718" s="358"/>
    </row>
    <row r="719" spans="1:26" ht="13.5" customHeight="1">
      <c r="A719" s="358"/>
      <c r="B719" s="358"/>
      <c r="C719" s="358"/>
      <c r="D719" s="358"/>
      <c r="E719" s="358"/>
      <c r="F719" s="358"/>
      <c r="G719" s="358"/>
      <c r="H719" s="358"/>
      <c r="I719" s="358"/>
      <c r="J719" s="358"/>
      <c r="K719" s="358"/>
      <c r="L719" s="358"/>
      <c r="M719" s="358"/>
      <c r="N719" s="358"/>
      <c r="O719" s="358"/>
      <c r="P719" s="358"/>
      <c r="Q719" s="358"/>
      <c r="R719" s="358"/>
      <c r="S719" s="358"/>
      <c r="T719" s="358"/>
      <c r="U719" s="358"/>
      <c r="V719" s="358"/>
      <c r="W719" s="358"/>
      <c r="X719" s="358"/>
      <c r="Y719" s="358"/>
      <c r="Z719" s="358"/>
    </row>
    <row r="720" spans="1:26" ht="13.5" customHeight="1">
      <c r="A720" s="358"/>
      <c r="B720" s="358"/>
      <c r="C720" s="358"/>
      <c r="D720" s="358"/>
      <c r="E720" s="358"/>
      <c r="F720" s="358"/>
      <c r="G720" s="358"/>
      <c r="H720" s="358"/>
      <c r="I720" s="358"/>
      <c r="J720" s="358"/>
      <c r="K720" s="358"/>
      <c r="L720" s="358"/>
      <c r="M720" s="358"/>
      <c r="N720" s="358"/>
      <c r="O720" s="358"/>
      <c r="P720" s="358"/>
      <c r="Q720" s="358"/>
      <c r="R720" s="358"/>
      <c r="S720" s="358"/>
      <c r="T720" s="358"/>
      <c r="U720" s="358"/>
      <c r="V720" s="358"/>
      <c r="W720" s="358"/>
      <c r="X720" s="358"/>
      <c r="Y720" s="358"/>
      <c r="Z720" s="358"/>
    </row>
    <row r="721" spans="1:26" ht="13.5" customHeight="1">
      <c r="A721" s="358"/>
      <c r="B721" s="358"/>
      <c r="C721" s="358"/>
      <c r="D721" s="358"/>
      <c r="E721" s="358"/>
      <c r="F721" s="358"/>
      <c r="G721" s="358"/>
      <c r="H721" s="358"/>
      <c r="I721" s="358"/>
      <c r="J721" s="358"/>
      <c r="K721" s="358"/>
      <c r="L721" s="358"/>
      <c r="M721" s="358"/>
      <c r="N721" s="358"/>
      <c r="O721" s="358"/>
      <c r="P721" s="358"/>
      <c r="Q721" s="358"/>
      <c r="R721" s="358"/>
      <c r="S721" s="358"/>
      <c r="T721" s="358"/>
      <c r="U721" s="358"/>
      <c r="V721" s="358"/>
      <c r="W721" s="358"/>
      <c r="X721" s="358"/>
      <c r="Y721" s="358"/>
      <c r="Z721" s="358"/>
    </row>
    <row r="722" spans="1:26" ht="13.5" customHeight="1">
      <c r="A722" s="358"/>
      <c r="B722" s="358"/>
      <c r="C722" s="358"/>
      <c r="D722" s="358"/>
      <c r="E722" s="358"/>
      <c r="F722" s="358"/>
      <c r="G722" s="358"/>
      <c r="H722" s="358"/>
      <c r="I722" s="358"/>
      <c r="J722" s="358"/>
      <c r="K722" s="358"/>
      <c r="L722" s="358"/>
      <c r="M722" s="358"/>
      <c r="N722" s="358"/>
      <c r="O722" s="358"/>
      <c r="P722" s="358"/>
      <c r="Q722" s="358"/>
      <c r="R722" s="358"/>
      <c r="S722" s="358"/>
      <c r="T722" s="358"/>
      <c r="U722" s="358"/>
      <c r="V722" s="358"/>
      <c r="W722" s="358"/>
      <c r="X722" s="358"/>
      <c r="Y722" s="358"/>
      <c r="Z722" s="358"/>
    </row>
    <row r="723" spans="1:26" ht="13.5" customHeight="1">
      <c r="A723" s="358"/>
      <c r="B723" s="358"/>
      <c r="C723" s="358"/>
      <c r="D723" s="358"/>
      <c r="E723" s="358"/>
      <c r="F723" s="358"/>
      <c r="G723" s="358"/>
      <c r="H723" s="358"/>
      <c r="I723" s="358"/>
      <c r="J723" s="358"/>
      <c r="K723" s="358"/>
      <c r="L723" s="358"/>
      <c r="M723" s="358"/>
      <c r="N723" s="358"/>
      <c r="O723" s="358"/>
      <c r="P723" s="358"/>
      <c r="Q723" s="358"/>
      <c r="R723" s="358"/>
      <c r="S723" s="358"/>
      <c r="T723" s="358"/>
      <c r="U723" s="358"/>
      <c r="V723" s="358"/>
      <c r="W723" s="358"/>
      <c r="X723" s="358"/>
      <c r="Y723" s="358"/>
      <c r="Z723" s="358"/>
    </row>
    <row r="724" spans="1:26" ht="13.5" customHeight="1">
      <c r="A724" s="358"/>
      <c r="B724" s="358"/>
      <c r="C724" s="358"/>
      <c r="D724" s="358"/>
      <c r="E724" s="358"/>
      <c r="F724" s="358"/>
      <c r="G724" s="358"/>
      <c r="H724" s="358"/>
      <c r="I724" s="358"/>
      <c r="J724" s="358"/>
      <c r="K724" s="358"/>
      <c r="L724" s="358"/>
      <c r="M724" s="358"/>
      <c r="N724" s="358"/>
      <c r="O724" s="358"/>
      <c r="P724" s="358"/>
      <c r="Q724" s="358"/>
      <c r="R724" s="358"/>
      <c r="S724" s="358"/>
      <c r="T724" s="358"/>
      <c r="U724" s="358"/>
      <c r="V724" s="358"/>
      <c r="W724" s="358"/>
      <c r="X724" s="358"/>
      <c r="Y724" s="358"/>
      <c r="Z724" s="358"/>
    </row>
    <row r="725" spans="1:26" ht="13.5" customHeight="1">
      <c r="A725" s="358"/>
      <c r="B725" s="358"/>
      <c r="C725" s="358"/>
      <c r="D725" s="358"/>
      <c r="E725" s="358"/>
      <c r="F725" s="358"/>
      <c r="G725" s="358"/>
      <c r="H725" s="358"/>
      <c r="I725" s="358"/>
      <c r="J725" s="358"/>
      <c r="K725" s="358"/>
      <c r="L725" s="358"/>
      <c r="M725" s="358"/>
      <c r="N725" s="358"/>
      <c r="O725" s="358"/>
      <c r="P725" s="358"/>
      <c r="Q725" s="358"/>
      <c r="R725" s="358"/>
      <c r="S725" s="358"/>
      <c r="T725" s="358"/>
      <c r="U725" s="358"/>
      <c r="V725" s="358"/>
      <c r="W725" s="358"/>
      <c r="X725" s="358"/>
      <c r="Y725" s="358"/>
      <c r="Z725" s="358"/>
    </row>
    <row r="726" spans="1:26" ht="13.5" customHeight="1">
      <c r="A726" s="358"/>
      <c r="B726" s="358"/>
      <c r="C726" s="358"/>
      <c r="D726" s="358"/>
      <c r="E726" s="358"/>
      <c r="F726" s="358"/>
      <c r="G726" s="358"/>
      <c r="H726" s="358"/>
      <c r="I726" s="358"/>
      <c r="J726" s="358"/>
      <c r="K726" s="358"/>
      <c r="L726" s="358"/>
      <c r="M726" s="358"/>
      <c r="N726" s="358"/>
      <c r="O726" s="358"/>
      <c r="P726" s="358"/>
      <c r="Q726" s="358"/>
      <c r="R726" s="358"/>
      <c r="S726" s="358"/>
      <c r="T726" s="358"/>
      <c r="U726" s="358"/>
      <c r="V726" s="358"/>
      <c r="W726" s="358"/>
      <c r="X726" s="358"/>
      <c r="Y726" s="358"/>
      <c r="Z726" s="358"/>
    </row>
    <row r="727" spans="1:26" ht="13.5" customHeight="1">
      <c r="A727" s="358"/>
      <c r="B727" s="358"/>
      <c r="C727" s="358"/>
      <c r="D727" s="358"/>
      <c r="E727" s="358"/>
      <c r="F727" s="358"/>
      <c r="G727" s="358"/>
      <c r="H727" s="358"/>
      <c r="I727" s="358"/>
      <c r="J727" s="358"/>
      <c r="K727" s="358"/>
      <c r="L727" s="358"/>
      <c r="M727" s="358"/>
      <c r="N727" s="358"/>
      <c r="O727" s="358"/>
      <c r="P727" s="358"/>
      <c r="Q727" s="358"/>
      <c r="R727" s="358"/>
      <c r="S727" s="358"/>
      <c r="T727" s="358"/>
      <c r="U727" s="358"/>
      <c r="V727" s="358"/>
      <c r="W727" s="358"/>
      <c r="X727" s="358"/>
      <c r="Y727" s="358"/>
      <c r="Z727" s="358"/>
    </row>
    <row r="728" spans="1:26" ht="13.5" customHeight="1">
      <c r="A728" s="358"/>
      <c r="B728" s="358"/>
      <c r="C728" s="358"/>
      <c r="D728" s="358"/>
      <c r="E728" s="358"/>
      <c r="F728" s="358"/>
      <c r="G728" s="358"/>
      <c r="H728" s="358"/>
      <c r="I728" s="358"/>
      <c r="J728" s="358"/>
      <c r="K728" s="358"/>
      <c r="L728" s="358"/>
      <c r="M728" s="358"/>
      <c r="N728" s="358"/>
      <c r="O728" s="358"/>
      <c r="P728" s="358"/>
      <c r="Q728" s="358"/>
      <c r="R728" s="358"/>
      <c r="S728" s="358"/>
      <c r="T728" s="358"/>
      <c r="U728" s="358"/>
      <c r="V728" s="358"/>
      <c r="W728" s="358"/>
      <c r="X728" s="358"/>
      <c r="Y728" s="358"/>
      <c r="Z728" s="358"/>
    </row>
    <row r="729" spans="1:26" ht="13.5" customHeight="1">
      <c r="A729" s="358"/>
      <c r="B729" s="358"/>
      <c r="C729" s="358"/>
      <c r="D729" s="358"/>
      <c r="E729" s="358"/>
      <c r="F729" s="358"/>
      <c r="G729" s="358"/>
      <c r="H729" s="358"/>
      <c r="I729" s="358"/>
      <c r="J729" s="358"/>
      <c r="K729" s="358"/>
      <c r="L729" s="358"/>
      <c r="M729" s="358"/>
      <c r="N729" s="358"/>
      <c r="O729" s="358"/>
      <c r="P729" s="358"/>
      <c r="Q729" s="358"/>
      <c r="R729" s="358"/>
      <c r="S729" s="358"/>
      <c r="T729" s="358"/>
      <c r="U729" s="358"/>
      <c r="V729" s="358"/>
      <c r="W729" s="358"/>
      <c r="X729" s="358"/>
      <c r="Y729" s="358"/>
      <c r="Z729" s="358"/>
    </row>
    <row r="730" spans="1:26" ht="13.5" customHeight="1">
      <c r="A730" s="358"/>
      <c r="B730" s="358"/>
      <c r="C730" s="358"/>
      <c r="D730" s="358"/>
      <c r="E730" s="358"/>
      <c r="F730" s="358"/>
      <c r="G730" s="358"/>
      <c r="H730" s="358"/>
      <c r="I730" s="358"/>
      <c r="J730" s="358"/>
      <c r="K730" s="358"/>
      <c r="L730" s="358"/>
      <c r="M730" s="358"/>
      <c r="N730" s="358"/>
      <c r="O730" s="358"/>
      <c r="P730" s="358"/>
      <c r="Q730" s="358"/>
      <c r="R730" s="358"/>
      <c r="S730" s="358"/>
      <c r="T730" s="358"/>
      <c r="U730" s="358"/>
      <c r="V730" s="358"/>
      <c r="W730" s="358"/>
      <c r="X730" s="358"/>
      <c r="Y730" s="358"/>
      <c r="Z730" s="358"/>
    </row>
    <row r="731" spans="1:26" ht="13.5" customHeight="1">
      <c r="A731" s="358"/>
      <c r="B731" s="358"/>
      <c r="C731" s="358"/>
      <c r="D731" s="358"/>
      <c r="E731" s="358"/>
      <c r="F731" s="358"/>
      <c r="G731" s="358"/>
      <c r="H731" s="358"/>
      <c r="I731" s="358"/>
      <c r="J731" s="358"/>
      <c r="K731" s="358"/>
      <c r="L731" s="358"/>
      <c r="M731" s="358"/>
      <c r="N731" s="358"/>
      <c r="O731" s="358"/>
      <c r="P731" s="358"/>
      <c r="Q731" s="358"/>
      <c r="R731" s="358"/>
      <c r="S731" s="358"/>
      <c r="T731" s="358"/>
      <c r="U731" s="358"/>
      <c r="V731" s="358"/>
      <c r="W731" s="358"/>
      <c r="X731" s="358"/>
      <c r="Y731" s="358"/>
      <c r="Z731" s="358"/>
    </row>
    <row r="732" spans="1:26" ht="13.5" customHeight="1">
      <c r="A732" s="358"/>
      <c r="B732" s="358"/>
      <c r="C732" s="358"/>
      <c r="D732" s="358"/>
      <c r="E732" s="358"/>
      <c r="F732" s="358"/>
      <c r="G732" s="358"/>
      <c r="H732" s="358"/>
      <c r="I732" s="358"/>
      <c r="J732" s="358"/>
      <c r="K732" s="358"/>
      <c r="L732" s="358"/>
      <c r="M732" s="358"/>
      <c r="N732" s="358"/>
      <c r="O732" s="358"/>
      <c r="P732" s="358"/>
      <c r="Q732" s="358"/>
      <c r="R732" s="358"/>
      <c r="S732" s="358"/>
      <c r="T732" s="358"/>
      <c r="U732" s="358"/>
      <c r="V732" s="358"/>
      <c r="W732" s="358"/>
      <c r="X732" s="358"/>
      <c r="Y732" s="358"/>
      <c r="Z732" s="358"/>
    </row>
    <row r="733" spans="1:26" ht="13.5" customHeight="1">
      <c r="A733" s="358"/>
      <c r="B733" s="358"/>
      <c r="C733" s="358"/>
      <c r="D733" s="358"/>
      <c r="E733" s="358"/>
      <c r="F733" s="358"/>
      <c r="G733" s="358"/>
      <c r="H733" s="358"/>
      <c r="I733" s="358"/>
      <c r="J733" s="358"/>
      <c r="K733" s="358"/>
      <c r="L733" s="358"/>
      <c r="M733" s="358"/>
      <c r="N733" s="358"/>
      <c r="O733" s="358"/>
      <c r="P733" s="358"/>
      <c r="Q733" s="358"/>
      <c r="R733" s="358"/>
      <c r="S733" s="358"/>
      <c r="T733" s="358"/>
      <c r="U733" s="358"/>
      <c r="V733" s="358"/>
      <c r="W733" s="358"/>
      <c r="X733" s="358"/>
      <c r="Y733" s="358"/>
      <c r="Z733" s="358"/>
    </row>
    <row r="734" spans="1:26" ht="13.5" customHeight="1">
      <c r="A734" s="358"/>
      <c r="B734" s="358"/>
      <c r="C734" s="358"/>
      <c r="D734" s="358"/>
      <c r="E734" s="358"/>
      <c r="F734" s="358"/>
      <c r="G734" s="358"/>
      <c r="H734" s="358"/>
      <c r="I734" s="358"/>
      <c r="J734" s="358"/>
      <c r="K734" s="358"/>
      <c r="L734" s="358"/>
      <c r="M734" s="358"/>
      <c r="N734" s="358"/>
      <c r="O734" s="358"/>
      <c r="P734" s="358"/>
      <c r="Q734" s="358"/>
      <c r="R734" s="358"/>
      <c r="S734" s="358"/>
      <c r="T734" s="358"/>
      <c r="U734" s="358"/>
      <c r="V734" s="358"/>
      <c r="W734" s="358"/>
      <c r="X734" s="358"/>
      <c r="Y734" s="358"/>
      <c r="Z734" s="358"/>
    </row>
    <row r="735" spans="1:26" ht="13.5" customHeight="1">
      <c r="A735" s="358"/>
      <c r="B735" s="358"/>
      <c r="C735" s="358"/>
      <c r="D735" s="358"/>
      <c r="E735" s="358"/>
      <c r="F735" s="358"/>
      <c r="G735" s="358"/>
      <c r="H735" s="358"/>
      <c r="I735" s="358"/>
      <c r="J735" s="358"/>
      <c r="K735" s="358"/>
      <c r="L735" s="358"/>
      <c r="M735" s="358"/>
      <c r="N735" s="358"/>
      <c r="O735" s="358"/>
      <c r="P735" s="358"/>
      <c r="Q735" s="358"/>
      <c r="R735" s="358"/>
      <c r="S735" s="358"/>
      <c r="T735" s="358"/>
      <c r="U735" s="358"/>
      <c r="V735" s="358"/>
      <c r="W735" s="358"/>
      <c r="X735" s="358"/>
      <c r="Y735" s="358"/>
      <c r="Z735" s="358"/>
    </row>
    <row r="736" spans="1:26" ht="13.5" customHeight="1">
      <c r="A736" s="358"/>
      <c r="B736" s="358"/>
      <c r="C736" s="358"/>
      <c r="D736" s="358"/>
      <c r="E736" s="358"/>
      <c r="F736" s="358"/>
      <c r="G736" s="358"/>
      <c r="H736" s="358"/>
      <c r="I736" s="358"/>
      <c r="J736" s="358"/>
      <c r="K736" s="358"/>
      <c r="L736" s="358"/>
      <c r="M736" s="358"/>
      <c r="N736" s="358"/>
      <c r="O736" s="358"/>
      <c r="P736" s="358"/>
      <c r="Q736" s="358"/>
      <c r="R736" s="358"/>
      <c r="S736" s="358"/>
      <c r="T736" s="358"/>
      <c r="U736" s="358"/>
      <c r="V736" s="358"/>
      <c r="W736" s="358"/>
      <c r="X736" s="358"/>
      <c r="Y736" s="358"/>
      <c r="Z736" s="358"/>
    </row>
    <row r="737" spans="1:26" ht="13.5" customHeight="1">
      <c r="A737" s="358"/>
      <c r="B737" s="358"/>
      <c r="C737" s="358"/>
      <c r="D737" s="358"/>
      <c r="E737" s="358"/>
      <c r="F737" s="358"/>
      <c r="G737" s="358"/>
      <c r="H737" s="358"/>
      <c r="I737" s="358"/>
      <c r="J737" s="358"/>
      <c r="K737" s="358"/>
      <c r="L737" s="358"/>
      <c r="M737" s="358"/>
      <c r="N737" s="358"/>
      <c r="O737" s="358"/>
      <c r="P737" s="358"/>
      <c r="Q737" s="358"/>
      <c r="R737" s="358"/>
      <c r="S737" s="358"/>
      <c r="T737" s="358"/>
      <c r="U737" s="358"/>
      <c r="V737" s="358"/>
      <c r="W737" s="358"/>
      <c r="X737" s="358"/>
      <c r="Y737" s="358"/>
      <c r="Z737" s="358"/>
    </row>
    <row r="738" spans="1:26" ht="13.5" customHeight="1">
      <c r="A738" s="358"/>
      <c r="B738" s="358"/>
      <c r="C738" s="358"/>
      <c r="D738" s="358"/>
      <c r="E738" s="358"/>
      <c r="F738" s="358"/>
      <c r="G738" s="358"/>
      <c r="H738" s="358"/>
      <c r="I738" s="358"/>
      <c r="J738" s="358"/>
      <c r="K738" s="358"/>
      <c r="L738" s="358"/>
      <c r="M738" s="358"/>
      <c r="N738" s="358"/>
      <c r="O738" s="358"/>
      <c r="P738" s="358"/>
      <c r="Q738" s="358"/>
      <c r="R738" s="358"/>
      <c r="S738" s="358"/>
      <c r="T738" s="358"/>
      <c r="U738" s="358"/>
      <c r="V738" s="358"/>
      <c r="W738" s="358"/>
      <c r="X738" s="358"/>
      <c r="Y738" s="358"/>
      <c r="Z738" s="358"/>
    </row>
    <row r="739" spans="1:26" ht="13.5" customHeight="1">
      <c r="A739" s="358"/>
      <c r="B739" s="358"/>
      <c r="C739" s="358"/>
      <c r="D739" s="358"/>
      <c r="E739" s="358"/>
      <c r="F739" s="358"/>
      <c r="G739" s="358"/>
      <c r="H739" s="358"/>
      <c r="I739" s="358"/>
      <c r="J739" s="358"/>
      <c r="K739" s="358"/>
      <c r="L739" s="358"/>
      <c r="M739" s="358"/>
      <c r="N739" s="358"/>
      <c r="O739" s="358"/>
      <c r="P739" s="358"/>
      <c r="Q739" s="358"/>
      <c r="R739" s="358"/>
      <c r="S739" s="358"/>
      <c r="T739" s="358"/>
      <c r="U739" s="358"/>
      <c r="V739" s="358"/>
      <c r="W739" s="358"/>
      <c r="X739" s="358"/>
      <c r="Y739" s="358"/>
      <c r="Z739" s="358"/>
    </row>
    <row r="740" spans="1:26" ht="13.5" customHeight="1">
      <c r="A740" s="358"/>
      <c r="B740" s="358"/>
      <c r="C740" s="358"/>
      <c r="D740" s="358"/>
      <c r="E740" s="358"/>
      <c r="F740" s="358"/>
      <c r="G740" s="358"/>
      <c r="H740" s="358"/>
      <c r="I740" s="358"/>
      <c r="J740" s="358"/>
      <c r="K740" s="358"/>
      <c r="L740" s="358"/>
      <c r="M740" s="358"/>
      <c r="N740" s="358"/>
      <c r="O740" s="358"/>
      <c r="P740" s="358"/>
      <c r="Q740" s="358"/>
      <c r="R740" s="358"/>
      <c r="S740" s="358"/>
      <c r="T740" s="358"/>
      <c r="U740" s="358"/>
      <c r="V740" s="358"/>
      <c r="W740" s="358"/>
      <c r="X740" s="358"/>
      <c r="Y740" s="358"/>
      <c r="Z740" s="358"/>
    </row>
    <row r="741" spans="1:26" ht="13.5" customHeight="1">
      <c r="A741" s="358"/>
      <c r="B741" s="358"/>
      <c r="C741" s="358"/>
      <c r="D741" s="358"/>
      <c r="E741" s="358"/>
      <c r="F741" s="358"/>
      <c r="G741" s="358"/>
      <c r="H741" s="358"/>
      <c r="I741" s="358"/>
      <c r="J741" s="358"/>
      <c r="K741" s="358"/>
      <c r="L741" s="358"/>
      <c r="M741" s="358"/>
      <c r="N741" s="358"/>
      <c r="O741" s="358"/>
      <c r="P741" s="358"/>
      <c r="Q741" s="358"/>
      <c r="R741" s="358"/>
      <c r="S741" s="358"/>
      <c r="T741" s="358"/>
      <c r="U741" s="358"/>
      <c r="V741" s="358"/>
      <c r="W741" s="358"/>
      <c r="X741" s="358"/>
      <c r="Y741" s="358"/>
      <c r="Z741" s="358"/>
    </row>
    <row r="742" spans="1:26" ht="13.5" customHeight="1">
      <c r="A742" s="358"/>
      <c r="B742" s="358"/>
      <c r="C742" s="358"/>
      <c r="D742" s="358"/>
      <c r="E742" s="358"/>
      <c r="F742" s="358"/>
      <c r="G742" s="358"/>
      <c r="H742" s="358"/>
      <c r="I742" s="358"/>
      <c r="J742" s="358"/>
      <c r="K742" s="358"/>
      <c r="L742" s="358"/>
      <c r="M742" s="358"/>
      <c r="N742" s="358"/>
      <c r="O742" s="358"/>
      <c r="P742" s="358"/>
      <c r="Q742" s="358"/>
      <c r="R742" s="358"/>
      <c r="S742" s="358"/>
      <c r="T742" s="358"/>
      <c r="U742" s="358"/>
      <c r="V742" s="358"/>
      <c r="W742" s="358"/>
      <c r="X742" s="358"/>
      <c r="Y742" s="358"/>
      <c r="Z742" s="358"/>
    </row>
    <row r="743" spans="1:26" ht="13.5" customHeight="1">
      <c r="A743" s="358"/>
      <c r="B743" s="358"/>
      <c r="C743" s="358"/>
      <c r="D743" s="358"/>
      <c r="E743" s="358"/>
      <c r="F743" s="358"/>
      <c r="G743" s="358"/>
      <c r="H743" s="358"/>
      <c r="I743" s="358"/>
      <c r="J743" s="358"/>
      <c r="K743" s="358"/>
      <c r="L743" s="358"/>
      <c r="M743" s="358"/>
      <c r="N743" s="358"/>
      <c r="O743" s="358"/>
      <c r="P743" s="358"/>
      <c r="Q743" s="358"/>
      <c r="R743" s="358"/>
      <c r="S743" s="358"/>
      <c r="T743" s="358"/>
      <c r="U743" s="358"/>
      <c r="V743" s="358"/>
      <c r="W743" s="358"/>
      <c r="X743" s="358"/>
      <c r="Y743" s="358"/>
      <c r="Z743" s="358"/>
    </row>
    <row r="744" spans="1:26" ht="13.5" customHeight="1">
      <c r="A744" s="358"/>
      <c r="B744" s="358"/>
      <c r="C744" s="358"/>
      <c r="D744" s="358"/>
      <c r="E744" s="358"/>
      <c r="F744" s="358"/>
      <c r="G744" s="358"/>
      <c r="H744" s="358"/>
      <c r="I744" s="358"/>
      <c r="J744" s="358"/>
      <c r="K744" s="358"/>
      <c r="L744" s="358"/>
      <c r="M744" s="358"/>
      <c r="N744" s="358"/>
      <c r="O744" s="358"/>
      <c r="P744" s="358"/>
      <c r="Q744" s="358"/>
      <c r="R744" s="358"/>
      <c r="S744" s="358"/>
      <c r="T744" s="358"/>
      <c r="U744" s="358"/>
      <c r="V744" s="358"/>
      <c r="W744" s="358"/>
      <c r="X744" s="358"/>
      <c r="Y744" s="358"/>
      <c r="Z744" s="358"/>
    </row>
    <row r="745" spans="1:26" ht="13.5" customHeight="1">
      <c r="A745" s="358"/>
      <c r="B745" s="358"/>
      <c r="C745" s="358"/>
      <c r="D745" s="358"/>
      <c r="E745" s="358"/>
      <c r="F745" s="358"/>
      <c r="G745" s="358"/>
      <c r="H745" s="358"/>
      <c r="I745" s="358"/>
      <c r="J745" s="358"/>
      <c r="K745" s="358"/>
      <c r="L745" s="358"/>
      <c r="M745" s="358"/>
      <c r="N745" s="358"/>
      <c r="O745" s="358"/>
      <c r="P745" s="358"/>
      <c r="Q745" s="358"/>
      <c r="R745" s="358"/>
      <c r="S745" s="358"/>
      <c r="T745" s="358"/>
      <c r="U745" s="358"/>
      <c r="V745" s="358"/>
      <c r="W745" s="358"/>
      <c r="X745" s="358"/>
      <c r="Y745" s="358"/>
      <c r="Z745" s="358"/>
    </row>
    <row r="746" spans="1:26" ht="13.5" customHeight="1">
      <c r="A746" s="358"/>
      <c r="B746" s="358"/>
      <c r="C746" s="358"/>
      <c r="D746" s="358"/>
      <c r="E746" s="358"/>
      <c r="F746" s="358"/>
      <c r="G746" s="358"/>
      <c r="H746" s="358"/>
      <c r="I746" s="358"/>
      <c r="J746" s="358"/>
      <c r="K746" s="358"/>
      <c r="L746" s="358"/>
      <c r="M746" s="358"/>
      <c r="N746" s="358"/>
      <c r="O746" s="358"/>
      <c r="P746" s="358"/>
      <c r="Q746" s="358"/>
      <c r="R746" s="358"/>
      <c r="S746" s="358"/>
      <c r="T746" s="358"/>
      <c r="U746" s="358"/>
      <c r="V746" s="358"/>
      <c r="W746" s="358"/>
      <c r="X746" s="358"/>
      <c r="Y746" s="358"/>
      <c r="Z746" s="358"/>
    </row>
    <row r="747" spans="1:26" ht="13.5" customHeight="1">
      <c r="A747" s="358"/>
      <c r="B747" s="358"/>
      <c r="C747" s="358"/>
      <c r="D747" s="358"/>
      <c r="E747" s="358"/>
      <c r="F747" s="358"/>
      <c r="G747" s="358"/>
      <c r="H747" s="358"/>
      <c r="I747" s="358"/>
      <c r="J747" s="358"/>
      <c r="K747" s="358"/>
      <c r="L747" s="358"/>
      <c r="M747" s="358"/>
      <c r="N747" s="358"/>
      <c r="O747" s="358"/>
      <c r="P747" s="358"/>
      <c r="Q747" s="358"/>
      <c r="R747" s="358"/>
      <c r="S747" s="358"/>
      <c r="T747" s="358"/>
      <c r="U747" s="358"/>
      <c r="V747" s="358"/>
      <c r="W747" s="358"/>
      <c r="X747" s="358"/>
      <c r="Y747" s="358"/>
      <c r="Z747" s="358"/>
    </row>
    <row r="748" spans="1:26" ht="13.5" customHeight="1">
      <c r="A748" s="358"/>
      <c r="B748" s="358"/>
      <c r="C748" s="358"/>
      <c r="D748" s="358"/>
      <c r="E748" s="358"/>
      <c r="F748" s="358"/>
      <c r="G748" s="358"/>
      <c r="H748" s="358"/>
      <c r="I748" s="358"/>
      <c r="J748" s="358"/>
      <c r="K748" s="358"/>
      <c r="L748" s="358"/>
      <c r="M748" s="358"/>
      <c r="N748" s="358"/>
      <c r="O748" s="358"/>
      <c r="P748" s="358"/>
      <c r="Q748" s="358"/>
      <c r="R748" s="358"/>
      <c r="S748" s="358"/>
      <c r="T748" s="358"/>
      <c r="U748" s="358"/>
      <c r="V748" s="358"/>
      <c r="W748" s="358"/>
      <c r="X748" s="358"/>
      <c r="Y748" s="358"/>
      <c r="Z748" s="358"/>
    </row>
    <row r="749" spans="1:26" ht="13.5" customHeight="1">
      <c r="A749" s="358"/>
      <c r="B749" s="358"/>
      <c r="C749" s="358"/>
      <c r="D749" s="358"/>
      <c r="E749" s="358"/>
      <c r="F749" s="358"/>
      <c r="G749" s="358"/>
      <c r="H749" s="358"/>
      <c r="I749" s="358"/>
      <c r="J749" s="358"/>
      <c r="K749" s="358"/>
      <c r="L749" s="358"/>
      <c r="M749" s="358"/>
      <c r="N749" s="358"/>
      <c r="O749" s="358"/>
      <c r="P749" s="358"/>
      <c r="Q749" s="358"/>
      <c r="R749" s="358"/>
      <c r="S749" s="358"/>
      <c r="T749" s="358"/>
      <c r="U749" s="358"/>
      <c r="V749" s="358"/>
      <c r="W749" s="358"/>
      <c r="X749" s="358"/>
      <c r="Y749" s="358"/>
      <c r="Z749" s="358"/>
    </row>
    <row r="750" spans="1:26" ht="13.5" customHeight="1">
      <c r="A750" s="358"/>
      <c r="B750" s="358"/>
      <c r="C750" s="358"/>
      <c r="D750" s="358"/>
      <c r="E750" s="358"/>
      <c r="F750" s="358"/>
      <c r="G750" s="358"/>
      <c r="H750" s="358"/>
      <c r="I750" s="358"/>
      <c r="J750" s="358"/>
      <c r="K750" s="358"/>
      <c r="L750" s="358"/>
      <c r="M750" s="358"/>
      <c r="N750" s="358"/>
      <c r="O750" s="358"/>
      <c r="P750" s="358"/>
      <c r="Q750" s="358"/>
      <c r="R750" s="358"/>
      <c r="S750" s="358"/>
      <c r="T750" s="358"/>
      <c r="U750" s="358"/>
      <c r="V750" s="358"/>
      <c r="W750" s="358"/>
      <c r="X750" s="358"/>
      <c r="Y750" s="358"/>
      <c r="Z750" s="358"/>
    </row>
    <row r="751" spans="1:26" ht="13.5" customHeight="1">
      <c r="A751" s="358"/>
      <c r="B751" s="358"/>
      <c r="C751" s="358"/>
      <c r="D751" s="358"/>
      <c r="E751" s="358"/>
      <c r="F751" s="358"/>
      <c r="G751" s="358"/>
      <c r="H751" s="358"/>
      <c r="I751" s="358"/>
      <c r="J751" s="358"/>
      <c r="K751" s="358"/>
      <c r="L751" s="358"/>
      <c r="M751" s="358"/>
      <c r="N751" s="358"/>
      <c r="O751" s="358"/>
      <c r="P751" s="358"/>
      <c r="Q751" s="358"/>
      <c r="R751" s="358"/>
      <c r="S751" s="358"/>
      <c r="T751" s="358"/>
      <c r="U751" s="358"/>
      <c r="V751" s="358"/>
      <c r="W751" s="358"/>
      <c r="X751" s="358"/>
      <c r="Y751" s="358"/>
      <c r="Z751" s="358"/>
    </row>
    <row r="752" spans="1:26" ht="13.5" customHeight="1">
      <c r="A752" s="358"/>
      <c r="B752" s="358"/>
      <c r="C752" s="358"/>
      <c r="D752" s="358"/>
      <c r="E752" s="358"/>
      <c r="F752" s="358"/>
      <c r="G752" s="358"/>
      <c r="H752" s="358"/>
      <c r="I752" s="358"/>
      <c r="J752" s="358"/>
      <c r="K752" s="358"/>
      <c r="L752" s="358"/>
      <c r="M752" s="358"/>
      <c r="N752" s="358"/>
      <c r="O752" s="358"/>
      <c r="P752" s="358"/>
      <c r="Q752" s="358"/>
      <c r="R752" s="358"/>
      <c r="S752" s="358"/>
      <c r="T752" s="358"/>
      <c r="U752" s="358"/>
      <c r="V752" s="358"/>
      <c r="W752" s="358"/>
      <c r="X752" s="358"/>
      <c r="Y752" s="358"/>
      <c r="Z752" s="358"/>
    </row>
    <row r="753" spans="1:26" ht="13.5" customHeight="1">
      <c r="A753" s="358"/>
      <c r="B753" s="358"/>
      <c r="C753" s="358"/>
      <c r="D753" s="358"/>
      <c r="E753" s="358"/>
      <c r="F753" s="358"/>
      <c r="G753" s="358"/>
      <c r="H753" s="358"/>
      <c r="I753" s="358"/>
      <c r="J753" s="358"/>
      <c r="K753" s="358"/>
      <c r="L753" s="358"/>
      <c r="M753" s="358"/>
      <c r="N753" s="358"/>
      <c r="O753" s="358"/>
      <c r="P753" s="358"/>
      <c r="Q753" s="358"/>
      <c r="R753" s="358"/>
      <c r="S753" s="358"/>
      <c r="T753" s="358"/>
      <c r="U753" s="358"/>
      <c r="V753" s="358"/>
      <c r="W753" s="358"/>
      <c r="X753" s="358"/>
      <c r="Y753" s="358"/>
      <c r="Z753" s="358"/>
    </row>
    <row r="754" spans="1:26" ht="13.5" customHeight="1">
      <c r="A754" s="358"/>
      <c r="B754" s="358"/>
      <c r="C754" s="358"/>
      <c r="D754" s="358"/>
      <c r="E754" s="358"/>
      <c r="F754" s="358"/>
      <c r="G754" s="358"/>
      <c r="H754" s="358"/>
      <c r="I754" s="358"/>
      <c r="J754" s="358"/>
      <c r="K754" s="358"/>
      <c r="L754" s="358"/>
      <c r="M754" s="358"/>
      <c r="N754" s="358"/>
      <c r="O754" s="358"/>
      <c r="P754" s="358"/>
      <c r="Q754" s="358"/>
      <c r="R754" s="358"/>
      <c r="S754" s="358"/>
      <c r="T754" s="358"/>
      <c r="U754" s="358"/>
      <c r="V754" s="358"/>
      <c r="W754" s="358"/>
      <c r="X754" s="358"/>
      <c r="Y754" s="358"/>
      <c r="Z754" s="358"/>
    </row>
    <row r="755" spans="1:26" ht="13.5" customHeight="1">
      <c r="A755" s="358"/>
      <c r="B755" s="358"/>
      <c r="C755" s="358"/>
      <c r="D755" s="358"/>
      <c r="E755" s="358"/>
      <c r="F755" s="358"/>
      <c r="G755" s="358"/>
      <c r="H755" s="358"/>
      <c r="I755" s="358"/>
      <c r="J755" s="358"/>
      <c r="K755" s="358"/>
      <c r="L755" s="358"/>
      <c r="M755" s="358"/>
      <c r="N755" s="358"/>
      <c r="O755" s="358"/>
      <c r="P755" s="358"/>
      <c r="Q755" s="358"/>
      <c r="R755" s="358"/>
      <c r="S755" s="358"/>
      <c r="T755" s="358"/>
      <c r="U755" s="358"/>
      <c r="V755" s="358"/>
      <c r="W755" s="358"/>
      <c r="X755" s="358"/>
      <c r="Y755" s="358"/>
      <c r="Z755" s="358"/>
    </row>
    <row r="756" spans="1:26" ht="13.5" customHeight="1">
      <c r="A756" s="358"/>
      <c r="B756" s="358"/>
      <c r="C756" s="358"/>
      <c r="D756" s="358"/>
      <c r="E756" s="358"/>
      <c r="F756" s="358"/>
      <c r="G756" s="358"/>
      <c r="H756" s="358"/>
      <c r="I756" s="358"/>
      <c r="J756" s="358"/>
      <c r="K756" s="358"/>
      <c r="L756" s="358"/>
      <c r="M756" s="358"/>
      <c r="N756" s="358"/>
      <c r="O756" s="358"/>
      <c r="P756" s="358"/>
      <c r="Q756" s="358"/>
      <c r="R756" s="358"/>
      <c r="S756" s="358"/>
      <c r="T756" s="358"/>
      <c r="U756" s="358"/>
      <c r="V756" s="358"/>
      <c r="W756" s="358"/>
      <c r="X756" s="358"/>
      <c r="Y756" s="358"/>
      <c r="Z756" s="358"/>
    </row>
    <row r="757" spans="1:26" ht="13.5" customHeight="1">
      <c r="A757" s="358"/>
      <c r="B757" s="358"/>
      <c r="C757" s="358"/>
      <c r="D757" s="358"/>
      <c r="E757" s="358"/>
      <c r="F757" s="358"/>
      <c r="G757" s="358"/>
      <c r="H757" s="358"/>
      <c r="I757" s="358"/>
      <c r="J757" s="358"/>
      <c r="K757" s="358"/>
      <c r="L757" s="358"/>
      <c r="M757" s="358"/>
      <c r="N757" s="358"/>
      <c r="O757" s="358"/>
      <c r="P757" s="358"/>
      <c r="Q757" s="358"/>
      <c r="R757" s="358"/>
      <c r="S757" s="358"/>
      <c r="T757" s="358"/>
      <c r="U757" s="358"/>
      <c r="V757" s="358"/>
      <c r="W757" s="358"/>
      <c r="X757" s="358"/>
      <c r="Y757" s="358"/>
      <c r="Z757" s="358"/>
    </row>
    <row r="758" spans="1:26" ht="13.5" customHeight="1">
      <c r="A758" s="358"/>
      <c r="B758" s="358"/>
      <c r="C758" s="358"/>
      <c r="D758" s="358"/>
      <c r="E758" s="358"/>
      <c r="F758" s="358"/>
      <c r="G758" s="358"/>
      <c r="H758" s="358"/>
      <c r="I758" s="358"/>
      <c r="J758" s="358"/>
      <c r="K758" s="358"/>
      <c r="L758" s="358"/>
      <c r="M758" s="358"/>
      <c r="N758" s="358"/>
      <c r="O758" s="358"/>
      <c r="P758" s="358"/>
      <c r="Q758" s="358"/>
      <c r="R758" s="358"/>
      <c r="S758" s="358"/>
      <c r="T758" s="358"/>
      <c r="U758" s="358"/>
      <c r="V758" s="358"/>
      <c r="W758" s="358"/>
      <c r="X758" s="358"/>
      <c r="Y758" s="358"/>
      <c r="Z758" s="358"/>
    </row>
    <row r="759" spans="1:26" ht="13.5" customHeight="1">
      <c r="A759" s="358"/>
      <c r="B759" s="358"/>
      <c r="C759" s="358"/>
      <c r="D759" s="358"/>
      <c r="E759" s="358"/>
      <c r="F759" s="358"/>
      <c r="G759" s="358"/>
      <c r="H759" s="358"/>
      <c r="I759" s="358"/>
      <c r="J759" s="358"/>
      <c r="K759" s="358"/>
      <c r="L759" s="358"/>
      <c r="M759" s="358"/>
      <c r="N759" s="358"/>
      <c r="O759" s="358"/>
      <c r="P759" s="358"/>
      <c r="Q759" s="358"/>
      <c r="R759" s="358"/>
      <c r="S759" s="358"/>
      <c r="T759" s="358"/>
      <c r="U759" s="358"/>
      <c r="V759" s="358"/>
      <c r="W759" s="358"/>
      <c r="X759" s="358"/>
      <c r="Y759" s="358"/>
      <c r="Z759" s="358"/>
    </row>
    <row r="760" spans="1:26" ht="13.5" customHeight="1">
      <c r="A760" s="358"/>
      <c r="B760" s="358"/>
      <c r="C760" s="358"/>
      <c r="D760" s="358"/>
      <c r="E760" s="358"/>
      <c r="F760" s="358"/>
      <c r="G760" s="358"/>
      <c r="H760" s="358"/>
      <c r="I760" s="358"/>
      <c r="J760" s="358"/>
      <c r="K760" s="358"/>
      <c r="L760" s="358"/>
      <c r="M760" s="358"/>
      <c r="N760" s="358"/>
      <c r="O760" s="358"/>
      <c r="P760" s="358"/>
      <c r="Q760" s="358"/>
      <c r="R760" s="358"/>
      <c r="S760" s="358"/>
      <c r="T760" s="358"/>
      <c r="U760" s="358"/>
      <c r="V760" s="358"/>
      <c r="W760" s="358"/>
      <c r="X760" s="358"/>
      <c r="Y760" s="358"/>
      <c r="Z760" s="358"/>
    </row>
    <row r="761" spans="1:26" ht="13.5" customHeight="1">
      <c r="A761" s="358"/>
      <c r="B761" s="358"/>
      <c r="C761" s="358"/>
      <c r="D761" s="358"/>
      <c r="E761" s="358"/>
      <c r="F761" s="358"/>
      <c r="G761" s="358"/>
      <c r="H761" s="358"/>
      <c r="I761" s="358"/>
      <c r="J761" s="358"/>
      <c r="K761" s="358"/>
      <c r="L761" s="358"/>
      <c r="M761" s="358"/>
      <c r="N761" s="358"/>
      <c r="O761" s="358"/>
      <c r="P761" s="358"/>
      <c r="Q761" s="358"/>
      <c r="R761" s="358"/>
      <c r="S761" s="358"/>
      <c r="T761" s="358"/>
      <c r="U761" s="358"/>
      <c r="V761" s="358"/>
      <c r="W761" s="358"/>
      <c r="X761" s="358"/>
      <c r="Y761" s="358"/>
      <c r="Z761" s="358"/>
    </row>
    <row r="762" spans="1:26" ht="13.5" customHeight="1">
      <c r="A762" s="358"/>
      <c r="B762" s="358"/>
      <c r="C762" s="358"/>
      <c r="D762" s="358"/>
      <c r="E762" s="358"/>
      <c r="F762" s="358"/>
      <c r="G762" s="358"/>
      <c r="H762" s="358"/>
      <c r="I762" s="358"/>
      <c r="J762" s="358"/>
      <c r="K762" s="358"/>
      <c r="L762" s="358"/>
      <c r="M762" s="358"/>
      <c r="N762" s="358"/>
      <c r="O762" s="358"/>
      <c r="P762" s="358"/>
      <c r="Q762" s="358"/>
      <c r="R762" s="358"/>
      <c r="S762" s="358"/>
      <c r="T762" s="358"/>
      <c r="U762" s="358"/>
      <c r="V762" s="358"/>
      <c r="W762" s="358"/>
      <c r="X762" s="358"/>
      <c r="Y762" s="358"/>
      <c r="Z762" s="358"/>
    </row>
    <row r="763" spans="1:26" ht="13.5" customHeight="1">
      <c r="A763" s="358"/>
      <c r="B763" s="358"/>
      <c r="C763" s="358"/>
      <c r="D763" s="358"/>
      <c r="E763" s="358"/>
      <c r="F763" s="358"/>
      <c r="G763" s="358"/>
      <c r="H763" s="358"/>
      <c r="I763" s="358"/>
      <c r="J763" s="358"/>
      <c r="K763" s="358"/>
      <c r="L763" s="358"/>
      <c r="M763" s="358"/>
      <c r="N763" s="358"/>
      <c r="O763" s="358"/>
      <c r="P763" s="358"/>
      <c r="Q763" s="358"/>
      <c r="R763" s="358"/>
      <c r="S763" s="358"/>
      <c r="T763" s="358"/>
      <c r="U763" s="358"/>
      <c r="V763" s="358"/>
      <c r="W763" s="358"/>
      <c r="X763" s="358"/>
      <c r="Y763" s="358"/>
      <c r="Z763" s="358"/>
    </row>
    <row r="764" spans="1:26" ht="13.5" customHeight="1">
      <c r="A764" s="358"/>
      <c r="B764" s="358"/>
      <c r="C764" s="358"/>
      <c r="D764" s="358"/>
      <c r="E764" s="358"/>
      <c r="F764" s="358"/>
      <c r="G764" s="358"/>
      <c r="H764" s="358"/>
      <c r="I764" s="358"/>
      <c r="J764" s="358"/>
      <c r="K764" s="358"/>
      <c r="L764" s="358"/>
      <c r="M764" s="358"/>
      <c r="N764" s="358"/>
      <c r="O764" s="358"/>
      <c r="P764" s="358"/>
      <c r="Q764" s="358"/>
      <c r="R764" s="358"/>
      <c r="S764" s="358"/>
      <c r="T764" s="358"/>
      <c r="U764" s="358"/>
      <c r="V764" s="358"/>
      <c r="W764" s="358"/>
      <c r="X764" s="358"/>
      <c r="Y764" s="358"/>
      <c r="Z764" s="358"/>
    </row>
    <row r="765" spans="1:26" ht="13.5" customHeight="1">
      <c r="A765" s="358"/>
      <c r="B765" s="358"/>
      <c r="C765" s="358"/>
      <c r="D765" s="358"/>
      <c r="E765" s="358"/>
      <c r="F765" s="358"/>
      <c r="G765" s="358"/>
      <c r="H765" s="358"/>
      <c r="I765" s="358"/>
      <c r="J765" s="358"/>
      <c r="K765" s="358"/>
      <c r="L765" s="358"/>
      <c r="M765" s="358"/>
      <c r="N765" s="358"/>
      <c r="O765" s="358"/>
      <c r="P765" s="358"/>
      <c r="Q765" s="358"/>
      <c r="R765" s="358"/>
      <c r="S765" s="358"/>
      <c r="T765" s="358"/>
      <c r="U765" s="358"/>
      <c r="V765" s="358"/>
      <c r="W765" s="358"/>
      <c r="X765" s="358"/>
      <c r="Y765" s="358"/>
      <c r="Z765" s="358"/>
    </row>
    <row r="766" spans="1:26" ht="13.5" customHeight="1">
      <c r="A766" s="358"/>
      <c r="B766" s="358"/>
      <c r="C766" s="358"/>
      <c r="D766" s="358"/>
      <c r="E766" s="358"/>
      <c r="F766" s="358"/>
      <c r="G766" s="358"/>
      <c r="H766" s="358"/>
      <c r="I766" s="358"/>
      <c r="J766" s="358"/>
      <c r="K766" s="358"/>
      <c r="L766" s="358"/>
      <c r="M766" s="358"/>
      <c r="N766" s="358"/>
      <c r="O766" s="358"/>
      <c r="P766" s="358"/>
      <c r="Q766" s="358"/>
      <c r="R766" s="358"/>
      <c r="S766" s="358"/>
      <c r="T766" s="358"/>
      <c r="U766" s="358"/>
      <c r="V766" s="358"/>
      <c r="W766" s="358"/>
      <c r="X766" s="358"/>
      <c r="Y766" s="358"/>
      <c r="Z766" s="358"/>
    </row>
    <row r="767" spans="1:26" ht="13.5" customHeight="1">
      <c r="A767" s="358"/>
      <c r="B767" s="358"/>
      <c r="C767" s="358"/>
      <c r="D767" s="358"/>
      <c r="E767" s="358"/>
      <c r="F767" s="358"/>
      <c r="G767" s="358"/>
      <c r="H767" s="358"/>
      <c r="I767" s="358"/>
      <c r="J767" s="358"/>
      <c r="K767" s="358"/>
      <c r="L767" s="358"/>
      <c r="M767" s="358"/>
      <c r="N767" s="358"/>
      <c r="O767" s="358"/>
      <c r="P767" s="358"/>
      <c r="Q767" s="358"/>
      <c r="R767" s="358"/>
      <c r="S767" s="358"/>
      <c r="T767" s="358"/>
      <c r="U767" s="358"/>
      <c r="V767" s="358"/>
      <c r="W767" s="358"/>
      <c r="X767" s="358"/>
      <c r="Y767" s="358"/>
      <c r="Z767" s="358"/>
    </row>
    <row r="768" spans="1:26" ht="13.5" customHeight="1">
      <c r="A768" s="358"/>
      <c r="B768" s="358"/>
      <c r="C768" s="358"/>
      <c r="D768" s="358"/>
      <c r="E768" s="358"/>
      <c r="F768" s="358"/>
      <c r="G768" s="358"/>
      <c r="H768" s="358"/>
      <c r="I768" s="358"/>
      <c r="J768" s="358"/>
      <c r="K768" s="358"/>
      <c r="L768" s="358"/>
      <c r="M768" s="358"/>
      <c r="N768" s="358"/>
      <c r="O768" s="358"/>
      <c r="P768" s="358"/>
      <c r="Q768" s="358"/>
      <c r="R768" s="358"/>
      <c r="S768" s="358"/>
      <c r="T768" s="358"/>
      <c r="U768" s="358"/>
      <c r="V768" s="358"/>
      <c r="W768" s="358"/>
      <c r="X768" s="358"/>
      <c r="Y768" s="358"/>
      <c r="Z768" s="358"/>
    </row>
    <row r="769" spans="1:26" ht="13.5" customHeight="1">
      <c r="A769" s="358"/>
      <c r="B769" s="358"/>
      <c r="C769" s="358"/>
      <c r="D769" s="358"/>
      <c r="E769" s="358"/>
      <c r="F769" s="358"/>
      <c r="G769" s="358"/>
      <c r="H769" s="358"/>
      <c r="I769" s="358"/>
      <c r="J769" s="358"/>
      <c r="K769" s="358"/>
      <c r="L769" s="358"/>
      <c r="M769" s="358"/>
      <c r="N769" s="358"/>
      <c r="O769" s="358"/>
      <c r="P769" s="358"/>
      <c r="Q769" s="358"/>
      <c r="R769" s="358"/>
      <c r="S769" s="358"/>
      <c r="T769" s="358"/>
      <c r="U769" s="358"/>
      <c r="V769" s="358"/>
      <c r="W769" s="358"/>
      <c r="X769" s="358"/>
      <c r="Y769" s="358"/>
      <c r="Z769" s="358"/>
    </row>
    <row r="770" spans="1:26" ht="13.5" customHeight="1">
      <c r="A770" s="358"/>
      <c r="B770" s="358"/>
      <c r="C770" s="358"/>
      <c r="D770" s="358"/>
      <c r="E770" s="358"/>
      <c r="F770" s="358"/>
      <c r="G770" s="358"/>
      <c r="H770" s="358"/>
      <c r="I770" s="358"/>
      <c r="J770" s="358"/>
      <c r="K770" s="358"/>
      <c r="L770" s="358"/>
      <c r="M770" s="358"/>
      <c r="N770" s="358"/>
      <c r="O770" s="358"/>
      <c r="P770" s="358"/>
      <c r="Q770" s="358"/>
      <c r="R770" s="358"/>
      <c r="S770" s="358"/>
      <c r="T770" s="358"/>
      <c r="U770" s="358"/>
      <c r="V770" s="358"/>
      <c r="W770" s="358"/>
      <c r="X770" s="358"/>
      <c r="Y770" s="358"/>
      <c r="Z770" s="358"/>
    </row>
    <row r="771" spans="1:26" ht="13.5" customHeight="1">
      <c r="A771" s="358"/>
      <c r="B771" s="358"/>
      <c r="C771" s="358"/>
      <c r="D771" s="358"/>
      <c r="E771" s="358"/>
      <c r="F771" s="358"/>
      <c r="G771" s="358"/>
      <c r="H771" s="358"/>
      <c r="I771" s="358"/>
      <c r="J771" s="358"/>
      <c r="K771" s="358"/>
      <c r="L771" s="358"/>
      <c r="M771" s="358"/>
      <c r="N771" s="358"/>
      <c r="O771" s="358"/>
      <c r="P771" s="358"/>
      <c r="Q771" s="358"/>
      <c r="R771" s="358"/>
      <c r="S771" s="358"/>
      <c r="T771" s="358"/>
      <c r="U771" s="358"/>
      <c r="V771" s="358"/>
      <c r="W771" s="358"/>
      <c r="X771" s="358"/>
      <c r="Y771" s="358"/>
      <c r="Z771" s="358"/>
    </row>
    <row r="772" spans="1:26" ht="13.5" customHeight="1">
      <c r="A772" s="358"/>
      <c r="B772" s="358"/>
      <c r="C772" s="358"/>
      <c r="D772" s="358"/>
      <c r="E772" s="358"/>
      <c r="F772" s="358"/>
      <c r="G772" s="358"/>
      <c r="H772" s="358"/>
      <c r="I772" s="358"/>
      <c r="J772" s="358"/>
      <c r="K772" s="358"/>
      <c r="L772" s="358"/>
      <c r="M772" s="358"/>
      <c r="N772" s="358"/>
      <c r="O772" s="358"/>
      <c r="P772" s="358"/>
      <c r="Q772" s="358"/>
      <c r="R772" s="358"/>
      <c r="S772" s="358"/>
      <c r="T772" s="358"/>
      <c r="U772" s="358"/>
      <c r="V772" s="358"/>
      <c r="W772" s="358"/>
      <c r="X772" s="358"/>
      <c r="Y772" s="358"/>
      <c r="Z772" s="358"/>
    </row>
    <row r="773" spans="1:26" ht="13.5" customHeight="1">
      <c r="A773" s="358"/>
      <c r="B773" s="358"/>
      <c r="C773" s="358"/>
      <c r="D773" s="358"/>
      <c r="E773" s="358"/>
      <c r="F773" s="358"/>
      <c r="G773" s="358"/>
      <c r="H773" s="358"/>
      <c r="I773" s="358"/>
      <c r="J773" s="358"/>
      <c r="K773" s="358"/>
      <c r="L773" s="358"/>
      <c r="M773" s="358"/>
      <c r="N773" s="358"/>
      <c r="O773" s="358"/>
      <c r="P773" s="358"/>
      <c r="Q773" s="358"/>
      <c r="R773" s="358"/>
      <c r="S773" s="358"/>
      <c r="T773" s="358"/>
      <c r="U773" s="358"/>
      <c r="V773" s="358"/>
      <c r="W773" s="358"/>
      <c r="X773" s="358"/>
      <c r="Y773" s="358"/>
      <c r="Z773" s="358"/>
    </row>
    <row r="774" spans="1:26" ht="13.5" customHeight="1">
      <c r="A774" s="358"/>
      <c r="B774" s="358"/>
      <c r="C774" s="358"/>
      <c r="D774" s="358"/>
      <c r="E774" s="358"/>
      <c r="F774" s="358"/>
      <c r="G774" s="358"/>
      <c r="H774" s="358"/>
      <c r="I774" s="358"/>
      <c r="J774" s="358"/>
      <c r="K774" s="358"/>
      <c r="L774" s="358"/>
      <c r="M774" s="358"/>
      <c r="N774" s="358"/>
      <c r="O774" s="358"/>
      <c r="P774" s="358"/>
      <c r="Q774" s="358"/>
      <c r="R774" s="358"/>
      <c r="S774" s="358"/>
      <c r="T774" s="358"/>
      <c r="U774" s="358"/>
      <c r="V774" s="358"/>
      <c r="W774" s="358"/>
      <c r="X774" s="358"/>
      <c r="Y774" s="358"/>
      <c r="Z774" s="358"/>
    </row>
    <row r="775" spans="1:26" ht="13.5" customHeight="1">
      <c r="A775" s="358"/>
      <c r="B775" s="358"/>
      <c r="C775" s="358"/>
      <c r="D775" s="358"/>
      <c r="E775" s="358"/>
      <c r="F775" s="358"/>
      <c r="G775" s="358"/>
      <c r="H775" s="358"/>
      <c r="I775" s="358"/>
      <c r="J775" s="358"/>
      <c r="K775" s="358"/>
      <c r="L775" s="358"/>
      <c r="M775" s="358"/>
      <c r="N775" s="358"/>
      <c r="O775" s="358"/>
      <c r="P775" s="358"/>
      <c r="Q775" s="358"/>
      <c r="R775" s="358"/>
      <c r="S775" s="358"/>
      <c r="T775" s="358"/>
      <c r="U775" s="358"/>
      <c r="V775" s="358"/>
      <c r="W775" s="358"/>
      <c r="X775" s="358"/>
      <c r="Y775" s="358"/>
      <c r="Z775" s="358"/>
    </row>
    <row r="776" spans="1:26" ht="13.5" customHeight="1">
      <c r="A776" s="358"/>
      <c r="B776" s="358"/>
      <c r="C776" s="358"/>
      <c r="D776" s="358"/>
      <c r="E776" s="358"/>
      <c r="F776" s="358"/>
      <c r="G776" s="358"/>
      <c r="H776" s="358"/>
      <c r="I776" s="358"/>
      <c r="J776" s="358"/>
      <c r="K776" s="358"/>
      <c r="L776" s="358"/>
      <c r="M776" s="358"/>
      <c r="N776" s="358"/>
      <c r="O776" s="358"/>
      <c r="P776" s="358"/>
      <c r="Q776" s="358"/>
      <c r="R776" s="358"/>
      <c r="S776" s="358"/>
      <c r="T776" s="358"/>
      <c r="U776" s="358"/>
      <c r="V776" s="358"/>
      <c r="W776" s="358"/>
      <c r="X776" s="358"/>
      <c r="Y776" s="358"/>
      <c r="Z776" s="358"/>
    </row>
    <row r="777" spans="1:26" ht="13.5" customHeight="1">
      <c r="A777" s="358"/>
      <c r="B777" s="358"/>
      <c r="C777" s="358"/>
      <c r="D777" s="358"/>
      <c r="E777" s="358"/>
      <c r="F777" s="358"/>
      <c r="G777" s="358"/>
      <c r="H777" s="358"/>
      <c r="I777" s="358"/>
      <c r="J777" s="358"/>
      <c r="K777" s="358"/>
      <c r="L777" s="358"/>
      <c r="M777" s="358"/>
      <c r="N777" s="358"/>
      <c r="O777" s="358"/>
      <c r="P777" s="358"/>
      <c r="Q777" s="358"/>
      <c r="R777" s="358"/>
      <c r="S777" s="358"/>
      <c r="T777" s="358"/>
      <c r="U777" s="358"/>
      <c r="V777" s="358"/>
      <c r="W777" s="358"/>
      <c r="X777" s="358"/>
      <c r="Y777" s="358"/>
      <c r="Z777" s="358"/>
    </row>
    <row r="778" spans="1:26" ht="13.5" customHeight="1">
      <c r="A778" s="358"/>
      <c r="B778" s="358"/>
      <c r="C778" s="358"/>
      <c r="D778" s="358"/>
      <c r="E778" s="358"/>
      <c r="F778" s="358"/>
      <c r="G778" s="358"/>
      <c r="H778" s="358"/>
      <c r="I778" s="358"/>
      <c r="J778" s="358"/>
      <c r="K778" s="358"/>
      <c r="L778" s="358"/>
      <c r="M778" s="358"/>
      <c r="N778" s="358"/>
      <c r="O778" s="358"/>
      <c r="P778" s="358"/>
      <c r="Q778" s="358"/>
      <c r="R778" s="358"/>
      <c r="S778" s="358"/>
      <c r="T778" s="358"/>
      <c r="U778" s="358"/>
      <c r="V778" s="358"/>
      <c r="W778" s="358"/>
      <c r="X778" s="358"/>
      <c r="Y778" s="358"/>
      <c r="Z778" s="358"/>
    </row>
    <row r="779" spans="1:26" ht="13.5" customHeight="1">
      <c r="A779" s="358"/>
      <c r="B779" s="358"/>
      <c r="C779" s="358"/>
      <c r="D779" s="358"/>
      <c r="E779" s="358"/>
      <c r="F779" s="358"/>
      <c r="G779" s="358"/>
      <c r="H779" s="358"/>
      <c r="I779" s="358"/>
      <c r="J779" s="358"/>
      <c r="K779" s="358"/>
      <c r="L779" s="358"/>
      <c r="M779" s="358"/>
      <c r="N779" s="358"/>
      <c r="O779" s="358"/>
      <c r="P779" s="358"/>
      <c r="Q779" s="358"/>
      <c r="R779" s="358"/>
      <c r="S779" s="358"/>
      <c r="T779" s="358"/>
      <c r="U779" s="358"/>
      <c r="V779" s="358"/>
      <c r="W779" s="358"/>
      <c r="X779" s="358"/>
      <c r="Y779" s="358"/>
      <c r="Z779" s="358"/>
    </row>
    <row r="780" spans="1:26" ht="13.5" customHeight="1">
      <c r="A780" s="358"/>
      <c r="B780" s="358"/>
      <c r="C780" s="358"/>
      <c r="D780" s="358"/>
      <c r="E780" s="358"/>
      <c r="F780" s="358"/>
      <c r="G780" s="358"/>
      <c r="H780" s="358"/>
      <c r="I780" s="358"/>
      <c r="J780" s="358"/>
      <c r="K780" s="358"/>
      <c r="L780" s="358"/>
      <c r="M780" s="358"/>
      <c r="N780" s="358"/>
      <c r="O780" s="358"/>
      <c r="P780" s="358"/>
      <c r="Q780" s="358"/>
      <c r="R780" s="358"/>
      <c r="S780" s="358"/>
      <c r="T780" s="358"/>
      <c r="U780" s="358"/>
      <c r="V780" s="358"/>
      <c r="W780" s="358"/>
      <c r="X780" s="358"/>
      <c r="Y780" s="358"/>
      <c r="Z780" s="358"/>
    </row>
    <row r="781" spans="1:26" ht="13.5" customHeight="1">
      <c r="A781" s="358"/>
      <c r="B781" s="358"/>
      <c r="C781" s="358"/>
      <c r="D781" s="358"/>
      <c r="E781" s="358"/>
      <c r="F781" s="358"/>
      <c r="G781" s="358"/>
      <c r="H781" s="358"/>
      <c r="I781" s="358"/>
      <c r="J781" s="358"/>
      <c r="K781" s="358"/>
      <c r="L781" s="358"/>
      <c r="M781" s="358"/>
      <c r="N781" s="358"/>
      <c r="O781" s="358"/>
      <c r="P781" s="358"/>
      <c r="Q781" s="358"/>
      <c r="R781" s="358"/>
      <c r="S781" s="358"/>
      <c r="T781" s="358"/>
      <c r="U781" s="358"/>
      <c r="V781" s="358"/>
      <c r="W781" s="358"/>
      <c r="X781" s="358"/>
      <c r="Y781" s="358"/>
      <c r="Z781" s="358"/>
    </row>
    <row r="782" spans="1:26" ht="13.5" customHeight="1">
      <c r="A782" s="358"/>
      <c r="B782" s="358"/>
      <c r="C782" s="358"/>
      <c r="D782" s="358"/>
      <c r="E782" s="358"/>
      <c r="F782" s="358"/>
      <c r="G782" s="358"/>
      <c r="H782" s="358"/>
      <c r="I782" s="358"/>
      <c r="J782" s="358"/>
      <c r="K782" s="358"/>
      <c r="L782" s="358"/>
      <c r="M782" s="358"/>
      <c r="N782" s="358"/>
      <c r="O782" s="358"/>
      <c r="P782" s="358"/>
      <c r="Q782" s="358"/>
      <c r="R782" s="358"/>
      <c r="S782" s="358"/>
      <c r="T782" s="358"/>
      <c r="U782" s="358"/>
      <c r="V782" s="358"/>
      <c r="W782" s="358"/>
      <c r="X782" s="358"/>
      <c r="Y782" s="358"/>
      <c r="Z782" s="358"/>
    </row>
    <row r="783" spans="1:26" ht="13.5" customHeight="1">
      <c r="A783" s="358"/>
      <c r="B783" s="358"/>
      <c r="C783" s="358"/>
      <c r="D783" s="358"/>
      <c r="E783" s="358"/>
      <c r="F783" s="358"/>
      <c r="G783" s="358"/>
      <c r="H783" s="358"/>
      <c r="I783" s="358"/>
      <c r="J783" s="358"/>
      <c r="K783" s="358"/>
      <c r="L783" s="358"/>
      <c r="M783" s="358"/>
      <c r="N783" s="358"/>
      <c r="O783" s="358"/>
      <c r="P783" s="358"/>
      <c r="Q783" s="358"/>
      <c r="R783" s="358"/>
      <c r="S783" s="358"/>
      <c r="T783" s="358"/>
      <c r="U783" s="358"/>
      <c r="V783" s="358"/>
      <c r="W783" s="358"/>
      <c r="X783" s="358"/>
      <c r="Y783" s="358"/>
      <c r="Z783" s="358"/>
    </row>
    <row r="784" spans="1:26" ht="13.5" customHeight="1">
      <c r="A784" s="358"/>
      <c r="B784" s="358"/>
      <c r="C784" s="358"/>
      <c r="D784" s="358"/>
      <c r="E784" s="358"/>
      <c r="F784" s="358"/>
      <c r="G784" s="358"/>
      <c r="H784" s="358"/>
      <c r="I784" s="358"/>
      <c r="J784" s="358"/>
      <c r="K784" s="358"/>
      <c r="L784" s="358"/>
      <c r="M784" s="358"/>
      <c r="N784" s="358"/>
      <c r="O784" s="358"/>
      <c r="P784" s="358"/>
      <c r="Q784" s="358"/>
      <c r="R784" s="358"/>
      <c r="S784" s="358"/>
      <c r="T784" s="358"/>
      <c r="U784" s="358"/>
      <c r="V784" s="358"/>
      <c r="W784" s="358"/>
      <c r="X784" s="358"/>
      <c r="Y784" s="358"/>
      <c r="Z784" s="358"/>
    </row>
    <row r="785" spans="1:26" ht="13.5" customHeight="1">
      <c r="A785" s="358"/>
      <c r="B785" s="358"/>
      <c r="C785" s="358"/>
      <c r="D785" s="358"/>
      <c r="E785" s="358"/>
      <c r="F785" s="358"/>
      <c r="G785" s="358"/>
      <c r="H785" s="358"/>
      <c r="I785" s="358"/>
      <c r="J785" s="358"/>
      <c r="K785" s="358"/>
      <c r="L785" s="358"/>
      <c r="M785" s="358"/>
      <c r="N785" s="358"/>
      <c r="O785" s="358"/>
      <c r="P785" s="358"/>
      <c r="Q785" s="358"/>
      <c r="R785" s="358"/>
      <c r="S785" s="358"/>
      <c r="T785" s="358"/>
      <c r="U785" s="358"/>
      <c r="V785" s="358"/>
      <c r="W785" s="358"/>
      <c r="X785" s="358"/>
      <c r="Y785" s="358"/>
      <c r="Z785" s="358"/>
    </row>
    <row r="786" spans="1:26" ht="13.5" customHeight="1">
      <c r="A786" s="358"/>
      <c r="B786" s="358"/>
      <c r="C786" s="358"/>
      <c r="D786" s="358"/>
      <c r="E786" s="358"/>
      <c r="F786" s="358"/>
      <c r="G786" s="358"/>
      <c r="H786" s="358"/>
      <c r="I786" s="358"/>
      <c r="J786" s="358"/>
      <c r="K786" s="358"/>
      <c r="L786" s="358"/>
      <c r="M786" s="358"/>
      <c r="N786" s="358"/>
      <c r="O786" s="358"/>
      <c r="P786" s="358"/>
      <c r="Q786" s="358"/>
      <c r="R786" s="358"/>
      <c r="S786" s="358"/>
      <c r="T786" s="358"/>
      <c r="U786" s="358"/>
      <c r="V786" s="358"/>
      <c r="W786" s="358"/>
      <c r="X786" s="358"/>
      <c r="Y786" s="358"/>
      <c r="Z786" s="358"/>
    </row>
    <row r="787" spans="1:26" ht="13.5" customHeight="1">
      <c r="A787" s="358"/>
      <c r="B787" s="358"/>
      <c r="C787" s="358"/>
      <c r="D787" s="358"/>
      <c r="E787" s="358"/>
      <c r="F787" s="358"/>
      <c r="G787" s="358"/>
      <c r="H787" s="358"/>
      <c r="I787" s="358"/>
      <c r="J787" s="358"/>
      <c r="K787" s="358"/>
      <c r="L787" s="358"/>
      <c r="M787" s="358"/>
      <c r="N787" s="358"/>
      <c r="O787" s="358"/>
      <c r="P787" s="358"/>
      <c r="Q787" s="358"/>
      <c r="R787" s="358"/>
      <c r="S787" s="358"/>
      <c r="T787" s="358"/>
      <c r="U787" s="358"/>
      <c r="V787" s="358"/>
      <c r="W787" s="358"/>
      <c r="X787" s="358"/>
      <c r="Y787" s="358"/>
      <c r="Z787" s="358"/>
    </row>
    <row r="788" spans="1:26" ht="13.5" customHeight="1">
      <c r="A788" s="358"/>
      <c r="B788" s="358"/>
      <c r="C788" s="358"/>
      <c r="D788" s="358"/>
      <c r="E788" s="358"/>
      <c r="F788" s="358"/>
      <c r="G788" s="358"/>
      <c r="H788" s="358"/>
      <c r="I788" s="358"/>
      <c r="J788" s="358"/>
      <c r="K788" s="358"/>
      <c r="L788" s="358"/>
      <c r="M788" s="358"/>
      <c r="N788" s="358"/>
      <c r="O788" s="358"/>
      <c r="P788" s="358"/>
      <c r="Q788" s="358"/>
      <c r="R788" s="358"/>
      <c r="S788" s="358"/>
      <c r="T788" s="358"/>
      <c r="U788" s="358"/>
      <c r="V788" s="358"/>
      <c r="W788" s="358"/>
      <c r="X788" s="358"/>
      <c r="Y788" s="358"/>
      <c r="Z788" s="358"/>
    </row>
    <row r="789" spans="1:26" ht="13.5" customHeight="1">
      <c r="A789" s="358"/>
      <c r="B789" s="358"/>
      <c r="C789" s="358"/>
      <c r="D789" s="358"/>
      <c r="E789" s="358"/>
      <c r="F789" s="358"/>
      <c r="G789" s="358"/>
      <c r="H789" s="358"/>
      <c r="I789" s="358"/>
      <c r="J789" s="358"/>
      <c r="K789" s="358"/>
      <c r="L789" s="358"/>
      <c r="M789" s="358"/>
      <c r="N789" s="358"/>
      <c r="O789" s="358"/>
      <c r="P789" s="358"/>
      <c r="Q789" s="358"/>
      <c r="R789" s="358"/>
      <c r="S789" s="358"/>
      <c r="T789" s="358"/>
      <c r="U789" s="358"/>
      <c r="V789" s="358"/>
      <c r="W789" s="358"/>
      <c r="X789" s="358"/>
      <c r="Y789" s="358"/>
      <c r="Z789" s="358"/>
    </row>
    <row r="790" spans="1:26" ht="13.5" customHeight="1">
      <c r="A790" s="358"/>
      <c r="B790" s="358"/>
      <c r="C790" s="358"/>
      <c r="D790" s="358"/>
      <c r="E790" s="358"/>
      <c r="F790" s="358"/>
      <c r="G790" s="358"/>
      <c r="H790" s="358"/>
      <c r="I790" s="358"/>
      <c r="J790" s="358"/>
      <c r="K790" s="358"/>
      <c r="L790" s="358"/>
      <c r="M790" s="358"/>
      <c r="N790" s="358"/>
      <c r="O790" s="358"/>
      <c r="P790" s="358"/>
      <c r="Q790" s="358"/>
      <c r="R790" s="358"/>
      <c r="S790" s="358"/>
      <c r="T790" s="358"/>
      <c r="U790" s="358"/>
      <c r="V790" s="358"/>
      <c r="W790" s="358"/>
      <c r="X790" s="358"/>
      <c r="Y790" s="358"/>
      <c r="Z790" s="358"/>
    </row>
    <row r="791" spans="1:26" ht="13.5" customHeight="1">
      <c r="A791" s="358"/>
      <c r="B791" s="358"/>
      <c r="C791" s="358"/>
      <c r="D791" s="358"/>
      <c r="E791" s="358"/>
      <c r="F791" s="358"/>
      <c r="G791" s="358"/>
      <c r="H791" s="358"/>
      <c r="I791" s="358"/>
      <c r="J791" s="358"/>
      <c r="K791" s="358"/>
      <c r="L791" s="358"/>
      <c r="M791" s="358"/>
      <c r="N791" s="358"/>
      <c r="O791" s="358"/>
      <c r="P791" s="358"/>
      <c r="Q791" s="358"/>
      <c r="R791" s="358"/>
      <c r="S791" s="358"/>
      <c r="T791" s="358"/>
      <c r="U791" s="358"/>
      <c r="V791" s="358"/>
      <c r="W791" s="358"/>
      <c r="X791" s="358"/>
      <c r="Y791" s="358"/>
      <c r="Z791" s="358"/>
    </row>
    <row r="792" spans="1:26" ht="13.5" customHeight="1">
      <c r="A792" s="358"/>
      <c r="B792" s="358"/>
      <c r="C792" s="358"/>
      <c r="D792" s="358"/>
      <c r="E792" s="358"/>
      <c r="F792" s="358"/>
      <c r="G792" s="358"/>
      <c r="H792" s="358"/>
      <c r="I792" s="358"/>
      <c r="J792" s="358"/>
      <c r="K792" s="358"/>
      <c r="L792" s="358"/>
      <c r="M792" s="358"/>
      <c r="N792" s="358"/>
      <c r="O792" s="358"/>
      <c r="P792" s="358"/>
      <c r="Q792" s="358"/>
      <c r="R792" s="358"/>
      <c r="S792" s="358"/>
      <c r="T792" s="358"/>
      <c r="U792" s="358"/>
      <c r="V792" s="358"/>
      <c r="W792" s="358"/>
      <c r="X792" s="358"/>
      <c r="Y792" s="358"/>
      <c r="Z792" s="358"/>
    </row>
    <row r="793" spans="1:26" ht="13.5" customHeight="1">
      <c r="A793" s="358"/>
      <c r="B793" s="358"/>
      <c r="C793" s="358"/>
      <c r="D793" s="358"/>
      <c r="E793" s="358"/>
      <c r="F793" s="358"/>
      <c r="G793" s="358"/>
      <c r="H793" s="358"/>
      <c r="I793" s="358"/>
      <c r="J793" s="358"/>
      <c r="K793" s="358"/>
      <c r="L793" s="358"/>
      <c r="M793" s="358"/>
      <c r="N793" s="358"/>
      <c r="O793" s="358"/>
      <c r="P793" s="358"/>
      <c r="Q793" s="358"/>
      <c r="R793" s="358"/>
      <c r="S793" s="358"/>
      <c r="T793" s="358"/>
      <c r="U793" s="358"/>
      <c r="V793" s="358"/>
      <c r="W793" s="358"/>
      <c r="X793" s="358"/>
      <c r="Y793" s="358"/>
      <c r="Z793" s="358"/>
    </row>
    <row r="794" spans="1:26" ht="13.5" customHeight="1">
      <c r="A794" s="358"/>
      <c r="B794" s="358"/>
      <c r="C794" s="358"/>
      <c r="D794" s="358"/>
      <c r="E794" s="358"/>
      <c r="F794" s="358"/>
      <c r="G794" s="358"/>
      <c r="H794" s="358"/>
      <c r="I794" s="358"/>
      <c r="J794" s="358"/>
      <c r="K794" s="358"/>
      <c r="L794" s="358"/>
      <c r="M794" s="358"/>
      <c r="N794" s="358"/>
      <c r="O794" s="358"/>
      <c r="P794" s="358"/>
      <c r="Q794" s="358"/>
      <c r="R794" s="358"/>
      <c r="S794" s="358"/>
      <c r="T794" s="358"/>
      <c r="U794" s="358"/>
      <c r="V794" s="358"/>
      <c r="W794" s="358"/>
      <c r="X794" s="358"/>
      <c r="Y794" s="358"/>
      <c r="Z794" s="358"/>
    </row>
    <row r="795" spans="1:26" ht="13.5" customHeight="1">
      <c r="A795" s="358"/>
      <c r="B795" s="358"/>
      <c r="C795" s="358"/>
      <c r="D795" s="358"/>
      <c r="E795" s="358"/>
      <c r="F795" s="358"/>
      <c r="G795" s="358"/>
      <c r="H795" s="358"/>
      <c r="I795" s="358"/>
      <c r="J795" s="358"/>
      <c r="K795" s="358"/>
      <c r="L795" s="358"/>
      <c r="M795" s="358"/>
      <c r="N795" s="358"/>
      <c r="O795" s="358"/>
      <c r="P795" s="358"/>
      <c r="Q795" s="358"/>
      <c r="R795" s="358"/>
      <c r="S795" s="358"/>
      <c r="T795" s="358"/>
      <c r="U795" s="358"/>
      <c r="V795" s="358"/>
      <c r="W795" s="358"/>
      <c r="X795" s="358"/>
      <c r="Y795" s="358"/>
      <c r="Z795" s="358"/>
    </row>
    <row r="796" spans="1:26" ht="13.5" customHeight="1">
      <c r="A796" s="358"/>
      <c r="B796" s="358"/>
      <c r="C796" s="358"/>
      <c r="D796" s="358"/>
      <c r="E796" s="358"/>
      <c r="F796" s="358"/>
      <c r="G796" s="358"/>
      <c r="H796" s="358"/>
      <c r="I796" s="358"/>
      <c r="J796" s="358"/>
      <c r="K796" s="358"/>
      <c r="L796" s="358"/>
      <c r="M796" s="358"/>
      <c r="N796" s="358"/>
      <c r="O796" s="358"/>
      <c r="P796" s="358"/>
      <c r="Q796" s="358"/>
      <c r="R796" s="358"/>
      <c r="S796" s="358"/>
      <c r="T796" s="358"/>
      <c r="U796" s="358"/>
      <c r="V796" s="358"/>
      <c r="W796" s="358"/>
      <c r="X796" s="358"/>
      <c r="Y796" s="358"/>
      <c r="Z796" s="358"/>
    </row>
    <row r="797" spans="1:26" ht="13.5" customHeight="1">
      <c r="A797" s="358"/>
      <c r="B797" s="358"/>
      <c r="C797" s="358"/>
      <c r="D797" s="358"/>
      <c r="E797" s="358"/>
      <c r="F797" s="358"/>
      <c r="G797" s="358"/>
      <c r="H797" s="358"/>
      <c r="I797" s="358"/>
      <c r="J797" s="358"/>
      <c r="K797" s="358"/>
      <c r="L797" s="358"/>
      <c r="M797" s="358"/>
      <c r="N797" s="358"/>
      <c r="O797" s="358"/>
      <c r="P797" s="358"/>
      <c r="Q797" s="358"/>
      <c r="R797" s="358"/>
      <c r="S797" s="358"/>
      <c r="T797" s="358"/>
      <c r="U797" s="358"/>
      <c r="V797" s="358"/>
      <c r="W797" s="358"/>
      <c r="X797" s="358"/>
      <c r="Y797" s="358"/>
      <c r="Z797" s="358"/>
    </row>
    <row r="798" spans="1:26" ht="13.5" customHeight="1">
      <c r="A798" s="358"/>
      <c r="B798" s="358"/>
      <c r="C798" s="358"/>
      <c r="D798" s="358"/>
      <c r="E798" s="358"/>
      <c r="F798" s="358"/>
      <c r="G798" s="358"/>
      <c r="H798" s="358"/>
      <c r="I798" s="358"/>
      <c r="J798" s="358"/>
      <c r="K798" s="358"/>
      <c r="L798" s="358"/>
      <c r="M798" s="358"/>
      <c r="N798" s="358"/>
      <c r="O798" s="358"/>
      <c r="P798" s="358"/>
      <c r="Q798" s="358"/>
      <c r="R798" s="358"/>
      <c r="S798" s="358"/>
      <c r="T798" s="358"/>
      <c r="U798" s="358"/>
      <c r="V798" s="358"/>
      <c r="W798" s="358"/>
      <c r="X798" s="358"/>
      <c r="Y798" s="358"/>
      <c r="Z798" s="358"/>
    </row>
    <row r="799" spans="1:26" ht="13.5" customHeight="1">
      <c r="A799" s="358"/>
      <c r="B799" s="358"/>
      <c r="C799" s="358"/>
      <c r="D799" s="358"/>
      <c r="E799" s="358"/>
      <c r="F799" s="358"/>
      <c r="G799" s="358"/>
      <c r="H799" s="358"/>
      <c r="I799" s="358"/>
      <c r="J799" s="358"/>
      <c r="K799" s="358"/>
      <c r="L799" s="358"/>
      <c r="M799" s="358"/>
      <c r="N799" s="358"/>
      <c r="O799" s="358"/>
      <c r="P799" s="358"/>
      <c r="Q799" s="358"/>
      <c r="R799" s="358"/>
      <c r="S799" s="358"/>
      <c r="T799" s="358"/>
      <c r="U799" s="358"/>
      <c r="V799" s="358"/>
      <c r="W799" s="358"/>
      <c r="X799" s="358"/>
      <c r="Y799" s="358"/>
      <c r="Z799" s="358"/>
    </row>
    <row r="800" spans="1:26" ht="13.5" customHeight="1">
      <c r="A800" s="358"/>
      <c r="B800" s="358"/>
      <c r="C800" s="358"/>
      <c r="D800" s="358"/>
      <c r="E800" s="358"/>
      <c r="F800" s="358"/>
      <c r="G800" s="358"/>
      <c r="H800" s="358"/>
      <c r="I800" s="358"/>
      <c r="J800" s="358"/>
      <c r="K800" s="358"/>
      <c r="L800" s="358"/>
      <c r="M800" s="358"/>
      <c r="N800" s="358"/>
      <c r="O800" s="358"/>
      <c r="P800" s="358"/>
      <c r="Q800" s="358"/>
      <c r="R800" s="358"/>
      <c r="S800" s="358"/>
      <c r="T800" s="358"/>
      <c r="U800" s="358"/>
      <c r="V800" s="358"/>
      <c r="W800" s="358"/>
      <c r="X800" s="358"/>
      <c r="Y800" s="358"/>
      <c r="Z800" s="358"/>
    </row>
    <row r="801" spans="1:26" ht="13.5" customHeight="1">
      <c r="A801" s="358"/>
      <c r="B801" s="358"/>
      <c r="C801" s="358"/>
      <c r="D801" s="358"/>
      <c r="E801" s="358"/>
      <c r="F801" s="358"/>
      <c r="G801" s="358"/>
      <c r="H801" s="358"/>
      <c r="I801" s="358"/>
      <c r="J801" s="358"/>
      <c r="K801" s="358"/>
      <c r="L801" s="358"/>
      <c r="M801" s="358"/>
      <c r="N801" s="358"/>
      <c r="O801" s="358"/>
      <c r="P801" s="358"/>
      <c r="Q801" s="358"/>
      <c r="R801" s="358"/>
      <c r="S801" s="358"/>
      <c r="T801" s="358"/>
      <c r="U801" s="358"/>
      <c r="V801" s="358"/>
      <c r="W801" s="358"/>
      <c r="X801" s="358"/>
      <c r="Y801" s="358"/>
      <c r="Z801" s="358"/>
    </row>
    <row r="802" spans="1:26" ht="13.5" customHeight="1">
      <c r="A802" s="358"/>
      <c r="B802" s="358"/>
      <c r="C802" s="358"/>
      <c r="D802" s="358"/>
      <c r="E802" s="358"/>
      <c r="F802" s="358"/>
      <c r="G802" s="358"/>
      <c r="H802" s="358"/>
      <c r="I802" s="358"/>
      <c r="J802" s="358"/>
      <c r="K802" s="358"/>
      <c r="L802" s="358"/>
      <c r="M802" s="358"/>
      <c r="N802" s="358"/>
      <c r="O802" s="358"/>
      <c r="P802" s="358"/>
      <c r="Q802" s="358"/>
      <c r="R802" s="358"/>
      <c r="S802" s="358"/>
      <c r="T802" s="358"/>
      <c r="U802" s="358"/>
      <c r="V802" s="358"/>
      <c r="W802" s="358"/>
      <c r="X802" s="358"/>
      <c r="Y802" s="358"/>
      <c r="Z802" s="358"/>
    </row>
    <row r="803" spans="1:26" ht="13.5" customHeight="1">
      <c r="A803" s="358"/>
      <c r="B803" s="358"/>
      <c r="C803" s="358"/>
      <c r="D803" s="358"/>
      <c r="E803" s="358"/>
      <c r="F803" s="358"/>
      <c r="G803" s="358"/>
      <c r="H803" s="358"/>
      <c r="I803" s="358"/>
      <c r="J803" s="358"/>
      <c r="K803" s="358"/>
      <c r="L803" s="358"/>
      <c r="M803" s="358"/>
      <c r="N803" s="358"/>
      <c r="O803" s="358"/>
      <c r="P803" s="358"/>
      <c r="Q803" s="358"/>
      <c r="R803" s="358"/>
      <c r="S803" s="358"/>
      <c r="T803" s="358"/>
      <c r="U803" s="358"/>
      <c r="V803" s="358"/>
      <c r="W803" s="358"/>
      <c r="X803" s="358"/>
      <c r="Y803" s="358"/>
      <c r="Z803" s="358"/>
    </row>
    <row r="804" spans="1:26" ht="13.5" customHeight="1">
      <c r="A804" s="358"/>
      <c r="B804" s="358"/>
      <c r="C804" s="358"/>
      <c r="D804" s="358"/>
      <c r="E804" s="358"/>
      <c r="F804" s="358"/>
      <c r="G804" s="358"/>
      <c r="H804" s="358"/>
      <c r="I804" s="358"/>
      <c r="J804" s="358"/>
      <c r="K804" s="358"/>
      <c r="L804" s="358"/>
      <c r="M804" s="358"/>
      <c r="N804" s="358"/>
      <c r="O804" s="358"/>
      <c r="P804" s="358"/>
      <c r="Q804" s="358"/>
      <c r="R804" s="358"/>
      <c r="S804" s="358"/>
      <c r="T804" s="358"/>
      <c r="U804" s="358"/>
      <c r="V804" s="358"/>
      <c r="W804" s="358"/>
      <c r="X804" s="358"/>
      <c r="Y804" s="358"/>
      <c r="Z804" s="358"/>
    </row>
    <row r="805" spans="1:26" ht="13.5" customHeight="1">
      <c r="A805" s="358"/>
      <c r="B805" s="358"/>
      <c r="C805" s="358"/>
      <c r="D805" s="358"/>
      <c r="E805" s="358"/>
      <c r="F805" s="358"/>
      <c r="G805" s="358"/>
      <c r="H805" s="358"/>
      <c r="I805" s="358"/>
      <c r="J805" s="358"/>
      <c r="K805" s="358"/>
      <c r="L805" s="358"/>
      <c r="M805" s="358"/>
      <c r="N805" s="358"/>
      <c r="O805" s="358"/>
      <c r="P805" s="358"/>
      <c r="Q805" s="358"/>
      <c r="R805" s="358"/>
      <c r="S805" s="358"/>
      <c r="T805" s="358"/>
      <c r="U805" s="358"/>
      <c r="V805" s="358"/>
      <c r="W805" s="358"/>
      <c r="X805" s="358"/>
      <c r="Y805" s="358"/>
      <c r="Z805" s="358"/>
    </row>
    <row r="806" spans="1:26" ht="13.5" customHeight="1">
      <c r="A806" s="358"/>
      <c r="B806" s="358"/>
      <c r="C806" s="358"/>
      <c r="D806" s="358"/>
      <c r="E806" s="358"/>
      <c r="F806" s="358"/>
      <c r="G806" s="358"/>
      <c r="H806" s="358"/>
      <c r="I806" s="358"/>
      <c r="J806" s="358"/>
      <c r="K806" s="358"/>
      <c r="L806" s="358"/>
      <c r="M806" s="358"/>
      <c r="N806" s="358"/>
      <c r="O806" s="358"/>
      <c r="P806" s="358"/>
      <c r="Q806" s="358"/>
      <c r="R806" s="358"/>
      <c r="S806" s="358"/>
      <c r="T806" s="358"/>
      <c r="U806" s="358"/>
      <c r="V806" s="358"/>
      <c r="W806" s="358"/>
      <c r="X806" s="358"/>
      <c r="Y806" s="358"/>
      <c r="Z806" s="358"/>
    </row>
    <row r="807" spans="1:26" ht="13.5" customHeight="1">
      <c r="A807" s="358"/>
      <c r="B807" s="358"/>
      <c r="C807" s="358"/>
      <c r="D807" s="358"/>
      <c r="E807" s="358"/>
      <c r="F807" s="358"/>
      <c r="G807" s="358"/>
      <c r="H807" s="358"/>
      <c r="I807" s="358"/>
      <c r="J807" s="358"/>
      <c r="K807" s="358"/>
      <c r="L807" s="358"/>
      <c r="M807" s="358"/>
      <c r="N807" s="358"/>
      <c r="O807" s="358"/>
      <c r="P807" s="358"/>
      <c r="Q807" s="358"/>
      <c r="R807" s="358"/>
      <c r="S807" s="358"/>
      <c r="T807" s="358"/>
      <c r="U807" s="358"/>
      <c r="V807" s="358"/>
      <c r="W807" s="358"/>
      <c r="X807" s="358"/>
      <c r="Y807" s="358"/>
      <c r="Z807" s="358"/>
    </row>
    <row r="808" spans="1:26" ht="13.5" customHeight="1">
      <c r="A808" s="358"/>
      <c r="B808" s="358"/>
      <c r="C808" s="358"/>
      <c r="D808" s="358"/>
      <c r="E808" s="358"/>
      <c r="F808" s="358"/>
      <c r="G808" s="358"/>
      <c r="H808" s="358"/>
      <c r="I808" s="358"/>
      <c r="J808" s="358"/>
      <c r="K808" s="358"/>
      <c r="L808" s="358"/>
      <c r="M808" s="358"/>
      <c r="N808" s="358"/>
      <c r="O808" s="358"/>
      <c r="P808" s="358"/>
      <c r="Q808" s="358"/>
      <c r="R808" s="358"/>
      <c r="S808" s="358"/>
      <c r="T808" s="358"/>
      <c r="U808" s="358"/>
      <c r="V808" s="358"/>
      <c r="W808" s="358"/>
      <c r="X808" s="358"/>
      <c r="Y808" s="358"/>
      <c r="Z808" s="358"/>
    </row>
    <row r="809" spans="1:26" ht="13.5" customHeight="1">
      <c r="A809" s="358"/>
      <c r="B809" s="358"/>
      <c r="C809" s="358"/>
      <c r="D809" s="358"/>
      <c r="E809" s="358"/>
      <c r="F809" s="358"/>
      <c r="G809" s="358"/>
      <c r="H809" s="358"/>
      <c r="I809" s="358"/>
      <c r="J809" s="358"/>
      <c r="K809" s="358"/>
      <c r="L809" s="358"/>
      <c r="M809" s="358"/>
      <c r="N809" s="358"/>
      <c r="O809" s="358"/>
      <c r="P809" s="358"/>
      <c r="Q809" s="358"/>
      <c r="R809" s="358"/>
      <c r="S809" s="358"/>
      <c r="T809" s="358"/>
      <c r="U809" s="358"/>
      <c r="V809" s="358"/>
      <c r="W809" s="358"/>
      <c r="X809" s="358"/>
      <c r="Y809" s="358"/>
      <c r="Z809" s="358"/>
    </row>
    <row r="810" spans="1:26" ht="13.5" customHeight="1">
      <c r="A810" s="358"/>
      <c r="B810" s="358"/>
      <c r="C810" s="358"/>
      <c r="D810" s="358"/>
      <c r="E810" s="358"/>
      <c r="F810" s="358"/>
      <c r="G810" s="358"/>
      <c r="H810" s="358"/>
      <c r="I810" s="358"/>
      <c r="J810" s="358"/>
      <c r="K810" s="358"/>
      <c r="L810" s="358"/>
      <c r="M810" s="358"/>
      <c r="N810" s="358"/>
      <c r="O810" s="358"/>
      <c r="P810" s="358"/>
      <c r="Q810" s="358"/>
      <c r="R810" s="358"/>
      <c r="S810" s="358"/>
      <c r="T810" s="358"/>
      <c r="U810" s="358"/>
      <c r="V810" s="358"/>
      <c r="W810" s="358"/>
      <c r="X810" s="358"/>
      <c r="Y810" s="358"/>
      <c r="Z810" s="358"/>
    </row>
    <row r="811" spans="1:26" ht="13.5" customHeight="1">
      <c r="A811" s="358"/>
      <c r="B811" s="358"/>
      <c r="C811" s="358"/>
      <c r="D811" s="358"/>
      <c r="E811" s="358"/>
      <c r="F811" s="358"/>
      <c r="G811" s="358"/>
      <c r="H811" s="358"/>
      <c r="I811" s="358"/>
      <c r="J811" s="358"/>
      <c r="K811" s="358"/>
      <c r="L811" s="358"/>
      <c r="M811" s="358"/>
      <c r="N811" s="358"/>
      <c r="O811" s="358"/>
      <c r="P811" s="358"/>
      <c r="Q811" s="358"/>
      <c r="R811" s="358"/>
      <c r="S811" s="358"/>
      <c r="T811" s="358"/>
      <c r="U811" s="358"/>
      <c r="V811" s="358"/>
      <c r="W811" s="358"/>
      <c r="X811" s="358"/>
      <c r="Y811" s="358"/>
      <c r="Z811" s="358"/>
    </row>
    <row r="812" spans="1:26" ht="13.5" customHeight="1">
      <c r="A812" s="358"/>
      <c r="B812" s="358"/>
      <c r="C812" s="358"/>
      <c r="D812" s="358"/>
      <c r="E812" s="358"/>
      <c r="F812" s="358"/>
      <c r="G812" s="358"/>
      <c r="H812" s="358"/>
      <c r="I812" s="358"/>
      <c r="J812" s="358"/>
      <c r="K812" s="358"/>
      <c r="L812" s="358"/>
      <c r="M812" s="358"/>
      <c r="N812" s="358"/>
      <c r="O812" s="358"/>
      <c r="P812" s="358"/>
      <c r="Q812" s="358"/>
      <c r="R812" s="358"/>
      <c r="S812" s="358"/>
      <c r="T812" s="358"/>
      <c r="U812" s="358"/>
      <c r="V812" s="358"/>
      <c r="W812" s="358"/>
      <c r="X812" s="358"/>
      <c r="Y812" s="358"/>
      <c r="Z812" s="358"/>
    </row>
    <row r="813" spans="1:26" ht="13.5" customHeight="1">
      <c r="A813" s="358"/>
      <c r="B813" s="358"/>
      <c r="C813" s="358"/>
      <c r="D813" s="358"/>
      <c r="E813" s="358"/>
      <c r="F813" s="358"/>
      <c r="G813" s="358"/>
      <c r="H813" s="358"/>
      <c r="I813" s="358"/>
      <c r="J813" s="358"/>
      <c r="K813" s="358"/>
      <c r="L813" s="358"/>
      <c r="M813" s="358"/>
      <c r="N813" s="358"/>
      <c r="O813" s="358"/>
      <c r="P813" s="358"/>
      <c r="Q813" s="358"/>
      <c r="R813" s="358"/>
      <c r="S813" s="358"/>
      <c r="T813" s="358"/>
      <c r="U813" s="358"/>
      <c r="V813" s="358"/>
      <c r="W813" s="358"/>
      <c r="X813" s="358"/>
      <c r="Y813" s="358"/>
      <c r="Z813" s="358"/>
    </row>
    <row r="814" spans="1:26" ht="13.5" customHeight="1">
      <c r="A814" s="358"/>
      <c r="B814" s="358"/>
      <c r="C814" s="358"/>
      <c r="D814" s="358"/>
      <c r="E814" s="358"/>
      <c r="F814" s="358"/>
      <c r="G814" s="358"/>
      <c r="H814" s="358"/>
      <c r="I814" s="358"/>
      <c r="J814" s="358"/>
      <c r="K814" s="358"/>
      <c r="L814" s="358"/>
      <c r="M814" s="358"/>
      <c r="N814" s="358"/>
      <c r="O814" s="358"/>
      <c r="P814" s="358"/>
      <c r="Q814" s="358"/>
      <c r="R814" s="358"/>
      <c r="S814" s="358"/>
      <c r="T814" s="358"/>
      <c r="U814" s="358"/>
      <c r="V814" s="358"/>
      <c r="W814" s="358"/>
      <c r="X814" s="358"/>
      <c r="Y814" s="358"/>
      <c r="Z814" s="358"/>
    </row>
    <row r="815" spans="1:26" ht="13.5" customHeight="1">
      <c r="A815" s="358"/>
      <c r="B815" s="358"/>
      <c r="C815" s="358"/>
      <c r="D815" s="358"/>
      <c r="E815" s="358"/>
      <c r="F815" s="358"/>
      <c r="G815" s="358"/>
      <c r="H815" s="358"/>
      <c r="I815" s="358"/>
      <c r="J815" s="358"/>
      <c r="K815" s="358"/>
      <c r="L815" s="358"/>
      <c r="M815" s="358"/>
      <c r="N815" s="358"/>
      <c r="O815" s="358"/>
      <c r="P815" s="358"/>
      <c r="Q815" s="358"/>
      <c r="R815" s="358"/>
      <c r="S815" s="358"/>
      <c r="T815" s="358"/>
      <c r="U815" s="358"/>
      <c r="V815" s="358"/>
      <c r="W815" s="358"/>
      <c r="X815" s="358"/>
      <c r="Y815" s="358"/>
      <c r="Z815" s="358"/>
    </row>
    <row r="816" spans="1:26" ht="13.5" customHeight="1">
      <c r="A816" s="358"/>
      <c r="B816" s="358"/>
      <c r="C816" s="358"/>
      <c r="D816" s="358"/>
      <c r="E816" s="358"/>
      <c r="F816" s="358"/>
      <c r="G816" s="358"/>
      <c r="H816" s="358"/>
      <c r="I816" s="358"/>
      <c r="J816" s="358"/>
      <c r="K816" s="358"/>
      <c r="L816" s="358"/>
      <c r="M816" s="358"/>
      <c r="N816" s="358"/>
      <c r="O816" s="358"/>
      <c r="P816" s="358"/>
      <c r="Q816" s="358"/>
      <c r="R816" s="358"/>
      <c r="S816" s="358"/>
      <c r="T816" s="358"/>
      <c r="U816" s="358"/>
      <c r="V816" s="358"/>
      <c r="W816" s="358"/>
      <c r="X816" s="358"/>
      <c r="Y816" s="358"/>
      <c r="Z816" s="358"/>
    </row>
    <row r="817" spans="1:26" ht="13.5" customHeight="1">
      <c r="A817" s="358"/>
      <c r="B817" s="358"/>
      <c r="C817" s="358"/>
      <c r="D817" s="358"/>
      <c r="E817" s="358"/>
      <c r="F817" s="358"/>
      <c r="G817" s="358"/>
      <c r="H817" s="358"/>
      <c r="I817" s="358"/>
      <c r="J817" s="358"/>
      <c r="K817" s="358"/>
      <c r="L817" s="358"/>
      <c r="M817" s="358"/>
      <c r="N817" s="358"/>
      <c r="O817" s="358"/>
      <c r="P817" s="358"/>
      <c r="Q817" s="358"/>
      <c r="R817" s="358"/>
      <c r="S817" s="358"/>
      <c r="T817" s="358"/>
      <c r="U817" s="358"/>
      <c r="V817" s="358"/>
      <c r="W817" s="358"/>
      <c r="X817" s="358"/>
      <c r="Y817" s="358"/>
      <c r="Z817" s="358"/>
    </row>
    <row r="818" spans="1:26" ht="13.5" customHeight="1">
      <c r="A818" s="358"/>
      <c r="B818" s="358"/>
      <c r="C818" s="358"/>
      <c r="D818" s="358"/>
      <c r="E818" s="358"/>
      <c r="F818" s="358"/>
      <c r="G818" s="358"/>
      <c r="H818" s="358"/>
      <c r="I818" s="358"/>
      <c r="J818" s="358"/>
      <c r="K818" s="358"/>
      <c r="L818" s="358"/>
      <c r="M818" s="358"/>
      <c r="N818" s="358"/>
      <c r="O818" s="358"/>
      <c r="P818" s="358"/>
      <c r="Q818" s="358"/>
      <c r="R818" s="358"/>
      <c r="S818" s="358"/>
      <c r="T818" s="358"/>
      <c r="U818" s="358"/>
      <c r="V818" s="358"/>
      <c r="W818" s="358"/>
      <c r="X818" s="358"/>
      <c r="Y818" s="358"/>
      <c r="Z818" s="358"/>
    </row>
    <row r="819" spans="1:26" ht="13.5" customHeight="1">
      <c r="A819" s="358"/>
      <c r="B819" s="358"/>
      <c r="C819" s="358"/>
      <c r="D819" s="358"/>
      <c r="E819" s="358"/>
      <c r="F819" s="358"/>
      <c r="G819" s="358"/>
      <c r="H819" s="358"/>
      <c r="I819" s="358"/>
      <c r="J819" s="358"/>
      <c r="K819" s="358"/>
      <c r="L819" s="358"/>
      <c r="M819" s="358"/>
      <c r="N819" s="358"/>
      <c r="O819" s="358"/>
      <c r="P819" s="358"/>
      <c r="Q819" s="358"/>
      <c r="R819" s="358"/>
      <c r="S819" s="358"/>
      <c r="T819" s="358"/>
      <c r="U819" s="358"/>
      <c r="V819" s="358"/>
      <c r="W819" s="358"/>
      <c r="X819" s="358"/>
      <c r="Y819" s="358"/>
      <c r="Z819" s="358"/>
    </row>
    <row r="820" spans="1:26" ht="13.5" customHeight="1">
      <c r="A820" s="358"/>
      <c r="B820" s="358"/>
      <c r="C820" s="358"/>
      <c r="D820" s="358"/>
      <c r="E820" s="358"/>
      <c r="F820" s="358"/>
      <c r="G820" s="358"/>
      <c r="H820" s="358"/>
      <c r="I820" s="358"/>
      <c r="J820" s="358"/>
      <c r="K820" s="358"/>
      <c r="L820" s="358"/>
      <c r="M820" s="358"/>
      <c r="N820" s="358"/>
      <c r="O820" s="358"/>
      <c r="P820" s="358"/>
      <c r="Q820" s="358"/>
      <c r="R820" s="358"/>
      <c r="S820" s="358"/>
      <c r="T820" s="358"/>
      <c r="U820" s="358"/>
      <c r="V820" s="358"/>
      <c r="W820" s="358"/>
      <c r="X820" s="358"/>
      <c r="Y820" s="358"/>
      <c r="Z820" s="358"/>
    </row>
    <row r="821" spans="1:26" ht="13.5" customHeight="1">
      <c r="A821" s="358"/>
      <c r="B821" s="358"/>
      <c r="C821" s="358"/>
      <c r="D821" s="358"/>
      <c r="E821" s="358"/>
      <c r="F821" s="358"/>
      <c r="G821" s="358"/>
      <c r="H821" s="358"/>
      <c r="I821" s="358"/>
      <c r="J821" s="358"/>
      <c r="K821" s="358"/>
      <c r="L821" s="358"/>
      <c r="M821" s="358"/>
      <c r="N821" s="358"/>
      <c r="O821" s="358"/>
      <c r="P821" s="358"/>
      <c r="Q821" s="358"/>
      <c r="R821" s="358"/>
      <c r="S821" s="358"/>
      <c r="T821" s="358"/>
      <c r="U821" s="358"/>
      <c r="V821" s="358"/>
      <c r="W821" s="358"/>
      <c r="X821" s="358"/>
      <c r="Y821" s="358"/>
      <c r="Z821" s="358"/>
    </row>
    <row r="822" spans="1:26" ht="13.5" customHeight="1">
      <c r="A822" s="358"/>
      <c r="B822" s="358"/>
      <c r="C822" s="358"/>
      <c r="D822" s="358"/>
      <c r="E822" s="358"/>
      <c r="F822" s="358"/>
      <c r="G822" s="358"/>
      <c r="H822" s="358"/>
      <c r="I822" s="358"/>
      <c r="J822" s="358"/>
      <c r="K822" s="358"/>
      <c r="L822" s="358"/>
      <c r="M822" s="358"/>
      <c r="N822" s="358"/>
      <c r="O822" s="358"/>
      <c r="P822" s="358"/>
      <c r="Q822" s="358"/>
      <c r="R822" s="358"/>
      <c r="S822" s="358"/>
      <c r="T822" s="358"/>
      <c r="U822" s="358"/>
      <c r="V822" s="358"/>
      <c r="W822" s="358"/>
      <c r="X822" s="358"/>
      <c r="Y822" s="358"/>
      <c r="Z822" s="358"/>
    </row>
    <row r="823" spans="1:26" ht="13.5" customHeight="1">
      <c r="A823" s="358"/>
      <c r="B823" s="358"/>
      <c r="C823" s="358"/>
      <c r="D823" s="358"/>
      <c r="E823" s="358"/>
      <c r="F823" s="358"/>
      <c r="G823" s="358"/>
      <c r="H823" s="358"/>
      <c r="I823" s="358"/>
      <c r="J823" s="358"/>
      <c r="K823" s="358"/>
      <c r="L823" s="358"/>
      <c r="M823" s="358"/>
      <c r="N823" s="358"/>
      <c r="O823" s="358"/>
      <c r="P823" s="358"/>
      <c r="Q823" s="358"/>
      <c r="R823" s="358"/>
      <c r="S823" s="358"/>
      <c r="T823" s="358"/>
      <c r="U823" s="358"/>
      <c r="V823" s="358"/>
      <c r="W823" s="358"/>
      <c r="X823" s="358"/>
      <c r="Y823" s="358"/>
      <c r="Z823" s="358"/>
    </row>
    <row r="824" spans="1:26" ht="13.5" customHeight="1">
      <c r="A824" s="358"/>
      <c r="B824" s="358"/>
      <c r="C824" s="358"/>
      <c r="D824" s="358"/>
      <c r="E824" s="358"/>
      <c r="F824" s="358"/>
      <c r="G824" s="358"/>
      <c r="H824" s="358"/>
      <c r="I824" s="358"/>
      <c r="J824" s="358"/>
      <c r="K824" s="358"/>
      <c r="L824" s="358"/>
      <c r="M824" s="358"/>
      <c r="N824" s="358"/>
      <c r="O824" s="358"/>
      <c r="P824" s="358"/>
      <c r="Q824" s="358"/>
      <c r="R824" s="358"/>
      <c r="S824" s="358"/>
      <c r="T824" s="358"/>
      <c r="U824" s="358"/>
      <c r="V824" s="358"/>
      <c r="W824" s="358"/>
      <c r="X824" s="358"/>
      <c r="Y824" s="358"/>
      <c r="Z824" s="358"/>
    </row>
    <row r="825" spans="1:26" ht="13.5" customHeight="1">
      <c r="A825" s="358"/>
      <c r="B825" s="358"/>
      <c r="C825" s="358"/>
      <c r="D825" s="358"/>
      <c r="E825" s="358"/>
      <c r="F825" s="358"/>
      <c r="G825" s="358"/>
      <c r="H825" s="358"/>
      <c r="I825" s="358"/>
      <c r="J825" s="358"/>
      <c r="K825" s="358"/>
      <c r="L825" s="358"/>
      <c r="M825" s="358"/>
      <c r="N825" s="358"/>
      <c r="O825" s="358"/>
      <c r="P825" s="358"/>
      <c r="Q825" s="358"/>
      <c r="R825" s="358"/>
      <c r="S825" s="358"/>
      <c r="T825" s="358"/>
      <c r="U825" s="358"/>
      <c r="V825" s="358"/>
      <c r="W825" s="358"/>
      <c r="X825" s="358"/>
      <c r="Y825" s="358"/>
      <c r="Z825" s="358"/>
    </row>
    <row r="826" spans="1:26" ht="13.5" customHeight="1">
      <c r="A826" s="358"/>
      <c r="B826" s="358"/>
      <c r="C826" s="358"/>
      <c r="D826" s="358"/>
      <c r="E826" s="358"/>
      <c r="F826" s="358"/>
      <c r="G826" s="358"/>
      <c r="H826" s="358"/>
      <c r="I826" s="358"/>
      <c r="J826" s="358"/>
      <c r="K826" s="358"/>
      <c r="L826" s="358"/>
      <c r="M826" s="358"/>
      <c r="N826" s="358"/>
      <c r="O826" s="358"/>
      <c r="P826" s="358"/>
      <c r="Q826" s="358"/>
      <c r="R826" s="358"/>
      <c r="S826" s="358"/>
      <c r="T826" s="358"/>
      <c r="U826" s="358"/>
      <c r="V826" s="358"/>
      <c r="W826" s="358"/>
      <c r="X826" s="358"/>
      <c r="Y826" s="358"/>
      <c r="Z826" s="358"/>
    </row>
    <row r="827" spans="1:26" ht="13.5" customHeight="1">
      <c r="A827" s="358"/>
      <c r="B827" s="358"/>
      <c r="C827" s="358"/>
      <c r="D827" s="358"/>
      <c r="E827" s="358"/>
      <c r="F827" s="358"/>
      <c r="G827" s="358"/>
      <c r="H827" s="358"/>
      <c r="I827" s="358"/>
      <c r="J827" s="358"/>
      <c r="K827" s="358"/>
      <c r="L827" s="358"/>
      <c r="M827" s="358"/>
      <c r="N827" s="358"/>
      <c r="O827" s="358"/>
      <c r="P827" s="358"/>
      <c r="Q827" s="358"/>
      <c r="R827" s="358"/>
      <c r="S827" s="358"/>
      <c r="T827" s="358"/>
      <c r="U827" s="358"/>
      <c r="V827" s="358"/>
      <c r="W827" s="358"/>
      <c r="X827" s="358"/>
      <c r="Y827" s="358"/>
      <c r="Z827" s="358"/>
    </row>
    <row r="828" spans="1:26" ht="13.5" customHeight="1">
      <c r="A828" s="358"/>
      <c r="B828" s="358"/>
      <c r="C828" s="358"/>
      <c r="D828" s="358"/>
      <c r="E828" s="358"/>
      <c r="F828" s="358"/>
      <c r="G828" s="358"/>
      <c r="H828" s="358"/>
      <c r="I828" s="358"/>
      <c r="J828" s="358"/>
      <c r="K828" s="358"/>
      <c r="L828" s="358"/>
      <c r="M828" s="358"/>
      <c r="N828" s="358"/>
      <c r="O828" s="358"/>
      <c r="P828" s="358"/>
      <c r="Q828" s="358"/>
      <c r="R828" s="358"/>
      <c r="S828" s="358"/>
      <c r="T828" s="358"/>
      <c r="U828" s="358"/>
      <c r="V828" s="358"/>
      <c r="W828" s="358"/>
      <c r="X828" s="358"/>
      <c r="Y828" s="358"/>
      <c r="Z828" s="358"/>
    </row>
    <row r="829" spans="1:26" ht="13.5" customHeight="1">
      <c r="A829" s="358"/>
      <c r="B829" s="358"/>
      <c r="C829" s="358"/>
      <c r="D829" s="358"/>
      <c r="E829" s="358"/>
      <c r="F829" s="358"/>
      <c r="G829" s="358"/>
      <c r="H829" s="358"/>
      <c r="I829" s="358"/>
      <c r="J829" s="358"/>
      <c r="K829" s="358"/>
      <c r="L829" s="358"/>
      <c r="M829" s="358"/>
      <c r="N829" s="358"/>
      <c r="O829" s="358"/>
      <c r="P829" s="358"/>
      <c r="Q829" s="358"/>
      <c r="R829" s="358"/>
      <c r="S829" s="358"/>
      <c r="T829" s="358"/>
      <c r="U829" s="358"/>
      <c r="V829" s="358"/>
      <c r="W829" s="358"/>
      <c r="X829" s="358"/>
      <c r="Y829" s="358"/>
      <c r="Z829" s="358"/>
    </row>
    <row r="830" spans="1:26" ht="13.5" customHeight="1">
      <c r="A830" s="358"/>
      <c r="B830" s="358"/>
      <c r="C830" s="358"/>
      <c r="D830" s="358"/>
      <c r="E830" s="358"/>
      <c r="F830" s="358"/>
      <c r="G830" s="358"/>
      <c r="H830" s="358"/>
      <c r="I830" s="358"/>
      <c r="J830" s="358"/>
      <c r="K830" s="358"/>
      <c r="L830" s="358"/>
      <c r="M830" s="358"/>
      <c r="N830" s="358"/>
      <c r="O830" s="358"/>
      <c r="P830" s="358"/>
      <c r="Q830" s="358"/>
      <c r="R830" s="358"/>
      <c r="S830" s="358"/>
      <c r="T830" s="358"/>
      <c r="U830" s="358"/>
      <c r="V830" s="358"/>
      <c r="W830" s="358"/>
      <c r="X830" s="358"/>
      <c r="Y830" s="358"/>
      <c r="Z830" s="358"/>
    </row>
    <row r="831" spans="1:26" ht="13.5" customHeight="1">
      <c r="A831" s="358"/>
      <c r="B831" s="358"/>
      <c r="C831" s="358"/>
      <c r="D831" s="358"/>
      <c r="E831" s="358"/>
      <c r="F831" s="358"/>
      <c r="G831" s="358"/>
      <c r="H831" s="358"/>
      <c r="I831" s="358"/>
      <c r="J831" s="358"/>
      <c r="K831" s="358"/>
      <c r="L831" s="358"/>
      <c r="M831" s="358"/>
      <c r="N831" s="358"/>
      <c r="O831" s="358"/>
      <c r="P831" s="358"/>
      <c r="Q831" s="358"/>
      <c r="R831" s="358"/>
      <c r="S831" s="358"/>
      <c r="T831" s="358"/>
      <c r="U831" s="358"/>
      <c r="V831" s="358"/>
      <c r="W831" s="358"/>
      <c r="X831" s="358"/>
      <c r="Y831" s="358"/>
      <c r="Z831" s="358"/>
    </row>
    <row r="832" spans="1:26" ht="13.5" customHeight="1">
      <c r="A832" s="358"/>
      <c r="B832" s="358"/>
      <c r="C832" s="358"/>
      <c r="D832" s="358"/>
      <c r="E832" s="358"/>
      <c r="F832" s="358"/>
      <c r="G832" s="358"/>
      <c r="H832" s="358"/>
      <c r="I832" s="358"/>
      <c r="J832" s="358"/>
      <c r="K832" s="358"/>
      <c r="L832" s="358"/>
      <c r="M832" s="358"/>
      <c r="N832" s="358"/>
      <c r="O832" s="358"/>
      <c r="P832" s="358"/>
      <c r="Q832" s="358"/>
      <c r="R832" s="358"/>
      <c r="S832" s="358"/>
      <c r="T832" s="358"/>
      <c r="U832" s="358"/>
      <c r="V832" s="358"/>
      <c r="W832" s="358"/>
      <c r="X832" s="358"/>
      <c r="Y832" s="358"/>
      <c r="Z832" s="358"/>
    </row>
    <row r="833" spans="1:26" ht="13.5" customHeight="1">
      <c r="A833" s="358"/>
      <c r="B833" s="358"/>
      <c r="C833" s="358"/>
      <c r="D833" s="358"/>
      <c r="E833" s="358"/>
      <c r="F833" s="358"/>
      <c r="G833" s="358"/>
      <c r="H833" s="358"/>
      <c r="I833" s="358"/>
      <c r="J833" s="358"/>
      <c r="K833" s="358"/>
      <c r="L833" s="358"/>
      <c r="M833" s="358"/>
      <c r="N833" s="358"/>
      <c r="O833" s="358"/>
      <c r="P833" s="358"/>
      <c r="Q833" s="358"/>
      <c r="R833" s="358"/>
      <c r="S833" s="358"/>
      <c r="T833" s="358"/>
      <c r="U833" s="358"/>
      <c r="V833" s="358"/>
      <c r="W833" s="358"/>
      <c r="X833" s="358"/>
      <c r="Y833" s="358"/>
      <c r="Z833" s="358"/>
    </row>
    <row r="834" spans="1:26" ht="13.5" customHeight="1">
      <c r="A834" s="358"/>
      <c r="B834" s="358"/>
      <c r="C834" s="358"/>
      <c r="D834" s="358"/>
      <c r="E834" s="358"/>
      <c r="F834" s="358"/>
      <c r="G834" s="358"/>
      <c r="H834" s="358"/>
      <c r="I834" s="358"/>
      <c r="J834" s="358"/>
      <c r="K834" s="358"/>
      <c r="L834" s="358"/>
      <c r="M834" s="358"/>
      <c r="N834" s="358"/>
      <c r="O834" s="358"/>
      <c r="P834" s="358"/>
      <c r="Q834" s="358"/>
      <c r="R834" s="358"/>
      <c r="S834" s="358"/>
      <c r="T834" s="358"/>
      <c r="U834" s="358"/>
      <c r="V834" s="358"/>
      <c r="W834" s="358"/>
      <c r="X834" s="358"/>
      <c r="Y834" s="358"/>
      <c r="Z834" s="358"/>
    </row>
    <row r="835" spans="1:26" ht="13.5" customHeight="1">
      <c r="A835" s="358"/>
      <c r="B835" s="358"/>
      <c r="C835" s="358"/>
      <c r="D835" s="358"/>
      <c r="E835" s="358"/>
      <c r="F835" s="358"/>
      <c r="G835" s="358"/>
      <c r="H835" s="358"/>
      <c r="I835" s="358"/>
      <c r="J835" s="358"/>
      <c r="K835" s="358"/>
      <c r="L835" s="358"/>
      <c r="M835" s="358"/>
      <c r="N835" s="358"/>
      <c r="O835" s="358"/>
      <c r="P835" s="358"/>
      <c r="Q835" s="358"/>
      <c r="R835" s="358"/>
      <c r="S835" s="358"/>
      <c r="T835" s="358"/>
      <c r="U835" s="358"/>
      <c r="V835" s="358"/>
      <c r="W835" s="358"/>
      <c r="X835" s="358"/>
      <c r="Y835" s="358"/>
      <c r="Z835" s="358"/>
    </row>
    <row r="836" spans="1:26" ht="13.5" customHeight="1">
      <c r="A836" s="358"/>
      <c r="B836" s="358"/>
      <c r="C836" s="358"/>
      <c r="D836" s="358"/>
      <c r="E836" s="358"/>
      <c r="F836" s="358"/>
      <c r="G836" s="358"/>
      <c r="H836" s="358"/>
      <c r="I836" s="358"/>
      <c r="J836" s="358"/>
      <c r="K836" s="358"/>
      <c r="L836" s="358"/>
      <c r="M836" s="358"/>
      <c r="N836" s="358"/>
      <c r="O836" s="358"/>
      <c r="P836" s="358"/>
      <c r="Q836" s="358"/>
      <c r="R836" s="358"/>
      <c r="S836" s="358"/>
      <c r="T836" s="358"/>
      <c r="U836" s="358"/>
      <c r="V836" s="358"/>
      <c r="W836" s="358"/>
      <c r="X836" s="358"/>
      <c r="Y836" s="358"/>
      <c r="Z836" s="358"/>
    </row>
    <row r="837" spans="1:26" ht="13.5" customHeight="1">
      <c r="A837" s="358"/>
      <c r="B837" s="358"/>
      <c r="C837" s="358"/>
      <c r="D837" s="358"/>
      <c r="E837" s="358"/>
      <c r="F837" s="358"/>
      <c r="G837" s="358"/>
      <c r="H837" s="358"/>
      <c r="I837" s="358"/>
      <c r="J837" s="358"/>
      <c r="K837" s="358"/>
      <c r="L837" s="358"/>
      <c r="M837" s="358"/>
      <c r="N837" s="358"/>
      <c r="O837" s="358"/>
      <c r="P837" s="358"/>
      <c r="Q837" s="358"/>
      <c r="R837" s="358"/>
      <c r="S837" s="358"/>
      <c r="T837" s="358"/>
      <c r="U837" s="358"/>
      <c r="V837" s="358"/>
      <c r="W837" s="358"/>
      <c r="X837" s="358"/>
      <c r="Y837" s="358"/>
      <c r="Z837" s="358"/>
    </row>
    <row r="838" spans="1:26" ht="13.5" customHeight="1">
      <c r="A838" s="358"/>
      <c r="B838" s="358"/>
      <c r="C838" s="358"/>
      <c r="D838" s="358"/>
      <c r="E838" s="358"/>
      <c r="F838" s="358"/>
      <c r="G838" s="358"/>
      <c r="H838" s="358"/>
      <c r="I838" s="358"/>
      <c r="J838" s="358"/>
      <c r="K838" s="358"/>
      <c r="L838" s="358"/>
      <c r="M838" s="358"/>
      <c r="N838" s="358"/>
      <c r="O838" s="358"/>
      <c r="P838" s="358"/>
      <c r="Q838" s="358"/>
      <c r="R838" s="358"/>
      <c r="S838" s="358"/>
      <c r="T838" s="358"/>
      <c r="U838" s="358"/>
      <c r="V838" s="358"/>
      <c r="W838" s="358"/>
      <c r="X838" s="358"/>
      <c r="Y838" s="358"/>
      <c r="Z838" s="358"/>
    </row>
    <row r="839" spans="1:26" ht="13.5" customHeight="1">
      <c r="A839" s="358"/>
      <c r="B839" s="358"/>
      <c r="C839" s="358"/>
      <c r="D839" s="358"/>
      <c r="E839" s="358"/>
      <c r="F839" s="358"/>
      <c r="G839" s="358"/>
      <c r="H839" s="358"/>
      <c r="I839" s="358"/>
      <c r="J839" s="358"/>
      <c r="K839" s="358"/>
      <c r="L839" s="358"/>
      <c r="M839" s="358"/>
      <c r="N839" s="358"/>
      <c r="O839" s="358"/>
      <c r="P839" s="358"/>
      <c r="Q839" s="358"/>
      <c r="R839" s="358"/>
      <c r="S839" s="358"/>
      <c r="T839" s="358"/>
      <c r="U839" s="358"/>
      <c r="V839" s="358"/>
      <c r="W839" s="358"/>
      <c r="X839" s="358"/>
      <c r="Y839" s="358"/>
      <c r="Z839" s="358"/>
    </row>
    <row r="840" spans="1:26" ht="13.5" customHeight="1">
      <c r="A840" s="358"/>
      <c r="B840" s="358"/>
      <c r="C840" s="358"/>
      <c r="D840" s="358"/>
      <c r="E840" s="358"/>
      <c r="F840" s="358"/>
      <c r="G840" s="358"/>
      <c r="H840" s="358"/>
      <c r="I840" s="358"/>
      <c r="J840" s="358"/>
      <c r="K840" s="358"/>
      <c r="L840" s="358"/>
      <c r="M840" s="358"/>
      <c r="N840" s="358"/>
      <c r="O840" s="358"/>
      <c r="P840" s="358"/>
      <c r="Q840" s="358"/>
      <c r="R840" s="358"/>
      <c r="S840" s="358"/>
      <c r="T840" s="358"/>
      <c r="U840" s="358"/>
      <c r="V840" s="358"/>
      <c r="W840" s="358"/>
      <c r="X840" s="358"/>
      <c r="Y840" s="358"/>
      <c r="Z840" s="358"/>
    </row>
    <row r="841" spans="1:26" ht="13.5" customHeight="1">
      <c r="A841" s="358"/>
      <c r="B841" s="358"/>
      <c r="C841" s="358"/>
      <c r="D841" s="358"/>
      <c r="E841" s="358"/>
      <c r="F841" s="358"/>
      <c r="G841" s="358"/>
      <c r="H841" s="358"/>
      <c r="I841" s="358"/>
      <c r="J841" s="358"/>
      <c r="K841" s="358"/>
      <c r="L841" s="358"/>
      <c r="M841" s="358"/>
      <c r="N841" s="358"/>
      <c r="O841" s="358"/>
      <c r="P841" s="358"/>
      <c r="Q841" s="358"/>
      <c r="R841" s="358"/>
      <c r="S841" s="358"/>
      <c r="T841" s="358"/>
      <c r="U841" s="358"/>
      <c r="V841" s="358"/>
      <c r="W841" s="358"/>
      <c r="X841" s="358"/>
      <c r="Y841" s="358"/>
      <c r="Z841" s="358"/>
    </row>
    <row r="842" spans="1:26" ht="13.5" customHeight="1">
      <c r="A842" s="358"/>
      <c r="B842" s="358"/>
      <c r="C842" s="358"/>
      <c r="D842" s="358"/>
      <c r="E842" s="358"/>
      <c r="F842" s="358"/>
      <c r="G842" s="358"/>
      <c r="H842" s="358"/>
      <c r="I842" s="358"/>
      <c r="J842" s="358"/>
      <c r="K842" s="358"/>
      <c r="L842" s="358"/>
      <c r="M842" s="358"/>
      <c r="N842" s="358"/>
      <c r="O842" s="358"/>
      <c r="P842" s="358"/>
      <c r="Q842" s="358"/>
      <c r="R842" s="358"/>
      <c r="S842" s="358"/>
      <c r="T842" s="358"/>
      <c r="U842" s="358"/>
      <c r="V842" s="358"/>
      <c r="W842" s="358"/>
      <c r="X842" s="358"/>
      <c r="Y842" s="358"/>
      <c r="Z842" s="358"/>
    </row>
    <row r="843" spans="1:26" ht="13.5" customHeight="1">
      <c r="A843" s="358"/>
      <c r="B843" s="358"/>
      <c r="C843" s="358"/>
      <c r="D843" s="358"/>
      <c r="E843" s="358"/>
      <c r="F843" s="358"/>
      <c r="G843" s="358"/>
      <c r="H843" s="358"/>
      <c r="I843" s="358"/>
      <c r="J843" s="358"/>
      <c r="K843" s="358"/>
      <c r="L843" s="358"/>
      <c r="M843" s="358"/>
      <c r="N843" s="358"/>
      <c r="O843" s="358"/>
      <c r="P843" s="358"/>
      <c r="Q843" s="358"/>
      <c r="R843" s="358"/>
      <c r="S843" s="358"/>
      <c r="T843" s="358"/>
      <c r="U843" s="358"/>
      <c r="V843" s="358"/>
      <c r="W843" s="358"/>
      <c r="X843" s="358"/>
      <c r="Y843" s="358"/>
      <c r="Z843" s="358"/>
    </row>
    <row r="844" spans="1:26" ht="13.5" customHeight="1">
      <c r="A844" s="358"/>
      <c r="B844" s="358"/>
      <c r="C844" s="358"/>
      <c r="D844" s="358"/>
      <c r="E844" s="358"/>
      <c r="F844" s="358"/>
      <c r="G844" s="358"/>
      <c r="H844" s="358"/>
      <c r="I844" s="358"/>
      <c r="J844" s="358"/>
      <c r="K844" s="358"/>
      <c r="L844" s="358"/>
      <c r="M844" s="358"/>
      <c r="N844" s="358"/>
      <c r="O844" s="358"/>
      <c r="P844" s="358"/>
      <c r="Q844" s="358"/>
      <c r="R844" s="358"/>
      <c r="S844" s="358"/>
      <c r="T844" s="358"/>
      <c r="U844" s="358"/>
      <c r="V844" s="358"/>
      <c r="W844" s="358"/>
      <c r="X844" s="358"/>
      <c r="Y844" s="358"/>
      <c r="Z844" s="358"/>
    </row>
    <row r="845" spans="1:26" ht="13.5" customHeight="1">
      <c r="A845" s="358"/>
      <c r="B845" s="358"/>
      <c r="C845" s="358"/>
      <c r="D845" s="358"/>
      <c r="E845" s="358"/>
      <c r="F845" s="358"/>
      <c r="G845" s="358"/>
      <c r="H845" s="358"/>
      <c r="I845" s="358"/>
      <c r="J845" s="358"/>
      <c r="K845" s="358"/>
      <c r="L845" s="358"/>
      <c r="M845" s="358"/>
      <c r="N845" s="358"/>
      <c r="O845" s="358"/>
      <c r="P845" s="358"/>
      <c r="Q845" s="358"/>
      <c r="R845" s="358"/>
      <c r="S845" s="358"/>
      <c r="T845" s="358"/>
      <c r="U845" s="358"/>
      <c r="V845" s="358"/>
      <c r="W845" s="358"/>
      <c r="X845" s="358"/>
      <c r="Y845" s="358"/>
      <c r="Z845" s="358"/>
    </row>
    <row r="846" spans="1:26" ht="13.5" customHeight="1">
      <c r="A846" s="358"/>
      <c r="B846" s="358"/>
      <c r="C846" s="358"/>
      <c r="D846" s="358"/>
      <c r="E846" s="358"/>
      <c r="F846" s="358"/>
      <c r="G846" s="358"/>
      <c r="H846" s="358"/>
      <c r="I846" s="358"/>
      <c r="J846" s="358"/>
      <c r="K846" s="358"/>
      <c r="L846" s="358"/>
      <c r="M846" s="358"/>
      <c r="N846" s="358"/>
      <c r="O846" s="358"/>
      <c r="P846" s="358"/>
      <c r="Q846" s="358"/>
      <c r="R846" s="358"/>
      <c r="S846" s="358"/>
      <c r="T846" s="358"/>
      <c r="U846" s="358"/>
      <c r="V846" s="358"/>
      <c r="W846" s="358"/>
      <c r="X846" s="358"/>
      <c r="Y846" s="358"/>
      <c r="Z846" s="358"/>
    </row>
    <row r="847" spans="1:26" ht="13.5" customHeight="1">
      <c r="A847" s="358"/>
      <c r="B847" s="358"/>
      <c r="C847" s="358"/>
      <c r="D847" s="358"/>
      <c r="E847" s="358"/>
      <c r="F847" s="358"/>
      <c r="G847" s="358"/>
      <c r="H847" s="358"/>
      <c r="I847" s="358"/>
      <c r="J847" s="358"/>
      <c r="K847" s="358"/>
      <c r="L847" s="358"/>
      <c r="M847" s="358"/>
      <c r="N847" s="358"/>
      <c r="O847" s="358"/>
      <c r="P847" s="358"/>
      <c r="Q847" s="358"/>
      <c r="R847" s="358"/>
      <c r="S847" s="358"/>
      <c r="T847" s="358"/>
      <c r="U847" s="358"/>
      <c r="V847" s="358"/>
      <c r="W847" s="358"/>
      <c r="X847" s="358"/>
      <c r="Y847" s="358"/>
      <c r="Z847" s="358"/>
    </row>
    <row r="848" spans="1:26" ht="13.5" customHeight="1">
      <c r="A848" s="358"/>
      <c r="B848" s="358"/>
      <c r="C848" s="358"/>
      <c r="D848" s="358"/>
      <c r="E848" s="358"/>
      <c r="F848" s="358"/>
      <c r="G848" s="358"/>
      <c r="H848" s="358"/>
      <c r="I848" s="358"/>
      <c r="J848" s="358"/>
      <c r="K848" s="358"/>
      <c r="L848" s="358"/>
      <c r="M848" s="358"/>
      <c r="N848" s="358"/>
      <c r="O848" s="358"/>
      <c r="P848" s="358"/>
      <c r="Q848" s="358"/>
      <c r="R848" s="358"/>
      <c r="S848" s="358"/>
      <c r="T848" s="358"/>
      <c r="U848" s="358"/>
      <c r="V848" s="358"/>
      <c r="W848" s="358"/>
      <c r="X848" s="358"/>
      <c r="Y848" s="358"/>
      <c r="Z848" s="358"/>
    </row>
    <row r="849" spans="1:26" ht="13.5" customHeight="1">
      <c r="A849" s="358"/>
      <c r="B849" s="358"/>
      <c r="C849" s="358"/>
      <c r="D849" s="358"/>
      <c r="E849" s="358"/>
      <c r="F849" s="358"/>
      <c r="G849" s="358"/>
      <c r="H849" s="358"/>
      <c r="I849" s="358"/>
      <c r="J849" s="358"/>
      <c r="K849" s="358"/>
      <c r="L849" s="358"/>
      <c r="M849" s="358"/>
      <c r="N849" s="358"/>
      <c r="O849" s="358"/>
      <c r="P849" s="358"/>
      <c r="Q849" s="358"/>
      <c r="R849" s="358"/>
      <c r="S849" s="358"/>
      <c r="T849" s="358"/>
      <c r="U849" s="358"/>
      <c r="V849" s="358"/>
      <c r="W849" s="358"/>
      <c r="X849" s="358"/>
      <c r="Y849" s="358"/>
      <c r="Z849" s="358"/>
    </row>
    <row r="850" spans="1:26" ht="13.5" customHeight="1">
      <c r="A850" s="358"/>
      <c r="B850" s="358"/>
      <c r="C850" s="358"/>
      <c r="D850" s="358"/>
      <c r="E850" s="358"/>
      <c r="F850" s="358"/>
      <c r="G850" s="358"/>
      <c r="H850" s="358"/>
      <c r="I850" s="358"/>
      <c r="J850" s="358"/>
      <c r="K850" s="358"/>
      <c r="L850" s="358"/>
      <c r="M850" s="358"/>
      <c r="N850" s="358"/>
      <c r="O850" s="358"/>
      <c r="P850" s="358"/>
      <c r="Q850" s="358"/>
      <c r="R850" s="358"/>
      <c r="S850" s="358"/>
      <c r="T850" s="358"/>
      <c r="U850" s="358"/>
      <c r="V850" s="358"/>
      <c r="W850" s="358"/>
      <c r="X850" s="358"/>
      <c r="Y850" s="358"/>
      <c r="Z850" s="358"/>
    </row>
    <row r="851" spans="1:26" ht="13.5" customHeight="1">
      <c r="A851" s="358"/>
      <c r="B851" s="358"/>
      <c r="C851" s="358"/>
      <c r="D851" s="358"/>
      <c r="E851" s="358"/>
      <c r="F851" s="358"/>
      <c r="G851" s="358"/>
      <c r="H851" s="358"/>
      <c r="I851" s="358"/>
      <c r="J851" s="358"/>
      <c r="K851" s="358"/>
      <c r="L851" s="358"/>
      <c r="M851" s="358"/>
      <c r="N851" s="358"/>
      <c r="O851" s="358"/>
      <c r="P851" s="358"/>
      <c r="Q851" s="358"/>
      <c r="R851" s="358"/>
      <c r="S851" s="358"/>
      <c r="T851" s="358"/>
      <c r="U851" s="358"/>
      <c r="V851" s="358"/>
      <c r="W851" s="358"/>
      <c r="X851" s="358"/>
      <c r="Y851" s="358"/>
      <c r="Z851" s="358"/>
    </row>
    <row r="852" spans="1:26" ht="13.5" customHeight="1">
      <c r="A852" s="358"/>
      <c r="B852" s="358"/>
      <c r="C852" s="358"/>
      <c r="D852" s="358"/>
      <c r="E852" s="358"/>
      <c r="F852" s="358"/>
      <c r="G852" s="358"/>
      <c r="H852" s="358"/>
      <c r="I852" s="358"/>
      <c r="J852" s="358"/>
      <c r="K852" s="358"/>
      <c r="L852" s="358"/>
      <c r="M852" s="358"/>
      <c r="N852" s="358"/>
      <c r="O852" s="358"/>
      <c r="P852" s="358"/>
      <c r="Q852" s="358"/>
      <c r="R852" s="358"/>
      <c r="S852" s="358"/>
      <c r="T852" s="358"/>
      <c r="U852" s="358"/>
      <c r="V852" s="358"/>
      <c r="W852" s="358"/>
      <c r="X852" s="358"/>
      <c r="Y852" s="358"/>
      <c r="Z852" s="358"/>
    </row>
    <row r="853" spans="1:26" ht="13.5" customHeight="1">
      <c r="A853" s="358"/>
      <c r="B853" s="358"/>
      <c r="C853" s="358"/>
      <c r="D853" s="358"/>
      <c r="E853" s="358"/>
      <c r="F853" s="358"/>
      <c r="G853" s="358"/>
      <c r="H853" s="358"/>
      <c r="I853" s="358"/>
      <c r="J853" s="358"/>
      <c r="K853" s="358"/>
      <c r="L853" s="358"/>
      <c r="M853" s="358"/>
      <c r="N853" s="358"/>
      <c r="O853" s="358"/>
      <c r="P853" s="358"/>
      <c r="Q853" s="358"/>
      <c r="R853" s="358"/>
      <c r="S853" s="358"/>
      <c r="T853" s="358"/>
      <c r="U853" s="358"/>
      <c r="V853" s="358"/>
      <c r="W853" s="358"/>
      <c r="X853" s="358"/>
      <c r="Y853" s="358"/>
      <c r="Z853" s="358"/>
    </row>
    <row r="854" spans="1:26" ht="13.5" customHeight="1">
      <c r="A854" s="358"/>
      <c r="B854" s="358"/>
      <c r="C854" s="358"/>
      <c r="D854" s="358"/>
      <c r="E854" s="358"/>
      <c r="F854" s="358"/>
      <c r="G854" s="358"/>
      <c r="H854" s="358"/>
      <c r="I854" s="358"/>
      <c r="J854" s="358"/>
      <c r="K854" s="358"/>
      <c r="L854" s="358"/>
      <c r="M854" s="358"/>
      <c r="N854" s="358"/>
      <c r="O854" s="358"/>
      <c r="P854" s="358"/>
      <c r="Q854" s="358"/>
      <c r="R854" s="358"/>
      <c r="S854" s="358"/>
      <c r="T854" s="358"/>
      <c r="U854" s="358"/>
      <c r="V854" s="358"/>
      <c r="W854" s="358"/>
      <c r="X854" s="358"/>
      <c r="Y854" s="358"/>
      <c r="Z854" s="358"/>
    </row>
    <row r="855" spans="1:26" ht="13.5" customHeight="1">
      <c r="A855" s="358"/>
      <c r="B855" s="358"/>
      <c r="C855" s="358"/>
      <c r="D855" s="358"/>
      <c r="E855" s="358"/>
      <c r="F855" s="358"/>
      <c r="G855" s="358"/>
      <c r="H855" s="358"/>
      <c r="I855" s="358"/>
      <c r="J855" s="358"/>
      <c r="K855" s="358"/>
      <c r="L855" s="358"/>
      <c r="M855" s="358"/>
      <c r="N855" s="358"/>
      <c r="O855" s="358"/>
      <c r="P855" s="358"/>
      <c r="Q855" s="358"/>
      <c r="R855" s="358"/>
      <c r="S855" s="358"/>
      <c r="T855" s="358"/>
      <c r="U855" s="358"/>
      <c r="V855" s="358"/>
      <c r="W855" s="358"/>
      <c r="X855" s="358"/>
      <c r="Y855" s="358"/>
      <c r="Z855" s="358"/>
    </row>
    <row r="856" spans="1:26" ht="13.5" customHeight="1">
      <c r="A856" s="358"/>
      <c r="B856" s="358"/>
      <c r="C856" s="358"/>
      <c r="D856" s="358"/>
      <c r="E856" s="358"/>
      <c r="F856" s="358"/>
      <c r="G856" s="358"/>
      <c r="H856" s="358"/>
      <c r="I856" s="358"/>
      <c r="J856" s="358"/>
      <c r="K856" s="358"/>
      <c r="L856" s="358"/>
      <c r="M856" s="358"/>
      <c r="N856" s="358"/>
      <c r="O856" s="358"/>
      <c r="P856" s="358"/>
      <c r="Q856" s="358"/>
      <c r="R856" s="358"/>
      <c r="S856" s="358"/>
      <c r="T856" s="358"/>
      <c r="U856" s="358"/>
      <c r="V856" s="358"/>
      <c r="W856" s="358"/>
      <c r="X856" s="358"/>
      <c r="Y856" s="358"/>
      <c r="Z856" s="358"/>
    </row>
    <row r="857" spans="1:26" ht="13.5" customHeight="1">
      <c r="A857" s="358"/>
      <c r="B857" s="358"/>
      <c r="C857" s="358"/>
      <c r="D857" s="358"/>
      <c r="E857" s="358"/>
      <c r="F857" s="358"/>
      <c r="G857" s="358"/>
      <c r="H857" s="358"/>
      <c r="I857" s="358"/>
      <c r="J857" s="358"/>
      <c r="K857" s="358"/>
      <c r="L857" s="358"/>
      <c r="M857" s="358"/>
      <c r="N857" s="358"/>
      <c r="O857" s="358"/>
      <c r="P857" s="358"/>
      <c r="Q857" s="358"/>
      <c r="R857" s="358"/>
      <c r="S857" s="358"/>
      <c r="T857" s="358"/>
      <c r="U857" s="358"/>
      <c r="V857" s="358"/>
      <c r="W857" s="358"/>
      <c r="X857" s="358"/>
      <c r="Y857" s="358"/>
      <c r="Z857" s="358"/>
    </row>
    <row r="858" spans="1:26" ht="13.5" customHeight="1">
      <c r="A858" s="358"/>
      <c r="B858" s="358"/>
      <c r="C858" s="358"/>
      <c r="D858" s="358"/>
      <c r="E858" s="358"/>
      <c r="F858" s="358"/>
      <c r="G858" s="358"/>
      <c r="H858" s="358"/>
      <c r="I858" s="358"/>
      <c r="J858" s="358"/>
      <c r="K858" s="358"/>
      <c r="L858" s="358"/>
      <c r="M858" s="358"/>
      <c r="N858" s="358"/>
      <c r="O858" s="358"/>
      <c r="P858" s="358"/>
      <c r="Q858" s="358"/>
      <c r="R858" s="358"/>
      <c r="S858" s="358"/>
      <c r="T858" s="358"/>
      <c r="U858" s="358"/>
      <c r="V858" s="358"/>
      <c r="W858" s="358"/>
      <c r="X858" s="358"/>
      <c r="Y858" s="358"/>
      <c r="Z858" s="358"/>
    </row>
    <row r="859" spans="1:26" ht="13.5" customHeight="1">
      <c r="A859" s="358"/>
      <c r="B859" s="358"/>
      <c r="C859" s="358"/>
      <c r="D859" s="358"/>
      <c r="E859" s="358"/>
      <c r="F859" s="358"/>
      <c r="G859" s="358"/>
      <c r="H859" s="358"/>
      <c r="I859" s="358"/>
      <c r="J859" s="358"/>
      <c r="K859" s="358"/>
      <c r="L859" s="358"/>
      <c r="M859" s="358"/>
      <c r="N859" s="358"/>
      <c r="O859" s="358"/>
      <c r="P859" s="358"/>
      <c r="Q859" s="358"/>
      <c r="R859" s="358"/>
      <c r="S859" s="358"/>
      <c r="T859" s="358"/>
      <c r="U859" s="358"/>
      <c r="V859" s="358"/>
      <c r="W859" s="358"/>
      <c r="X859" s="358"/>
      <c r="Y859" s="358"/>
      <c r="Z859" s="358"/>
    </row>
    <row r="860" spans="1:26" ht="13.5" customHeight="1">
      <c r="A860" s="358"/>
      <c r="B860" s="358"/>
      <c r="C860" s="358"/>
      <c r="D860" s="358"/>
      <c r="E860" s="358"/>
      <c r="F860" s="358"/>
      <c r="G860" s="358"/>
      <c r="H860" s="358"/>
      <c r="I860" s="358"/>
      <c r="J860" s="358"/>
      <c r="K860" s="358"/>
      <c r="L860" s="358"/>
      <c r="M860" s="358"/>
      <c r="N860" s="358"/>
      <c r="O860" s="358"/>
      <c r="P860" s="358"/>
      <c r="Q860" s="358"/>
      <c r="R860" s="358"/>
      <c r="S860" s="358"/>
      <c r="T860" s="358"/>
      <c r="U860" s="358"/>
      <c r="V860" s="358"/>
      <c r="W860" s="358"/>
      <c r="X860" s="358"/>
      <c r="Y860" s="358"/>
      <c r="Z860" s="358"/>
    </row>
    <row r="861" spans="1:26" ht="13.5" customHeight="1">
      <c r="A861" s="358"/>
      <c r="B861" s="358"/>
      <c r="C861" s="358"/>
      <c r="D861" s="358"/>
      <c r="E861" s="358"/>
      <c r="F861" s="358"/>
      <c r="G861" s="358"/>
      <c r="H861" s="358"/>
      <c r="I861" s="358"/>
      <c r="J861" s="358"/>
      <c r="K861" s="358"/>
      <c r="L861" s="358"/>
      <c r="M861" s="358"/>
      <c r="N861" s="358"/>
      <c r="O861" s="358"/>
      <c r="P861" s="358"/>
      <c r="Q861" s="358"/>
      <c r="R861" s="358"/>
      <c r="S861" s="358"/>
      <c r="T861" s="358"/>
      <c r="U861" s="358"/>
      <c r="V861" s="358"/>
      <c r="W861" s="358"/>
      <c r="X861" s="358"/>
      <c r="Y861" s="358"/>
      <c r="Z861" s="358"/>
    </row>
    <row r="862" spans="1:26" ht="13.5" customHeight="1">
      <c r="A862" s="358"/>
      <c r="B862" s="358"/>
      <c r="C862" s="358"/>
      <c r="D862" s="358"/>
      <c r="E862" s="358"/>
      <c r="F862" s="358"/>
      <c r="G862" s="358"/>
      <c r="H862" s="358"/>
      <c r="I862" s="358"/>
      <c r="J862" s="358"/>
      <c r="K862" s="358"/>
      <c r="L862" s="358"/>
      <c r="M862" s="358"/>
      <c r="N862" s="358"/>
      <c r="O862" s="358"/>
      <c r="P862" s="358"/>
      <c r="Q862" s="358"/>
      <c r="R862" s="358"/>
      <c r="S862" s="358"/>
      <c r="T862" s="358"/>
      <c r="U862" s="358"/>
      <c r="V862" s="358"/>
      <c r="W862" s="358"/>
      <c r="X862" s="358"/>
      <c r="Y862" s="358"/>
      <c r="Z862" s="358"/>
    </row>
    <row r="863" spans="1:26" ht="13.5" customHeight="1">
      <c r="A863" s="358"/>
      <c r="B863" s="358"/>
      <c r="C863" s="358"/>
      <c r="D863" s="358"/>
      <c r="E863" s="358"/>
      <c r="F863" s="358"/>
      <c r="G863" s="358"/>
      <c r="H863" s="358"/>
      <c r="I863" s="358"/>
      <c r="J863" s="358"/>
      <c r="K863" s="358"/>
      <c r="L863" s="358"/>
      <c r="M863" s="358"/>
      <c r="N863" s="358"/>
      <c r="O863" s="358"/>
      <c r="P863" s="358"/>
      <c r="Q863" s="358"/>
      <c r="R863" s="358"/>
      <c r="S863" s="358"/>
      <c r="T863" s="358"/>
      <c r="U863" s="358"/>
      <c r="V863" s="358"/>
      <c r="W863" s="358"/>
      <c r="X863" s="358"/>
      <c r="Y863" s="358"/>
      <c r="Z863" s="358"/>
    </row>
    <row r="864" spans="1:26" ht="13.5" customHeight="1">
      <c r="A864" s="358"/>
      <c r="B864" s="358"/>
      <c r="C864" s="358"/>
      <c r="D864" s="358"/>
      <c r="E864" s="358"/>
      <c r="F864" s="358"/>
      <c r="G864" s="358"/>
      <c r="H864" s="358"/>
      <c r="I864" s="358"/>
      <c r="J864" s="358"/>
      <c r="K864" s="358"/>
      <c r="L864" s="358"/>
      <c r="M864" s="358"/>
      <c r="N864" s="358"/>
      <c r="O864" s="358"/>
      <c r="P864" s="358"/>
      <c r="Q864" s="358"/>
      <c r="R864" s="358"/>
      <c r="S864" s="358"/>
      <c r="T864" s="358"/>
      <c r="U864" s="358"/>
      <c r="V864" s="358"/>
      <c r="W864" s="358"/>
      <c r="X864" s="358"/>
      <c r="Y864" s="358"/>
      <c r="Z864" s="358"/>
    </row>
    <row r="865" spans="1:26" ht="13.5" customHeight="1">
      <c r="A865" s="358"/>
      <c r="B865" s="358"/>
      <c r="C865" s="358"/>
      <c r="D865" s="358"/>
      <c r="E865" s="358"/>
      <c r="F865" s="358"/>
      <c r="G865" s="358"/>
      <c r="H865" s="358"/>
      <c r="I865" s="358"/>
      <c r="J865" s="358"/>
      <c r="K865" s="358"/>
      <c r="L865" s="358"/>
      <c r="M865" s="358"/>
      <c r="N865" s="358"/>
      <c r="O865" s="358"/>
      <c r="P865" s="358"/>
      <c r="Q865" s="358"/>
      <c r="R865" s="358"/>
      <c r="S865" s="358"/>
      <c r="T865" s="358"/>
      <c r="U865" s="358"/>
      <c r="V865" s="358"/>
      <c r="W865" s="358"/>
      <c r="X865" s="358"/>
      <c r="Y865" s="358"/>
      <c r="Z865" s="358"/>
    </row>
    <row r="866" spans="1:26" ht="13.5" customHeight="1">
      <c r="A866" s="358"/>
      <c r="B866" s="358"/>
      <c r="C866" s="358"/>
      <c r="D866" s="358"/>
      <c r="E866" s="358"/>
      <c r="F866" s="358"/>
      <c r="G866" s="358"/>
      <c r="H866" s="358"/>
      <c r="I866" s="358"/>
      <c r="J866" s="358"/>
      <c r="K866" s="358"/>
      <c r="L866" s="358"/>
      <c r="M866" s="358"/>
      <c r="N866" s="358"/>
      <c r="O866" s="358"/>
      <c r="P866" s="358"/>
      <c r="Q866" s="358"/>
      <c r="R866" s="358"/>
      <c r="S866" s="358"/>
      <c r="T866" s="358"/>
      <c r="U866" s="358"/>
      <c r="V866" s="358"/>
      <c r="W866" s="358"/>
      <c r="X866" s="358"/>
      <c r="Y866" s="358"/>
      <c r="Z866" s="358"/>
    </row>
    <row r="867" spans="1:26" ht="13.5" customHeight="1">
      <c r="A867" s="358"/>
      <c r="B867" s="358"/>
      <c r="C867" s="358"/>
      <c r="D867" s="358"/>
      <c r="E867" s="358"/>
      <c r="F867" s="358"/>
      <c r="G867" s="358"/>
      <c r="H867" s="358"/>
      <c r="I867" s="358"/>
      <c r="J867" s="358"/>
      <c r="K867" s="358"/>
      <c r="L867" s="358"/>
      <c r="M867" s="358"/>
      <c r="N867" s="358"/>
      <c r="O867" s="358"/>
      <c r="P867" s="358"/>
      <c r="Q867" s="358"/>
      <c r="R867" s="358"/>
      <c r="S867" s="358"/>
      <c r="T867" s="358"/>
      <c r="U867" s="358"/>
      <c r="V867" s="358"/>
      <c r="W867" s="358"/>
      <c r="X867" s="358"/>
      <c r="Y867" s="358"/>
      <c r="Z867" s="358"/>
    </row>
    <row r="868" spans="1:26" ht="13.5" customHeight="1">
      <c r="A868" s="358"/>
      <c r="B868" s="358"/>
      <c r="C868" s="358"/>
      <c r="D868" s="358"/>
      <c r="E868" s="358"/>
      <c r="F868" s="358"/>
      <c r="G868" s="358"/>
      <c r="H868" s="358"/>
      <c r="I868" s="358"/>
      <c r="J868" s="358"/>
      <c r="K868" s="358"/>
      <c r="L868" s="358"/>
      <c r="M868" s="358"/>
      <c r="N868" s="358"/>
      <c r="O868" s="358"/>
      <c r="P868" s="358"/>
      <c r="Q868" s="358"/>
      <c r="R868" s="358"/>
      <c r="S868" s="358"/>
      <c r="T868" s="358"/>
      <c r="U868" s="358"/>
      <c r="V868" s="358"/>
      <c r="W868" s="358"/>
      <c r="X868" s="358"/>
      <c r="Y868" s="358"/>
      <c r="Z868" s="358"/>
    </row>
    <row r="869" spans="1:26" ht="13.5" customHeight="1">
      <c r="A869" s="358"/>
      <c r="B869" s="358"/>
      <c r="C869" s="358"/>
      <c r="D869" s="358"/>
      <c r="E869" s="358"/>
      <c r="F869" s="358"/>
      <c r="G869" s="358"/>
      <c r="H869" s="358"/>
      <c r="I869" s="358"/>
      <c r="J869" s="358"/>
      <c r="K869" s="358"/>
      <c r="L869" s="358"/>
      <c r="M869" s="358"/>
      <c r="N869" s="358"/>
      <c r="O869" s="358"/>
      <c r="P869" s="358"/>
      <c r="Q869" s="358"/>
      <c r="R869" s="358"/>
      <c r="S869" s="358"/>
      <c r="T869" s="358"/>
      <c r="U869" s="358"/>
      <c r="V869" s="358"/>
      <c r="W869" s="358"/>
      <c r="X869" s="358"/>
      <c r="Y869" s="358"/>
      <c r="Z869" s="358"/>
    </row>
    <row r="870" spans="1:26" ht="13.5" customHeight="1">
      <c r="A870" s="358"/>
      <c r="B870" s="358"/>
      <c r="C870" s="358"/>
      <c r="D870" s="358"/>
      <c r="E870" s="358"/>
      <c r="F870" s="358"/>
      <c r="G870" s="358"/>
      <c r="H870" s="358"/>
      <c r="I870" s="358"/>
      <c r="J870" s="358"/>
      <c r="K870" s="358"/>
      <c r="L870" s="358"/>
      <c r="M870" s="358"/>
      <c r="N870" s="358"/>
      <c r="O870" s="358"/>
      <c r="P870" s="358"/>
      <c r="Q870" s="358"/>
      <c r="R870" s="358"/>
      <c r="S870" s="358"/>
      <c r="T870" s="358"/>
      <c r="U870" s="358"/>
      <c r="V870" s="358"/>
      <c r="W870" s="358"/>
      <c r="X870" s="358"/>
      <c r="Y870" s="358"/>
      <c r="Z870" s="358"/>
    </row>
    <row r="871" spans="1:26" ht="13.5" customHeight="1">
      <c r="A871" s="358"/>
      <c r="B871" s="358"/>
      <c r="C871" s="358"/>
      <c r="D871" s="358"/>
      <c r="E871" s="358"/>
      <c r="F871" s="358"/>
      <c r="G871" s="358"/>
      <c r="H871" s="358"/>
      <c r="I871" s="358"/>
      <c r="J871" s="358"/>
      <c r="K871" s="358"/>
      <c r="L871" s="358"/>
      <c r="M871" s="358"/>
      <c r="N871" s="358"/>
      <c r="O871" s="358"/>
      <c r="P871" s="358"/>
      <c r="Q871" s="358"/>
      <c r="R871" s="358"/>
      <c r="S871" s="358"/>
      <c r="T871" s="358"/>
      <c r="U871" s="358"/>
      <c r="V871" s="358"/>
      <c r="W871" s="358"/>
      <c r="X871" s="358"/>
      <c r="Y871" s="358"/>
      <c r="Z871" s="358"/>
    </row>
    <row r="872" spans="1:26" ht="13.5" customHeight="1">
      <c r="A872" s="358"/>
      <c r="B872" s="358"/>
      <c r="C872" s="358"/>
      <c r="D872" s="358"/>
      <c r="E872" s="358"/>
      <c r="F872" s="358"/>
      <c r="G872" s="358"/>
      <c r="H872" s="358"/>
      <c r="I872" s="358"/>
      <c r="J872" s="358"/>
      <c r="K872" s="358"/>
      <c r="L872" s="358"/>
      <c r="M872" s="358"/>
      <c r="N872" s="358"/>
      <c r="O872" s="358"/>
      <c r="P872" s="358"/>
      <c r="Q872" s="358"/>
      <c r="R872" s="358"/>
      <c r="S872" s="358"/>
      <c r="T872" s="358"/>
      <c r="U872" s="358"/>
      <c r="V872" s="358"/>
      <c r="W872" s="358"/>
      <c r="X872" s="358"/>
      <c r="Y872" s="358"/>
      <c r="Z872" s="358"/>
    </row>
    <row r="873" spans="1:26" ht="13.5" customHeight="1">
      <c r="A873" s="358"/>
      <c r="B873" s="358"/>
      <c r="C873" s="358"/>
      <c r="D873" s="358"/>
      <c r="E873" s="358"/>
      <c r="F873" s="358"/>
      <c r="G873" s="358"/>
      <c r="H873" s="358"/>
      <c r="I873" s="358"/>
      <c r="J873" s="358"/>
      <c r="K873" s="358"/>
      <c r="L873" s="358"/>
      <c r="M873" s="358"/>
      <c r="N873" s="358"/>
      <c r="O873" s="358"/>
      <c r="P873" s="358"/>
      <c r="Q873" s="358"/>
      <c r="R873" s="358"/>
      <c r="S873" s="358"/>
      <c r="T873" s="358"/>
      <c r="U873" s="358"/>
      <c r="V873" s="358"/>
      <c r="W873" s="358"/>
      <c r="X873" s="358"/>
      <c r="Y873" s="358"/>
      <c r="Z873" s="358"/>
    </row>
    <row r="874" spans="1:26" ht="13.5" customHeight="1">
      <c r="A874" s="358"/>
      <c r="B874" s="358"/>
      <c r="C874" s="358"/>
      <c r="D874" s="358"/>
      <c r="E874" s="358"/>
      <c r="F874" s="358"/>
      <c r="G874" s="358"/>
      <c r="H874" s="358"/>
      <c r="I874" s="358"/>
      <c r="J874" s="358"/>
      <c r="K874" s="358"/>
      <c r="L874" s="358"/>
      <c r="M874" s="358"/>
      <c r="N874" s="358"/>
      <c r="O874" s="358"/>
      <c r="P874" s="358"/>
      <c r="Q874" s="358"/>
      <c r="R874" s="358"/>
      <c r="S874" s="358"/>
      <c r="T874" s="358"/>
      <c r="U874" s="358"/>
      <c r="V874" s="358"/>
      <c r="W874" s="358"/>
      <c r="X874" s="358"/>
      <c r="Y874" s="358"/>
      <c r="Z874" s="358"/>
    </row>
    <row r="875" spans="1:26" ht="13.5" customHeight="1">
      <c r="A875" s="358"/>
      <c r="B875" s="358"/>
      <c r="C875" s="358"/>
      <c r="D875" s="358"/>
      <c r="E875" s="358"/>
      <c r="F875" s="358"/>
      <c r="G875" s="358"/>
      <c r="H875" s="358"/>
      <c r="I875" s="358"/>
      <c r="J875" s="358"/>
      <c r="K875" s="358"/>
      <c r="L875" s="358"/>
      <c r="M875" s="358"/>
      <c r="N875" s="358"/>
      <c r="O875" s="358"/>
      <c r="P875" s="358"/>
      <c r="Q875" s="358"/>
      <c r="R875" s="358"/>
      <c r="S875" s="358"/>
      <c r="T875" s="358"/>
      <c r="U875" s="358"/>
      <c r="V875" s="358"/>
      <c r="W875" s="358"/>
      <c r="X875" s="358"/>
      <c r="Y875" s="358"/>
      <c r="Z875" s="358"/>
    </row>
    <row r="876" spans="1:26" ht="13.5" customHeight="1">
      <c r="A876" s="358"/>
      <c r="B876" s="358"/>
      <c r="C876" s="358"/>
      <c r="D876" s="358"/>
      <c r="E876" s="358"/>
      <c r="F876" s="358"/>
      <c r="G876" s="358"/>
      <c r="H876" s="358"/>
      <c r="I876" s="358"/>
      <c r="J876" s="358"/>
      <c r="K876" s="358"/>
      <c r="L876" s="358"/>
      <c r="M876" s="358"/>
      <c r="N876" s="358"/>
      <c r="O876" s="358"/>
      <c r="P876" s="358"/>
      <c r="Q876" s="358"/>
      <c r="R876" s="358"/>
      <c r="S876" s="358"/>
      <c r="T876" s="358"/>
      <c r="U876" s="358"/>
      <c r="V876" s="358"/>
      <c r="W876" s="358"/>
      <c r="X876" s="358"/>
      <c r="Y876" s="358"/>
      <c r="Z876" s="358"/>
    </row>
    <row r="877" spans="1:26" ht="13.5" customHeight="1">
      <c r="A877" s="358"/>
      <c r="B877" s="358"/>
      <c r="C877" s="358"/>
      <c r="D877" s="358"/>
      <c r="E877" s="358"/>
      <c r="F877" s="358"/>
      <c r="G877" s="358"/>
      <c r="H877" s="358"/>
      <c r="I877" s="358"/>
      <c r="J877" s="358"/>
      <c r="K877" s="358"/>
      <c r="L877" s="358"/>
      <c r="M877" s="358"/>
      <c r="N877" s="358"/>
      <c r="O877" s="358"/>
      <c r="P877" s="358"/>
      <c r="Q877" s="358"/>
      <c r="R877" s="358"/>
      <c r="S877" s="358"/>
      <c r="T877" s="358"/>
      <c r="U877" s="358"/>
      <c r="V877" s="358"/>
      <c r="W877" s="358"/>
      <c r="X877" s="358"/>
      <c r="Y877" s="358"/>
      <c r="Z877" s="358"/>
    </row>
    <row r="878" spans="1:26" ht="13.5" customHeight="1">
      <c r="A878" s="358"/>
      <c r="B878" s="358"/>
      <c r="C878" s="358"/>
      <c r="D878" s="358"/>
      <c r="E878" s="358"/>
      <c r="F878" s="358"/>
      <c r="G878" s="358"/>
      <c r="H878" s="358"/>
      <c r="I878" s="358"/>
      <c r="J878" s="358"/>
      <c r="K878" s="358"/>
      <c r="L878" s="358"/>
      <c r="M878" s="358"/>
      <c r="N878" s="358"/>
      <c r="O878" s="358"/>
      <c r="P878" s="358"/>
      <c r="Q878" s="358"/>
      <c r="R878" s="358"/>
      <c r="S878" s="358"/>
      <c r="T878" s="358"/>
      <c r="U878" s="358"/>
      <c r="V878" s="358"/>
      <c r="W878" s="358"/>
      <c r="X878" s="358"/>
      <c r="Y878" s="358"/>
      <c r="Z878" s="358"/>
    </row>
    <row r="879" spans="1:26" ht="13.5" customHeight="1">
      <c r="A879" s="358"/>
      <c r="B879" s="358"/>
      <c r="C879" s="358"/>
      <c r="D879" s="358"/>
      <c r="E879" s="358"/>
      <c r="F879" s="358"/>
      <c r="G879" s="358"/>
      <c r="H879" s="358"/>
      <c r="I879" s="358"/>
      <c r="J879" s="358"/>
      <c r="K879" s="358"/>
      <c r="L879" s="358"/>
      <c r="M879" s="358"/>
      <c r="N879" s="358"/>
      <c r="O879" s="358"/>
      <c r="P879" s="358"/>
      <c r="Q879" s="358"/>
      <c r="R879" s="358"/>
      <c r="S879" s="358"/>
      <c r="T879" s="358"/>
      <c r="U879" s="358"/>
      <c r="V879" s="358"/>
      <c r="W879" s="358"/>
      <c r="X879" s="358"/>
      <c r="Y879" s="358"/>
      <c r="Z879" s="358"/>
    </row>
    <row r="880" spans="1:26" ht="13.5" customHeight="1">
      <c r="A880" s="358"/>
      <c r="B880" s="358"/>
      <c r="C880" s="358"/>
      <c r="D880" s="358"/>
      <c r="E880" s="358"/>
      <c r="F880" s="358"/>
      <c r="G880" s="358"/>
      <c r="H880" s="358"/>
      <c r="I880" s="358"/>
      <c r="J880" s="358"/>
      <c r="K880" s="358"/>
      <c r="L880" s="358"/>
      <c r="M880" s="358"/>
      <c r="N880" s="358"/>
      <c r="O880" s="358"/>
      <c r="P880" s="358"/>
      <c r="Q880" s="358"/>
      <c r="R880" s="358"/>
      <c r="S880" s="358"/>
      <c r="T880" s="358"/>
      <c r="U880" s="358"/>
      <c r="V880" s="358"/>
      <c r="W880" s="358"/>
      <c r="X880" s="358"/>
      <c r="Y880" s="358"/>
      <c r="Z880" s="358"/>
    </row>
    <row r="881" spans="1:26" ht="13.5" customHeight="1">
      <c r="A881" s="358"/>
      <c r="B881" s="358"/>
      <c r="C881" s="358"/>
      <c r="D881" s="358"/>
      <c r="E881" s="358"/>
      <c r="F881" s="358"/>
      <c r="G881" s="358"/>
      <c r="H881" s="358"/>
      <c r="I881" s="358"/>
      <c r="J881" s="358"/>
      <c r="K881" s="358"/>
      <c r="L881" s="358"/>
      <c r="M881" s="358"/>
      <c r="N881" s="358"/>
      <c r="O881" s="358"/>
      <c r="P881" s="358"/>
      <c r="Q881" s="358"/>
      <c r="R881" s="358"/>
      <c r="S881" s="358"/>
      <c r="T881" s="358"/>
      <c r="U881" s="358"/>
      <c r="V881" s="358"/>
      <c r="W881" s="358"/>
      <c r="X881" s="358"/>
      <c r="Y881" s="358"/>
      <c r="Z881" s="358"/>
    </row>
    <row r="882" spans="1:26" ht="13.5" customHeight="1">
      <c r="A882" s="358"/>
      <c r="B882" s="358"/>
      <c r="C882" s="358"/>
      <c r="D882" s="358"/>
      <c r="E882" s="358"/>
      <c r="F882" s="358"/>
      <c r="G882" s="358"/>
      <c r="H882" s="358"/>
      <c r="I882" s="358"/>
      <c r="J882" s="358"/>
      <c r="K882" s="358"/>
      <c r="L882" s="358"/>
      <c r="M882" s="358"/>
      <c r="N882" s="358"/>
      <c r="O882" s="358"/>
      <c r="P882" s="358"/>
      <c r="Q882" s="358"/>
      <c r="R882" s="358"/>
      <c r="S882" s="358"/>
      <c r="T882" s="358"/>
      <c r="U882" s="358"/>
      <c r="V882" s="358"/>
      <c r="W882" s="358"/>
      <c r="X882" s="358"/>
      <c r="Y882" s="358"/>
      <c r="Z882" s="358"/>
    </row>
    <row r="883" spans="1:26" ht="13.5" customHeight="1">
      <c r="A883" s="358"/>
      <c r="B883" s="358"/>
      <c r="C883" s="358"/>
      <c r="D883" s="358"/>
      <c r="E883" s="358"/>
      <c r="F883" s="358"/>
      <c r="G883" s="358"/>
      <c r="H883" s="358"/>
      <c r="I883" s="358"/>
      <c r="J883" s="358"/>
      <c r="K883" s="358"/>
      <c r="L883" s="358"/>
      <c r="M883" s="358"/>
      <c r="N883" s="358"/>
      <c r="O883" s="358"/>
      <c r="P883" s="358"/>
      <c r="Q883" s="358"/>
      <c r="R883" s="358"/>
      <c r="S883" s="358"/>
      <c r="T883" s="358"/>
      <c r="U883" s="358"/>
      <c r="V883" s="358"/>
      <c r="W883" s="358"/>
      <c r="X883" s="358"/>
      <c r="Y883" s="358"/>
      <c r="Z883" s="358"/>
    </row>
    <row r="884" spans="1:26" ht="13.5" customHeight="1">
      <c r="A884" s="358"/>
      <c r="B884" s="358"/>
      <c r="C884" s="358"/>
      <c r="D884" s="358"/>
      <c r="E884" s="358"/>
      <c r="F884" s="358"/>
      <c r="G884" s="358"/>
      <c r="H884" s="358"/>
      <c r="I884" s="358"/>
      <c r="J884" s="358"/>
      <c r="K884" s="358"/>
      <c r="L884" s="358"/>
      <c r="M884" s="358"/>
      <c r="N884" s="358"/>
      <c r="O884" s="358"/>
      <c r="P884" s="358"/>
      <c r="Q884" s="358"/>
      <c r="R884" s="358"/>
      <c r="S884" s="358"/>
      <c r="T884" s="358"/>
      <c r="U884" s="358"/>
      <c r="V884" s="358"/>
      <c r="W884" s="358"/>
      <c r="X884" s="358"/>
      <c r="Y884" s="358"/>
      <c r="Z884" s="358"/>
    </row>
    <row r="885" spans="1:26" ht="13.5" customHeight="1">
      <c r="A885" s="358"/>
      <c r="B885" s="358"/>
      <c r="C885" s="358"/>
      <c r="D885" s="358"/>
      <c r="E885" s="358"/>
      <c r="F885" s="358"/>
      <c r="G885" s="358"/>
      <c r="H885" s="358"/>
      <c r="I885" s="358"/>
      <c r="J885" s="358"/>
      <c r="K885" s="358"/>
      <c r="L885" s="358"/>
      <c r="M885" s="358"/>
      <c r="N885" s="358"/>
      <c r="O885" s="358"/>
      <c r="P885" s="358"/>
      <c r="Q885" s="358"/>
      <c r="R885" s="358"/>
      <c r="S885" s="358"/>
      <c r="T885" s="358"/>
      <c r="U885" s="358"/>
      <c r="V885" s="358"/>
      <c r="W885" s="358"/>
      <c r="X885" s="358"/>
      <c r="Y885" s="358"/>
      <c r="Z885" s="358"/>
    </row>
    <row r="886" spans="1:26" ht="13.5" customHeight="1">
      <c r="A886" s="358"/>
      <c r="B886" s="358"/>
      <c r="C886" s="358"/>
      <c r="D886" s="358"/>
      <c r="E886" s="358"/>
      <c r="F886" s="358"/>
      <c r="G886" s="358"/>
      <c r="H886" s="358"/>
      <c r="I886" s="358"/>
      <c r="J886" s="358"/>
      <c r="K886" s="358"/>
      <c r="L886" s="358"/>
      <c r="M886" s="358"/>
      <c r="N886" s="358"/>
      <c r="O886" s="358"/>
      <c r="P886" s="358"/>
      <c r="Q886" s="358"/>
      <c r="R886" s="358"/>
      <c r="S886" s="358"/>
      <c r="T886" s="358"/>
      <c r="U886" s="358"/>
      <c r="V886" s="358"/>
      <c r="W886" s="358"/>
      <c r="X886" s="358"/>
      <c r="Y886" s="358"/>
      <c r="Z886" s="358"/>
    </row>
    <row r="887" spans="1:26" ht="13.5" customHeight="1">
      <c r="A887" s="358"/>
      <c r="B887" s="358"/>
      <c r="C887" s="358"/>
      <c r="D887" s="358"/>
      <c r="E887" s="358"/>
      <c r="F887" s="358"/>
      <c r="G887" s="358"/>
      <c r="H887" s="358"/>
      <c r="I887" s="358"/>
      <c r="J887" s="358"/>
      <c r="K887" s="358"/>
      <c r="L887" s="358"/>
      <c r="M887" s="358"/>
      <c r="N887" s="358"/>
      <c r="O887" s="358"/>
      <c r="P887" s="358"/>
      <c r="Q887" s="358"/>
      <c r="R887" s="358"/>
      <c r="S887" s="358"/>
      <c r="T887" s="358"/>
      <c r="U887" s="358"/>
      <c r="V887" s="358"/>
      <c r="W887" s="358"/>
      <c r="X887" s="358"/>
      <c r="Y887" s="358"/>
      <c r="Z887" s="358"/>
    </row>
    <row r="888" spans="1:26" ht="13.5" customHeight="1">
      <c r="A888" s="358"/>
      <c r="B888" s="358"/>
      <c r="C888" s="358"/>
      <c r="D888" s="358"/>
      <c r="E888" s="358"/>
      <c r="F888" s="358"/>
      <c r="G888" s="358"/>
      <c r="H888" s="358"/>
      <c r="I888" s="358"/>
      <c r="J888" s="358"/>
      <c r="K888" s="358"/>
      <c r="L888" s="358"/>
      <c r="M888" s="358"/>
      <c r="N888" s="358"/>
      <c r="O888" s="358"/>
      <c r="P888" s="358"/>
      <c r="Q888" s="358"/>
      <c r="R888" s="358"/>
      <c r="S888" s="358"/>
      <c r="T888" s="358"/>
      <c r="U888" s="358"/>
      <c r="V888" s="358"/>
      <c r="W888" s="358"/>
      <c r="X888" s="358"/>
      <c r="Y888" s="358"/>
      <c r="Z888" s="358"/>
    </row>
    <row r="889" spans="1:26" ht="13.5" customHeight="1">
      <c r="A889" s="358"/>
      <c r="B889" s="358"/>
      <c r="C889" s="358"/>
      <c r="D889" s="358"/>
      <c r="E889" s="358"/>
      <c r="F889" s="358"/>
      <c r="G889" s="358"/>
      <c r="H889" s="358"/>
      <c r="I889" s="358"/>
      <c r="J889" s="358"/>
      <c r="K889" s="358"/>
      <c r="L889" s="358"/>
      <c r="M889" s="358"/>
      <c r="N889" s="358"/>
      <c r="O889" s="358"/>
      <c r="P889" s="358"/>
      <c r="Q889" s="358"/>
      <c r="R889" s="358"/>
      <c r="S889" s="358"/>
      <c r="T889" s="358"/>
      <c r="U889" s="358"/>
      <c r="V889" s="358"/>
      <c r="W889" s="358"/>
      <c r="X889" s="358"/>
      <c r="Y889" s="358"/>
      <c r="Z889" s="358"/>
    </row>
    <row r="890" spans="1:26" ht="13.5" customHeight="1">
      <c r="A890" s="358"/>
      <c r="B890" s="358"/>
      <c r="C890" s="358"/>
      <c r="D890" s="358"/>
      <c r="E890" s="358"/>
      <c r="F890" s="358"/>
      <c r="G890" s="358"/>
      <c r="H890" s="358"/>
      <c r="I890" s="358"/>
      <c r="J890" s="358"/>
      <c r="K890" s="358"/>
      <c r="L890" s="358"/>
      <c r="M890" s="358"/>
      <c r="N890" s="358"/>
      <c r="O890" s="358"/>
      <c r="P890" s="358"/>
      <c r="Q890" s="358"/>
      <c r="R890" s="358"/>
      <c r="S890" s="358"/>
      <c r="T890" s="358"/>
      <c r="U890" s="358"/>
      <c r="V890" s="358"/>
      <c r="W890" s="358"/>
      <c r="X890" s="358"/>
      <c r="Y890" s="358"/>
      <c r="Z890" s="358"/>
    </row>
    <row r="891" spans="1:26" ht="13.5" customHeight="1">
      <c r="A891" s="358"/>
      <c r="B891" s="358"/>
      <c r="C891" s="358"/>
      <c r="D891" s="358"/>
      <c r="E891" s="358"/>
      <c r="F891" s="358"/>
      <c r="G891" s="358"/>
      <c r="H891" s="358"/>
      <c r="I891" s="358"/>
      <c r="J891" s="358"/>
      <c r="K891" s="358"/>
      <c r="L891" s="358"/>
      <c r="M891" s="358"/>
      <c r="N891" s="358"/>
      <c r="O891" s="358"/>
      <c r="P891" s="358"/>
      <c r="Q891" s="358"/>
      <c r="R891" s="358"/>
      <c r="S891" s="358"/>
      <c r="T891" s="358"/>
      <c r="U891" s="358"/>
      <c r="V891" s="358"/>
      <c r="W891" s="358"/>
      <c r="X891" s="358"/>
      <c r="Y891" s="358"/>
      <c r="Z891" s="358"/>
    </row>
    <row r="892" spans="1:26" ht="13.5" customHeight="1">
      <c r="A892" s="358"/>
      <c r="B892" s="358"/>
      <c r="C892" s="358"/>
      <c r="D892" s="358"/>
      <c r="E892" s="358"/>
      <c r="F892" s="358"/>
      <c r="G892" s="358"/>
      <c r="H892" s="358"/>
      <c r="I892" s="358"/>
      <c r="J892" s="358"/>
      <c r="K892" s="358"/>
      <c r="L892" s="358"/>
      <c r="M892" s="358"/>
      <c r="N892" s="358"/>
      <c r="O892" s="358"/>
      <c r="P892" s="358"/>
      <c r="Q892" s="358"/>
      <c r="R892" s="358"/>
      <c r="S892" s="358"/>
      <c r="T892" s="358"/>
      <c r="U892" s="358"/>
      <c r="V892" s="358"/>
      <c r="W892" s="358"/>
      <c r="X892" s="358"/>
      <c r="Y892" s="358"/>
      <c r="Z892" s="358"/>
    </row>
    <row r="893" spans="1:26" ht="13.5" customHeight="1">
      <c r="A893" s="358"/>
      <c r="B893" s="358"/>
      <c r="C893" s="358"/>
      <c r="D893" s="358"/>
      <c r="E893" s="358"/>
      <c r="F893" s="358"/>
      <c r="G893" s="358"/>
      <c r="H893" s="358"/>
      <c r="I893" s="358"/>
      <c r="J893" s="358"/>
      <c r="K893" s="358"/>
      <c r="L893" s="358"/>
      <c r="M893" s="358"/>
      <c r="N893" s="358"/>
      <c r="O893" s="358"/>
      <c r="P893" s="358"/>
      <c r="Q893" s="358"/>
      <c r="R893" s="358"/>
      <c r="S893" s="358"/>
      <c r="T893" s="358"/>
      <c r="U893" s="358"/>
      <c r="V893" s="358"/>
      <c r="W893" s="358"/>
      <c r="X893" s="358"/>
      <c r="Y893" s="358"/>
      <c r="Z893" s="358"/>
    </row>
    <row r="894" spans="1:26" ht="13.5" customHeight="1">
      <c r="A894" s="358"/>
      <c r="B894" s="358"/>
      <c r="C894" s="358"/>
      <c r="D894" s="358"/>
      <c r="E894" s="358"/>
      <c r="F894" s="358"/>
      <c r="G894" s="358"/>
      <c r="H894" s="358"/>
      <c r="I894" s="358"/>
      <c r="J894" s="358"/>
      <c r="K894" s="358"/>
      <c r="L894" s="358"/>
      <c r="M894" s="358"/>
      <c r="N894" s="358"/>
      <c r="O894" s="358"/>
      <c r="P894" s="358"/>
      <c r="Q894" s="358"/>
      <c r="R894" s="358"/>
      <c r="S894" s="358"/>
      <c r="T894" s="358"/>
      <c r="U894" s="358"/>
      <c r="V894" s="358"/>
      <c r="W894" s="358"/>
      <c r="X894" s="358"/>
      <c r="Y894" s="358"/>
      <c r="Z894" s="358"/>
    </row>
    <row r="895" spans="1:26" ht="13.5" customHeight="1">
      <c r="A895" s="358"/>
      <c r="B895" s="358"/>
      <c r="C895" s="358"/>
      <c r="D895" s="358"/>
      <c r="E895" s="358"/>
      <c r="F895" s="358"/>
      <c r="G895" s="358"/>
      <c r="H895" s="358"/>
      <c r="I895" s="358"/>
      <c r="J895" s="358"/>
      <c r="K895" s="358"/>
      <c r="L895" s="358"/>
      <c r="M895" s="358"/>
      <c r="N895" s="358"/>
      <c r="O895" s="358"/>
      <c r="P895" s="358"/>
      <c r="Q895" s="358"/>
      <c r="R895" s="358"/>
      <c r="S895" s="358"/>
      <c r="T895" s="358"/>
      <c r="U895" s="358"/>
      <c r="V895" s="358"/>
      <c r="W895" s="358"/>
      <c r="X895" s="358"/>
      <c r="Y895" s="358"/>
      <c r="Z895" s="358"/>
    </row>
    <row r="896" spans="1:26" ht="13.5" customHeight="1">
      <c r="A896" s="358"/>
      <c r="B896" s="358"/>
      <c r="C896" s="358"/>
      <c r="D896" s="358"/>
      <c r="E896" s="358"/>
      <c r="F896" s="358"/>
      <c r="G896" s="358"/>
      <c r="H896" s="358"/>
      <c r="I896" s="358"/>
      <c r="J896" s="358"/>
      <c r="K896" s="358"/>
      <c r="L896" s="358"/>
      <c r="M896" s="358"/>
      <c r="N896" s="358"/>
      <c r="O896" s="358"/>
      <c r="P896" s="358"/>
      <c r="Q896" s="358"/>
      <c r="R896" s="358"/>
      <c r="S896" s="358"/>
      <c r="T896" s="358"/>
      <c r="U896" s="358"/>
      <c r="V896" s="358"/>
      <c r="W896" s="358"/>
      <c r="X896" s="358"/>
      <c r="Y896" s="358"/>
      <c r="Z896" s="358"/>
    </row>
    <row r="897" spans="1:26" ht="13.5" customHeight="1">
      <c r="A897" s="358"/>
      <c r="B897" s="358"/>
      <c r="C897" s="358"/>
      <c r="D897" s="358"/>
      <c r="E897" s="358"/>
      <c r="F897" s="358"/>
      <c r="G897" s="358"/>
      <c r="H897" s="358"/>
      <c r="I897" s="358"/>
      <c r="J897" s="358"/>
      <c r="K897" s="358"/>
      <c r="L897" s="358"/>
      <c r="M897" s="358"/>
      <c r="N897" s="358"/>
      <c r="O897" s="358"/>
      <c r="P897" s="358"/>
      <c r="Q897" s="358"/>
      <c r="R897" s="358"/>
      <c r="S897" s="358"/>
      <c r="T897" s="358"/>
      <c r="U897" s="358"/>
      <c r="V897" s="358"/>
      <c r="W897" s="358"/>
      <c r="X897" s="358"/>
      <c r="Y897" s="358"/>
      <c r="Z897" s="358"/>
    </row>
    <row r="898" spans="1:26" ht="13.5" customHeight="1">
      <c r="A898" s="358"/>
      <c r="B898" s="358"/>
      <c r="C898" s="358"/>
      <c r="D898" s="358"/>
      <c r="E898" s="358"/>
      <c r="F898" s="358"/>
      <c r="G898" s="358"/>
      <c r="H898" s="358"/>
      <c r="I898" s="358"/>
      <c r="J898" s="358"/>
      <c r="K898" s="358"/>
      <c r="L898" s="358"/>
      <c r="M898" s="358"/>
      <c r="N898" s="358"/>
      <c r="O898" s="358"/>
      <c r="P898" s="358"/>
      <c r="Q898" s="358"/>
      <c r="R898" s="358"/>
      <c r="S898" s="358"/>
      <c r="T898" s="358"/>
      <c r="U898" s="358"/>
      <c r="V898" s="358"/>
      <c r="W898" s="358"/>
      <c r="X898" s="358"/>
      <c r="Y898" s="358"/>
      <c r="Z898" s="358"/>
    </row>
    <row r="899" spans="1:26" ht="13.5" customHeight="1">
      <c r="A899" s="358"/>
      <c r="B899" s="358"/>
      <c r="C899" s="358"/>
      <c r="D899" s="358"/>
      <c r="E899" s="358"/>
      <c r="F899" s="358"/>
      <c r="G899" s="358"/>
      <c r="H899" s="358"/>
      <c r="I899" s="358"/>
      <c r="J899" s="358"/>
      <c r="K899" s="358"/>
      <c r="L899" s="358"/>
      <c r="M899" s="358"/>
      <c r="N899" s="358"/>
      <c r="O899" s="358"/>
      <c r="P899" s="358"/>
      <c r="Q899" s="358"/>
      <c r="R899" s="358"/>
      <c r="S899" s="358"/>
      <c r="T899" s="358"/>
      <c r="U899" s="358"/>
      <c r="V899" s="358"/>
      <c r="W899" s="358"/>
      <c r="X899" s="358"/>
      <c r="Y899" s="358"/>
      <c r="Z899" s="358"/>
    </row>
    <row r="900" spans="1:26" ht="13.5" customHeight="1">
      <c r="A900" s="358"/>
      <c r="B900" s="358"/>
      <c r="C900" s="358"/>
      <c r="D900" s="358"/>
      <c r="E900" s="358"/>
      <c r="F900" s="358"/>
      <c r="G900" s="358"/>
      <c r="H900" s="358"/>
      <c r="I900" s="358"/>
      <c r="J900" s="358"/>
      <c r="K900" s="358"/>
      <c r="L900" s="358"/>
      <c r="M900" s="358"/>
      <c r="N900" s="358"/>
      <c r="O900" s="358"/>
      <c r="P900" s="358"/>
      <c r="Q900" s="358"/>
      <c r="R900" s="358"/>
      <c r="S900" s="358"/>
      <c r="T900" s="358"/>
      <c r="U900" s="358"/>
      <c r="V900" s="358"/>
      <c r="W900" s="358"/>
      <c r="X900" s="358"/>
      <c r="Y900" s="358"/>
      <c r="Z900" s="358"/>
    </row>
    <row r="901" spans="1:26" ht="13.5" customHeight="1">
      <c r="A901" s="358"/>
      <c r="B901" s="358"/>
      <c r="C901" s="358"/>
      <c r="D901" s="358"/>
      <c r="E901" s="358"/>
      <c r="F901" s="358"/>
      <c r="G901" s="358"/>
      <c r="H901" s="358"/>
      <c r="I901" s="358"/>
      <c r="J901" s="358"/>
      <c r="K901" s="358"/>
      <c r="L901" s="358"/>
      <c r="M901" s="358"/>
      <c r="N901" s="358"/>
      <c r="O901" s="358"/>
      <c r="P901" s="358"/>
      <c r="Q901" s="358"/>
      <c r="R901" s="358"/>
      <c r="S901" s="358"/>
      <c r="T901" s="358"/>
      <c r="U901" s="358"/>
      <c r="V901" s="358"/>
      <c r="W901" s="358"/>
      <c r="X901" s="358"/>
      <c r="Y901" s="358"/>
      <c r="Z901" s="358"/>
    </row>
    <row r="902" spans="1:26" ht="13.5" customHeight="1">
      <c r="A902" s="358"/>
      <c r="B902" s="358"/>
      <c r="C902" s="358"/>
      <c r="D902" s="358"/>
      <c r="E902" s="358"/>
      <c r="F902" s="358"/>
      <c r="G902" s="358"/>
      <c r="H902" s="358"/>
      <c r="I902" s="358"/>
      <c r="J902" s="358"/>
      <c r="K902" s="358"/>
      <c r="L902" s="358"/>
      <c r="M902" s="358"/>
      <c r="N902" s="358"/>
      <c r="O902" s="358"/>
      <c r="P902" s="358"/>
      <c r="Q902" s="358"/>
      <c r="R902" s="358"/>
      <c r="S902" s="358"/>
      <c r="T902" s="358"/>
      <c r="U902" s="358"/>
      <c r="V902" s="358"/>
      <c r="W902" s="358"/>
      <c r="X902" s="358"/>
      <c r="Y902" s="358"/>
      <c r="Z902" s="358"/>
    </row>
    <row r="903" spans="1:26" ht="13.5" customHeight="1">
      <c r="A903" s="358"/>
      <c r="B903" s="358"/>
      <c r="C903" s="358"/>
      <c r="D903" s="358"/>
      <c r="E903" s="358"/>
      <c r="F903" s="358"/>
      <c r="G903" s="358"/>
      <c r="H903" s="358"/>
      <c r="I903" s="358"/>
      <c r="J903" s="358"/>
      <c r="K903" s="358"/>
      <c r="L903" s="358"/>
      <c r="M903" s="358"/>
      <c r="N903" s="358"/>
      <c r="O903" s="358"/>
      <c r="P903" s="358"/>
      <c r="Q903" s="358"/>
      <c r="R903" s="358"/>
      <c r="S903" s="358"/>
      <c r="T903" s="358"/>
      <c r="U903" s="358"/>
      <c r="V903" s="358"/>
      <c r="W903" s="358"/>
      <c r="X903" s="358"/>
      <c r="Y903" s="358"/>
      <c r="Z903" s="358"/>
    </row>
    <row r="904" spans="1:26" ht="13.5" customHeight="1">
      <c r="A904" s="358"/>
      <c r="B904" s="358"/>
      <c r="C904" s="358"/>
      <c r="D904" s="358"/>
      <c r="E904" s="358"/>
      <c r="F904" s="358"/>
      <c r="G904" s="358"/>
      <c r="H904" s="358"/>
      <c r="I904" s="358"/>
      <c r="J904" s="358"/>
      <c r="K904" s="358"/>
      <c r="L904" s="358"/>
      <c r="M904" s="358"/>
      <c r="N904" s="358"/>
      <c r="O904" s="358"/>
      <c r="P904" s="358"/>
      <c r="Q904" s="358"/>
      <c r="R904" s="358"/>
      <c r="S904" s="358"/>
      <c r="T904" s="358"/>
      <c r="U904" s="358"/>
      <c r="V904" s="358"/>
      <c r="W904" s="358"/>
      <c r="X904" s="358"/>
      <c r="Y904" s="358"/>
      <c r="Z904" s="358"/>
    </row>
    <row r="905" spans="1:26" ht="13.5" customHeight="1">
      <c r="A905" s="358"/>
      <c r="B905" s="358"/>
      <c r="C905" s="358"/>
      <c r="D905" s="358"/>
      <c r="E905" s="358"/>
      <c r="F905" s="358"/>
      <c r="G905" s="358"/>
      <c r="H905" s="358"/>
      <c r="I905" s="358"/>
      <c r="J905" s="358"/>
      <c r="K905" s="358"/>
      <c r="L905" s="358"/>
      <c r="M905" s="358"/>
      <c r="N905" s="358"/>
      <c r="O905" s="358"/>
      <c r="P905" s="358"/>
      <c r="Q905" s="358"/>
      <c r="R905" s="358"/>
      <c r="S905" s="358"/>
      <c r="T905" s="358"/>
      <c r="U905" s="358"/>
      <c r="V905" s="358"/>
      <c r="W905" s="358"/>
      <c r="X905" s="358"/>
      <c r="Y905" s="358"/>
      <c r="Z905" s="358"/>
    </row>
    <row r="906" spans="1:26" ht="13.5" customHeight="1">
      <c r="A906" s="358"/>
      <c r="B906" s="358"/>
      <c r="C906" s="358"/>
      <c r="D906" s="358"/>
      <c r="E906" s="358"/>
      <c r="F906" s="358"/>
      <c r="G906" s="358"/>
      <c r="H906" s="358"/>
      <c r="I906" s="358"/>
      <c r="J906" s="358"/>
      <c r="K906" s="358"/>
      <c r="L906" s="358"/>
      <c r="M906" s="358"/>
      <c r="N906" s="358"/>
      <c r="O906" s="358"/>
      <c r="P906" s="358"/>
      <c r="Q906" s="358"/>
      <c r="R906" s="358"/>
      <c r="S906" s="358"/>
      <c r="T906" s="358"/>
      <c r="U906" s="358"/>
      <c r="V906" s="358"/>
      <c r="W906" s="358"/>
      <c r="X906" s="358"/>
      <c r="Y906" s="358"/>
      <c r="Z906" s="358"/>
    </row>
    <row r="907" spans="1:26" ht="13.5" customHeight="1">
      <c r="A907" s="358"/>
      <c r="B907" s="358"/>
      <c r="C907" s="358"/>
      <c r="D907" s="358"/>
      <c r="E907" s="358"/>
      <c r="F907" s="358"/>
      <c r="G907" s="358"/>
      <c r="H907" s="358"/>
      <c r="I907" s="358"/>
      <c r="J907" s="358"/>
      <c r="K907" s="358"/>
      <c r="L907" s="358"/>
      <c r="M907" s="358"/>
      <c r="N907" s="358"/>
      <c r="O907" s="358"/>
      <c r="P907" s="358"/>
      <c r="Q907" s="358"/>
      <c r="R907" s="358"/>
      <c r="S907" s="358"/>
      <c r="T907" s="358"/>
      <c r="U907" s="358"/>
      <c r="V907" s="358"/>
      <c r="W907" s="358"/>
      <c r="X907" s="358"/>
      <c r="Y907" s="358"/>
      <c r="Z907" s="358"/>
    </row>
    <row r="908" spans="1:26" ht="13.5" customHeight="1">
      <c r="A908" s="358"/>
      <c r="B908" s="358"/>
      <c r="C908" s="358"/>
      <c r="D908" s="358"/>
      <c r="E908" s="358"/>
      <c r="F908" s="358"/>
      <c r="G908" s="358"/>
      <c r="H908" s="358"/>
      <c r="I908" s="358"/>
      <c r="J908" s="358"/>
      <c r="K908" s="358"/>
      <c r="L908" s="358"/>
      <c r="M908" s="358"/>
      <c r="N908" s="358"/>
      <c r="O908" s="358"/>
      <c r="P908" s="358"/>
      <c r="Q908" s="358"/>
      <c r="R908" s="358"/>
      <c r="S908" s="358"/>
      <c r="T908" s="358"/>
      <c r="U908" s="358"/>
      <c r="V908" s="358"/>
      <c r="W908" s="358"/>
      <c r="X908" s="358"/>
      <c r="Y908" s="358"/>
      <c r="Z908" s="358"/>
    </row>
    <row r="909" spans="1:26" ht="13.5" customHeight="1">
      <c r="A909" s="358"/>
      <c r="B909" s="358"/>
      <c r="C909" s="358"/>
      <c r="D909" s="358"/>
      <c r="E909" s="358"/>
      <c r="F909" s="358"/>
      <c r="G909" s="358"/>
      <c r="H909" s="358"/>
      <c r="I909" s="358"/>
      <c r="J909" s="358"/>
      <c r="K909" s="358"/>
      <c r="L909" s="358"/>
      <c r="M909" s="358"/>
      <c r="N909" s="358"/>
      <c r="O909" s="358"/>
      <c r="P909" s="358"/>
      <c r="Q909" s="358"/>
      <c r="R909" s="358"/>
      <c r="S909" s="358"/>
      <c r="T909" s="358"/>
      <c r="U909" s="358"/>
      <c r="V909" s="358"/>
      <c r="W909" s="358"/>
      <c r="X909" s="358"/>
      <c r="Y909" s="358"/>
      <c r="Z909" s="358"/>
    </row>
    <row r="910" spans="1:26" ht="13.5" customHeight="1">
      <c r="A910" s="358"/>
      <c r="B910" s="358"/>
      <c r="C910" s="358"/>
      <c r="D910" s="358"/>
      <c r="E910" s="358"/>
      <c r="F910" s="358"/>
      <c r="G910" s="358"/>
      <c r="H910" s="358"/>
      <c r="I910" s="358"/>
      <c r="J910" s="358"/>
      <c r="K910" s="358"/>
      <c r="L910" s="358"/>
      <c r="M910" s="358"/>
      <c r="N910" s="358"/>
      <c r="O910" s="358"/>
      <c r="P910" s="358"/>
      <c r="Q910" s="358"/>
      <c r="R910" s="358"/>
      <c r="S910" s="358"/>
      <c r="T910" s="358"/>
      <c r="U910" s="358"/>
      <c r="V910" s="358"/>
      <c r="W910" s="358"/>
      <c r="X910" s="358"/>
      <c r="Y910" s="358"/>
      <c r="Z910" s="358"/>
    </row>
    <row r="911" spans="1:26" ht="13.5" customHeight="1">
      <c r="A911" s="358"/>
      <c r="B911" s="358"/>
      <c r="C911" s="358"/>
      <c r="D911" s="358"/>
      <c r="E911" s="358"/>
      <c r="F911" s="358"/>
      <c r="G911" s="358"/>
      <c r="H911" s="358"/>
      <c r="I911" s="358"/>
      <c r="J911" s="358"/>
      <c r="K911" s="358"/>
      <c r="L911" s="358"/>
      <c r="M911" s="358"/>
      <c r="N911" s="358"/>
      <c r="O911" s="358"/>
      <c r="P911" s="358"/>
      <c r="Q911" s="358"/>
      <c r="R911" s="358"/>
      <c r="S911" s="358"/>
      <c r="T911" s="358"/>
      <c r="U911" s="358"/>
      <c r="V911" s="358"/>
      <c r="W911" s="358"/>
      <c r="X911" s="358"/>
      <c r="Y911" s="358"/>
      <c r="Z911" s="358"/>
    </row>
    <row r="912" spans="1:26" ht="13.5" customHeight="1">
      <c r="A912" s="358"/>
      <c r="B912" s="358"/>
      <c r="C912" s="358"/>
      <c r="D912" s="358"/>
      <c r="E912" s="358"/>
      <c r="F912" s="358"/>
      <c r="G912" s="358"/>
      <c r="H912" s="358"/>
      <c r="I912" s="358"/>
      <c r="J912" s="358"/>
      <c r="K912" s="358"/>
      <c r="L912" s="358"/>
      <c r="M912" s="358"/>
      <c r="N912" s="358"/>
      <c r="O912" s="358"/>
      <c r="P912" s="358"/>
      <c r="Q912" s="358"/>
      <c r="R912" s="358"/>
      <c r="S912" s="358"/>
      <c r="T912" s="358"/>
      <c r="U912" s="358"/>
      <c r="V912" s="358"/>
      <c r="W912" s="358"/>
      <c r="X912" s="358"/>
      <c r="Y912" s="358"/>
      <c r="Z912" s="358"/>
    </row>
    <row r="913" spans="1:26" ht="13.5" customHeight="1">
      <c r="A913" s="358"/>
      <c r="B913" s="358"/>
      <c r="C913" s="358"/>
      <c r="D913" s="358"/>
      <c r="E913" s="358"/>
      <c r="F913" s="358"/>
      <c r="G913" s="358"/>
      <c r="H913" s="358"/>
      <c r="I913" s="358"/>
      <c r="J913" s="358"/>
      <c r="K913" s="358"/>
      <c r="L913" s="358"/>
      <c r="M913" s="358"/>
      <c r="N913" s="358"/>
      <c r="O913" s="358"/>
      <c r="P913" s="358"/>
      <c r="Q913" s="358"/>
      <c r="R913" s="358"/>
      <c r="S913" s="358"/>
      <c r="T913" s="358"/>
      <c r="U913" s="358"/>
      <c r="V913" s="358"/>
      <c r="W913" s="358"/>
      <c r="X913" s="358"/>
      <c r="Y913" s="358"/>
      <c r="Z913" s="358"/>
    </row>
    <row r="914" spans="1:26" ht="13.5" customHeight="1">
      <c r="A914" s="358"/>
      <c r="B914" s="358"/>
      <c r="C914" s="358"/>
      <c r="D914" s="358"/>
      <c r="E914" s="358"/>
      <c r="F914" s="358"/>
      <c r="G914" s="358"/>
      <c r="H914" s="358"/>
      <c r="I914" s="358"/>
      <c r="J914" s="358"/>
      <c r="K914" s="358"/>
      <c r="L914" s="358"/>
      <c r="M914" s="358"/>
      <c r="N914" s="358"/>
      <c r="O914" s="358"/>
      <c r="P914" s="358"/>
      <c r="Q914" s="358"/>
      <c r="R914" s="358"/>
      <c r="S914" s="358"/>
      <c r="T914" s="358"/>
      <c r="U914" s="358"/>
      <c r="V914" s="358"/>
      <c r="W914" s="358"/>
      <c r="X914" s="358"/>
      <c r="Y914" s="358"/>
      <c r="Z914" s="358"/>
    </row>
    <row r="915" spans="1:26" ht="13.5" customHeight="1">
      <c r="A915" s="358"/>
      <c r="B915" s="358"/>
      <c r="C915" s="358"/>
      <c r="D915" s="358"/>
      <c r="E915" s="358"/>
      <c r="F915" s="358"/>
      <c r="G915" s="358"/>
      <c r="H915" s="358"/>
      <c r="I915" s="358"/>
      <c r="J915" s="358"/>
      <c r="K915" s="358"/>
      <c r="L915" s="358"/>
      <c r="M915" s="358"/>
      <c r="N915" s="358"/>
      <c r="O915" s="358"/>
      <c r="P915" s="358"/>
      <c r="Q915" s="358"/>
      <c r="R915" s="358"/>
      <c r="S915" s="358"/>
      <c r="T915" s="358"/>
      <c r="U915" s="358"/>
      <c r="V915" s="358"/>
      <c r="W915" s="358"/>
      <c r="X915" s="358"/>
      <c r="Y915" s="358"/>
      <c r="Z915" s="358"/>
    </row>
    <row r="916" spans="1:26" ht="13.5" customHeight="1">
      <c r="A916" s="358"/>
      <c r="B916" s="358"/>
      <c r="C916" s="358"/>
      <c r="D916" s="358"/>
      <c r="E916" s="358"/>
      <c r="F916" s="358"/>
      <c r="G916" s="358"/>
      <c r="H916" s="358"/>
      <c r="I916" s="358"/>
      <c r="J916" s="358"/>
      <c r="K916" s="358"/>
      <c r="L916" s="358"/>
      <c r="M916" s="358"/>
      <c r="N916" s="358"/>
      <c r="O916" s="358"/>
      <c r="P916" s="358"/>
      <c r="Q916" s="358"/>
      <c r="R916" s="358"/>
      <c r="S916" s="358"/>
      <c r="T916" s="358"/>
      <c r="U916" s="358"/>
      <c r="V916" s="358"/>
      <c r="W916" s="358"/>
      <c r="X916" s="358"/>
      <c r="Y916" s="358"/>
      <c r="Z916" s="358"/>
    </row>
    <row r="917" spans="1:26" ht="13.5" customHeight="1">
      <c r="A917" s="358"/>
      <c r="B917" s="358"/>
      <c r="C917" s="358"/>
      <c r="D917" s="358"/>
      <c r="E917" s="358"/>
      <c r="F917" s="358"/>
      <c r="G917" s="358"/>
      <c r="H917" s="358"/>
      <c r="I917" s="358"/>
      <c r="J917" s="358"/>
      <c r="K917" s="358"/>
      <c r="L917" s="358"/>
      <c r="M917" s="358"/>
      <c r="N917" s="358"/>
      <c r="O917" s="358"/>
      <c r="P917" s="358"/>
      <c r="Q917" s="358"/>
      <c r="R917" s="358"/>
      <c r="S917" s="358"/>
      <c r="T917" s="358"/>
      <c r="U917" s="358"/>
      <c r="V917" s="358"/>
      <c r="W917" s="358"/>
      <c r="X917" s="358"/>
      <c r="Y917" s="358"/>
      <c r="Z917" s="358"/>
    </row>
    <row r="918" spans="1:26" ht="13.5" customHeight="1">
      <c r="A918" s="358"/>
      <c r="B918" s="358"/>
      <c r="C918" s="358"/>
      <c r="D918" s="358"/>
      <c r="E918" s="358"/>
      <c r="F918" s="358"/>
      <c r="G918" s="358"/>
      <c r="H918" s="358"/>
      <c r="I918" s="358"/>
      <c r="J918" s="358"/>
      <c r="K918" s="358"/>
      <c r="L918" s="358"/>
      <c r="M918" s="358"/>
      <c r="N918" s="358"/>
      <c r="O918" s="358"/>
      <c r="P918" s="358"/>
      <c r="Q918" s="358"/>
      <c r="R918" s="358"/>
      <c r="S918" s="358"/>
      <c r="T918" s="358"/>
      <c r="U918" s="358"/>
      <c r="V918" s="358"/>
      <c r="W918" s="358"/>
      <c r="X918" s="358"/>
      <c r="Y918" s="358"/>
      <c r="Z918" s="358"/>
    </row>
    <row r="919" spans="1:26" ht="13.5" customHeight="1">
      <c r="A919" s="358"/>
      <c r="B919" s="358"/>
      <c r="C919" s="358"/>
      <c r="D919" s="358"/>
      <c r="E919" s="358"/>
      <c r="F919" s="358"/>
      <c r="G919" s="358"/>
      <c r="H919" s="358"/>
      <c r="I919" s="358"/>
      <c r="J919" s="358"/>
      <c r="K919" s="358"/>
      <c r="L919" s="358"/>
      <c r="M919" s="358"/>
      <c r="N919" s="358"/>
      <c r="O919" s="358"/>
      <c r="P919" s="358"/>
      <c r="Q919" s="358"/>
      <c r="R919" s="358"/>
      <c r="S919" s="358"/>
      <c r="T919" s="358"/>
      <c r="U919" s="358"/>
      <c r="V919" s="358"/>
      <c r="W919" s="358"/>
      <c r="X919" s="358"/>
      <c r="Y919" s="358"/>
      <c r="Z919" s="358"/>
    </row>
    <row r="920" spans="1:26" ht="13.5" customHeight="1">
      <c r="A920" s="358"/>
      <c r="B920" s="358"/>
      <c r="C920" s="358"/>
      <c r="D920" s="358"/>
      <c r="E920" s="358"/>
      <c r="F920" s="358"/>
      <c r="G920" s="358"/>
      <c r="H920" s="358"/>
      <c r="I920" s="358"/>
      <c r="J920" s="358"/>
      <c r="K920" s="358"/>
      <c r="L920" s="358"/>
      <c r="M920" s="358"/>
      <c r="N920" s="358"/>
      <c r="O920" s="358"/>
      <c r="P920" s="358"/>
      <c r="Q920" s="358"/>
      <c r="R920" s="358"/>
      <c r="S920" s="358"/>
      <c r="T920" s="358"/>
      <c r="U920" s="358"/>
      <c r="V920" s="358"/>
      <c r="W920" s="358"/>
      <c r="X920" s="358"/>
      <c r="Y920" s="358"/>
      <c r="Z920" s="358"/>
    </row>
    <row r="921" spans="1:26" ht="13.5" customHeight="1">
      <c r="A921" s="358"/>
      <c r="B921" s="358"/>
      <c r="C921" s="358"/>
      <c r="D921" s="358"/>
      <c r="E921" s="358"/>
      <c r="F921" s="358"/>
      <c r="G921" s="358"/>
      <c r="H921" s="358"/>
      <c r="I921" s="358"/>
      <c r="J921" s="358"/>
      <c r="K921" s="358"/>
      <c r="L921" s="358"/>
      <c r="M921" s="358"/>
      <c r="N921" s="358"/>
      <c r="O921" s="358"/>
      <c r="P921" s="358"/>
      <c r="Q921" s="358"/>
      <c r="R921" s="358"/>
      <c r="S921" s="358"/>
      <c r="T921" s="358"/>
      <c r="U921" s="358"/>
      <c r="V921" s="358"/>
      <c r="W921" s="358"/>
      <c r="X921" s="358"/>
      <c r="Y921" s="358"/>
      <c r="Z921" s="358"/>
    </row>
    <row r="922" spans="1:26" ht="13.5" customHeight="1">
      <c r="A922" s="358"/>
      <c r="B922" s="358"/>
      <c r="C922" s="358"/>
      <c r="D922" s="358"/>
      <c r="E922" s="358"/>
      <c r="F922" s="358"/>
      <c r="G922" s="358"/>
      <c r="H922" s="358"/>
      <c r="I922" s="358"/>
      <c r="J922" s="358"/>
      <c r="K922" s="358"/>
      <c r="L922" s="358"/>
      <c r="M922" s="358"/>
      <c r="N922" s="358"/>
      <c r="O922" s="358"/>
      <c r="P922" s="358"/>
      <c r="Q922" s="358"/>
      <c r="R922" s="358"/>
      <c r="S922" s="358"/>
      <c r="T922" s="358"/>
      <c r="U922" s="358"/>
      <c r="V922" s="358"/>
      <c r="W922" s="358"/>
      <c r="X922" s="358"/>
      <c r="Y922" s="358"/>
      <c r="Z922" s="358"/>
    </row>
    <row r="923" spans="1:26" ht="13.5" customHeight="1">
      <c r="A923" s="358"/>
      <c r="B923" s="358"/>
      <c r="C923" s="358"/>
      <c r="D923" s="358"/>
      <c r="E923" s="358"/>
      <c r="F923" s="358"/>
      <c r="G923" s="358"/>
      <c r="H923" s="358"/>
      <c r="I923" s="358"/>
      <c r="J923" s="358"/>
      <c r="K923" s="358"/>
      <c r="L923" s="358"/>
      <c r="M923" s="358"/>
      <c r="N923" s="358"/>
      <c r="O923" s="358"/>
      <c r="P923" s="358"/>
      <c r="Q923" s="358"/>
      <c r="R923" s="358"/>
      <c r="S923" s="358"/>
      <c r="T923" s="358"/>
      <c r="U923" s="358"/>
      <c r="V923" s="358"/>
      <c r="W923" s="358"/>
      <c r="X923" s="358"/>
      <c r="Y923" s="358"/>
      <c r="Z923" s="358"/>
    </row>
    <row r="924" spans="1:26" ht="13.5" customHeight="1">
      <c r="A924" s="358"/>
      <c r="B924" s="358"/>
      <c r="C924" s="358"/>
      <c r="D924" s="358"/>
      <c r="E924" s="358"/>
      <c r="F924" s="358"/>
      <c r="G924" s="358"/>
      <c r="H924" s="358"/>
      <c r="I924" s="358"/>
      <c r="J924" s="358"/>
      <c r="K924" s="358"/>
      <c r="L924" s="358"/>
      <c r="M924" s="358"/>
      <c r="N924" s="358"/>
      <c r="O924" s="358"/>
      <c r="P924" s="358"/>
      <c r="Q924" s="358"/>
      <c r="R924" s="358"/>
      <c r="S924" s="358"/>
      <c r="T924" s="358"/>
      <c r="U924" s="358"/>
      <c r="V924" s="358"/>
      <c r="W924" s="358"/>
      <c r="X924" s="358"/>
      <c r="Y924" s="358"/>
      <c r="Z924" s="358"/>
    </row>
    <row r="925" spans="1:26" ht="13.5" customHeight="1">
      <c r="A925" s="358"/>
      <c r="B925" s="358"/>
      <c r="C925" s="358"/>
      <c r="D925" s="358"/>
      <c r="E925" s="358"/>
      <c r="F925" s="358"/>
      <c r="G925" s="358"/>
      <c r="H925" s="358"/>
      <c r="I925" s="358"/>
      <c r="J925" s="358"/>
      <c r="K925" s="358"/>
      <c r="L925" s="358"/>
      <c r="M925" s="358"/>
      <c r="N925" s="358"/>
      <c r="O925" s="358"/>
      <c r="P925" s="358"/>
      <c r="Q925" s="358"/>
      <c r="R925" s="358"/>
      <c r="S925" s="358"/>
      <c r="T925" s="358"/>
      <c r="U925" s="358"/>
      <c r="V925" s="358"/>
      <c r="W925" s="358"/>
      <c r="X925" s="358"/>
      <c r="Y925" s="358"/>
      <c r="Z925" s="358"/>
    </row>
    <row r="926" spans="1:26" ht="13.5" customHeight="1">
      <c r="A926" s="358"/>
      <c r="B926" s="358"/>
      <c r="C926" s="358"/>
      <c r="D926" s="358"/>
      <c r="E926" s="358"/>
      <c r="F926" s="358"/>
      <c r="G926" s="358"/>
      <c r="H926" s="358"/>
      <c r="I926" s="358"/>
      <c r="J926" s="358"/>
      <c r="K926" s="358"/>
      <c r="L926" s="358"/>
      <c r="M926" s="358"/>
      <c r="N926" s="358"/>
      <c r="O926" s="358"/>
      <c r="P926" s="358"/>
      <c r="Q926" s="358"/>
      <c r="R926" s="358"/>
      <c r="S926" s="358"/>
      <c r="T926" s="358"/>
      <c r="U926" s="358"/>
      <c r="V926" s="358"/>
      <c r="W926" s="358"/>
      <c r="X926" s="358"/>
      <c r="Y926" s="358"/>
      <c r="Z926" s="358"/>
    </row>
    <row r="927" spans="1:26" ht="13.5" customHeight="1">
      <c r="A927" s="358"/>
      <c r="B927" s="358"/>
      <c r="C927" s="358"/>
      <c r="D927" s="358"/>
      <c r="E927" s="358"/>
      <c r="F927" s="358"/>
      <c r="G927" s="358"/>
      <c r="H927" s="358"/>
      <c r="I927" s="358"/>
      <c r="J927" s="358"/>
      <c r="K927" s="358"/>
      <c r="L927" s="358"/>
      <c r="M927" s="358"/>
      <c r="N927" s="358"/>
      <c r="O927" s="358"/>
      <c r="P927" s="358"/>
      <c r="Q927" s="358"/>
      <c r="R927" s="358"/>
      <c r="S927" s="358"/>
      <c r="T927" s="358"/>
      <c r="U927" s="358"/>
      <c r="V927" s="358"/>
      <c r="W927" s="358"/>
      <c r="X927" s="358"/>
      <c r="Y927" s="358"/>
      <c r="Z927" s="358"/>
    </row>
    <row r="928" spans="1:26" ht="13.5" customHeight="1">
      <c r="A928" s="358"/>
      <c r="B928" s="358"/>
      <c r="C928" s="358"/>
      <c r="D928" s="358"/>
      <c r="E928" s="358"/>
      <c r="F928" s="358"/>
      <c r="G928" s="358"/>
      <c r="H928" s="358"/>
      <c r="I928" s="358"/>
      <c r="J928" s="358"/>
      <c r="K928" s="358"/>
      <c r="L928" s="358"/>
      <c r="M928" s="358"/>
      <c r="N928" s="358"/>
      <c r="O928" s="358"/>
      <c r="P928" s="358"/>
      <c r="Q928" s="358"/>
      <c r="R928" s="358"/>
      <c r="S928" s="358"/>
      <c r="T928" s="358"/>
      <c r="U928" s="358"/>
      <c r="V928" s="358"/>
      <c r="W928" s="358"/>
      <c r="X928" s="358"/>
      <c r="Y928" s="358"/>
      <c r="Z928" s="358"/>
    </row>
    <row r="929" spans="1:26" ht="13.5" customHeight="1">
      <c r="A929" s="358"/>
      <c r="B929" s="358"/>
      <c r="C929" s="358"/>
      <c r="D929" s="358"/>
      <c r="E929" s="358"/>
      <c r="F929" s="358"/>
      <c r="G929" s="358"/>
      <c r="H929" s="358"/>
      <c r="I929" s="358"/>
      <c r="J929" s="358"/>
      <c r="K929" s="358"/>
      <c r="L929" s="358"/>
      <c r="M929" s="358"/>
      <c r="N929" s="358"/>
      <c r="O929" s="358"/>
      <c r="P929" s="358"/>
      <c r="Q929" s="358"/>
      <c r="R929" s="358"/>
      <c r="S929" s="358"/>
      <c r="T929" s="358"/>
      <c r="U929" s="358"/>
      <c r="V929" s="358"/>
      <c r="W929" s="358"/>
      <c r="X929" s="358"/>
      <c r="Y929" s="358"/>
      <c r="Z929" s="358"/>
    </row>
    <row r="930" spans="1:26" ht="13.5" customHeight="1">
      <c r="A930" s="358"/>
      <c r="B930" s="358"/>
      <c r="C930" s="358"/>
      <c r="D930" s="358"/>
      <c r="E930" s="358"/>
      <c r="F930" s="358"/>
      <c r="G930" s="358"/>
      <c r="H930" s="358"/>
      <c r="I930" s="358"/>
      <c r="J930" s="358"/>
      <c r="K930" s="358"/>
      <c r="L930" s="358"/>
      <c r="M930" s="358"/>
      <c r="N930" s="358"/>
      <c r="O930" s="358"/>
      <c r="P930" s="358"/>
      <c r="Q930" s="358"/>
      <c r="R930" s="358"/>
      <c r="S930" s="358"/>
      <c r="T930" s="358"/>
      <c r="U930" s="358"/>
      <c r="V930" s="358"/>
      <c r="W930" s="358"/>
      <c r="X930" s="358"/>
      <c r="Y930" s="358"/>
      <c r="Z930" s="358"/>
    </row>
    <row r="931" spans="1:26" ht="13.5" customHeight="1">
      <c r="A931" s="358"/>
      <c r="B931" s="358"/>
      <c r="C931" s="358"/>
      <c r="D931" s="358"/>
      <c r="E931" s="358"/>
      <c r="F931" s="358"/>
      <c r="G931" s="358"/>
      <c r="H931" s="358"/>
      <c r="I931" s="358"/>
      <c r="J931" s="358"/>
      <c r="K931" s="358"/>
      <c r="L931" s="358"/>
      <c r="M931" s="358"/>
      <c r="N931" s="358"/>
      <c r="O931" s="358"/>
      <c r="P931" s="358"/>
      <c r="Q931" s="358"/>
      <c r="R931" s="358"/>
      <c r="S931" s="358"/>
      <c r="T931" s="358"/>
      <c r="U931" s="358"/>
      <c r="V931" s="358"/>
      <c r="W931" s="358"/>
      <c r="X931" s="358"/>
      <c r="Y931" s="358"/>
      <c r="Z931" s="358"/>
    </row>
    <row r="932" spans="1:26" ht="13.5" customHeight="1">
      <c r="A932" s="358"/>
      <c r="B932" s="358"/>
      <c r="C932" s="358"/>
      <c r="D932" s="358"/>
      <c r="E932" s="358"/>
      <c r="F932" s="358"/>
      <c r="G932" s="358"/>
      <c r="H932" s="358"/>
      <c r="I932" s="358"/>
      <c r="J932" s="358"/>
      <c r="K932" s="358"/>
      <c r="L932" s="358"/>
      <c r="M932" s="358"/>
      <c r="N932" s="358"/>
      <c r="O932" s="358"/>
      <c r="P932" s="358"/>
      <c r="Q932" s="358"/>
      <c r="R932" s="358"/>
      <c r="S932" s="358"/>
      <c r="T932" s="358"/>
      <c r="U932" s="358"/>
      <c r="V932" s="358"/>
      <c r="W932" s="358"/>
      <c r="X932" s="358"/>
      <c r="Y932" s="358"/>
      <c r="Z932" s="358"/>
    </row>
    <row r="933" spans="1:26" ht="13.5" customHeight="1">
      <c r="A933" s="358"/>
      <c r="B933" s="358"/>
      <c r="C933" s="358"/>
      <c r="D933" s="358"/>
      <c r="E933" s="358"/>
      <c r="F933" s="358"/>
      <c r="G933" s="358"/>
      <c r="H933" s="358"/>
      <c r="I933" s="358"/>
      <c r="J933" s="358"/>
      <c r="K933" s="358"/>
      <c r="L933" s="358"/>
      <c r="M933" s="358"/>
      <c r="N933" s="358"/>
      <c r="O933" s="358"/>
      <c r="P933" s="358"/>
      <c r="Q933" s="358"/>
      <c r="R933" s="358"/>
      <c r="S933" s="358"/>
      <c r="T933" s="358"/>
      <c r="U933" s="358"/>
      <c r="V933" s="358"/>
      <c r="W933" s="358"/>
      <c r="X933" s="358"/>
      <c r="Y933" s="358"/>
      <c r="Z933" s="358"/>
    </row>
    <row r="934" spans="1:26" ht="13.5" customHeight="1">
      <c r="A934" s="358"/>
      <c r="B934" s="358"/>
      <c r="C934" s="358"/>
      <c r="D934" s="358"/>
      <c r="E934" s="358"/>
      <c r="F934" s="358"/>
      <c r="G934" s="358"/>
      <c r="H934" s="358"/>
      <c r="I934" s="358"/>
      <c r="J934" s="358"/>
      <c r="K934" s="358"/>
      <c r="L934" s="358"/>
      <c r="M934" s="358"/>
      <c r="N934" s="358"/>
      <c r="O934" s="358"/>
      <c r="P934" s="358"/>
      <c r="Q934" s="358"/>
      <c r="R934" s="358"/>
      <c r="S934" s="358"/>
      <c r="T934" s="358"/>
      <c r="U934" s="358"/>
      <c r="V934" s="358"/>
      <c r="W934" s="358"/>
      <c r="X934" s="358"/>
      <c r="Y934" s="358"/>
      <c r="Z934" s="358"/>
    </row>
    <row r="935" spans="1:26" ht="13.5" customHeight="1">
      <c r="A935" s="358"/>
      <c r="B935" s="358"/>
      <c r="C935" s="358"/>
      <c r="D935" s="358"/>
      <c r="E935" s="358"/>
      <c r="F935" s="358"/>
      <c r="G935" s="358"/>
      <c r="H935" s="358"/>
      <c r="I935" s="358"/>
      <c r="J935" s="358"/>
      <c r="K935" s="358"/>
      <c r="L935" s="358"/>
      <c r="M935" s="358"/>
      <c r="N935" s="358"/>
      <c r="O935" s="358"/>
      <c r="P935" s="358"/>
      <c r="Q935" s="358"/>
      <c r="R935" s="358"/>
      <c r="S935" s="358"/>
      <c r="T935" s="358"/>
      <c r="U935" s="358"/>
      <c r="V935" s="358"/>
      <c r="W935" s="358"/>
      <c r="X935" s="358"/>
      <c r="Y935" s="358"/>
      <c r="Z935" s="358"/>
    </row>
    <row r="936" spans="1:26" ht="13.5" customHeight="1">
      <c r="A936" s="358"/>
      <c r="B936" s="358"/>
      <c r="C936" s="358"/>
      <c r="D936" s="358"/>
      <c r="E936" s="358"/>
      <c r="F936" s="358"/>
      <c r="G936" s="358"/>
      <c r="H936" s="358"/>
      <c r="I936" s="358"/>
      <c r="J936" s="358"/>
      <c r="K936" s="358"/>
      <c r="L936" s="358"/>
      <c r="M936" s="358"/>
      <c r="N936" s="358"/>
      <c r="O936" s="358"/>
      <c r="P936" s="358"/>
      <c r="Q936" s="358"/>
      <c r="R936" s="358"/>
      <c r="S936" s="358"/>
      <c r="T936" s="358"/>
      <c r="U936" s="358"/>
      <c r="V936" s="358"/>
      <c r="W936" s="358"/>
      <c r="X936" s="358"/>
      <c r="Y936" s="358"/>
      <c r="Z936" s="358"/>
    </row>
    <row r="937" spans="1:26" ht="13.5" customHeight="1">
      <c r="A937" s="358"/>
      <c r="B937" s="358"/>
      <c r="C937" s="358"/>
      <c r="D937" s="358"/>
      <c r="E937" s="358"/>
      <c r="F937" s="358"/>
      <c r="G937" s="358"/>
      <c r="H937" s="358"/>
      <c r="I937" s="358"/>
      <c r="J937" s="358"/>
      <c r="K937" s="358"/>
      <c r="L937" s="358"/>
      <c r="M937" s="358"/>
      <c r="N937" s="358"/>
      <c r="O937" s="358"/>
      <c r="P937" s="358"/>
      <c r="Q937" s="358"/>
      <c r="R937" s="358"/>
      <c r="S937" s="358"/>
      <c r="T937" s="358"/>
      <c r="U937" s="358"/>
      <c r="V937" s="358"/>
      <c r="W937" s="358"/>
      <c r="X937" s="358"/>
      <c r="Y937" s="358"/>
      <c r="Z937" s="358"/>
    </row>
    <row r="938" spans="1:26" ht="13.5" customHeight="1">
      <c r="A938" s="358"/>
      <c r="B938" s="358"/>
      <c r="C938" s="358"/>
      <c r="D938" s="358"/>
      <c r="E938" s="358"/>
      <c r="F938" s="358"/>
      <c r="G938" s="358"/>
      <c r="H938" s="358"/>
      <c r="I938" s="358"/>
      <c r="J938" s="358"/>
      <c r="K938" s="358"/>
      <c r="L938" s="358"/>
      <c r="M938" s="358"/>
      <c r="N938" s="358"/>
      <c r="O938" s="358"/>
      <c r="P938" s="358"/>
      <c r="Q938" s="358"/>
      <c r="R938" s="358"/>
      <c r="S938" s="358"/>
      <c r="T938" s="358"/>
      <c r="U938" s="358"/>
      <c r="V938" s="358"/>
      <c r="W938" s="358"/>
      <c r="X938" s="358"/>
      <c r="Y938" s="358"/>
      <c r="Z938" s="358"/>
    </row>
    <row r="939" spans="1:26" ht="13.5" customHeight="1">
      <c r="A939" s="358"/>
      <c r="B939" s="358"/>
      <c r="C939" s="358"/>
      <c r="D939" s="358"/>
      <c r="E939" s="358"/>
      <c r="F939" s="358"/>
      <c r="G939" s="358"/>
      <c r="H939" s="358"/>
      <c r="I939" s="358"/>
      <c r="J939" s="358"/>
      <c r="K939" s="358"/>
      <c r="L939" s="358"/>
      <c r="M939" s="358"/>
      <c r="N939" s="358"/>
      <c r="O939" s="358"/>
      <c r="P939" s="358"/>
      <c r="Q939" s="358"/>
      <c r="R939" s="358"/>
      <c r="S939" s="358"/>
      <c r="T939" s="358"/>
      <c r="U939" s="358"/>
      <c r="V939" s="358"/>
      <c r="W939" s="358"/>
      <c r="X939" s="358"/>
      <c r="Y939" s="358"/>
      <c r="Z939" s="358"/>
    </row>
    <row r="940" spans="1:26" ht="13.5" customHeight="1">
      <c r="A940" s="358"/>
      <c r="B940" s="358"/>
      <c r="C940" s="358"/>
      <c r="D940" s="358"/>
      <c r="E940" s="358"/>
      <c r="F940" s="358"/>
      <c r="G940" s="358"/>
      <c r="H940" s="358"/>
      <c r="I940" s="358"/>
      <c r="J940" s="358"/>
      <c r="K940" s="358"/>
      <c r="L940" s="358"/>
      <c r="M940" s="358"/>
      <c r="N940" s="358"/>
      <c r="O940" s="358"/>
      <c r="P940" s="358"/>
      <c r="Q940" s="358"/>
      <c r="R940" s="358"/>
      <c r="S940" s="358"/>
      <c r="T940" s="358"/>
      <c r="U940" s="358"/>
      <c r="V940" s="358"/>
      <c r="W940" s="358"/>
      <c r="X940" s="358"/>
      <c r="Y940" s="358"/>
      <c r="Z940" s="358"/>
    </row>
    <row r="941" spans="1:26" ht="13.5" customHeight="1">
      <c r="A941" s="358"/>
      <c r="B941" s="358"/>
      <c r="C941" s="358"/>
      <c r="D941" s="358"/>
      <c r="E941" s="358"/>
      <c r="F941" s="358"/>
      <c r="G941" s="358"/>
      <c r="H941" s="358"/>
      <c r="I941" s="358"/>
      <c r="J941" s="358"/>
      <c r="K941" s="358"/>
      <c r="L941" s="358"/>
      <c r="M941" s="358"/>
      <c r="N941" s="358"/>
      <c r="O941" s="358"/>
      <c r="P941" s="358"/>
      <c r="Q941" s="358"/>
      <c r="R941" s="358"/>
      <c r="S941" s="358"/>
      <c r="T941" s="358"/>
      <c r="U941" s="358"/>
      <c r="V941" s="358"/>
      <c r="W941" s="358"/>
      <c r="X941" s="358"/>
      <c r="Y941" s="358"/>
      <c r="Z941" s="358"/>
    </row>
    <row r="942" spans="1:26" ht="13.5" customHeight="1">
      <c r="A942" s="358"/>
      <c r="B942" s="358"/>
      <c r="C942" s="358"/>
      <c r="D942" s="358"/>
      <c r="E942" s="358"/>
      <c r="F942" s="358"/>
      <c r="G942" s="358"/>
      <c r="H942" s="358"/>
      <c r="I942" s="358"/>
      <c r="J942" s="358"/>
      <c r="K942" s="358"/>
      <c r="L942" s="358"/>
      <c r="M942" s="358"/>
      <c r="N942" s="358"/>
      <c r="O942" s="358"/>
      <c r="P942" s="358"/>
      <c r="Q942" s="358"/>
      <c r="R942" s="358"/>
      <c r="S942" s="358"/>
      <c r="T942" s="358"/>
      <c r="U942" s="358"/>
      <c r="V942" s="358"/>
      <c r="W942" s="358"/>
      <c r="X942" s="358"/>
      <c r="Y942" s="358"/>
      <c r="Z942" s="358"/>
    </row>
    <row r="943" spans="1:26" ht="13.5" customHeight="1">
      <c r="A943" s="358"/>
      <c r="B943" s="358"/>
      <c r="C943" s="358"/>
      <c r="D943" s="358"/>
      <c r="E943" s="358"/>
      <c r="F943" s="358"/>
      <c r="G943" s="358"/>
      <c r="H943" s="358"/>
      <c r="I943" s="358"/>
      <c r="J943" s="358"/>
      <c r="K943" s="358"/>
      <c r="L943" s="358"/>
      <c r="M943" s="358"/>
      <c r="N943" s="358"/>
      <c r="O943" s="358"/>
      <c r="P943" s="358"/>
      <c r="Q943" s="358"/>
      <c r="R943" s="358"/>
      <c r="S943" s="358"/>
      <c r="T943" s="358"/>
      <c r="U943" s="358"/>
      <c r="V943" s="358"/>
      <c r="W943" s="358"/>
      <c r="X943" s="358"/>
      <c r="Y943" s="358"/>
      <c r="Z943" s="358"/>
    </row>
    <row r="944" spans="1:26" ht="13.5" customHeight="1">
      <c r="A944" s="358"/>
      <c r="B944" s="358"/>
      <c r="C944" s="358"/>
      <c r="D944" s="358"/>
      <c r="E944" s="358"/>
      <c r="F944" s="358"/>
      <c r="G944" s="358"/>
      <c r="H944" s="358"/>
      <c r="I944" s="358"/>
      <c r="J944" s="358"/>
      <c r="K944" s="358"/>
      <c r="L944" s="358"/>
      <c r="M944" s="358"/>
      <c r="N944" s="358"/>
      <c r="O944" s="358"/>
      <c r="P944" s="358"/>
      <c r="Q944" s="358"/>
      <c r="R944" s="358"/>
      <c r="S944" s="358"/>
      <c r="T944" s="358"/>
      <c r="U944" s="358"/>
      <c r="V944" s="358"/>
      <c r="W944" s="358"/>
      <c r="X944" s="358"/>
      <c r="Y944" s="358"/>
      <c r="Z944" s="358"/>
    </row>
    <row r="945" spans="1:26" ht="13.5" customHeight="1">
      <c r="A945" s="358"/>
      <c r="B945" s="358"/>
      <c r="C945" s="358"/>
      <c r="D945" s="358"/>
      <c r="E945" s="358"/>
      <c r="F945" s="358"/>
      <c r="G945" s="358"/>
      <c r="H945" s="358"/>
      <c r="I945" s="358"/>
      <c r="J945" s="358"/>
      <c r="K945" s="358"/>
      <c r="L945" s="358"/>
      <c r="M945" s="358"/>
      <c r="N945" s="358"/>
      <c r="O945" s="358"/>
      <c r="P945" s="358"/>
      <c r="Q945" s="358"/>
      <c r="R945" s="358"/>
      <c r="S945" s="358"/>
      <c r="T945" s="358"/>
      <c r="U945" s="358"/>
      <c r="V945" s="358"/>
      <c r="W945" s="358"/>
      <c r="X945" s="358"/>
      <c r="Y945" s="358"/>
      <c r="Z945" s="358"/>
    </row>
    <row r="946" spans="1:26" ht="13.5" customHeight="1">
      <c r="A946" s="358"/>
      <c r="B946" s="358"/>
      <c r="C946" s="358"/>
      <c r="D946" s="358"/>
      <c r="E946" s="358"/>
      <c r="F946" s="358"/>
      <c r="G946" s="358"/>
      <c r="H946" s="358"/>
      <c r="I946" s="358"/>
      <c r="J946" s="358"/>
      <c r="K946" s="358"/>
      <c r="L946" s="358"/>
      <c r="M946" s="358"/>
      <c r="N946" s="358"/>
      <c r="O946" s="358"/>
      <c r="P946" s="358"/>
      <c r="Q946" s="358"/>
      <c r="R946" s="358"/>
      <c r="S946" s="358"/>
      <c r="T946" s="358"/>
      <c r="U946" s="358"/>
      <c r="V946" s="358"/>
      <c r="W946" s="358"/>
      <c r="X946" s="358"/>
      <c r="Y946" s="358"/>
      <c r="Z946" s="358"/>
    </row>
    <row r="947" spans="1:26" ht="13.5" customHeight="1">
      <c r="A947" s="358"/>
      <c r="B947" s="358"/>
      <c r="C947" s="358"/>
      <c r="D947" s="358"/>
      <c r="E947" s="358"/>
      <c r="F947" s="358"/>
      <c r="G947" s="358"/>
      <c r="H947" s="358"/>
      <c r="I947" s="358"/>
      <c r="J947" s="358"/>
      <c r="K947" s="358"/>
      <c r="L947" s="358"/>
      <c r="M947" s="358"/>
      <c r="N947" s="358"/>
      <c r="O947" s="358"/>
      <c r="P947" s="358"/>
      <c r="Q947" s="358"/>
      <c r="R947" s="358"/>
      <c r="S947" s="358"/>
      <c r="T947" s="358"/>
      <c r="U947" s="358"/>
      <c r="V947" s="358"/>
      <c r="W947" s="358"/>
      <c r="X947" s="358"/>
      <c r="Y947" s="358"/>
      <c r="Z947" s="358"/>
    </row>
    <row r="948" spans="1:26" ht="13.5" customHeight="1">
      <c r="A948" s="358"/>
      <c r="B948" s="358"/>
      <c r="C948" s="358"/>
      <c r="D948" s="358"/>
      <c r="E948" s="358"/>
      <c r="F948" s="358"/>
      <c r="G948" s="358"/>
      <c r="H948" s="358"/>
      <c r="I948" s="358"/>
      <c r="J948" s="358"/>
      <c r="K948" s="358"/>
      <c r="L948" s="358"/>
      <c r="M948" s="358"/>
      <c r="N948" s="358"/>
      <c r="O948" s="358"/>
      <c r="P948" s="358"/>
      <c r="Q948" s="358"/>
      <c r="R948" s="358"/>
      <c r="S948" s="358"/>
      <c r="T948" s="358"/>
      <c r="U948" s="358"/>
      <c r="V948" s="358"/>
      <c r="W948" s="358"/>
      <c r="X948" s="358"/>
      <c r="Y948" s="358"/>
      <c r="Z948" s="358"/>
    </row>
    <row r="949" spans="1:26" ht="13.5" customHeight="1">
      <c r="A949" s="358"/>
      <c r="B949" s="358"/>
      <c r="C949" s="358"/>
      <c r="D949" s="358"/>
      <c r="E949" s="358"/>
      <c r="F949" s="358"/>
      <c r="G949" s="358"/>
      <c r="H949" s="358"/>
      <c r="I949" s="358"/>
      <c r="J949" s="358"/>
      <c r="K949" s="358"/>
      <c r="L949" s="358"/>
      <c r="M949" s="358"/>
      <c r="N949" s="358"/>
      <c r="O949" s="358"/>
      <c r="P949" s="358"/>
      <c r="Q949" s="358"/>
      <c r="R949" s="358"/>
      <c r="S949" s="358"/>
      <c r="T949" s="358"/>
      <c r="U949" s="358"/>
      <c r="V949" s="358"/>
      <c r="W949" s="358"/>
      <c r="X949" s="358"/>
      <c r="Y949" s="358"/>
      <c r="Z949" s="358"/>
    </row>
    <row r="950" spans="1:26" ht="13.5" customHeight="1">
      <c r="A950" s="358"/>
      <c r="B950" s="358"/>
      <c r="C950" s="358"/>
      <c r="D950" s="358"/>
      <c r="E950" s="358"/>
      <c r="F950" s="358"/>
      <c r="G950" s="358"/>
      <c r="H950" s="358"/>
      <c r="I950" s="358"/>
      <c r="J950" s="358"/>
      <c r="K950" s="358"/>
      <c r="L950" s="358"/>
      <c r="M950" s="358"/>
      <c r="N950" s="358"/>
      <c r="O950" s="358"/>
      <c r="P950" s="358"/>
      <c r="Q950" s="358"/>
      <c r="R950" s="358"/>
      <c r="S950" s="358"/>
      <c r="T950" s="358"/>
      <c r="U950" s="358"/>
      <c r="V950" s="358"/>
      <c r="W950" s="358"/>
      <c r="X950" s="358"/>
      <c r="Y950" s="358"/>
      <c r="Z950" s="358"/>
    </row>
    <row r="951" spans="1:26" ht="13.5" customHeight="1">
      <c r="A951" s="358"/>
      <c r="B951" s="358"/>
      <c r="C951" s="358"/>
      <c r="D951" s="358"/>
      <c r="E951" s="358"/>
      <c r="F951" s="358"/>
      <c r="G951" s="358"/>
      <c r="H951" s="358"/>
      <c r="I951" s="358"/>
      <c r="J951" s="358"/>
      <c r="K951" s="358"/>
      <c r="L951" s="358"/>
      <c r="M951" s="358"/>
      <c r="N951" s="358"/>
      <c r="O951" s="358"/>
      <c r="P951" s="358"/>
      <c r="Q951" s="358"/>
      <c r="R951" s="358"/>
      <c r="S951" s="358"/>
      <c r="T951" s="358"/>
      <c r="U951" s="358"/>
      <c r="V951" s="358"/>
      <c r="W951" s="358"/>
      <c r="X951" s="358"/>
      <c r="Y951" s="358"/>
      <c r="Z951" s="358"/>
    </row>
    <row r="952" spans="1:26" ht="13.5" customHeight="1">
      <c r="A952" s="358"/>
      <c r="B952" s="358"/>
      <c r="C952" s="358"/>
      <c r="D952" s="358"/>
      <c r="E952" s="358"/>
      <c r="F952" s="358"/>
      <c r="G952" s="358"/>
      <c r="H952" s="358"/>
      <c r="I952" s="358"/>
      <c r="J952" s="358"/>
      <c r="K952" s="358"/>
      <c r="L952" s="358"/>
      <c r="M952" s="358"/>
      <c r="N952" s="358"/>
      <c r="O952" s="358"/>
      <c r="P952" s="358"/>
      <c r="Q952" s="358"/>
      <c r="R952" s="358"/>
      <c r="S952" s="358"/>
      <c r="T952" s="358"/>
      <c r="U952" s="358"/>
      <c r="V952" s="358"/>
      <c r="W952" s="358"/>
      <c r="X952" s="358"/>
      <c r="Y952" s="358"/>
      <c r="Z952" s="358"/>
    </row>
    <row r="953" spans="1:26" ht="13.5" customHeight="1">
      <c r="A953" s="358"/>
      <c r="B953" s="358"/>
      <c r="C953" s="358"/>
      <c r="D953" s="358"/>
      <c r="E953" s="358"/>
      <c r="F953" s="358"/>
      <c r="G953" s="358"/>
      <c r="H953" s="358"/>
      <c r="I953" s="358"/>
      <c r="J953" s="358"/>
      <c r="K953" s="358"/>
      <c r="L953" s="358"/>
      <c r="M953" s="358"/>
      <c r="N953" s="358"/>
      <c r="O953" s="358"/>
      <c r="P953" s="358"/>
      <c r="Q953" s="358"/>
      <c r="R953" s="358"/>
      <c r="S953" s="358"/>
      <c r="T953" s="358"/>
      <c r="U953" s="358"/>
      <c r="V953" s="358"/>
      <c r="W953" s="358"/>
      <c r="X953" s="358"/>
      <c r="Y953" s="358"/>
      <c r="Z953" s="358"/>
    </row>
    <row r="954" spans="1:26" ht="13.5" customHeight="1">
      <c r="A954" s="358"/>
      <c r="B954" s="358"/>
      <c r="C954" s="358"/>
      <c r="D954" s="358"/>
      <c r="E954" s="358"/>
      <c r="F954" s="358"/>
      <c r="G954" s="358"/>
      <c r="H954" s="358"/>
      <c r="I954" s="358"/>
      <c r="J954" s="358"/>
      <c r="K954" s="358"/>
      <c r="L954" s="358"/>
      <c r="M954" s="358"/>
      <c r="N954" s="358"/>
      <c r="O954" s="358"/>
      <c r="P954" s="358"/>
      <c r="Q954" s="358"/>
      <c r="R954" s="358"/>
      <c r="S954" s="358"/>
      <c r="T954" s="358"/>
      <c r="U954" s="358"/>
      <c r="V954" s="358"/>
      <c r="W954" s="358"/>
      <c r="X954" s="358"/>
      <c r="Y954" s="358"/>
      <c r="Z954" s="358"/>
    </row>
    <row r="955" spans="1:26" ht="13.5" customHeight="1">
      <c r="A955" s="358"/>
      <c r="B955" s="358"/>
      <c r="C955" s="358"/>
      <c r="D955" s="358"/>
      <c r="E955" s="358"/>
      <c r="F955" s="358"/>
      <c r="G955" s="358"/>
      <c r="H955" s="358"/>
      <c r="I955" s="358"/>
      <c r="J955" s="358"/>
      <c r="K955" s="358"/>
      <c r="L955" s="358"/>
      <c r="M955" s="358"/>
      <c r="N955" s="358"/>
      <c r="O955" s="358"/>
      <c r="P955" s="358"/>
      <c r="Q955" s="358"/>
      <c r="R955" s="358"/>
      <c r="S955" s="358"/>
      <c r="T955" s="358"/>
      <c r="U955" s="358"/>
      <c r="V955" s="358"/>
      <c r="W955" s="358"/>
      <c r="X955" s="358"/>
      <c r="Y955" s="358"/>
      <c r="Z955" s="358"/>
    </row>
    <row r="956" spans="1:26" ht="13.5" customHeight="1">
      <c r="A956" s="358"/>
      <c r="B956" s="358"/>
      <c r="C956" s="358"/>
      <c r="D956" s="358"/>
      <c r="E956" s="358"/>
      <c r="F956" s="358"/>
      <c r="G956" s="358"/>
      <c r="H956" s="358"/>
      <c r="I956" s="358"/>
      <c r="J956" s="358"/>
      <c r="K956" s="358"/>
      <c r="L956" s="358"/>
      <c r="M956" s="358"/>
      <c r="N956" s="358"/>
      <c r="O956" s="358"/>
      <c r="P956" s="358"/>
      <c r="Q956" s="358"/>
      <c r="R956" s="358"/>
      <c r="S956" s="358"/>
      <c r="T956" s="358"/>
      <c r="U956" s="358"/>
      <c r="V956" s="358"/>
      <c r="W956" s="358"/>
      <c r="X956" s="358"/>
      <c r="Y956" s="358"/>
      <c r="Z956" s="358"/>
    </row>
    <row r="957" spans="1:26" ht="13.5" customHeight="1">
      <c r="A957" s="358"/>
      <c r="B957" s="358"/>
      <c r="C957" s="358"/>
      <c r="D957" s="358"/>
      <c r="E957" s="358"/>
      <c r="F957" s="358"/>
      <c r="G957" s="358"/>
      <c r="H957" s="358"/>
      <c r="I957" s="358"/>
      <c r="J957" s="358"/>
      <c r="K957" s="358"/>
      <c r="L957" s="358"/>
      <c r="M957" s="358"/>
      <c r="N957" s="358"/>
      <c r="O957" s="358"/>
      <c r="P957" s="358"/>
      <c r="Q957" s="358"/>
      <c r="R957" s="358"/>
      <c r="S957" s="358"/>
      <c r="T957" s="358"/>
      <c r="U957" s="358"/>
      <c r="V957" s="358"/>
      <c r="W957" s="358"/>
      <c r="X957" s="358"/>
      <c r="Y957" s="358"/>
      <c r="Z957" s="358"/>
    </row>
    <row r="958" spans="1:26" ht="13.5" customHeight="1">
      <c r="A958" s="358"/>
      <c r="B958" s="358"/>
      <c r="C958" s="358"/>
      <c r="D958" s="358"/>
      <c r="E958" s="358"/>
      <c r="F958" s="358"/>
      <c r="G958" s="358"/>
      <c r="H958" s="358"/>
      <c r="I958" s="358"/>
      <c r="J958" s="358"/>
      <c r="K958" s="358"/>
      <c r="L958" s="358"/>
      <c r="M958" s="358"/>
      <c r="N958" s="358"/>
      <c r="O958" s="358"/>
      <c r="P958" s="358"/>
      <c r="Q958" s="358"/>
      <c r="R958" s="358"/>
      <c r="S958" s="358"/>
      <c r="T958" s="358"/>
      <c r="U958" s="358"/>
      <c r="V958" s="358"/>
      <c r="W958" s="358"/>
      <c r="X958" s="358"/>
      <c r="Y958" s="358"/>
      <c r="Z958" s="358"/>
    </row>
    <row r="959" spans="1:26" ht="13.5" customHeight="1">
      <c r="A959" s="358"/>
      <c r="B959" s="358"/>
      <c r="C959" s="358"/>
      <c r="D959" s="358"/>
      <c r="E959" s="358"/>
      <c r="F959" s="358"/>
      <c r="G959" s="358"/>
      <c r="H959" s="358"/>
      <c r="I959" s="358"/>
      <c r="J959" s="358"/>
      <c r="K959" s="358"/>
      <c r="L959" s="358"/>
      <c r="M959" s="358"/>
      <c r="N959" s="358"/>
      <c r="O959" s="358"/>
      <c r="P959" s="358"/>
      <c r="Q959" s="358"/>
      <c r="R959" s="358"/>
      <c r="S959" s="358"/>
      <c r="T959" s="358"/>
      <c r="U959" s="358"/>
      <c r="V959" s="358"/>
      <c r="W959" s="358"/>
      <c r="X959" s="358"/>
      <c r="Y959" s="358"/>
      <c r="Z959" s="358"/>
    </row>
    <row r="960" spans="1:26" ht="13.5" customHeight="1">
      <c r="A960" s="358"/>
      <c r="B960" s="358"/>
      <c r="C960" s="358"/>
      <c r="D960" s="358"/>
      <c r="E960" s="358"/>
      <c r="F960" s="358"/>
      <c r="G960" s="358"/>
      <c r="H960" s="358"/>
      <c r="I960" s="358"/>
      <c r="J960" s="358"/>
      <c r="K960" s="358"/>
      <c r="L960" s="358"/>
      <c r="M960" s="358"/>
      <c r="N960" s="358"/>
      <c r="O960" s="358"/>
      <c r="P960" s="358"/>
      <c r="Q960" s="358"/>
      <c r="R960" s="358"/>
      <c r="S960" s="358"/>
      <c r="T960" s="358"/>
      <c r="U960" s="358"/>
      <c r="V960" s="358"/>
      <c r="W960" s="358"/>
      <c r="X960" s="358"/>
      <c r="Y960" s="358"/>
      <c r="Z960" s="358"/>
    </row>
    <row r="961" spans="1:26" ht="13.5" customHeight="1">
      <c r="A961" s="358"/>
      <c r="B961" s="358"/>
      <c r="C961" s="358"/>
      <c r="D961" s="358"/>
      <c r="E961" s="358"/>
      <c r="F961" s="358"/>
      <c r="G961" s="358"/>
      <c r="H961" s="358"/>
      <c r="I961" s="358"/>
      <c r="J961" s="358"/>
      <c r="K961" s="358"/>
      <c r="L961" s="358"/>
      <c r="M961" s="358"/>
      <c r="N961" s="358"/>
      <c r="O961" s="358"/>
      <c r="P961" s="358"/>
      <c r="Q961" s="358"/>
      <c r="R961" s="358"/>
      <c r="S961" s="358"/>
      <c r="T961" s="358"/>
      <c r="U961" s="358"/>
      <c r="V961" s="358"/>
      <c r="W961" s="358"/>
      <c r="X961" s="358"/>
      <c r="Y961" s="358"/>
      <c r="Z961" s="358"/>
    </row>
    <row r="962" spans="1:26" ht="13.5" customHeight="1">
      <c r="A962" s="358"/>
      <c r="B962" s="358"/>
      <c r="C962" s="358"/>
      <c r="D962" s="358"/>
      <c r="E962" s="358"/>
      <c r="F962" s="358"/>
      <c r="G962" s="358"/>
      <c r="H962" s="358"/>
      <c r="I962" s="358"/>
      <c r="J962" s="358"/>
      <c r="K962" s="358"/>
      <c r="L962" s="358"/>
      <c r="M962" s="358"/>
      <c r="N962" s="358"/>
      <c r="O962" s="358"/>
      <c r="P962" s="358"/>
      <c r="Q962" s="358"/>
      <c r="R962" s="358"/>
      <c r="S962" s="358"/>
      <c r="T962" s="358"/>
      <c r="U962" s="358"/>
      <c r="V962" s="358"/>
      <c r="W962" s="358"/>
      <c r="X962" s="358"/>
      <c r="Y962" s="358"/>
      <c r="Z962" s="358"/>
    </row>
    <row r="963" spans="1:26" ht="13.5" customHeight="1">
      <c r="A963" s="358"/>
      <c r="B963" s="358"/>
      <c r="C963" s="358"/>
      <c r="D963" s="358"/>
      <c r="E963" s="358"/>
      <c r="F963" s="358"/>
      <c r="G963" s="358"/>
      <c r="H963" s="358"/>
      <c r="I963" s="358"/>
      <c r="J963" s="358"/>
      <c r="K963" s="358"/>
      <c r="L963" s="358"/>
      <c r="M963" s="358"/>
      <c r="N963" s="358"/>
      <c r="O963" s="358"/>
      <c r="P963" s="358"/>
      <c r="Q963" s="358"/>
      <c r="R963" s="358"/>
      <c r="S963" s="358"/>
      <c r="T963" s="358"/>
      <c r="U963" s="358"/>
      <c r="V963" s="358"/>
      <c r="W963" s="358"/>
      <c r="X963" s="358"/>
      <c r="Y963" s="358"/>
      <c r="Z963" s="358"/>
    </row>
    <row r="964" spans="1:26" ht="13.5" customHeight="1">
      <c r="A964" s="358"/>
      <c r="B964" s="358"/>
      <c r="C964" s="358"/>
      <c r="D964" s="358"/>
      <c r="E964" s="358"/>
      <c r="F964" s="358"/>
      <c r="G964" s="358"/>
      <c r="H964" s="358"/>
      <c r="I964" s="358"/>
      <c r="J964" s="358"/>
      <c r="K964" s="358"/>
      <c r="L964" s="358"/>
      <c r="M964" s="358"/>
      <c r="N964" s="358"/>
      <c r="O964" s="358"/>
      <c r="P964" s="358"/>
      <c r="Q964" s="358"/>
      <c r="R964" s="358"/>
      <c r="S964" s="358"/>
      <c r="T964" s="358"/>
      <c r="U964" s="358"/>
      <c r="V964" s="358"/>
      <c r="W964" s="358"/>
      <c r="X964" s="358"/>
      <c r="Y964" s="358"/>
      <c r="Z964" s="358"/>
    </row>
    <row r="965" spans="1:26" ht="13.5" customHeight="1">
      <c r="A965" s="358"/>
      <c r="B965" s="358"/>
      <c r="C965" s="358"/>
      <c r="D965" s="358"/>
      <c r="E965" s="358"/>
      <c r="F965" s="358"/>
      <c r="G965" s="358"/>
      <c r="H965" s="358"/>
      <c r="I965" s="358"/>
      <c r="J965" s="358"/>
      <c r="K965" s="358"/>
      <c r="L965" s="358"/>
      <c r="M965" s="358"/>
      <c r="N965" s="358"/>
      <c r="O965" s="358"/>
      <c r="P965" s="358"/>
      <c r="Q965" s="358"/>
      <c r="R965" s="358"/>
      <c r="S965" s="358"/>
      <c r="T965" s="358"/>
      <c r="U965" s="358"/>
      <c r="V965" s="358"/>
      <c r="W965" s="358"/>
      <c r="X965" s="358"/>
      <c r="Y965" s="358"/>
      <c r="Z965" s="358"/>
    </row>
    <row r="966" spans="1:26" ht="13.5" customHeight="1">
      <c r="A966" s="358"/>
      <c r="B966" s="358"/>
      <c r="C966" s="358"/>
      <c r="D966" s="358"/>
      <c r="E966" s="358"/>
      <c r="F966" s="358"/>
      <c r="G966" s="358"/>
      <c r="H966" s="358"/>
      <c r="I966" s="358"/>
      <c r="J966" s="358"/>
      <c r="K966" s="358"/>
      <c r="L966" s="358"/>
      <c r="M966" s="358"/>
      <c r="N966" s="358"/>
      <c r="O966" s="358"/>
      <c r="P966" s="358"/>
      <c r="Q966" s="358"/>
      <c r="R966" s="358"/>
      <c r="S966" s="358"/>
      <c r="T966" s="358"/>
      <c r="U966" s="358"/>
      <c r="V966" s="358"/>
      <c r="W966" s="358"/>
      <c r="X966" s="358"/>
      <c r="Y966" s="358"/>
      <c r="Z966" s="358"/>
    </row>
    <row r="967" spans="1:26" ht="13.5" customHeight="1">
      <c r="A967" s="358"/>
      <c r="B967" s="358"/>
      <c r="C967" s="358"/>
      <c r="D967" s="358"/>
      <c r="E967" s="358"/>
      <c r="F967" s="358"/>
      <c r="G967" s="358"/>
      <c r="H967" s="358"/>
      <c r="I967" s="358"/>
      <c r="J967" s="358"/>
      <c r="K967" s="358"/>
      <c r="L967" s="358"/>
      <c r="M967" s="358"/>
      <c r="N967" s="358"/>
      <c r="O967" s="358"/>
      <c r="P967" s="358"/>
      <c r="Q967" s="358"/>
      <c r="R967" s="358"/>
      <c r="S967" s="358"/>
      <c r="T967" s="358"/>
      <c r="U967" s="358"/>
      <c r="V967" s="358"/>
      <c r="W967" s="358"/>
      <c r="X967" s="358"/>
      <c r="Y967" s="358"/>
      <c r="Z967" s="358"/>
    </row>
    <row r="968" spans="1:26" ht="13.5" customHeight="1">
      <c r="A968" s="358"/>
      <c r="B968" s="358"/>
      <c r="C968" s="358"/>
      <c r="D968" s="358"/>
      <c r="E968" s="358"/>
      <c r="F968" s="358"/>
      <c r="G968" s="358"/>
      <c r="H968" s="358"/>
      <c r="I968" s="358"/>
      <c r="J968" s="358"/>
      <c r="K968" s="358"/>
      <c r="L968" s="358"/>
      <c r="M968" s="358"/>
      <c r="N968" s="358"/>
      <c r="O968" s="358"/>
      <c r="P968" s="358"/>
      <c r="Q968" s="358"/>
      <c r="R968" s="358"/>
      <c r="S968" s="358"/>
      <c r="T968" s="358"/>
      <c r="U968" s="358"/>
      <c r="V968" s="358"/>
      <c r="W968" s="358"/>
      <c r="X968" s="358"/>
      <c r="Y968" s="358"/>
      <c r="Z968" s="358"/>
    </row>
    <row r="969" spans="1:26" ht="13.5" customHeight="1">
      <c r="A969" s="358"/>
      <c r="B969" s="358"/>
      <c r="C969" s="358"/>
      <c r="D969" s="358"/>
      <c r="E969" s="358"/>
      <c r="F969" s="358"/>
      <c r="G969" s="358"/>
      <c r="H969" s="358"/>
      <c r="I969" s="358"/>
      <c r="J969" s="358"/>
      <c r="K969" s="358"/>
      <c r="L969" s="358"/>
      <c r="M969" s="358"/>
      <c r="N969" s="358"/>
      <c r="O969" s="358"/>
      <c r="P969" s="358"/>
      <c r="Q969" s="358"/>
      <c r="R969" s="358"/>
      <c r="S969" s="358"/>
      <c r="T969" s="358"/>
      <c r="U969" s="358"/>
      <c r="V969" s="358"/>
      <c r="W969" s="358"/>
      <c r="X969" s="358"/>
      <c r="Y969" s="358"/>
      <c r="Z969" s="358"/>
    </row>
    <row r="970" spans="1:26" ht="13.5" customHeight="1">
      <c r="A970" s="358"/>
      <c r="B970" s="358"/>
      <c r="C970" s="358"/>
      <c r="D970" s="358"/>
      <c r="E970" s="358"/>
      <c r="F970" s="358"/>
      <c r="G970" s="358"/>
      <c r="H970" s="358"/>
      <c r="I970" s="358"/>
      <c r="J970" s="358"/>
      <c r="K970" s="358"/>
      <c r="L970" s="358"/>
      <c r="M970" s="358"/>
      <c r="N970" s="358"/>
      <c r="O970" s="358"/>
      <c r="P970" s="358"/>
      <c r="Q970" s="358"/>
      <c r="R970" s="358"/>
      <c r="S970" s="358"/>
      <c r="T970" s="358"/>
      <c r="U970" s="358"/>
      <c r="V970" s="358"/>
      <c r="W970" s="358"/>
      <c r="X970" s="358"/>
      <c r="Y970" s="358"/>
      <c r="Z970" s="358"/>
    </row>
    <row r="971" spans="1:26" ht="13.5" customHeight="1">
      <c r="A971" s="358"/>
      <c r="B971" s="358"/>
      <c r="C971" s="358"/>
      <c r="D971" s="358"/>
      <c r="E971" s="358"/>
      <c r="F971" s="358"/>
      <c r="G971" s="358"/>
      <c r="H971" s="358"/>
      <c r="I971" s="358"/>
      <c r="J971" s="358"/>
      <c r="K971" s="358"/>
      <c r="L971" s="358"/>
      <c r="M971" s="358"/>
      <c r="N971" s="358"/>
      <c r="O971" s="358"/>
      <c r="P971" s="358"/>
      <c r="Q971" s="358"/>
      <c r="R971" s="358"/>
      <c r="S971" s="358"/>
      <c r="T971" s="358"/>
      <c r="U971" s="358"/>
      <c r="V971" s="358"/>
      <c r="W971" s="358"/>
      <c r="X971" s="358"/>
      <c r="Y971" s="358"/>
      <c r="Z971" s="358"/>
    </row>
    <row r="972" spans="1:26" ht="13.5" customHeight="1">
      <c r="A972" s="358"/>
      <c r="B972" s="358"/>
      <c r="C972" s="358"/>
      <c r="D972" s="358"/>
      <c r="E972" s="358"/>
      <c r="F972" s="358"/>
      <c r="G972" s="358"/>
      <c r="H972" s="358"/>
      <c r="I972" s="358"/>
      <c r="J972" s="358"/>
      <c r="K972" s="358"/>
      <c r="L972" s="358"/>
      <c r="M972" s="358"/>
      <c r="N972" s="358"/>
      <c r="O972" s="358"/>
      <c r="P972" s="358"/>
      <c r="Q972" s="358"/>
      <c r="R972" s="358"/>
      <c r="S972" s="358"/>
      <c r="T972" s="358"/>
      <c r="U972" s="358"/>
      <c r="V972" s="358"/>
      <c r="W972" s="358"/>
      <c r="X972" s="358"/>
      <c r="Y972" s="358"/>
      <c r="Z972" s="358"/>
    </row>
    <row r="973" spans="1:26" ht="13.5" customHeight="1">
      <c r="A973" s="358"/>
      <c r="B973" s="358"/>
      <c r="C973" s="358"/>
      <c r="D973" s="358"/>
      <c r="E973" s="358"/>
      <c r="F973" s="358"/>
      <c r="G973" s="358"/>
      <c r="H973" s="358"/>
      <c r="I973" s="358"/>
      <c r="J973" s="358"/>
      <c r="K973" s="358"/>
      <c r="L973" s="358"/>
      <c r="M973" s="358"/>
      <c r="N973" s="358"/>
      <c r="O973" s="358"/>
      <c r="P973" s="358"/>
      <c r="Q973" s="358"/>
      <c r="R973" s="358"/>
      <c r="S973" s="358"/>
      <c r="T973" s="358"/>
      <c r="U973" s="358"/>
      <c r="V973" s="358"/>
      <c r="W973" s="358"/>
      <c r="X973" s="358"/>
      <c r="Y973" s="358"/>
      <c r="Z973" s="358"/>
    </row>
    <row r="974" spans="1:26" ht="13.5" customHeight="1">
      <c r="A974" s="358"/>
      <c r="B974" s="358"/>
      <c r="C974" s="358"/>
      <c r="D974" s="358"/>
      <c r="E974" s="358"/>
      <c r="F974" s="358"/>
      <c r="G974" s="358"/>
      <c r="H974" s="358"/>
      <c r="I974" s="358"/>
      <c r="J974" s="358"/>
      <c r="K974" s="358"/>
      <c r="L974" s="358"/>
      <c r="M974" s="358"/>
      <c r="N974" s="358"/>
      <c r="O974" s="358"/>
      <c r="P974" s="358"/>
      <c r="Q974" s="358"/>
      <c r="R974" s="358"/>
      <c r="S974" s="358"/>
      <c r="T974" s="358"/>
      <c r="U974" s="358"/>
      <c r="V974" s="358"/>
      <c r="W974" s="358"/>
      <c r="X974" s="358"/>
      <c r="Y974" s="358"/>
      <c r="Z974" s="358"/>
    </row>
    <row r="975" spans="1:26" ht="13.5" customHeight="1">
      <c r="A975" s="358"/>
      <c r="B975" s="358"/>
      <c r="C975" s="358"/>
      <c r="D975" s="358"/>
      <c r="E975" s="358"/>
      <c r="F975" s="358"/>
      <c r="G975" s="358"/>
      <c r="H975" s="358"/>
      <c r="I975" s="358"/>
      <c r="J975" s="358"/>
      <c r="K975" s="358"/>
      <c r="L975" s="358"/>
      <c r="M975" s="358"/>
      <c r="N975" s="358"/>
      <c r="O975" s="358"/>
      <c r="P975" s="358"/>
      <c r="Q975" s="358"/>
      <c r="R975" s="358"/>
      <c r="S975" s="358"/>
      <c r="T975" s="358"/>
      <c r="U975" s="358"/>
      <c r="V975" s="358"/>
      <c r="W975" s="358"/>
      <c r="X975" s="358"/>
      <c r="Y975" s="358"/>
      <c r="Z975" s="358"/>
    </row>
    <row r="976" spans="1:26" ht="13.5" customHeight="1">
      <c r="A976" s="358"/>
      <c r="B976" s="358"/>
      <c r="C976" s="358"/>
      <c r="D976" s="358"/>
      <c r="E976" s="358"/>
      <c r="F976" s="358"/>
      <c r="G976" s="358"/>
      <c r="H976" s="358"/>
      <c r="I976" s="358"/>
      <c r="J976" s="358"/>
      <c r="K976" s="358"/>
      <c r="L976" s="358"/>
      <c r="M976" s="358"/>
      <c r="N976" s="358"/>
      <c r="O976" s="358"/>
      <c r="P976" s="358"/>
      <c r="Q976" s="358"/>
      <c r="R976" s="358"/>
      <c r="S976" s="358"/>
      <c r="T976" s="358"/>
      <c r="U976" s="358"/>
      <c r="V976" s="358"/>
      <c r="W976" s="358"/>
      <c r="X976" s="358"/>
      <c r="Y976" s="358"/>
      <c r="Z976" s="358"/>
    </row>
    <row r="977" spans="1:26" ht="13.5" customHeight="1">
      <c r="A977" s="358"/>
      <c r="B977" s="358"/>
      <c r="C977" s="358"/>
      <c r="D977" s="358"/>
      <c r="E977" s="358"/>
      <c r="F977" s="358"/>
      <c r="G977" s="358"/>
      <c r="H977" s="358"/>
      <c r="I977" s="358"/>
      <c r="J977" s="358"/>
      <c r="K977" s="358"/>
      <c r="L977" s="358"/>
      <c r="M977" s="358"/>
      <c r="N977" s="358"/>
      <c r="O977" s="358"/>
      <c r="P977" s="358"/>
      <c r="Q977" s="358"/>
      <c r="R977" s="358"/>
      <c r="S977" s="358"/>
      <c r="T977" s="358"/>
      <c r="U977" s="358"/>
      <c r="V977" s="358"/>
      <c r="W977" s="358"/>
      <c r="X977" s="358"/>
      <c r="Y977" s="358"/>
      <c r="Z977" s="358"/>
    </row>
    <row r="978" spans="1:26" ht="13.5" customHeight="1">
      <c r="A978" s="358"/>
      <c r="B978" s="358"/>
      <c r="C978" s="358"/>
      <c r="D978" s="358"/>
      <c r="E978" s="358"/>
      <c r="F978" s="358"/>
      <c r="G978" s="358"/>
      <c r="H978" s="358"/>
      <c r="I978" s="358"/>
      <c r="J978" s="358"/>
      <c r="K978" s="358"/>
      <c r="L978" s="358"/>
      <c r="M978" s="358"/>
      <c r="N978" s="358"/>
      <c r="O978" s="358"/>
      <c r="P978" s="358"/>
      <c r="Q978" s="358"/>
      <c r="R978" s="358"/>
      <c r="S978" s="358"/>
      <c r="T978" s="358"/>
      <c r="U978" s="358"/>
      <c r="V978" s="358"/>
      <c r="W978" s="358"/>
      <c r="X978" s="358"/>
      <c r="Y978" s="358"/>
      <c r="Z978" s="358"/>
    </row>
    <row r="979" spans="1:26" ht="13.5" customHeight="1">
      <c r="A979" s="358"/>
      <c r="B979" s="358"/>
      <c r="C979" s="358"/>
      <c r="D979" s="358"/>
      <c r="E979" s="358"/>
      <c r="F979" s="358"/>
      <c r="G979" s="358"/>
      <c r="H979" s="358"/>
      <c r="I979" s="358"/>
      <c r="J979" s="358"/>
      <c r="K979" s="358"/>
      <c r="L979" s="358"/>
      <c r="M979" s="358"/>
      <c r="N979" s="358"/>
      <c r="O979" s="358"/>
      <c r="P979" s="358"/>
      <c r="Q979" s="358"/>
      <c r="R979" s="358"/>
      <c r="S979" s="358"/>
      <c r="T979" s="358"/>
      <c r="U979" s="358"/>
      <c r="V979" s="358"/>
      <c r="W979" s="358"/>
      <c r="X979" s="358"/>
      <c r="Y979" s="358"/>
      <c r="Z979" s="358"/>
    </row>
    <row r="980" spans="1:26" ht="13.5" customHeight="1">
      <c r="A980" s="358"/>
      <c r="B980" s="358"/>
      <c r="C980" s="358"/>
      <c r="D980" s="358"/>
      <c r="E980" s="358"/>
      <c r="F980" s="358"/>
      <c r="G980" s="358"/>
      <c r="H980" s="358"/>
      <c r="I980" s="358"/>
      <c r="J980" s="358"/>
      <c r="K980" s="358"/>
      <c r="L980" s="358"/>
      <c r="M980" s="358"/>
      <c r="N980" s="358"/>
      <c r="O980" s="358"/>
      <c r="P980" s="358"/>
      <c r="Q980" s="358"/>
      <c r="R980" s="358"/>
      <c r="S980" s="358"/>
      <c r="T980" s="358"/>
      <c r="U980" s="358"/>
      <c r="V980" s="358"/>
      <c r="W980" s="358"/>
      <c r="X980" s="358"/>
      <c r="Y980" s="358"/>
      <c r="Z980" s="358"/>
    </row>
    <row r="981" spans="1:26" ht="13.5" customHeight="1">
      <c r="A981" s="358"/>
      <c r="B981" s="358"/>
      <c r="C981" s="358"/>
      <c r="D981" s="358"/>
      <c r="E981" s="358"/>
      <c r="F981" s="358"/>
      <c r="G981" s="358"/>
      <c r="H981" s="358"/>
      <c r="I981" s="358"/>
      <c r="J981" s="358"/>
      <c r="K981" s="358"/>
      <c r="L981" s="358"/>
      <c r="M981" s="358"/>
      <c r="N981" s="358"/>
      <c r="O981" s="358"/>
      <c r="P981" s="358"/>
      <c r="Q981" s="358"/>
      <c r="R981" s="358"/>
      <c r="S981" s="358"/>
      <c r="T981" s="358"/>
      <c r="U981" s="358"/>
      <c r="V981" s="358"/>
      <c r="W981" s="358"/>
      <c r="X981" s="358"/>
      <c r="Y981" s="358"/>
      <c r="Z981" s="358"/>
    </row>
    <row r="982" spans="1:26" ht="13.5" customHeight="1">
      <c r="A982" s="358"/>
      <c r="B982" s="358"/>
      <c r="C982" s="358"/>
      <c r="D982" s="358"/>
      <c r="E982" s="358"/>
      <c r="F982" s="358"/>
      <c r="G982" s="358"/>
      <c r="H982" s="358"/>
      <c r="I982" s="358"/>
      <c r="J982" s="358"/>
      <c r="K982" s="358"/>
      <c r="L982" s="358"/>
      <c r="M982" s="358"/>
      <c r="N982" s="358"/>
      <c r="O982" s="358"/>
      <c r="P982" s="358"/>
      <c r="Q982" s="358"/>
      <c r="R982" s="358"/>
      <c r="S982" s="358"/>
      <c r="T982" s="358"/>
      <c r="U982" s="358"/>
      <c r="V982" s="358"/>
      <c r="W982" s="358"/>
      <c r="X982" s="358"/>
      <c r="Y982" s="358"/>
      <c r="Z982" s="358"/>
    </row>
    <row r="983" spans="1:26" ht="13.5" customHeight="1">
      <c r="A983" s="358"/>
      <c r="B983" s="358"/>
      <c r="C983" s="358"/>
      <c r="D983" s="358"/>
      <c r="E983" s="358"/>
      <c r="F983" s="358"/>
      <c r="G983" s="358"/>
      <c r="H983" s="358"/>
      <c r="I983" s="358"/>
      <c r="J983" s="358"/>
      <c r="K983" s="358"/>
      <c r="L983" s="358"/>
      <c r="M983" s="358"/>
      <c r="N983" s="358"/>
      <c r="O983" s="358"/>
      <c r="P983" s="358"/>
      <c r="Q983" s="358"/>
      <c r="R983" s="358"/>
      <c r="S983" s="358"/>
      <c r="T983" s="358"/>
      <c r="U983" s="358"/>
      <c r="V983" s="358"/>
      <c r="W983" s="358"/>
      <c r="X983" s="358"/>
      <c r="Y983" s="358"/>
      <c r="Z983" s="358"/>
    </row>
    <row r="984" spans="1:26" ht="13.5" customHeight="1">
      <c r="A984" s="358"/>
      <c r="B984" s="358"/>
      <c r="C984" s="358"/>
      <c r="D984" s="358"/>
      <c r="E984" s="358"/>
      <c r="F984" s="358"/>
      <c r="G984" s="358"/>
      <c r="H984" s="358"/>
      <c r="I984" s="358"/>
      <c r="J984" s="358"/>
      <c r="K984" s="358"/>
      <c r="L984" s="358"/>
      <c r="M984" s="358"/>
      <c r="N984" s="358"/>
      <c r="O984" s="358"/>
      <c r="P984" s="358"/>
      <c r="Q984" s="358"/>
      <c r="R984" s="358"/>
      <c r="S984" s="358"/>
      <c r="T984" s="358"/>
      <c r="U984" s="358"/>
      <c r="V984" s="358"/>
      <c r="W984" s="358"/>
      <c r="X984" s="358"/>
      <c r="Y984" s="358"/>
      <c r="Z984" s="358"/>
    </row>
    <row r="985" spans="1:26" ht="13.5" customHeight="1">
      <c r="A985" s="358"/>
      <c r="B985" s="358"/>
      <c r="C985" s="358"/>
      <c r="D985" s="358"/>
      <c r="E985" s="358"/>
      <c r="F985" s="358"/>
      <c r="G985" s="358"/>
      <c r="H985" s="358"/>
      <c r="I985" s="358"/>
      <c r="J985" s="358"/>
      <c r="K985" s="358"/>
      <c r="L985" s="358"/>
      <c r="M985" s="358"/>
      <c r="N985" s="358"/>
      <c r="O985" s="358"/>
      <c r="P985" s="358"/>
      <c r="Q985" s="358"/>
      <c r="R985" s="358"/>
      <c r="S985" s="358"/>
      <c r="T985" s="358"/>
      <c r="U985" s="358"/>
      <c r="V985" s="358"/>
      <c r="W985" s="358"/>
      <c r="X985" s="358"/>
      <c r="Y985" s="358"/>
      <c r="Z985" s="358"/>
    </row>
    <row r="986" spans="1:26" ht="13.5" customHeight="1">
      <c r="A986" s="358"/>
      <c r="B986" s="358"/>
      <c r="C986" s="358"/>
      <c r="D986" s="358"/>
      <c r="E986" s="358"/>
      <c r="F986" s="358"/>
      <c r="G986" s="358"/>
      <c r="H986" s="358"/>
      <c r="I986" s="358"/>
      <c r="J986" s="358"/>
      <c r="K986" s="358"/>
      <c r="L986" s="358"/>
      <c r="M986" s="358"/>
      <c r="N986" s="358"/>
      <c r="O986" s="358"/>
      <c r="P986" s="358"/>
      <c r="Q986" s="358"/>
      <c r="R986" s="358"/>
      <c r="S986" s="358"/>
      <c r="T986" s="358"/>
      <c r="U986" s="358"/>
      <c r="V986" s="358"/>
      <c r="W986" s="358"/>
      <c r="X986" s="358"/>
      <c r="Y986" s="358"/>
      <c r="Z986" s="358"/>
    </row>
    <row r="987" spans="1:26" ht="13.5" customHeight="1">
      <c r="A987" s="358"/>
      <c r="B987" s="358"/>
      <c r="C987" s="358"/>
      <c r="D987" s="358"/>
      <c r="E987" s="358"/>
      <c r="F987" s="358"/>
      <c r="G987" s="358"/>
      <c r="H987" s="358"/>
      <c r="I987" s="358"/>
      <c r="J987" s="358"/>
      <c r="K987" s="358"/>
      <c r="L987" s="358"/>
      <c r="M987" s="358"/>
      <c r="N987" s="358"/>
      <c r="O987" s="358"/>
      <c r="P987" s="358"/>
      <c r="Q987" s="358"/>
      <c r="R987" s="358"/>
      <c r="S987" s="358"/>
      <c r="T987" s="358"/>
      <c r="U987" s="358"/>
      <c r="V987" s="358"/>
      <c r="W987" s="358"/>
      <c r="X987" s="358"/>
      <c r="Y987" s="358"/>
      <c r="Z987" s="358"/>
    </row>
    <row r="988" spans="1:26" ht="13.5" customHeight="1">
      <c r="A988" s="358"/>
      <c r="B988" s="358"/>
      <c r="C988" s="358"/>
      <c r="D988" s="358"/>
      <c r="E988" s="358"/>
      <c r="F988" s="358"/>
      <c r="G988" s="358"/>
      <c r="H988" s="358"/>
      <c r="I988" s="358"/>
      <c r="J988" s="358"/>
      <c r="K988" s="358"/>
      <c r="L988" s="358"/>
      <c r="M988" s="358"/>
      <c r="N988" s="358"/>
      <c r="O988" s="358"/>
      <c r="P988" s="358"/>
      <c r="Q988" s="358"/>
      <c r="R988" s="358"/>
      <c r="S988" s="358"/>
      <c r="T988" s="358"/>
      <c r="U988" s="358"/>
      <c r="V988" s="358"/>
      <c r="W988" s="358"/>
      <c r="X988" s="358"/>
      <c r="Y988" s="358"/>
      <c r="Z988" s="358"/>
    </row>
    <row r="989" spans="1:26" ht="13.5" customHeight="1">
      <c r="A989" s="358"/>
      <c r="B989" s="358"/>
      <c r="C989" s="358"/>
      <c r="D989" s="358"/>
      <c r="E989" s="358"/>
      <c r="F989" s="358"/>
      <c r="G989" s="358"/>
      <c r="H989" s="358"/>
      <c r="I989" s="358"/>
      <c r="J989" s="358"/>
      <c r="K989" s="358"/>
      <c r="L989" s="358"/>
      <c r="M989" s="358"/>
      <c r="N989" s="358"/>
      <c r="O989" s="358"/>
      <c r="P989" s="358"/>
      <c r="Q989" s="358"/>
      <c r="R989" s="358"/>
      <c r="S989" s="358"/>
      <c r="T989" s="358"/>
      <c r="U989" s="358"/>
      <c r="V989" s="358"/>
      <c r="W989" s="358"/>
      <c r="X989" s="358"/>
      <c r="Y989" s="358"/>
      <c r="Z989" s="358"/>
    </row>
    <row r="990" spans="1:26" ht="13.5" customHeight="1">
      <c r="A990" s="358"/>
      <c r="B990" s="358"/>
      <c r="C990" s="358"/>
      <c r="D990" s="358"/>
      <c r="E990" s="358"/>
      <c r="F990" s="358"/>
      <c r="G990" s="358"/>
      <c r="H990" s="358"/>
      <c r="I990" s="358"/>
      <c r="J990" s="358"/>
      <c r="K990" s="358"/>
      <c r="L990" s="358"/>
      <c r="M990" s="358"/>
      <c r="N990" s="358"/>
      <c r="O990" s="358"/>
      <c r="P990" s="358"/>
      <c r="Q990" s="358"/>
      <c r="R990" s="358"/>
      <c r="S990" s="358"/>
      <c r="T990" s="358"/>
      <c r="U990" s="358"/>
      <c r="V990" s="358"/>
      <c r="W990" s="358"/>
      <c r="X990" s="358"/>
      <c r="Y990" s="358"/>
      <c r="Z990" s="358"/>
    </row>
    <row r="991" spans="1:26" ht="13.5" customHeight="1">
      <c r="A991" s="358"/>
      <c r="B991" s="358"/>
      <c r="C991" s="358"/>
      <c r="D991" s="358"/>
      <c r="E991" s="358"/>
      <c r="F991" s="358"/>
      <c r="G991" s="358"/>
      <c r="H991" s="358"/>
      <c r="I991" s="358"/>
      <c r="J991" s="358"/>
      <c r="K991" s="358"/>
      <c r="L991" s="358"/>
      <c r="M991" s="358"/>
      <c r="N991" s="358"/>
      <c r="O991" s="358"/>
      <c r="P991" s="358"/>
      <c r="Q991" s="358"/>
      <c r="R991" s="358"/>
      <c r="S991" s="358"/>
      <c r="T991" s="358"/>
      <c r="U991" s="358"/>
      <c r="V991" s="358"/>
      <c r="W991" s="358"/>
      <c r="X991" s="358"/>
      <c r="Y991" s="358"/>
      <c r="Z991" s="358"/>
    </row>
    <row r="992" spans="1:26" ht="13.5" customHeight="1">
      <c r="A992" s="358"/>
      <c r="B992" s="358"/>
      <c r="C992" s="358"/>
      <c r="D992" s="358"/>
      <c r="E992" s="358"/>
      <c r="F992" s="358"/>
      <c r="G992" s="358"/>
      <c r="H992" s="358"/>
      <c r="I992" s="358"/>
      <c r="J992" s="358"/>
      <c r="K992" s="358"/>
      <c r="L992" s="358"/>
      <c r="M992" s="358"/>
      <c r="N992" s="358"/>
      <c r="O992" s="358"/>
      <c r="P992" s="358"/>
      <c r="Q992" s="358"/>
      <c r="R992" s="358"/>
      <c r="S992" s="358"/>
      <c r="T992" s="358"/>
      <c r="U992" s="358"/>
      <c r="V992" s="358"/>
      <c r="W992" s="358"/>
      <c r="X992" s="358"/>
      <c r="Y992" s="358"/>
      <c r="Z992" s="358"/>
    </row>
    <row r="993" spans="1:26" ht="13.5" customHeight="1">
      <c r="A993" s="358"/>
      <c r="B993" s="358"/>
      <c r="C993" s="358"/>
      <c r="D993" s="358"/>
      <c r="E993" s="358"/>
      <c r="F993" s="358"/>
      <c r="G993" s="358"/>
      <c r="H993" s="358"/>
      <c r="I993" s="358"/>
      <c r="J993" s="358"/>
      <c r="K993" s="358"/>
      <c r="L993" s="358"/>
      <c r="M993" s="358"/>
      <c r="N993" s="358"/>
      <c r="O993" s="358"/>
      <c r="P993" s="358"/>
      <c r="Q993" s="358"/>
      <c r="R993" s="358"/>
      <c r="S993" s="358"/>
      <c r="T993" s="358"/>
      <c r="U993" s="358"/>
      <c r="V993" s="358"/>
      <c r="W993" s="358"/>
      <c r="X993" s="358"/>
      <c r="Y993" s="358"/>
      <c r="Z993" s="358"/>
    </row>
    <row r="994" spans="1:26" ht="13.5" customHeight="1">
      <c r="A994" s="358"/>
      <c r="B994" s="358"/>
      <c r="C994" s="358"/>
      <c r="D994" s="358"/>
      <c r="E994" s="358"/>
      <c r="F994" s="358"/>
      <c r="G994" s="358"/>
      <c r="H994" s="358"/>
      <c r="I994" s="358"/>
      <c r="J994" s="358"/>
      <c r="K994" s="358"/>
      <c r="L994" s="358"/>
      <c r="M994" s="358"/>
      <c r="N994" s="358"/>
      <c r="O994" s="358"/>
      <c r="P994" s="358"/>
      <c r="Q994" s="358"/>
      <c r="R994" s="358"/>
      <c r="S994" s="358"/>
      <c r="T994" s="358"/>
      <c r="U994" s="358"/>
      <c r="V994" s="358"/>
      <c r="W994" s="358"/>
      <c r="X994" s="358"/>
      <c r="Y994" s="358"/>
      <c r="Z994" s="358"/>
    </row>
    <row r="995" spans="1:26" ht="13.5" customHeight="1">
      <c r="A995" s="358"/>
      <c r="B995" s="358"/>
      <c r="C995" s="358"/>
      <c r="D995" s="358"/>
      <c r="E995" s="358"/>
      <c r="F995" s="358"/>
      <c r="G995" s="358"/>
      <c r="H995" s="358"/>
      <c r="I995" s="358"/>
      <c r="J995" s="358"/>
      <c r="K995" s="358"/>
      <c r="L995" s="358"/>
      <c r="M995" s="358"/>
      <c r="N995" s="358"/>
      <c r="O995" s="358"/>
      <c r="P995" s="358"/>
      <c r="Q995" s="358"/>
      <c r="R995" s="358"/>
      <c r="S995" s="358"/>
      <c r="T995" s="358"/>
      <c r="U995" s="358"/>
      <c r="V995" s="358"/>
      <c r="W995" s="358"/>
      <c r="X995" s="358"/>
      <c r="Y995" s="358"/>
      <c r="Z995" s="358"/>
    </row>
    <row r="996" spans="1:26" ht="13.5" customHeight="1">
      <c r="A996" s="358"/>
      <c r="B996" s="358"/>
      <c r="C996" s="358"/>
      <c r="D996" s="358"/>
      <c r="E996" s="358"/>
      <c r="F996" s="358"/>
      <c r="G996" s="358"/>
      <c r="H996" s="358"/>
      <c r="I996" s="358"/>
      <c r="J996" s="358"/>
      <c r="K996" s="358"/>
      <c r="L996" s="358"/>
      <c r="M996" s="358"/>
      <c r="N996" s="358"/>
      <c r="O996" s="358"/>
      <c r="P996" s="358"/>
      <c r="Q996" s="358"/>
      <c r="R996" s="358"/>
      <c r="S996" s="358"/>
      <c r="T996" s="358"/>
      <c r="U996" s="358"/>
      <c r="V996" s="358"/>
      <c r="W996" s="358"/>
      <c r="X996" s="358"/>
      <c r="Y996" s="358"/>
      <c r="Z996" s="358"/>
    </row>
    <row r="997" spans="1:26" ht="13.5" customHeight="1">
      <c r="A997" s="358"/>
      <c r="B997" s="358"/>
      <c r="C997" s="358"/>
      <c r="D997" s="358"/>
      <c r="E997" s="358"/>
      <c r="F997" s="358"/>
      <c r="G997" s="358"/>
      <c r="H997" s="358"/>
      <c r="I997" s="358"/>
      <c r="J997" s="358"/>
      <c r="K997" s="358"/>
      <c r="L997" s="358"/>
      <c r="M997" s="358"/>
      <c r="N997" s="358"/>
      <c r="O997" s="358"/>
      <c r="P997" s="358"/>
      <c r="Q997" s="358"/>
      <c r="R997" s="358"/>
      <c r="S997" s="358"/>
      <c r="T997" s="358"/>
      <c r="U997" s="358"/>
      <c r="V997" s="358"/>
      <c r="W997" s="358"/>
      <c r="X997" s="358"/>
      <c r="Y997" s="358"/>
      <c r="Z997" s="358"/>
    </row>
    <row r="998" spans="1:26" ht="13.5" customHeight="1">
      <c r="A998" s="358"/>
      <c r="B998" s="358"/>
      <c r="C998" s="358"/>
      <c r="D998" s="358"/>
      <c r="E998" s="358"/>
      <c r="F998" s="358"/>
      <c r="G998" s="358"/>
      <c r="H998" s="358"/>
      <c r="I998" s="358"/>
      <c r="J998" s="358"/>
      <c r="K998" s="358"/>
      <c r="L998" s="358"/>
      <c r="M998" s="358"/>
      <c r="N998" s="358"/>
      <c r="O998" s="358"/>
      <c r="P998" s="358"/>
      <c r="Q998" s="358"/>
      <c r="R998" s="358"/>
      <c r="S998" s="358"/>
      <c r="T998" s="358"/>
      <c r="U998" s="358"/>
      <c r="V998" s="358"/>
      <c r="W998" s="358"/>
      <c r="X998" s="358"/>
      <c r="Y998" s="358"/>
      <c r="Z998" s="358"/>
    </row>
    <row r="999" spans="1:26" ht="13.5" customHeight="1">
      <c r="A999" s="358"/>
      <c r="B999" s="358"/>
      <c r="C999" s="358"/>
      <c r="D999" s="358"/>
      <c r="E999" s="358"/>
      <c r="F999" s="358"/>
      <c r="G999" s="358"/>
      <c r="H999" s="358"/>
      <c r="I999" s="358"/>
      <c r="J999" s="358"/>
      <c r="K999" s="358"/>
      <c r="L999" s="358"/>
      <c r="M999" s="358"/>
      <c r="N999" s="358"/>
      <c r="O999" s="358"/>
      <c r="P999" s="358"/>
      <c r="Q999" s="358"/>
      <c r="R999" s="358"/>
      <c r="S999" s="358"/>
      <c r="T999" s="358"/>
      <c r="U999" s="358"/>
      <c r="V999" s="358"/>
      <c r="W999" s="358"/>
      <c r="X999" s="358"/>
      <c r="Y999" s="358"/>
      <c r="Z999" s="358"/>
    </row>
    <row r="1000" spans="1:26" ht="13.5" customHeight="1">
      <c r="A1000" s="358"/>
      <c r="B1000" s="358"/>
      <c r="C1000" s="358"/>
      <c r="D1000" s="358"/>
      <c r="E1000" s="358"/>
      <c r="F1000" s="358"/>
      <c r="G1000" s="358"/>
      <c r="H1000" s="358"/>
      <c r="I1000" s="358"/>
      <c r="J1000" s="358"/>
      <c r="K1000" s="358"/>
      <c r="L1000" s="358"/>
      <c r="M1000" s="358"/>
      <c r="N1000" s="358"/>
      <c r="O1000" s="358"/>
      <c r="P1000" s="358"/>
      <c r="Q1000" s="358"/>
      <c r="R1000" s="358"/>
      <c r="S1000" s="358"/>
      <c r="T1000" s="358"/>
      <c r="U1000" s="358"/>
      <c r="V1000" s="358"/>
      <c r="W1000" s="358"/>
      <c r="X1000" s="358"/>
      <c r="Y1000" s="358"/>
      <c r="Z1000" s="358"/>
    </row>
  </sheetData>
  <mergeCells count="11">
    <mergeCell ref="B78:C78"/>
    <mergeCell ref="Y78:Z78"/>
    <mergeCell ref="U5:W5"/>
    <mergeCell ref="C55:D55"/>
    <mergeCell ref="E55:F55"/>
    <mergeCell ref="G55:H55"/>
    <mergeCell ref="H5:J5"/>
    <mergeCell ref="K5:M5"/>
    <mergeCell ref="N5:P5"/>
    <mergeCell ref="Q5:R5"/>
    <mergeCell ref="S5:T5"/>
  </mergeCells>
  <hyperlinks>
    <hyperlink ref="AB4" r:id="rId1"/>
    <hyperlink ref="AG4" r:id="rId2"/>
    <hyperlink ref="AI34" r:id="rId3"/>
    <hyperlink ref="AM55" r:id="rId4"/>
    <hyperlink ref="X7" r:id="rId5"/>
    <hyperlink ref="X8" r:id="rId6"/>
    <hyperlink ref="X9" r:id="rId7"/>
    <hyperlink ref="X10" r:id="rId8"/>
    <hyperlink ref="X12" r:id="rId9"/>
    <hyperlink ref="X13" r:id="rId10"/>
    <hyperlink ref="X14" r:id="rId11"/>
    <hyperlink ref="X17" r:id="rId12"/>
    <hyperlink ref="X18" r:id="rId13"/>
    <hyperlink ref="X19" r:id="rId14"/>
    <hyperlink ref="X20" r:id="rId15"/>
    <hyperlink ref="X23" r:id="rId16"/>
    <hyperlink ref="X24" r:id="rId17"/>
    <hyperlink ref="X25" r:id="rId18"/>
    <hyperlink ref="X26" r:id="rId19"/>
    <hyperlink ref="X28" r:id="rId20"/>
    <hyperlink ref="X29" r:id="rId21"/>
    <hyperlink ref="X30" r:id="rId22"/>
    <hyperlink ref="X31" r:id="rId23"/>
    <hyperlink ref="X33" r:id="rId24"/>
    <hyperlink ref="X34" r:id="rId25"/>
    <hyperlink ref="X35" r:id="rId26"/>
    <hyperlink ref="X36" r:id="rId27"/>
    <hyperlink ref="X39" r:id="rId28"/>
    <hyperlink ref="X40" r:id="rId29"/>
    <hyperlink ref="X41" r:id="rId30"/>
    <hyperlink ref="X42" r:id="rId31"/>
    <hyperlink ref="X48" r:id="rId32"/>
    <hyperlink ref="X49" r:id="rId33"/>
  </hyperlinks>
  <pageMargins left="0.7" right="0.7" top="0.75" bottom="0.75" header="0" footer="0"/>
  <pageSetup paperSize="9" orientation="portrait" r:id="rId3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P998"/>
  <sheetViews>
    <sheetView workbookViewId="0">
      <selection sqref="A1:AP78"/>
    </sheetView>
  </sheetViews>
  <sheetFormatPr defaultColWidth="12.3984375" defaultRowHeight="15" customHeight="1"/>
  <cols>
    <col min="1" max="1" width="1.3984375" style="359" customWidth="1"/>
    <col min="2" max="2" width="8.09765625" style="359" customWidth="1"/>
    <col min="3" max="3" width="6.69921875" style="359" customWidth="1"/>
    <col min="4" max="4" width="11" style="359" customWidth="1"/>
    <col min="5" max="5" width="8.69921875" style="359" customWidth="1"/>
    <col min="6" max="6" width="9.09765625" style="359" customWidth="1"/>
    <col min="7" max="7" width="10.3984375" style="359" customWidth="1"/>
    <col min="8" max="8" width="12.09765625" style="359" customWidth="1"/>
    <col min="9" max="9" width="7.69921875" style="359" customWidth="1"/>
    <col min="10" max="11" width="8.69921875" style="359" customWidth="1"/>
    <col min="12" max="12" width="13.09765625" style="359" customWidth="1"/>
    <col min="13" max="13" width="1.09765625" style="359" customWidth="1"/>
    <col min="14" max="23" width="8.69921875" style="359" customWidth="1"/>
    <col min="24" max="24" width="11.09765625" style="359" customWidth="1"/>
    <col min="25" max="26" width="8.3984375" style="359" customWidth="1"/>
    <col min="27" max="16384" width="12.3984375" style="359"/>
  </cols>
  <sheetData>
    <row r="1" spans="1:42" ht="9" customHeight="1">
      <c r="A1" s="1761"/>
      <c r="B1" s="1762"/>
      <c r="C1" s="1762"/>
      <c r="D1" s="1762"/>
      <c r="E1" s="1762"/>
      <c r="F1" s="1762"/>
      <c r="G1" s="1762"/>
      <c r="H1" s="1762"/>
      <c r="I1" s="1762"/>
      <c r="J1" s="1762"/>
      <c r="K1" s="1762"/>
      <c r="L1" s="1762"/>
      <c r="M1" s="1762"/>
      <c r="N1" s="1762"/>
      <c r="O1" s="1762"/>
      <c r="P1" s="1762"/>
      <c r="Q1" s="1762"/>
      <c r="R1" s="1762"/>
      <c r="S1" s="1762"/>
      <c r="T1" s="1762"/>
      <c r="U1" s="1762"/>
      <c r="V1" s="1762"/>
      <c r="W1" s="1762"/>
      <c r="X1" s="1762"/>
      <c r="Y1" s="1762"/>
      <c r="Z1" s="1762"/>
      <c r="AA1" s="1762"/>
      <c r="AB1" s="1762"/>
      <c r="AC1" s="1762"/>
      <c r="AD1" s="1762"/>
      <c r="AE1" s="1762"/>
      <c r="AF1" s="1762"/>
      <c r="AG1" s="1762"/>
      <c r="AH1" s="1762"/>
      <c r="AI1" s="1762"/>
      <c r="AJ1" s="1762"/>
      <c r="AK1" s="1762"/>
      <c r="AL1" s="1762"/>
      <c r="AM1" s="1762"/>
      <c r="AN1" s="1762"/>
      <c r="AO1" s="1762"/>
      <c r="AP1" s="1763"/>
    </row>
    <row r="2" spans="1:42" ht="24" customHeight="1">
      <c r="A2" s="1764"/>
      <c r="B2" s="1812" t="s">
        <v>307</v>
      </c>
      <c r="C2" s="1766"/>
      <c r="D2" s="1766"/>
      <c r="E2" s="1766"/>
      <c r="F2" s="1766"/>
      <c r="G2" s="1766"/>
      <c r="H2" s="1766"/>
      <c r="I2" s="1766"/>
      <c r="J2" s="1766"/>
      <c r="K2" s="1766"/>
      <c r="L2" s="1766"/>
      <c r="M2" s="1766"/>
      <c r="N2" s="1766"/>
      <c r="O2" s="1766"/>
      <c r="P2" s="1766"/>
      <c r="Q2" s="1766"/>
      <c r="R2" s="1766"/>
      <c r="S2" s="1766"/>
      <c r="T2" s="1766"/>
      <c r="U2" s="1766"/>
      <c r="V2" s="1766"/>
      <c r="W2" s="1766"/>
      <c r="X2" s="1766"/>
      <c r="Y2" s="1766"/>
      <c r="Z2" s="1766"/>
      <c r="AA2" s="1766"/>
      <c r="AB2" s="1766"/>
      <c r="AC2" s="1766"/>
      <c r="AD2" s="1766"/>
      <c r="AE2" s="1766"/>
      <c r="AF2" s="1766"/>
      <c r="AG2" s="1766"/>
      <c r="AH2" s="1766"/>
      <c r="AI2" s="1766"/>
      <c r="AJ2" s="1766"/>
      <c r="AK2" s="1766"/>
      <c r="AL2" s="1766"/>
      <c r="AM2" s="1766"/>
      <c r="AN2" s="1766"/>
      <c r="AO2" s="1766"/>
      <c r="AP2" s="1768"/>
    </row>
    <row r="3" spans="1:42" ht="9" customHeight="1">
      <c r="A3" s="1764"/>
      <c r="B3" s="1766"/>
      <c r="C3" s="1766"/>
      <c r="D3" s="1769"/>
      <c r="E3" s="1769"/>
      <c r="F3" s="1769"/>
      <c r="G3" s="1769"/>
      <c r="H3" s="1769"/>
      <c r="I3" s="1769"/>
      <c r="J3" s="1769"/>
      <c r="K3" s="1769"/>
      <c r="L3" s="1766"/>
      <c r="M3" s="1766"/>
      <c r="N3" s="1766"/>
      <c r="O3" s="1766"/>
      <c r="P3" s="1766"/>
      <c r="Q3" s="1766"/>
      <c r="R3" s="1766"/>
      <c r="S3" s="1766"/>
      <c r="T3" s="1766"/>
      <c r="U3" s="1766"/>
      <c r="V3" s="1766"/>
      <c r="W3" s="1766"/>
      <c r="X3" s="1766"/>
      <c r="Y3" s="1766"/>
      <c r="Z3" s="1766"/>
      <c r="AA3" s="1769"/>
      <c r="AB3" s="1769"/>
      <c r="AC3" s="1769"/>
      <c r="AD3" s="1769"/>
      <c r="AE3" s="1769"/>
      <c r="AF3" s="1769"/>
      <c r="AG3" s="1769"/>
      <c r="AH3" s="1769"/>
      <c r="AI3" s="1766"/>
      <c r="AJ3" s="1766"/>
      <c r="AK3" s="1766"/>
      <c r="AL3" s="1766"/>
      <c r="AM3" s="1766"/>
      <c r="AN3" s="1766"/>
      <c r="AO3" s="1766"/>
      <c r="AP3" s="1768"/>
    </row>
    <row r="4" spans="1:42" ht="21" customHeight="1">
      <c r="A4" s="1764"/>
      <c r="B4" s="1813" t="s">
        <v>291</v>
      </c>
      <c r="C4" s="1768"/>
      <c r="D4" s="1814" t="s">
        <v>219</v>
      </c>
      <c r="E4" s="744" t="s">
        <v>264</v>
      </c>
      <c r="F4" s="1769"/>
      <c r="G4" s="1769"/>
      <c r="H4" s="1771"/>
      <c r="I4" s="1814" t="s">
        <v>221</v>
      </c>
      <c r="J4" s="744" t="s">
        <v>243</v>
      </c>
      <c r="K4" s="1769"/>
      <c r="L4" s="1766"/>
      <c r="M4" s="1766"/>
      <c r="N4" s="1766"/>
      <c r="O4" s="1766"/>
      <c r="P4" s="1766"/>
      <c r="Q4" s="1766"/>
      <c r="R4" s="1766"/>
      <c r="S4" s="1766"/>
      <c r="T4" s="1766"/>
      <c r="U4" s="1766"/>
      <c r="V4" s="1766"/>
      <c r="W4" s="1766"/>
      <c r="X4" s="1766"/>
      <c r="Y4" s="1813" t="s">
        <v>292</v>
      </c>
      <c r="Z4" s="1768"/>
      <c r="AA4" s="1814" t="s">
        <v>219</v>
      </c>
      <c r="AB4" s="744" t="s">
        <v>220</v>
      </c>
      <c r="AC4" s="1769"/>
      <c r="AD4" s="1769"/>
      <c r="AE4" s="1771"/>
      <c r="AF4" s="1814" t="s">
        <v>221</v>
      </c>
      <c r="AG4" s="744" t="s">
        <v>222</v>
      </c>
      <c r="AH4" s="1769"/>
      <c r="AI4" s="1766"/>
      <c r="AJ4" s="1766"/>
      <c r="AK4" s="1766"/>
      <c r="AL4" s="1766"/>
      <c r="AM4" s="1766"/>
      <c r="AN4" s="1766"/>
      <c r="AO4" s="1766"/>
      <c r="AP4" s="1768"/>
    </row>
    <row r="5" spans="1:42" ht="9" customHeight="1">
      <c r="A5" s="1764"/>
      <c r="B5" s="1769"/>
      <c r="C5" s="1769"/>
      <c r="D5" s="1769"/>
      <c r="E5" s="1769"/>
      <c r="F5" s="1769"/>
      <c r="G5" s="1769"/>
      <c r="H5" s="1769"/>
      <c r="I5" s="1769"/>
      <c r="J5" s="1769"/>
      <c r="K5" s="1769"/>
      <c r="L5" s="1766"/>
      <c r="M5" s="1766"/>
      <c r="N5" s="1766"/>
      <c r="O5" s="1766"/>
      <c r="P5" s="1766"/>
      <c r="Q5" s="1766"/>
      <c r="R5" s="1766"/>
      <c r="S5" s="1766"/>
      <c r="T5" s="1766"/>
      <c r="U5" s="1766"/>
      <c r="V5" s="1766"/>
      <c r="W5" s="1766"/>
      <c r="X5" s="1766"/>
      <c r="Y5" s="1769"/>
      <c r="Z5" s="1769"/>
      <c r="AA5" s="1769"/>
      <c r="AB5" s="1769"/>
      <c r="AC5" s="1769"/>
      <c r="AD5" s="1769"/>
      <c r="AE5" s="1769"/>
      <c r="AF5" s="1769"/>
      <c r="AG5" s="1769"/>
      <c r="AH5" s="1769"/>
      <c r="AI5" s="1766"/>
      <c r="AJ5" s="1766"/>
      <c r="AK5" s="1766"/>
      <c r="AL5" s="1766"/>
      <c r="AM5" s="1766"/>
      <c r="AN5" s="1766"/>
      <c r="AO5" s="1766"/>
      <c r="AP5" s="1768"/>
    </row>
    <row r="6" spans="1:42" ht="13.5" customHeight="1">
      <c r="A6" s="1772"/>
      <c r="B6" s="1776" t="s">
        <v>290</v>
      </c>
      <c r="C6" s="1776" t="s">
        <v>240</v>
      </c>
      <c r="D6" s="1776" t="s">
        <v>171</v>
      </c>
      <c r="E6" s="1776" t="s">
        <v>238</v>
      </c>
      <c r="F6" s="1815" t="s">
        <v>239</v>
      </c>
      <c r="G6" s="1776" t="s">
        <v>240</v>
      </c>
      <c r="H6" s="1776" t="s">
        <v>171</v>
      </c>
      <c r="I6" s="1776" t="s">
        <v>238</v>
      </c>
      <c r="J6" s="1776" t="s">
        <v>239</v>
      </c>
      <c r="K6" s="1776" t="s">
        <v>241</v>
      </c>
      <c r="L6" s="1766"/>
      <c r="M6" s="1766"/>
      <c r="N6" s="1766"/>
      <c r="O6" s="1766"/>
      <c r="P6" s="1766"/>
      <c r="Q6" s="1766"/>
      <c r="R6" s="1766"/>
      <c r="S6" s="1766"/>
      <c r="T6" s="1766"/>
      <c r="U6" s="1766"/>
      <c r="V6" s="1766"/>
      <c r="W6" s="1766"/>
      <c r="X6" s="1768"/>
      <c r="Y6" s="1776" t="s">
        <v>290</v>
      </c>
      <c r="Z6" s="1776" t="s">
        <v>240</v>
      </c>
      <c r="AA6" s="1776" t="s">
        <v>171</v>
      </c>
      <c r="AB6" s="1776" t="s">
        <v>238</v>
      </c>
      <c r="AC6" s="1815" t="s">
        <v>239</v>
      </c>
      <c r="AD6" s="1776" t="s">
        <v>240</v>
      </c>
      <c r="AE6" s="1776" t="s">
        <v>171</v>
      </c>
      <c r="AF6" s="1776" t="s">
        <v>238</v>
      </c>
      <c r="AG6" s="1776" t="s">
        <v>239</v>
      </c>
      <c r="AH6" s="1776" t="s">
        <v>241</v>
      </c>
      <c r="AI6" s="1766"/>
      <c r="AJ6" s="1766"/>
      <c r="AK6" s="1766"/>
      <c r="AL6" s="1766"/>
      <c r="AM6" s="1766"/>
      <c r="AN6" s="1766"/>
      <c r="AO6" s="1766"/>
      <c r="AP6" s="1768"/>
    </row>
    <row r="7" spans="1:42" ht="15" customHeight="1">
      <c r="A7" s="1772"/>
      <c r="B7" s="1808">
        <v>44825</v>
      </c>
      <c r="C7" s="1803" t="s">
        <v>268</v>
      </c>
      <c r="D7" s="1804">
        <v>35200</v>
      </c>
      <c r="E7" s="1804">
        <v>1804</v>
      </c>
      <c r="F7" s="1816">
        <v>614</v>
      </c>
      <c r="G7" s="1803" t="s">
        <v>244</v>
      </c>
      <c r="H7" s="1804">
        <v>17000</v>
      </c>
      <c r="I7" s="1804">
        <v>1100</v>
      </c>
      <c r="J7" s="1803">
        <v>217</v>
      </c>
      <c r="K7" s="1803">
        <v>21</v>
      </c>
      <c r="L7" s="1766"/>
      <c r="M7" s="1766"/>
      <c r="N7" s="1766"/>
      <c r="O7" s="1766"/>
      <c r="P7" s="1766"/>
      <c r="Q7" s="1766"/>
      <c r="R7" s="1766"/>
      <c r="S7" s="1766"/>
      <c r="T7" s="1766"/>
      <c r="U7" s="1766"/>
      <c r="V7" s="1766"/>
      <c r="W7" s="1766"/>
      <c r="X7" s="1768"/>
      <c r="Y7" s="1808">
        <v>44825</v>
      </c>
      <c r="Z7" s="1803" t="s">
        <v>268</v>
      </c>
      <c r="AA7" s="1804">
        <v>27600</v>
      </c>
      <c r="AB7" s="1804">
        <v>1711</v>
      </c>
      <c r="AC7" s="1816">
        <v>42</v>
      </c>
      <c r="AD7" s="1803" t="s">
        <v>244</v>
      </c>
      <c r="AE7" s="1803">
        <v>0</v>
      </c>
      <c r="AF7" s="1803">
        <v>0</v>
      </c>
      <c r="AG7" s="1803">
        <v>0</v>
      </c>
      <c r="AH7" s="1803">
        <v>0</v>
      </c>
      <c r="AI7" s="1766"/>
      <c r="AJ7" s="1766"/>
      <c r="AK7" s="1766"/>
      <c r="AL7" s="1766"/>
      <c r="AM7" s="1766"/>
      <c r="AN7" s="1766"/>
      <c r="AO7" s="1766"/>
      <c r="AP7" s="1768"/>
    </row>
    <row r="8" spans="1:42" ht="15" customHeight="1">
      <c r="A8" s="1772"/>
      <c r="B8" s="1808">
        <v>44826</v>
      </c>
      <c r="C8" s="1803" t="s">
        <v>268</v>
      </c>
      <c r="D8" s="1804">
        <v>28600</v>
      </c>
      <c r="E8" s="1804">
        <v>1050</v>
      </c>
      <c r="F8" s="1816">
        <v>292</v>
      </c>
      <c r="G8" s="1803" t="s">
        <v>244</v>
      </c>
      <c r="H8" s="1804">
        <v>153000</v>
      </c>
      <c r="I8" s="1804">
        <v>1100</v>
      </c>
      <c r="J8" s="1803">
        <v>205</v>
      </c>
      <c r="K8" s="1803">
        <v>42</v>
      </c>
      <c r="L8" s="1766"/>
      <c r="M8" s="1766"/>
      <c r="N8" s="1766"/>
      <c r="O8" s="1766"/>
      <c r="P8" s="1766"/>
      <c r="Q8" s="1766"/>
      <c r="R8" s="1766"/>
      <c r="S8" s="1766"/>
      <c r="T8" s="1766"/>
      <c r="U8" s="1766"/>
      <c r="V8" s="1766"/>
      <c r="W8" s="1766"/>
      <c r="X8" s="1768"/>
      <c r="Y8" s="1808">
        <v>44826</v>
      </c>
      <c r="Z8" s="1803" t="s">
        <v>268</v>
      </c>
      <c r="AA8" s="1804">
        <v>7800</v>
      </c>
      <c r="AB8" s="1803">
        <v>371</v>
      </c>
      <c r="AC8" s="1816">
        <v>7</v>
      </c>
      <c r="AD8" s="1803" t="s">
        <v>244</v>
      </c>
      <c r="AE8" s="1803">
        <v>0</v>
      </c>
      <c r="AF8" s="1803">
        <v>0</v>
      </c>
      <c r="AG8" s="1803">
        <v>0</v>
      </c>
      <c r="AH8" s="1803">
        <v>0</v>
      </c>
      <c r="AI8" s="1766"/>
      <c r="AJ8" s="1766"/>
      <c r="AK8" s="1766"/>
      <c r="AL8" s="1766"/>
      <c r="AM8" s="1766"/>
      <c r="AN8" s="1766"/>
      <c r="AO8" s="1766"/>
      <c r="AP8" s="1768"/>
    </row>
    <row r="9" spans="1:42" ht="15" customHeight="1">
      <c r="A9" s="1772"/>
      <c r="B9" s="1808">
        <v>44827</v>
      </c>
      <c r="C9" s="1803" t="s">
        <v>268</v>
      </c>
      <c r="D9" s="1804">
        <v>11100</v>
      </c>
      <c r="E9" s="1803">
        <v>332</v>
      </c>
      <c r="F9" s="1816">
        <v>72</v>
      </c>
      <c r="G9" s="1803" t="s">
        <v>244</v>
      </c>
      <c r="H9" s="1804">
        <v>162776</v>
      </c>
      <c r="I9" s="1803">
        <v>900</v>
      </c>
      <c r="J9" s="1803">
        <v>79</v>
      </c>
      <c r="K9" s="1803">
        <v>50</v>
      </c>
      <c r="L9" s="1766"/>
      <c r="M9" s="1766"/>
      <c r="N9" s="1766"/>
      <c r="O9" s="1766"/>
      <c r="P9" s="1766"/>
      <c r="Q9" s="1766"/>
      <c r="R9" s="1766"/>
      <c r="S9" s="1766"/>
      <c r="T9" s="1766"/>
      <c r="U9" s="1766"/>
      <c r="V9" s="1766"/>
      <c r="W9" s="1766"/>
      <c r="X9" s="1768"/>
      <c r="Y9" s="1808">
        <v>44827</v>
      </c>
      <c r="Z9" s="1803" t="s">
        <v>268</v>
      </c>
      <c r="AA9" s="1804">
        <v>2400</v>
      </c>
      <c r="AB9" s="1803">
        <v>112</v>
      </c>
      <c r="AC9" s="1816">
        <v>3</v>
      </c>
      <c r="AD9" s="1803" t="s">
        <v>244</v>
      </c>
      <c r="AE9" s="1804">
        <v>9046</v>
      </c>
      <c r="AF9" s="1804">
        <v>1000</v>
      </c>
      <c r="AG9" s="1803">
        <v>75</v>
      </c>
      <c r="AH9" s="1803">
        <v>26</v>
      </c>
      <c r="AI9" s="1766"/>
      <c r="AJ9" s="1766"/>
      <c r="AK9" s="1766"/>
      <c r="AL9" s="1766"/>
      <c r="AM9" s="1766"/>
      <c r="AN9" s="1766"/>
      <c r="AO9" s="1766"/>
      <c r="AP9" s="1768"/>
    </row>
    <row r="10" spans="1:42" ht="15" customHeight="1">
      <c r="A10" s="1772"/>
      <c r="B10" s="1808">
        <v>44828</v>
      </c>
      <c r="C10" s="1803" t="s">
        <v>268</v>
      </c>
      <c r="D10" s="1804">
        <v>5000</v>
      </c>
      <c r="E10" s="1803">
        <v>163</v>
      </c>
      <c r="F10" s="1816">
        <v>33</v>
      </c>
      <c r="G10" s="1803" t="s">
        <v>244</v>
      </c>
      <c r="H10" s="1804">
        <v>2247</v>
      </c>
      <c r="I10" s="1803">
        <v>100</v>
      </c>
      <c r="J10" s="1803">
        <v>45</v>
      </c>
      <c r="K10" s="1803">
        <v>6</v>
      </c>
      <c r="L10" s="1766"/>
      <c r="M10" s="1766"/>
      <c r="N10" s="1766"/>
      <c r="O10" s="1766"/>
      <c r="P10" s="1766"/>
      <c r="Q10" s="1766"/>
      <c r="R10" s="1766"/>
      <c r="S10" s="1766"/>
      <c r="T10" s="1766"/>
      <c r="U10" s="1766"/>
      <c r="V10" s="1766"/>
      <c r="W10" s="1766"/>
      <c r="X10" s="1768"/>
      <c r="Y10" s="1808">
        <v>44828</v>
      </c>
      <c r="Z10" s="1803" t="s">
        <v>268</v>
      </c>
      <c r="AA10" s="1803">
        <v>700</v>
      </c>
      <c r="AB10" s="1803">
        <v>24</v>
      </c>
      <c r="AC10" s="1816">
        <v>1</v>
      </c>
      <c r="AD10" s="1803" t="s">
        <v>244</v>
      </c>
      <c r="AE10" s="1804">
        <v>1322</v>
      </c>
      <c r="AF10" s="1803">
        <v>100</v>
      </c>
      <c r="AG10" s="1803">
        <v>18</v>
      </c>
      <c r="AH10" s="1803">
        <v>4</v>
      </c>
      <c r="AI10" s="1766"/>
      <c r="AJ10" s="1766"/>
      <c r="AK10" s="1766"/>
      <c r="AL10" s="1766"/>
      <c r="AM10" s="1766"/>
      <c r="AN10" s="1766"/>
      <c r="AO10" s="1766"/>
      <c r="AP10" s="1768"/>
    </row>
    <row r="11" spans="1:42" ht="15" customHeight="1">
      <c r="A11" s="1772"/>
      <c r="B11" s="1808">
        <v>44829</v>
      </c>
      <c r="C11" s="1803" t="s">
        <v>268</v>
      </c>
      <c r="D11" s="1804">
        <v>3700</v>
      </c>
      <c r="E11" s="1803">
        <v>290</v>
      </c>
      <c r="F11" s="1816">
        <v>369</v>
      </c>
      <c r="G11" s="1803" t="s">
        <v>244</v>
      </c>
      <c r="H11" s="1804">
        <v>2259</v>
      </c>
      <c r="I11" s="1803">
        <v>100</v>
      </c>
      <c r="J11" s="1803">
        <v>226</v>
      </c>
      <c r="K11" s="1803">
        <v>5</v>
      </c>
      <c r="L11" s="1766"/>
      <c r="M11" s="1766"/>
      <c r="N11" s="1766"/>
      <c r="O11" s="1766"/>
      <c r="P11" s="1766"/>
      <c r="Q11" s="1766"/>
      <c r="R11" s="1766"/>
      <c r="S11" s="1766"/>
      <c r="T11" s="1766"/>
      <c r="U11" s="1766"/>
      <c r="V11" s="1766"/>
      <c r="W11" s="1766"/>
      <c r="X11" s="1768"/>
      <c r="Y11" s="1808">
        <v>44829</v>
      </c>
      <c r="Z11" s="1803" t="s">
        <v>268</v>
      </c>
      <c r="AA11" s="1803">
        <v>500</v>
      </c>
      <c r="AB11" s="1803">
        <v>19</v>
      </c>
      <c r="AC11" s="1816">
        <v>0</v>
      </c>
      <c r="AD11" s="1803" t="s">
        <v>244</v>
      </c>
      <c r="AE11" s="1804">
        <v>1125</v>
      </c>
      <c r="AF11" s="1803">
        <v>100</v>
      </c>
      <c r="AG11" s="1803">
        <v>-8</v>
      </c>
      <c r="AH11" s="1803">
        <v>0</v>
      </c>
      <c r="AI11" s="1766"/>
      <c r="AJ11" s="1766"/>
      <c r="AK11" s="1766"/>
      <c r="AL11" s="1766"/>
      <c r="AM11" s="1766"/>
      <c r="AN11" s="1766"/>
      <c r="AO11" s="1766"/>
      <c r="AP11" s="1768"/>
    </row>
    <row r="12" spans="1:42" ht="15" customHeight="1">
      <c r="A12" s="1772"/>
      <c r="B12" s="1808">
        <v>44830</v>
      </c>
      <c r="C12" s="1803" t="s">
        <v>268</v>
      </c>
      <c r="D12" s="1804">
        <v>1700</v>
      </c>
      <c r="E12" s="1803">
        <v>121</v>
      </c>
      <c r="F12" s="1816">
        <v>180</v>
      </c>
      <c r="G12" s="1803" t="s">
        <v>244</v>
      </c>
      <c r="H12" s="1804">
        <v>1853</v>
      </c>
      <c r="I12" s="1803">
        <v>100</v>
      </c>
      <c r="J12" s="1803">
        <v>287</v>
      </c>
      <c r="K12" s="1803">
        <v>23</v>
      </c>
      <c r="L12" s="1766"/>
      <c r="M12" s="1766"/>
      <c r="N12" s="1766"/>
      <c r="O12" s="1766"/>
      <c r="P12" s="1766"/>
      <c r="Q12" s="1766"/>
      <c r="R12" s="1766"/>
      <c r="S12" s="1766"/>
      <c r="T12" s="1766"/>
      <c r="U12" s="1766"/>
      <c r="V12" s="1766"/>
      <c r="W12" s="1766"/>
      <c r="X12" s="1768"/>
      <c r="Y12" s="1808">
        <v>44830</v>
      </c>
      <c r="Z12" s="1803" t="s">
        <v>268</v>
      </c>
      <c r="AA12" s="1803">
        <v>300</v>
      </c>
      <c r="AB12" s="1803">
        <v>12</v>
      </c>
      <c r="AC12" s="1816">
        <v>0</v>
      </c>
      <c r="AD12" s="1803" t="s">
        <v>244</v>
      </c>
      <c r="AE12" s="1803">
        <v>302</v>
      </c>
      <c r="AF12" s="1803">
        <v>100</v>
      </c>
      <c r="AG12" s="1803">
        <v>2</v>
      </c>
      <c r="AH12" s="1803">
        <v>17</v>
      </c>
      <c r="AI12" s="1766"/>
      <c r="AJ12" s="1766"/>
      <c r="AK12" s="1766"/>
      <c r="AL12" s="1766"/>
      <c r="AM12" s="1766"/>
      <c r="AN12" s="1766"/>
      <c r="AO12" s="1766"/>
      <c r="AP12" s="1768"/>
    </row>
    <row r="13" spans="1:42" ht="15" customHeight="1">
      <c r="A13" s="1772"/>
      <c r="B13" s="1808">
        <v>44831</v>
      </c>
      <c r="C13" s="1803" t="s">
        <v>268</v>
      </c>
      <c r="D13" s="1804">
        <v>1100</v>
      </c>
      <c r="E13" s="1803">
        <v>37</v>
      </c>
      <c r="F13" s="1816">
        <v>42</v>
      </c>
      <c r="G13" s="1803" t="s">
        <v>244</v>
      </c>
      <c r="H13" s="1803">
        <v>741</v>
      </c>
      <c r="I13" s="1803">
        <v>0</v>
      </c>
      <c r="J13" s="1803">
        <v>11</v>
      </c>
      <c r="K13" s="1803">
        <v>13</v>
      </c>
      <c r="L13" s="1766"/>
      <c r="M13" s="1766"/>
      <c r="N13" s="1766"/>
      <c r="O13" s="1766"/>
      <c r="P13" s="1766"/>
      <c r="Q13" s="1766"/>
      <c r="R13" s="1766"/>
      <c r="S13" s="1766"/>
      <c r="T13" s="1766"/>
      <c r="U13" s="1766"/>
      <c r="V13" s="1766"/>
      <c r="W13" s="1766"/>
      <c r="X13" s="1768"/>
      <c r="Y13" s="1808">
        <v>44831</v>
      </c>
      <c r="Z13" s="1803" t="s">
        <v>268</v>
      </c>
      <c r="AA13" s="1803">
        <v>200</v>
      </c>
      <c r="AB13" s="1803">
        <v>9</v>
      </c>
      <c r="AC13" s="1816">
        <v>0</v>
      </c>
      <c r="AD13" s="1803" t="s">
        <v>244</v>
      </c>
      <c r="AE13" s="1803">
        <v>246</v>
      </c>
      <c r="AF13" s="1803">
        <v>0</v>
      </c>
      <c r="AG13" s="1803">
        <v>2</v>
      </c>
      <c r="AH13" s="1803">
        <v>14</v>
      </c>
      <c r="AI13" s="1766"/>
      <c r="AJ13" s="1766"/>
      <c r="AK13" s="1766"/>
      <c r="AL13" s="1766"/>
      <c r="AM13" s="1766"/>
      <c r="AN13" s="1766"/>
      <c r="AO13" s="1766"/>
      <c r="AP13" s="1768"/>
    </row>
    <row r="14" spans="1:42" ht="15" customHeight="1">
      <c r="A14" s="1772"/>
      <c r="B14" s="1808">
        <v>44832</v>
      </c>
      <c r="C14" s="1803" t="s">
        <v>268</v>
      </c>
      <c r="D14" s="1803">
        <v>600</v>
      </c>
      <c r="E14" s="1803">
        <v>23</v>
      </c>
      <c r="F14" s="1816">
        <v>6</v>
      </c>
      <c r="G14" s="1803" t="s">
        <v>244</v>
      </c>
      <c r="H14" s="1803">
        <v>417</v>
      </c>
      <c r="I14" s="1803">
        <v>0</v>
      </c>
      <c r="J14" s="1803">
        <v>5</v>
      </c>
      <c r="K14" s="1803">
        <v>4</v>
      </c>
      <c r="L14" s="1766"/>
      <c r="M14" s="1766"/>
      <c r="N14" s="1766"/>
      <c r="O14" s="1766"/>
      <c r="P14" s="1766"/>
      <c r="Q14" s="1766"/>
      <c r="R14" s="1766"/>
      <c r="S14" s="1766"/>
      <c r="T14" s="1766"/>
      <c r="U14" s="1766"/>
      <c r="V14" s="1766"/>
      <c r="W14" s="1766"/>
      <c r="X14" s="1768"/>
      <c r="Y14" s="1808">
        <v>44832</v>
      </c>
      <c r="Z14" s="1803" t="s">
        <v>268</v>
      </c>
      <c r="AA14" s="1803">
        <v>300</v>
      </c>
      <c r="AB14" s="1803">
        <v>8</v>
      </c>
      <c r="AC14" s="1816">
        <v>0</v>
      </c>
      <c r="AD14" s="1803" t="s">
        <v>244</v>
      </c>
      <c r="AE14" s="1803">
        <v>229</v>
      </c>
      <c r="AF14" s="1803">
        <v>0</v>
      </c>
      <c r="AG14" s="1803">
        <v>3</v>
      </c>
      <c r="AH14" s="1803">
        <v>1</v>
      </c>
      <c r="AI14" s="1766"/>
      <c r="AJ14" s="1766"/>
      <c r="AK14" s="1766"/>
      <c r="AL14" s="1766"/>
      <c r="AM14" s="1766"/>
      <c r="AN14" s="1766"/>
      <c r="AO14" s="1766"/>
      <c r="AP14" s="1768"/>
    </row>
    <row r="15" spans="1:42" ht="15" customHeight="1">
      <c r="A15" s="1772"/>
      <c r="B15" s="1808">
        <v>44833</v>
      </c>
      <c r="C15" s="1803" t="s">
        <v>268</v>
      </c>
      <c r="D15" s="1803">
        <v>500</v>
      </c>
      <c r="E15" s="1803">
        <v>3</v>
      </c>
      <c r="F15" s="1816">
        <v>1</v>
      </c>
      <c r="G15" s="1803" t="s">
        <v>244</v>
      </c>
      <c r="H15" s="1803">
        <v>257</v>
      </c>
      <c r="I15" s="1803">
        <v>0</v>
      </c>
      <c r="J15" s="1803">
        <v>5</v>
      </c>
      <c r="K15" s="1803">
        <v>126</v>
      </c>
      <c r="L15" s="1766"/>
      <c r="M15" s="1766"/>
      <c r="N15" s="1766"/>
      <c r="O15" s="1766"/>
      <c r="P15" s="1766"/>
      <c r="Q15" s="1766"/>
      <c r="R15" s="1766"/>
      <c r="S15" s="1766"/>
      <c r="T15" s="1766"/>
      <c r="U15" s="1766"/>
      <c r="V15" s="1766"/>
      <c r="W15" s="1766"/>
      <c r="X15" s="1768"/>
      <c r="Y15" s="1808">
        <v>44833</v>
      </c>
      <c r="Z15" s="1803" t="s">
        <v>268</v>
      </c>
      <c r="AA15" s="1803">
        <v>300</v>
      </c>
      <c r="AB15" s="1803">
        <v>5</v>
      </c>
      <c r="AC15" s="1816">
        <v>0</v>
      </c>
      <c r="AD15" s="1803" t="s">
        <v>244</v>
      </c>
      <c r="AE15" s="1803">
        <v>174</v>
      </c>
      <c r="AF15" s="1803">
        <v>0</v>
      </c>
      <c r="AG15" s="1803">
        <v>0</v>
      </c>
      <c r="AH15" s="1803">
        <v>127</v>
      </c>
      <c r="AI15" s="1766"/>
      <c r="AJ15" s="1766"/>
      <c r="AK15" s="1766"/>
      <c r="AL15" s="1766"/>
      <c r="AM15" s="1766"/>
      <c r="AN15" s="1766"/>
      <c r="AO15" s="1766"/>
      <c r="AP15" s="1768"/>
    </row>
    <row r="16" spans="1:42" ht="15" customHeight="1">
      <c r="A16" s="1772"/>
      <c r="B16" s="1808">
        <v>44834</v>
      </c>
      <c r="C16" s="1803" t="s">
        <v>268</v>
      </c>
      <c r="D16" s="1803">
        <v>400</v>
      </c>
      <c r="E16" s="1803">
        <v>15</v>
      </c>
      <c r="F16" s="1816">
        <v>2</v>
      </c>
      <c r="G16" s="1803" t="s">
        <v>244</v>
      </c>
      <c r="H16" s="1803">
        <v>293</v>
      </c>
      <c r="I16" s="1803">
        <v>100</v>
      </c>
      <c r="J16" s="1803">
        <v>5</v>
      </c>
      <c r="K16" s="1803">
        <v>12</v>
      </c>
      <c r="L16" s="1766"/>
      <c r="M16" s="1766"/>
      <c r="N16" s="1766"/>
      <c r="O16" s="1766"/>
      <c r="P16" s="1766"/>
      <c r="Q16" s="1766"/>
      <c r="R16" s="1766"/>
      <c r="S16" s="1766"/>
      <c r="T16" s="1766"/>
      <c r="U16" s="1766"/>
      <c r="V16" s="1766"/>
      <c r="W16" s="1766"/>
      <c r="X16" s="1768"/>
      <c r="Y16" s="1808">
        <v>44834</v>
      </c>
      <c r="Z16" s="1803" t="s">
        <v>268</v>
      </c>
      <c r="AA16" s="1803">
        <v>600</v>
      </c>
      <c r="AB16" s="1803">
        <v>16</v>
      </c>
      <c r="AC16" s="1816">
        <v>0</v>
      </c>
      <c r="AD16" s="1803" t="s">
        <v>244</v>
      </c>
      <c r="AE16" s="1803">
        <v>184</v>
      </c>
      <c r="AF16" s="1803">
        <v>0</v>
      </c>
      <c r="AG16" s="1803">
        <v>0</v>
      </c>
      <c r="AH16" s="1803">
        <v>18</v>
      </c>
      <c r="AI16" s="1766"/>
      <c r="AJ16" s="1766"/>
      <c r="AK16" s="1766"/>
      <c r="AL16" s="1766"/>
      <c r="AM16" s="1766"/>
      <c r="AN16" s="1766"/>
      <c r="AO16" s="1766"/>
      <c r="AP16" s="1768"/>
    </row>
    <row r="17" spans="1:42" ht="15" customHeight="1">
      <c r="A17" s="1772"/>
      <c r="B17" s="1808">
        <v>44835</v>
      </c>
      <c r="C17" s="1803" t="s">
        <v>268</v>
      </c>
      <c r="D17" s="1803">
        <v>200</v>
      </c>
      <c r="E17" s="1803">
        <v>5</v>
      </c>
      <c r="F17" s="1816">
        <v>0</v>
      </c>
      <c r="G17" s="1803" t="s">
        <v>244</v>
      </c>
      <c r="H17" s="1803">
        <v>244</v>
      </c>
      <c r="I17" s="1803">
        <v>0</v>
      </c>
      <c r="J17" s="1803">
        <v>1</v>
      </c>
      <c r="K17" s="1803">
        <v>3</v>
      </c>
      <c r="L17" s="1766"/>
      <c r="M17" s="1766"/>
      <c r="N17" s="1766"/>
      <c r="O17" s="1766"/>
      <c r="P17" s="1766"/>
      <c r="Q17" s="1766"/>
      <c r="R17" s="1766"/>
      <c r="S17" s="1766"/>
      <c r="T17" s="1766"/>
      <c r="U17" s="1766"/>
      <c r="V17" s="1766"/>
      <c r="W17" s="1766"/>
      <c r="X17" s="1768"/>
      <c r="Y17" s="1808">
        <v>44835</v>
      </c>
      <c r="Z17" s="1803" t="s">
        <v>268</v>
      </c>
      <c r="AA17" s="1803">
        <v>300</v>
      </c>
      <c r="AB17" s="1803">
        <v>12</v>
      </c>
      <c r="AC17" s="1816">
        <v>3</v>
      </c>
      <c r="AD17" s="1803" t="s">
        <v>244</v>
      </c>
      <c r="AE17" s="1803">
        <v>135</v>
      </c>
      <c r="AF17" s="1803">
        <v>0</v>
      </c>
      <c r="AG17" s="1803">
        <v>1</v>
      </c>
      <c r="AH17" s="1803">
        <v>0</v>
      </c>
      <c r="AI17" s="1766"/>
      <c r="AJ17" s="1766"/>
      <c r="AK17" s="1766"/>
      <c r="AL17" s="1766"/>
      <c r="AM17" s="1766"/>
      <c r="AN17" s="1766"/>
      <c r="AO17" s="1766"/>
      <c r="AP17" s="1768"/>
    </row>
    <row r="18" spans="1:42" ht="15" customHeight="1">
      <c r="A18" s="1772"/>
      <c r="B18" s="1808">
        <v>44836</v>
      </c>
      <c r="C18" s="1803" t="s">
        <v>268</v>
      </c>
      <c r="D18" s="1803">
        <v>800</v>
      </c>
      <c r="E18" s="1803">
        <v>26</v>
      </c>
      <c r="F18" s="1816">
        <v>2</v>
      </c>
      <c r="G18" s="1803" t="s">
        <v>244</v>
      </c>
      <c r="H18" s="1803">
        <v>271</v>
      </c>
      <c r="I18" s="1803">
        <v>0</v>
      </c>
      <c r="J18" s="1803">
        <v>0</v>
      </c>
      <c r="K18" s="1803">
        <v>1</v>
      </c>
      <c r="L18" s="1766"/>
      <c r="M18" s="1766"/>
      <c r="N18" s="1766"/>
      <c r="O18" s="1766"/>
      <c r="P18" s="1766"/>
      <c r="Q18" s="1766"/>
      <c r="R18" s="1766"/>
      <c r="S18" s="1766"/>
      <c r="T18" s="1766"/>
      <c r="U18" s="1766"/>
      <c r="V18" s="1766"/>
      <c r="W18" s="1766"/>
      <c r="X18" s="1768"/>
      <c r="Y18" s="1808">
        <v>44836</v>
      </c>
      <c r="Z18" s="1803" t="s">
        <v>268</v>
      </c>
      <c r="AA18" s="1803">
        <v>700</v>
      </c>
      <c r="AB18" s="1803">
        <v>14</v>
      </c>
      <c r="AC18" s="1816">
        <v>1</v>
      </c>
      <c r="AD18" s="1803" t="s">
        <v>244</v>
      </c>
      <c r="AE18" s="1803">
        <v>271</v>
      </c>
      <c r="AF18" s="1803">
        <v>0</v>
      </c>
      <c r="AG18" s="1803">
        <v>0</v>
      </c>
      <c r="AH18" s="1803">
        <v>0</v>
      </c>
      <c r="AI18" s="1766"/>
      <c r="AJ18" s="1766"/>
      <c r="AK18" s="1766"/>
      <c r="AL18" s="1766"/>
      <c r="AM18" s="1766"/>
      <c r="AN18" s="1766"/>
      <c r="AO18" s="1766"/>
      <c r="AP18" s="1768"/>
    </row>
    <row r="19" spans="1:42" ht="15" customHeight="1">
      <c r="A19" s="1772"/>
      <c r="B19" s="1808">
        <v>44837</v>
      </c>
      <c r="C19" s="1803" t="s">
        <v>268</v>
      </c>
      <c r="D19" s="1803">
        <v>600</v>
      </c>
      <c r="E19" s="1803">
        <v>18</v>
      </c>
      <c r="F19" s="1816">
        <v>3</v>
      </c>
      <c r="G19" s="1803" t="s">
        <v>244</v>
      </c>
      <c r="H19" s="1803">
        <v>139</v>
      </c>
      <c r="I19" s="1803">
        <v>0</v>
      </c>
      <c r="J19" s="1803">
        <v>1</v>
      </c>
      <c r="K19" s="1803">
        <v>1</v>
      </c>
      <c r="L19" s="1766"/>
      <c r="M19" s="1766"/>
      <c r="N19" s="1766"/>
      <c r="O19" s="1766"/>
      <c r="P19" s="1766"/>
      <c r="Q19" s="1766"/>
      <c r="R19" s="1766"/>
      <c r="S19" s="1766"/>
      <c r="T19" s="1766"/>
      <c r="U19" s="1766"/>
      <c r="V19" s="1766"/>
      <c r="W19" s="1766"/>
      <c r="X19" s="1768"/>
      <c r="Y19" s="1808">
        <v>44837</v>
      </c>
      <c r="Z19" s="1803" t="s">
        <v>268</v>
      </c>
      <c r="AA19" s="1803">
        <v>300</v>
      </c>
      <c r="AB19" s="1803">
        <v>13</v>
      </c>
      <c r="AC19" s="1816">
        <v>0</v>
      </c>
      <c r="AD19" s="1803" t="s">
        <v>244</v>
      </c>
      <c r="AE19" s="1803">
        <v>144</v>
      </c>
      <c r="AF19" s="1803">
        <v>0</v>
      </c>
      <c r="AG19" s="1803">
        <v>0</v>
      </c>
      <c r="AH19" s="1803">
        <v>0</v>
      </c>
      <c r="AI19" s="1766"/>
      <c r="AJ19" s="1766"/>
      <c r="AK19" s="1766"/>
      <c r="AL19" s="1766"/>
      <c r="AM19" s="1766"/>
      <c r="AN19" s="1766"/>
      <c r="AO19" s="1766"/>
      <c r="AP19" s="1768"/>
    </row>
    <row r="20" spans="1:42" ht="15" customHeight="1">
      <c r="A20" s="1772"/>
      <c r="B20" s="1808">
        <v>44838</v>
      </c>
      <c r="C20" s="1803" t="s">
        <v>268</v>
      </c>
      <c r="D20" s="1803">
        <v>400</v>
      </c>
      <c r="E20" s="1803">
        <v>7</v>
      </c>
      <c r="F20" s="1816">
        <v>3</v>
      </c>
      <c r="G20" s="1803" t="s">
        <v>244</v>
      </c>
      <c r="H20" s="1803">
        <v>128</v>
      </c>
      <c r="I20" s="1803">
        <v>0</v>
      </c>
      <c r="J20" s="1803">
        <v>4</v>
      </c>
      <c r="K20" s="1803">
        <v>2</v>
      </c>
      <c r="L20" s="1766"/>
      <c r="M20" s="1766"/>
      <c r="N20" s="1766"/>
      <c r="O20" s="1766"/>
      <c r="P20" s="1766"/>
      <c r="Q20" s="1766"/>
      <c r="R20" s="1766"/>
      <c r="S20" s="1766"/>
      <c r="T20" s="1766"/>
      <c r="U20" s="1766"/>
      <c r="V20" s="1766"/>
      <c r="W20" s="1766"/>
      <c r="X20" s="1768"/>
      <c r="Y20" s="1808">
        <v>44838</v>
      </c>
      <c r="Z20" s="1803" t="s">
        <v>268</v>
      </c>
      <c r="AA20" s="1803">
        <v>300</v>
      </c>
      <c r="AB20" s="1803">
        <v>8</v>
      </c>
      <c r="AC20" s="1816">
        <v>0</v>
      </c>
      <c r="AD20" s="1803" t="s">
        <v>244</v>
      </c>
      <c r="AE20" s="1803">
        <v>116</v>
      </c>
      <c r="AF20" s="1803">
        <v>100</v>
      </c>
      <c r="AG20" s="1803">
        <v>0</v>
      </c>
      <c r="AH20" s="1803">
        <v>0</v>
      </c>
      <c r="AI20" s="1766"/>
      <c r="AJ20" s="1766"/>
      <c r="AK20" s="1766"/>
      <c r="AL20" s="1766"/>
      <c r="AM20" s="1766"/>
      <c r="AN20" s="1766"/>
      <c r="AO20" s="1766"/>
      <c r="AP20" s="1768"/>
    </row>
    <row r="21" spans="1:42" ht="15" customHeight="1">
      <c r="A21" s="1772"/>
      <c r="B21" s="1808">
        <v>44839</v>
      </c>
      <c r="C21" s="1803" t="s">
        <v>268</v>
      </c>
      <c r="D21" s="1803">
        <v>200</v>
      </c>
      <c r="E21" s="1803">
        <v>4</v>
      </c>
      <c r="F21" s="1816">
        <v>3</v>
      </c>
      <c r="G21" s="1803" t="s">
        <v>244</v>
      </c>
      <c r="H21" s="1803">
        <v>65</v>
      </c>
      <c r="I21" s="1803">
        <v>0</v>
      </c>
      <c r="J21" s="1803">
        <v>0</v>
      </c>
      <c r="K21" s="1803">
        <v>0</v>
      </c>
      <c r="L21" s="1766"/>
      <c r="M21" s="1766"/>
      <c r="N21" s="1766"/>
      <c r="O21" s="1766"/>
      <c r="P21" s="1766"/>
      <c r="Q21" s="1766"/>
      <c r="R21" s="1766"/>
      <c r="S21" s="1766"/>
      <c r="T21" s="1766"/>
      <c r="U21" s="1766"/>
      <c r="V21" s="1766"/>
      <c r="W21" s="1766"/>
      <c r="X21" s="1768"/>
      <c r="Y21" s="1808">
        <v>44839</v>
      </c>
      <c r="Z21" s="1803" t="s">
        <v>268</v>
      </c>
      <c r="AA21" s="1803">
        <v>200</v>
      </c>
      <c r="AB21" s="1803">
        <v>1</v>
      </c>
      <c r="AC21" s="1816">
        <v>0</v>
      </c>
      <c r="AD21" s="1803" t="s">
        <v>244</v>
      </c>
      <c r="AE21" s="1803">
        <v>57</v>
      </c>
      <c r="AF21" s="1803">
        <v>0</v>
      </c>
      <c r="AG21" s="1803">
        <v>0</v>
      </c>
      <c r="AH21" s="1803">
        <v>2</v>
      </c>
      <c r="AI21" s="1766"/>
      <c r="AJ21" s="1766"/>
      <c r="AK21" s="1766"/>
      <c r="AL21" s="1766"/>
      <c r="AM21" s="1766"/>
      <c r="AN21" s="1766"/>
      <c r="AO21" s="1766"/>
      <c r="AP21" s="1768"/>
    </row>
    <row r="22" spans="1:42" ht="15" customHeight="1">
      <c r="A22" s="1772"/>
      <c r="B22" s="1808">
        <v>44840</v>
      </c>
      <c r="C22" s="1803" t="s">
        <v>268</v>
      </c>
      <c r="D22" s="1803">
        <v>400</v>
      </c>
      <c r="E22" s="1803">
        <v>8</v>
      </c>
      <c r="F22" s="1816">
        <v>1</v>
      </c>
      <c r="G22" s="1803" t="s">
        <v>244</v>
      </c>
      <c r="H22" s="1803">
        <v>165</v>
      </c>
      <c r="I22" s="1803">
        <v>0</v>
      </c>
      <c r="J22" s="1803">
        <v>0</v>
      </c>
      <c r="K22" s="1803">
        <v>4</v>
      </c>
      <c r="L22" s="1766"/>
      <c r="M22" s="1766"/>
      <c r="N22" s="1766"/>
      <c r="O22" s="1766"/>
      <c r="P22" s="1766"/>
      <c r="Q22" s="1766"/>
      <c r="R22" s="1766"/>
      <c r="S22" s="1766"/>
      <c r="T22" s="1766"/>
      <c r="U22" s="1766"/>
      <c r="V22" s="1766"/>
      <c r="W22" s="1766"/>
      <c r="X22" s="1768"/>
      <c r="Y22" s="1808">
        <v>44840</v>
      </c>
      <c r="Z22" s="1803" t="s">
        <v>268</v>
      </c>
      <c r="AA22" s="1803">
        <v>200</v>
      </c>
      <c r="AB22" s="1803">
        <v>5</v>
      </c>
      <c r="AC22" s="1816">
        <v>0</v>
      </c>
      <c r="AD22" s="1803" t="s">
        <v>244</v>
      </c>
      <c r="AE22" s="1803">
        <v>106</v>
      </c>
      <c r="AF22" s="1803">
        <v>0</v>
      </c>
      <c r="AG22" s="1803">
        <v>0</v>
      </c>
      <c r="AH22" s="1803">
        <v>5</v>
      </c>
      <c r="AI22" s="1766"/>
      <c r="AJ22" s="1766"/>
      <c r="AK22" s="1766"/>
      <c r="AL22" s="1766"/>
      <c r="AM22" s="1766"/>
      <c r="AN22" s="1766"/>
      <c r="AO22" s="1766"/>
      <c r="AP22" s="1768"/>
    </row>
    <row r="23" spans="1:42" ht="15" customHeight="1">
      <c r="A23" s="1772"/>
      <c r="B23" s="1808">
        <v>44841</v>
      </c>
      <c r="C23" s="1803" t="s">
        <v>268</v>
      </c>
      <c r="D23" s="1803">
        <v>300</v>
      </c>
      <c r="E23" s="1803">
        <v>3</v>
      </c>
      <c r="F23" s="1816">
        <v>0</v>
      </c>
      <c r="G23" s="1803" t="s">
        <v>244</v>
      </c>
      <c r="H23" s="1803">
        <v>221</v>
      </c>
      <c r="I23" s="1803">
        <v>0</v>
      </c>
      <c r="J23" s="1803">
        <v>0</v>
      </c>
      <c r="K23" s="1803">
        <v>5</v>
      </c>
      <c r="L23" s="1766"/>
      <c r="M23" s="1766"/>
      <c r="N23" s="1766"/>
      <c r="O23" s="1766"/>
      <c r="P23" s="1766"/>
      <c r="Q23" s="1766"/>
      <c r="R23" s="1766"/>
      <c r="S23" s="1766"/>
      <c r="T23" s="1766"/>
      <c r="U23" s="1766"/>
      <c r="V23" s="1766"/>
      <c r="W23" s="1766"/>
      <c r="X23" s="1768"/>
      <c r="Y23" s="1808">
        <v>44841</v>
      </c>
      <c r="Z23" s="1803" t="s">
        <v>268</v>
      </c>
      <c r="AA23" s="1803">
        <v>200</v>
      </c>
      <c r="AB23" s="1803">
        <v>10</v>
      </c>
      <c r="AC23" s="1816">
        <v>0</v>
      </c>
      <c r="AD23" s="1803" t="s">
        <v>244</v>
      </c>
      <c r="AE23" s="1803">
        <v>123</v>
      </c>
      <c r="AF23" s="1803">
        <v>0</v>
      </c>
      <c r="AG23" s="1803">
        <v>0</v>
      </c>
      <c r="AH23" s="1803">
        <v>4</v>
      </c>
      <c r="AI23" s="1766"/>
      <c r="AJ23" s="1766"/>
      <c r="AK23" s="1766"/>
      <c r="AL23" s="1766"/>
      <c r="AM23" s="1766"/>
      <c r="AN23" s="1766"/>
      <c r="AO23" s="1766"/>
      <c r="AP23" s="1768"/>
    </row>
    <row r="24" spans="1:42" ht="15" customHeight="1">
      <c r="A24" s="1772"/>
      <c r="B24" s="1808">
        <v>44842</v>
      </c>
      <c r="C24" s="1803" t="s">
        <v>268</v>
      </c>
      <c r="D24" s="1803">
        <v>400</v>
      </c>
      <c r="E24" s="1803">
        <v>11</v>
      </c>
      <c r="F24" s="1816">
        <v>2</v>
      </c>
      <c r="G24" s="1803" t="s">
        <v>244</v>
      </c>
      <c r="H24" s="1803">
        <v>68</v>
      </c>
      <c r="I24" s="1803">
        <v>0</v>
      </c>
      <c r="J24" s="1803">
        <v>0</v>
      </c>
      <c r="K24" s="1803">
        <v>3</v>
      </c>
      <c r="L24" s="1766"/>
      <c r="M24" s="1766"/>
      <c r="N24" s="1766"/>
      <c r="O24" s="1766"/>
      <c r="P24" s="1766"/>
      <c r="Q24" s="1766"/>
      <c r="R24" s="1766"/>
      <c r="S24" s="1766"/>
      <c r="T24" s="1766"/>
      <c r="U24" s="1766"/>
      <c r="V24" s="1766"/>
      <c r="W24" s="1766"/>
      <c r="X24" s="1768"/>
      <c r="Y24" s="1808">
        <v>44842</v>
      </c>
      <c r="Z24" s="1803" t="s">
        <v>268</v>
      </c>
      <c r="AA24" s="1803">
        <v>300</v>
      </c>
      <c r="AB24" s="1803">
        <v>13</v>
      </c>
      <c r="AC24" s="1816">
        <v>0</v>
      </c>
      <c r="AD24" s="1803" t="s">
        <v>244</v>
      </c>
      <c r="AE24" s="1803">
        <v>96</v>
      </c>
      <c r="AF24" s="1803">
        <v>0</v>
      </c>
      <c r="AG24" s="1803">
        <v>0</v>
      </c>
      <c r="AH24" s="1803">
        <v>3</v>
      </c>
      <c r="AI24" s="1766"/>
      <c r="AJ24" s="1766"/>
      <c r="AK24" s="1766"/>
      <c r="AL24" s="1766"/>
      <c r="AM24" s="1766"/>
      <c r="AN24" s="1766"/>
      <c r="AO24" s="1766"/>
      <c r="AP24" s="1768"/>
    </row>
    <row r="25" spans="1:42" ht="15" customHeight="1">
      <c r="A25" s="1772"/>
      <c r="B25" s="1808">
        <v>44843</v>
      </c>
      <c r="C25" s="1803" t="s">
        <v>268</v>
      </c>
      <c r="D25" s="1803">
        <v>100</v>
      </c>
      <c r="E25" s="1803">
        <v>2</v>
      </c>
      <c r="F25" s="1816">
        <v>1</v>
      </c>
      <c r="G25" s="1803" t="s">
        <v>244</v>
      </c>
      <c r="H25" s="1803">
        <v>126</v>
      </c>
      <c r="I25" s="1803">
        <v>0</v>
      </c>
      <c r="J25" s="1803">
        <v>4</v>
      </c>
      <c r="K25" s="1803">
        <v>0</v>
      </c>
      <c r="L25" s="1766"/>
      <c r="M25" s="1766"/>
      <c r="N25" s="1766"/>
      <c r="O25" s="1766"/>
      <c r="P25" s="1766"/>
      <c r="Q25" s="1766"/>
      <c r="R25" s="1766"/>
      <c r="S25" s="1766"/>
      <c r="T25" s="1766"/>
      <c r="U25" s="1766"/>
      <c r="V25" s="1766"/>
      <c r="W25" s="1766"/>
      <c r="X25" s="1768"/>
      <c r="Y25" s="1808">
        <v>44843</v>
      </c>
      <c r="Z25" s="1803" t="s">
        <v>268</v>
      </c>
      <c r="AA25" s="1803">
        <v>100</v>
      </c>
      <c r="AB25" s="1803">
        <v>5</v>
      </c>
      <c r="AC25" s="1816">
        <v>0</v>
      </c>
      <c r="AD25" s="1803" t="s">
        <v>244</v>
      </c>
      <c r="AE25" s="1803">
        <v>127</v>
      </c>
      <c r="AF25" s="1803">
        <v>0</v>
      </c>
      <c r="AG25" s="1803">
        <v>0</v>
      </c>
      <c r="AH25" s="1803">
        <v>0</v>
      </c>
      <c r="AI25" s="1766"/>
      <c r="AJ25" s="1766"/>
      <c r="AK25" s="1766"/>
      <c r="AL25" s="1766"/>
      <c r="AM25" s="1766"/>
      <c r="AN25" s="1766"/>
      <c r="AO25" s="1766"/>
      <c r="AP25" s="1768"/>
    </row>
    <row r="26" spans="1:42" ht="15" customHeight="1">
      <c r="A26" s="1772"/>
      <c r="B26" s="1808">
        <v>44844</v>
      </c>
      <c r="C26" s="1803" t="s">
        <v>268</v>
      </c>
      <c r="D26" s="1803">
        <v>200</v>
      </c>
      <c r="E26" s="1803">
        <v>10</v>
      </c>
      <c r="F26" s="1816">
        <v>2</v>
      </c>
      <c r="G26" s="1803" t="s">
        <v>244</v>
      </c>
      <c r="H26" s="1803">
        <v>139</v>
      </c>
      <c r="I26" s="1803">
        <v>0</v>
      </c>
      <c r="J26" s="1803">
        <v>4</v>
      </c>
      <c r="K26" s="1803">
        <v>2</v>
      </c>
      <c r="L26" s="1766"/>
      <c r="M26" s="1766"/>
      <c r="N26" s="1766"/>
      <c r="O26" s="1766"/>
      <c r="P26" s="1766"/>
      <c r="Q26" s="1766"/>
      <c r="R26" s="1766"/>
      <c r="S26" s="1766"/>
      <c r="T26" s="1766"/>
      <c r="U26" s="1766"/>
      <c r="V26" s="1766"/>
      <c r="W26" s="1766"/>
      <c r="X26" s="1768"/>
      <c r="Y26" s="1808">
        <v>44844</v>
      </c>
      <c r="Z26" s="1803" t="s">
        <v>268</v>
      </c>
      <c r="AA26" s="1803">
        <v>200</v>
      </c>
      <c r="AB26" s="1803">
        <v>4</v>
      </c>
      <c r="AC26" s="1816">
        <v>0</v>
      </c>
      <c r="AD26" s="1803" t="s">
        <v>244</v>
      </c>
      <c r="AE26" s="1803">
        <v>120</v>
      </c>
      <c r="AF26" s="1803">
        <v>0</v>
      </c>
      <c r="AG26" s="1803">
        <v>0</v>
      </c>
      <c r="AH26" s="1803">
        <v>3</v>
      </c>
      <c r="AI26" s="1766"/>
      <c r="AJ26" s="1766"/>
      <c r="AK26" s="1766"/>
      <c r="AL26" s="1766"/>
      <c r="AM26" s="1766"/>
      <c r="AN26" s="1766"/>
      <c r="AO26" s="1766"/>
      <c r="AP26" s="1768"/>
    </row>
    <row r="27" spans="1:42" ht="15" customHeight="1">
      <c r="A27" s="1772"/>
      <c r="B27" s="1808">
        <v>44845</v>
      </c>
      <c r="C27" s="1803" t="s">
        <v>268</v>
      </c>
      <c r="D27" s="1803">
        <v>300</v>
      </c>
      <c r="E27" s="1803">
        <v>1</v>
      </c>
      <c r="F27" s="1816">
        <v>2</v>
      </c>
      <c r="G27" s="1803" t="s">
        <v>244</v>
      </c>
      <c r="H27" s="1803">
        <v>121</v>
      </c>
      <c r="I27" s="1803">
        <v>0</v>
      </c>
      <c r="J27" s="1803">
        <v>0</v>
      </c>
      <c r="K27" s="1803">
        <v>9</v>
      </c>
      <c r="L27" s="1766"/>
      <c r="M27" s="1766"/>
      <c r="N27" s="1766"/>
      <c r="O27" s="1766"/>
      <c r="P27" s="1766"/>
      <c r="Q27" s="1766"/>
      <c r="R27" s="1766"/>
      <c r="S27" s="1766"/>
      <c r="T27" s="1766"/>
      <c r="U27" s="1766"/>
      <c r="V27" s="1766"/>
      <c r="W27" s="1766"/>
      <c r="X27" s="1768"/>
      <c r="Y27" s="1808">
        <v>44845</v>
      </c>
      <c r="Z27" s="1803" t="s">
        <v>268</v>
      </c>
      <c r="AA27" s="1803">
        <v>200</v>
      </c>
      <c r="AB27" s="1803">
        <v>6</v>
      </c>
      <c r="AC27" s="1816">
        <v>0</v>
      </c>
      <c r="AD27" s="1803" t="s">
        <v>244</v>
      </c>
      <c r="AE27" s="1803">
        <v>145</v>
      </c>
      <c r="AF27" s="1803">
        <v>0</v>
      </c>
      <c r="AG27" s="1803">
        <v>0</v>
      </c>
      <c r="AH27" s="1803">
        <v>4</v>
      </c>
      <c r="AI27" s="1766"/>
      <c r="AJ27" s="1766"/>
      <c r="AK27" s="1766"/>
      <c r="AL27" s="1766"/>
      <c r="AM27" s="1766"/>
      <c r="AN27" s="1766"/>
      <c r="AO27" s="1766"/>
      <c r="AP27" s="1768"/>
    </row>
    <row r="28" spans="1:42" ht="15" customHeight="1">
      <c r="A28" s="1772"/>
      <c r="B28" s="1808">
        <v>44846</v>
      </c>
      <c r="C28" s="1803" t="s">
        <v>268</v>
      </c>
      <c r="D28" s="1803">
        <v>200</v>
      </c>
      <c r="E28" s="1803">
        <v>6</v>
      </c>
      <c r="F28" s="1816">
        <v>0</v>
      </c>
      <c r="G28" s="1803" t="s">
        <v>244</v>
      </c>
      <c r="H28" s="1803">
        <v>80</v>
      </c>
      <c r="I28" s="1803">
        <v>0</v>
      </c>
      <c r="J28" s="1803">
        <v>0</v>
      </c>
      <c r="K28" s="1803">
        <v>3</v>
      </c>
      <c r="L28" s="1766"/>
      <c r="M28" s="1766"/>
      <c r="N28" s="1766"/>
      <c r="O28" s="1766"/>
      <c r="P28" s="1766"/>
      <c r="Q28" s="1766"/>
      <c r="R28" s="1766"/>
      <c r="S28" s="1766"/>
      <c r="T28" s="1766"/>
      <c r="U28" s="1766"/>
      <c r="V28" s="1766"/>
      <c r="W28" s="1766"/>
      <c r="X28" s="1768"/>
      <c r="Y28" s="1808">
        <v>44846</v>
      </c>
      <c r="Z28" s="1803" t="s">
        <v>268</v>
      </c>
      <c r="AA28" s="1803">
        <v>200</v>
      </c>
      <c r="AB28" s="1803">
        <v>8</v>
      </c>
      <c r="AC28" s="1816">
        <v>0</v>
      </c>
      <c r="AD28" s="1803" t="s">
        <v>244</v>
      </c>
      <c r="AE28" s="1803">
        <v>41</v>
      </c>
      <c r="AF28" s="1803">
        <v>0</v>
      </c>
      <c r="AG28" s="1803">
        <v>0</v>
      </c>
      <c r="AH28" s="1803">
        <v>1</v>
      </c>
      <c r="AI28" s="1766"/>
      <c r="AJ28" s="1766"/>
      <c r="AK28" s="1766"/>
      <c r="AL28" s="1766"/>
      <c r="AM28" s="1766"/>
      <c r="AN28" s="1766"/>
      <c r="AO28" s="1766"/>
      <c r="AP28" s="1768"/>
    </row>
    <row r="29" spans="1:42" ht="15" customHeight="1">
      <c r="A29" s="1772"/>
      <c r="B29" s="1808">
        <v>44847</v>
      </c>
      <c r="C29" s="1803" t="s">
        <v>268</v>
      </c>
      <c r="D29" s="1803">
        <v>0</v>
      </c>
      <c r="E29" s="1803">
        <v>1</v>
      </c>
      <c r="F29" s="1816">
        <v>0</v>
      </c>
      <c r="G29" s="1803" t="s">
        <v>244</v>
      </c>
      <c r="H29" s="1803">
        <v>45</v>
      </c>
      <c r="I29" s="1803">
        <v>0</v>
      </c>
      <c r="J29" s="1803">
        <v>0</v>
      </c>
      <c r="K29" s="1803">
        <v>1</v>
      </c>
      <c r="L29" s="1766"/>
      <c r="M29" s="1766"/>
      <c r="N29" s="1766"/>
      <c r="O29" s="1766"/>
      <c r="P29" s="1766"/>
      <c r="Q29" s="1766"/>
      <c r="R29" s="1766"/>
      <c r="S29" s="1766"/>
      <c r="T29" s="1766"/>
      <c r="U29" s="1766"/>
      <c r="V29" s="1766"/>
      <c r="W29" s="1766"/>
      <c r="X29" s="1768"/>
      <c r="Y29" s="1808">
        <v>44847</v>
      </c>
      <c r="Z29" s="1803" t="s">
        <v>268</v>
      </c>
      <c r="AA29" s="1803">
        <v>200</v>
      </c>
      <c r="AB29" s="1803">
        <v>4</v>
      </c>
      <c r="AC29" s="1816">
        <v>0</v>
      </c>
      <c r="AD29" s="1803" t="s">
        <v>244</v>
      </c>
      <c r="AE29" s="1803">
        <v>41</v>
      </c>
      <c r="AF29" s="1803">
        <v>0</v>
      </c>
      <c r="AG29" s="1803">
        <v>0</v>
      </c>
      <c r="AH29" s="1803">
        <v>0</v>
      </c>
      <c r="AI29" s="1766"/>
      <c r="AJ29" s="1766"/>
      <c r="AK29" s="1766"/>
      <c r="AL29" s="1766"/>
      <c r="AM29" s="1766"/>
      <c r="AN29" s="1766"/>
      <c r="AO29" s="1766"/>
      <c r="AP29" s="1768"/>
    </row>
    <row r="30" spans="1:42" ht="15" customHeight="1">
      <c r="A30" s="1772"/>
      <c r="B30" s="1808">
        <v>44848</v>
      </c>
      <c r="C30" s="1803" t="s">
        <v>268</v>
      </c>
      <c r="D30" s="1803">
        <v>200</v>
      </c>
      <c r="E30" s="1803">
        <v>10</v>
      </c>
      <c r="F30" s="1816">
        <v>3</v>
      </c>
      <c r="G30" s="1803" t="s">
        <v>244</v>
      </c>
      <c r="H30" s="1803">
        <v>45</v>
      </c>
      <c r="I30" s="1803">
        <v>0</v>
      </c>
      <c r="J30" s="1803">
        <v>0</v>
      </c>
      <c r="K30" s="1803">
        <v>0</v>
      </c>
      <c r="L30" s="1766"/>
      <c r="M30" s="1766"/>
      <c r="N30" s="1766"/>
      <c r="O30" s="1766"/>
      <c r="P30" s="1766"/>
      <c r="Q30" s="1766"/>
      <c r="R30" s="1766"/>
      <c r="S30" s="1766"/>
      <c r="T30" s="1766"/>
      <c r="U30" s="1766"/>
      <c r="V30" s="1766"/>
      <c r="W30" s="1766"/>
      <c r="X30" s="1768"/>
      <c r="Y30" s="1808">
        <v>44848</v>
      </c>
      <c r="Z30" s="1803" t="s">
        <v>268</v>
      </c>
      <c r="AA30" s="1803">
        <v>200</v>
      </c>
      <c r="AB30" s="1803">
        <v>3</v>
      </c>
      <c r="AC30" s="1816">
        <v>0</v>
      </c>
      <c r="AD30" s="1803" t="s">
        <v>244</v>
      </c>
      <c r="AE30" s="1803">
        <v>77</v>
      </c>
      <c r="AF30" s="1803">
        <v>0</v>
      </c>
      <c r="AG30" s="1803">
        <v>0</v>
      </c>
      <c r="AH30" s="1803">
        <v>0</v>
      </c>
      <c r="AI30" s="1766"/>
      <c r="AJ30" s="1766"/>
      <c r="AK30" s="1766"/>
      <c r="AL30" s="1766"/>
      <c r="AM30" s="1766"/>
      <c r="AN30" s="1766"/>
      <c r="AO30" s="1766"/>
      <c r="AP30" s="1768"/>
    </row>
    <row r="31" spans="1:42" ht="15" customHeight="1">
      <c r="A31" s="1772"/>
      <c r="B31" s="1808">
        <v>44849</v>
      </c>
      <c r="C31" s="1803" t="s">
        <v>268</v>
      </c>
      <c r="D31" s="1803">
        <v>300</v>
      </c>
      <c r="E31" s="1803">
        <v>7</v>
      </c>
      <c r="F31" s="1816">
        <v>1</v>
      </c>
      <c r="G31" s="1803" t="s">
        <v>244</v>
      </c>
      <c r="H31" s="1803">
        <v>124</v>
      </c>
      <c r="I31" s="1803">
        <v>0</v>
      </c>
      <c r="J31" s="1803">
        <v>0</v>
      </c>
      <c r="K31" s="1803">
        <v>1</v>
      </c>
      <c r="L31" s="1766"/>
      <c r="M31" s="1766"/>
      <c r="N31" s="1766"/>
      <c r="O31" s="1766"/>
      <c r="P31" s="1766"/>
      <c r="Q31" s="1766"/>
      <c r="R31" s="1766"/>
      <c r="S31" s="1766"/>
      <c r="T31" s="1766"/>
      <c r="U31" s="1766"/>
      <c r="V31" s="1766"/>
      <c r="W31" s="1766"/>
      <c r="X31" s="1768"/>
      <c r="Y31" s="1808">
        <v>44849</v>
      </c>
      <c r="Z31" s="1803" t="s">
        <v>268</v>
      </c>
      <c r="AA31" s="1803">
        <v>100</v>
      </c>
      <c r="AB31" s="1803">
        <v>6</v>
      </c>
      <c r="AC31" s="1816">
        <v>1</v>
      </c>
      <c r="AD31" s="1803" t="s">
        <v>244</v>
      </c>
      <c r="AE31" s="1803">
        <v>152</v>
      </c>
      <c r="AF31" s="1803">
        <v>0</v>
      </c>
      <c r="AG31" s="1803">
        <v>0</v>
      </c>
      <c r="AH31" s="1803">
        <v>1</v>
      </c>
      <c r="AI31" s="1766"/>
      <c r="AJ31" s="1766"/>
      <c r="AK31" s="1766"/>
      <c r="AL31" s="1766"/>
      <c r="AM31" s="1766"/>
      <c r="AN31" s="1766"/>
      <c r="AO31" s="1766"/>
      <c r="AP31" s="1768"/>
    </row>
    <row r="32" spans="1:42" ht="15" customHeight="1">
      <c r="A32" s="1772"/>
      <c r="B32" s="1808">
        <v>44850</v>
      </c>
      <c r="C32" s="1803" t="s">
        <v>268</v>
      </c>
      <c r="D32" s="1803">
        <v>100</v>
      </c>
      <c r="E32" s="1803">
        <v>0</v>
      </c>
      <c r="F32" s="1816">
        <v>0</v>
      </c>
      <c r="G32" s="1803" t="s">
        <v>244</v>
      </c>
      <c r="H32" s="1803">
        <v>100</v>
      </c>
      <c r="I32" s="1803">
        <v>0</v>
      </c>
      <c r="J32" s="1803">
        <v>0</v>
      </c>
      <c r="K32" s="1803">
        <v>0</v>
      </c>
      <c r="L32" s="1766"/>
      <c r="M32" s="1766"/>
      <c r="N32" s="1766"/>
      <c r="O32" s="1766"/>
      <c r="P32" s="1766"/>
      <c r="Q32" s="1766"/>
      <c r="R32" s="1766"/>
      <c r="S32" s="1766"/>
      <c r="T32" s="1766"/>
      <c r="U32" s="1766"/>
      <c r="V32" s="1766"/>
      <c r="W32" s="1766"/>
      <c r="X32" s="1768"/>
      <c r="Y32" s="1808">
        <v>44850</v>
      </c>
      <c r="Z32" s="1803" t="s">
        <v>268</v>
      </c>
      <c r="AA32" s="1803">
        <v>100</v>
      </c>
      <c r="AB32" s="1803">
        <v>6</v>
      </c>
      <c r="AC32" s="1816">
        <v>0</v>
      </c>
      <c r="AD32" s="1803" t="s">
        <v>244</v>
      </c>
      <c r="AE32" s="1803">
        <v>149</v>
      </c>
      <c r="AF32" s="1803">
        <v>0</v>
      </c>
      <c r="AG32" s="1803">
        <v>0</v>
      </c>
      <c r="AH32" s="1803">
        <v>1</v>
      </c>
      <c r="AI32" s="1766"/>
      <c r="AJ32" s="1766"/>
      <c r="AK32" s="1766"/>
      <c r="AL32" s="1766"/>
      <c r="AM32" s="1766"/>
      <c r="AN32" s="1766"/>
      <c r="AO32" s="1766"/>
      <c r="AP32" s="1768"/>
    </row>
    <row r="33" spans="1:42" ht="15" customHeight="1">
      <c r="A33" s="1772"/>
      <c r="B33" s="1808">
        <v>44851</v>
      </c>
      <c r="C33" s="1803" t="s">
        <v>268</v>
      </c>
      <c r="D33" s="1803">
        <v>100</v>
      </c>
      <c r="E33" s="1803">
        <v>0</v>
      </c>
      <c r="F33" s="1816">
        <v>0</v>
      </c>
      <c r="G33" s="1803" t="s">
        <v>244</v>
      </c>
      <c r="H33" s="1803">
        <v>43</v>
      </c>
      <c r="I33" s="1803">
        <v>0</v>
      </c>
      <c r="J33" s="1803">
        <v>0</v>
      </c>
      <c r="K33" s="1803">
        <v>4</v>
      </c>
      <c r="L33" s="1766"/>
      <c r="M33" s="1766"/>
      <c r="N33" s="1766"/>
      <c r="O33" s="1766"/>
      <c r="P33" s="1766"/>
      <c r="Q33" s="1766"/>
      <c r="R33" s="1766"/>
      <c r="S33" s="1766"/>
      <c r="T33" s="1766"/>
      <c r="U33" s="1766"/>
      <c r="V33" s="1766"/>
      <c r="W33" s="1766"/>
      <c r="X33" s="1768"/>
      <c r="Y33" s="1808">
        <v>44851</v>
      </c>
      <c r="Z33" s="1803" t="s">
        <v>268</v>
      </c>
      <c r="AA33" s="1803">
        <v>100</v>
      </c>
      <c r="AB33" s="1803">
        <v>4</v>
      </c>
      <c r="AC33" s="1816">
        <v>0</v>
      </c>
      <c r="AD33" s="1803" t="s">
        <v>244</v>
      </c>
      <c r="AE33" s="1817">
        <v>4283</v>
      </c>
      <c r="AF33" s="1803">
        <v>0</v>
      </c>
      <c r="AG33" s="1803">
        <v>0</v>
      </c>
      <c r="AH33" s="1803">
        <v>4</v>
      </c>
      <c r="AI33" s="1813" t="s">
        <v>273</v>
      </c>
      <c r="AJ33" s="1766"/>
      <c r="AK33" s="1766"/>
      <c r="AL33" s="1766"/>
      <c r="AM33" s="1766"/>
      <c r="AN33" s="1766"/>
      <c r="AO33" s="1766"/>
      <c r="AP33" s="1768"/>
    </row>
    <row r="34" spans="1:42" ht="15" customHeight="1">
      <c r="A34" s="1772"/>
      <c r="B34" s="1808">
        <v>44852</v>
      </c>
      <c r="C34" s="1803" t="s">
        <v>268</v>
      </c>
      <c r="D34" s="1803">
        <v>100</v>
      </c>
      <c r="E34" s="1803">
        <v>0</v>
      </c>
      <c r="F34" s="1816">
        <v>0</v>
      </c>
      <c r="G34" s="1803" t="s">
        <v>244</v>
      </c>
      <c r="H34" s="1803">
        <v>35</v>
      </c>
      <c r="I34" s="1803">
        <v>0</v>
      </c>
      <c r="J34" s="1803">
        <v>0</v>
      </c>
      <c r="K34" s="1803">
        <v>1</v>
      </c>
      <c r="L34" s="1766"/>
      <c r="M34" s="1766"/>
      <c r="N34" s="1766"/>
      <c r="O34" s="1766"/>
      <c r="P34" s="1766"/>
      <c r="Q34" s="1766"/>
      <c r="R34" s="1766"/>
      <c r="S34" s="1766"/>
      <c r="T34" s="1766"/>
      <c r="U34" s="1766"/>
      <c r="V34" s="1766"/>
      <c r="W34" s="1766"/>
      <c r="X34" s="1768"/>
      <c r="Y34" s="1808">
        <v>44852</v>
      </c>
      <c r="Z34" s="1803" t="s">
        <v>268</v>
      </c>
      <c r="AA34" s="1803">
        <v>0</v>
      </c>
      <c r="AB34" s="1803">
        <v>1</v>
      </c>
      <c r="AC34" s="1816">
        <v>0</v>
      </c>
      <c r="AD34" s="1803" t="s">
        <v>244</v>
      </c>
      <c r="AE34" s="1817">
        <v>7650</v>
      </c>
      <c r="AF34" s="1803">
        <v>0</v>
      </c>
      <c r="AG34" s="1803">
        <v>0</v>
      </c>
      <c r="AH34" s="1803">
        <v>2</v>
      </c>
      <c r="AI34" s="1220" t="s">
        <v>266</v>
      </c>
      <c r="AJ34" s="1766"/>
      <c r="AK34" s="1766"/>
      <c r="AL34" s="1766"/>
      <c r="AM34" s="1766"/>
      <c r="AN34" s="1766"/>
      <c r="AO34" s="1766"/>
      <c r="AP34" s="1768"/>
    </row>
    <row r="35" spans="1:42" ht="15" customHeight="1">
      <c r="A35" s="1772"/>
      <c r="B35" s="1808">
        <v>44853</v>
      </c>
      <c r="C35" s="1803" t="s">
        <v>268</v>
      </c>
      <c r="D35" s="1803">
        <v>0</v>
      </c>
      <c r="E35" s="1803">
        <v>3</v>
      </c>
      <c r="F35" s="1816">
        <v>0</v>
      </c>
      <c r="G35" s="1803" t="s">
        <v>244</v>
      </c>
      <c r="H35" s="1803">
        <v>81</v>
      </c>
      <c r="I35" s="1803">
        <v>0</v>
      </c>
      <c r="J35" s="1803">
        <v>0</v>
      </c>
      <c r="K35" s="1803">
        <v>3</v>
      </c>
      <c r="L35" s="1766"/>
      <c r="M35" s="1766"/>
      <c r="N35" s="1766"/>
      <c r="O35" s="1766"/>
      <c r="P35" s="1766"/>
      <c r="Q35" s="1766"/>
      <c r="R35" s="1766"/>
      <c r="S35" s="1766"/>
      <c r="T35" s="1766"/>
      <c r="U35" s="1766"/>
      <c r="V35" s="1766"/>
      <c r="W35" s="1766"/>
      <c r="X35" s="1768"/>
      <c r="Y35" s="1808">
        <v>44853</v>
      </c>
      <c r="Z35" s="1803" t="s">
        <v>268</v>
      </c>
      <c r="AA35" s="1803">
        <v>200</v>
      </c>
      <c r="AB35" s="1803">
        <v>6</v>
      </c>
      <c r="AC35" s="1816">
        <v>0</v>
      </c>
      <c r="AD35" s="1803" t="s">
        <v>244</v>
      </c>
      <c r="AE35" s="1817">
        <v>20476</v>
      </c>
      <c r="AF35" s="1803">
        <v>0</v>
      </c>
      <c r="AG35" s="1803">
        <v>0</v>
      </c>
      <c r="AH35" s="1803">
        <v>0</v>
      </c>
      <c r="AI35" s="1769"/>
      <c r="AJ35" s="1769"/>
      <c r="AK35" s="1769"/>
      <c r="AL35" s="1769"/>
      <c r="AM35" s="1766"/>
      <c r="AN35" s="1766"/>
      <c r="AO35" s="1766"/>
      <c r="AP35" s="1768"/>
    </row>
    <row r="36" spans="1:42" ht="15" customHeight="1">
      <c r="A36" s="1772"/>
      <c r="B36" s="1808">
        <v>44854</v>
      </c>
      <c r="C36" s="1803" t="s">
        <v>268</v>
      </c>
      <c r="D36" s="1803">
        <v>100</v>
      </c>
      <c r="E36" s="1803">
        <v>1</v>
      </c>
      <c r="F36" s="1816">
        <v>0</v>
      </c>
      <c r="G36" s="1803" t="s">
        <v>244</v>
      </c>
      <c r="H36" s="1803">
        <v>99</v>
      </c>
      <c r="I36" s="1803">
        <v>0</v>
      </c>
      <c r="J36" s="1803">
        <v>1</v>
      </c>
      <c r="K36" s="1803">
        <v>3</v>
      </c>
      <c r="L36" s="1766"/>
      <c r="M36" s="1766"/>
      <c r="N36" s="1766"/>
      <c r="O36" s="1766"/>
      <c r="P36" s="1766"/>
      <c r="Q36" s="1766"/>
      <c r="R36" s="1766"/>
      <c r="S36" s="1766"/>
      <c r="T36" s="1766"/>
      <c r="U36" s="1766"/>
      <c r="V36" s="1766"/>
      <c r="W36" s="1766"/>
      <c r="X36" s="1768"/>
      <c r="Y36" s="1808">
        <v>44854</v>
      </c>
      <c r="Z36" s="1803" t="s">
        <v>268</v>
      </c>
      <c r="AA36" s="1803">
        <v>100</v>
      </c>
      <c r="AB36" s="1803">
        <v>2</v>
      </c>
      <c r="AC36" s="1816">
        <v>0</v>
      </c>
      <c r="AD36" s="1803" t="s">
        <v>244</v>
      </c>
      <c r="AE36" s="1817">
        <v>1294</v>
      </c>
      <c r="AF36" s="1803">
        <v>0</v>
      </c>
      <c r="AG36" s="1803">
        <v>0</v>
      </c>
      <c r="AH36" s="1803">
        <v>0</v>
      </c>
      <c r="AI36" s="1776" t="s">
        <v>240</v>
      </c>
      <c r="AJ36" s="1776" t="s">
        <v>171</v>
      </c>
      <c r="AK36" s="1776" t="s">
        <v>238</v>
      </c>
      <c r="AL36" s="1815" t="s">
        <v>239</v>
      </c>
      <c r="AM36" s="1766"/>
      <c r="AN36" s="1766"/>
      <c r="AO36" s="1766"/>
      <c r="AP36" s="1768"/>
    </row>
    <row r="37" spans="1:42" ht="15" customHeight="1">
      <c r="A37" s="1772"/>
      <c r="B37" s="1808">
        <v>44855</v>
      </c>
      <c r="C37" s="1803" t="s">
        <v>268</v>
      </c>
      <c r="D37" s="1803">
        <v>100</v>
      </c>
      <c r="E37" s="1803">
        <v>1</v>
      </c>
      <c r="F37" s="1816">
        <v>0</v>
      </c>
      <c r="G37" s="1803" t="s">
        <v>244</v>
      </c>
      <c r="H37" s="1803">
        <v>58</v>
      </c>
      <c r="I37" s="1803">
        <v>0</v>
      </c>
      <c r="J37" s="1803">
        <v>0</v>
      </c>
      <c r="K37" s="1803">
        <v>0</v>
      </c>
      <c r="L37" s="1766"/>
      <c r="M37" s="1766"/>
      <c r="N37" s="1766"/>
      <c r="O37" s="1766"/>
      <c r="P37" s="1766"/>
      <c r="Q37" s="1766"/>
      <c r="R37" s="1766"/>
      <c r="S37" s="1766"/>
      <c r="T37" s="1766"/>
      <c r="U37" s="1766"/>
      <c r="V37" s="1766"/>
      <c r="W37" s="1766"/>
      <c r="X37" s="1768"/>
      <c r="Y37" s="1808">
        <v>44855</v>
      </c>
      <c r="Z37" s="1803" t="s">
        <v>268</v>
      </c>
      <c r="AA37" s="1803">
        <v>0</v>
      </c>
      <c r="AB37" s="1803">
        <v>3</v>
      </c>
      <c r="AC37" s="1816">
        <v>0</v>
      </c>
      <c r="AD37" s="1803" t="s">
        <v>244</v>
      </c>
      <c r="AE37" s="1817">
        <v>6909</v>
      </c>
      <c r="AF37" s="1803">
        <v>0</v>
      </c>
      <c r="AG37" s="1803">
        <v>0</v>
      </c>
      <c r="AH37" s="1803">
        <v>0</v>
      </c>
      <c r="AI37" s="1803" t="s">
        <v>268</v>
      </c>
      <c r="AJ37" s="1804">
        <v>1229</v>
      </c>
      <c r="AK37" s="1803">
        <v>84</v>
      </c>
      <c r="AL37" s="1803">
        <v>4</v>
      </c>
      <c r="AM37" s="1766"/>
      <c r="AN37" s="1766"/>
      <c r="AO37" s="1766"/>
      <c r="AP37" s="1768"/>
    </row>
    <row r="38" spans="1:42" ht="15" customHeight="1">
      <c r="A38" s="1772"/>
      <c r="B38" s="1808">
        <v>44856</v>
      </c>
      <c r="C38" s="1803" t="s">
        <v>268</v>
      </c>
      <c r="D38" s="1803">
        <v>100</v>
      </c>
      <c r="E38" s="1803">
        <v>5</v>
      </c>
      <c r="F38" s="1816">
        <v>0</v>
      </c>
      <c r="G38" s="1803" t="s">
        <v>244</v>
      </c>
      <c r="H38" s="1803">
        <v>105</v>
      </c>
      <c r="I38" s="1803">
        <v>0</v>
      </c>
      <c r="J38" s="1803">
        <v>0</v>
      </c>
      <c r="K38" s="1803">
        <v>3</v>
      </c>
      <c r="L38" s="1766"/>
      <c r="M38" s="1766"/>
      <c r="N38" s="1766"/>
      <c r="O38" s="1766"/>
      <c r="P38" s="1766"/>
      <c r="Q38" s="1766"/>
      <c r="R38" s="1766"/>
      <c r="S38" s="1766"/>
      <c r="T38" s="1766"/>
      <c r="U38" s="1766"/>
      <c r="V38" s="1766"/>
      <c r="W38" s="1766"/>
      <c r="X38" s="1768"/>
      <c r="Y38" s="1808">
        <v>44856</v>
      </c>
      <c r="Z38" s="1803" t="s">
        <v>268</v>
      </c>
      <c r="AA38" s="1803">
        <v>200</v>
      </c>
      <c r="AB38" s="1803">
        <v>8</v>
      </c>
      <c r="AC38" s="1816">
        <v>0</v>
      </c>
      <c r="AD38" s="1803" t="s">
        <v>244</v>
      </c>
      <c r="AE38" s="1817">
        <v>5031</v>
      </c>
      <c r="AF38" s="1803">
        <v>0</v>
      </c>
      <c r="AG38" s="1803">
        <v>0</v>
      </c>
      <c r="AH38" s="1803">
        <v>0</v>
      </c>
      <c r="AI38" s="1803" t="s">
        <v>268</v>
      </c>
      <c r="AJ38" s="1804">
        <v>32071</v>
      </c>
      <c r="AK38" s="1804">
        <v>1400</v>
      </c>
      <c r="AL38" s="1803">
        <v>37</v>
      </c>
      <c r="AM38" s="1766"/>
      <c r="AN38" s="1766"/>
      <c r="AO38" s="1766"/>
      <c r="AP38" s="1768"/>
    </row>
    <row r="39" spans="1:42" ht="15" customHeight="1">
      <c r="A39" s="1772"/>
      <c r="B39" s="1808">
        <v>44857</v>
      </c>
      <c r="C39" s="1803" t="s">
        <v>268</v>
      </c>
      <c r="D39" s="1803">
        <v>100</v>
      </c>
      <c r="E39" s="1803">
        <v>0</v>
      </c>
      <c r="F39" s="1816">
        <v>0</v>
      </c>
      <c r="G39" s="1803" t="s">
        <v>244</v>
      </c>
      <c r="H39" s="1803">
        <v>48</v>
      </c>
      <c r="I39" s="1803">
        <v>0</v>
      </c>
      <c r="J39" s="1803">
        <v>0</v>
      </c>
      <c r="K39" s="1803">
        <v>1</v>
      </c>
      <c r="L39" s="1766"/>
      <c r="M39" s="1766"/>
      <c r="N39" s="1766"/>
      <c r="O39" s="1766"/>
      <c r="P39" s="1766"/>
      <c r="Q39" s="1766"/>
      <c r="R39" s="1766"/>
      <c r="S39" s="1766"/>
      <c r="T39" s="1766"/>
      <c r="U39" s="1766"/>
      <c r="V39" s="1766"/>
      <c r="W39" s="1766"/>
      <c r="X39" s="1768"/>
      <c r="Y39" s="1808">
        <v>44857</v>
      </c>
      <c r="Z39" s="1803" t="s">
        <v>268</v>
      </c>
      <c r="AA39" s="1803">
        <v>100</v>
      </c>
      <c r="AB39" s="1803">
        <v>3</v>
      </c>
      <c r="AC39" s="1816">
        <v>0</v>
      </c>
      <c r="AD39" s="1803" t="s">
        <v>244</v>
      </c>
      <c r="AE39" s="1780">
        <v>70</v>
      </c>
      <c r="AF39" s="1803">
        <v>0</v>
      </c>
      <c r="AG39" s="1803">
        <v>0</v>
      </c>
      <c r="AH39" s="1803">
        <v>1</v>
      </c>
      <c r="AI39" s="1803" t="s">
        <v>268</v>
      </c>
      <c r="AJ39" s="1804">
        <v>3400</v>
      </c>
      <c r="AK39" s="1803">
        <v>119</v>
      </c>
      <c r="AL39" s="1803">
        <v>1</v>
      </c>
      <c r="AM39" s="1766"/>
      <c r="AN39" s="1766"/>
      <c r="AO39" s="1766"/>
      <c r="AP39" s="1768"/>
    </row>
    <row r="40" spans="1:42" ht="15" customHeight="1">
      <c r="A40" s="1772"/>
      <c r="B40" s="1808">
        <v>44858</v>
      </c>
      <c r="C40" s="1803" t="s">
        <v>268</v>
      </c>
      <c r="D40" s="1803">
        <v>100</v>
      </c>
      <c r="E40" s="1803">
        <v>1</v>
      </c>
      <c r="F40" s="1816">
        <v>0</v>
      </c>
      <c r="G40" s="1803" t="s">
        <v>244</v>
      </c>
      <c r="H40" s="1803">
        <v>105</v>
      </c>
      <c r="I40" s="1803">
        <v>0</v>
      </c>
      <c r="J40" s="1803">
        <v>0</v>
      </c>
      <c r="K40" s="1803">
        <v>0</v>
      </c>
      <c r="L40" s="1766"/>
      <c r="M40" s="1766"/>
      <c r="N40" s="1766"/>
      <c r="O40" s="1766"/>
      <c r="P40" s="1766"/>
      <c r="Q40" s="1766"/>
      <c r="R40" s="1766"/>
      <c r="S40" s="1766"/>
      <c r="T40" s="1766"/>
      <c r="U40" s="1766"/>
      <c r="V40" s="1766"/>
      <c r="W40" s="1766"/>
      <c r="X40" s="1768"/>
      <c r="Y40" s="1808">
        <v>44858</v>
      </c>
      <c r="Z40" s="1803" t="s">
        <v>268</v>
      </c>
      <c r="AA40" s="1803">
        <v>300</v>
      </c>
      <c r="AB40" s="1803">
        <v>16</v>
      </c>
      <c r="AC40" s="1816">
        <v>0</v>
      </c>
      <c r="AD40" s="1803" t="s">
        <v>244</v>
      </c>
      <c r="AE40" s="1780">
        <v>114</v>
      </c>
      <c r="AF40" s="1803">
        <v>0</v>
      </c>
      <c r="AG40" s="1803">
        <v>0</v>
      </c>
      <c r="AH40" s="1803">
        <v>0</v>
      </c>
      <c r="AI40" s="1803" t="s">
        <v>268</v>
      </c>
      <c r="AJ40" s="1804">
        <v>2100</v>
      </c>
      <c r="AK40" s="1803">
        <v>71</v>
      </c>
      <c r="AL40" s="1803">
        <v>2</v>
      </c>
      <c r="AM40" s="1766"/>
      <c r="AN40" s="1766" t="s">
        <v>204</v>
      </c>
      <c r="AO40" s="1766"/>
      <c r="AP40" s="1768"/>
    </row>
    <row r="41" spans="1:42" ht="15" customHeight="1">
      <c r="A41" s="1772"/>
      <c r="B41" s="1808">
        <v>44859</v>
      </c>
      <c r="C41" s="1803" t="s">
        <v>268</v>
      </c>
      <c r="D41" s="1803">
        <v>100</v>
      </c>
      <c r="E41" s="1803">
        <v>1</v>
      </c>
      <c r="F41" s="1816">
        <v>0</v>
      </c>
      <c r="G41" s="1803" t="s">
        <v>244</v>
      </c>
      <c r="H41" s="1803">
        <v>3</v>
      </c>
      <c r="I41" s="1803">
        <v>0</v>
      </c>
      <c r="J41" s="1803">
        <v>0</v>
      </c>
      <c r="K41" s="1803">
        <v>8</v>
      </c>
      <c r="L41" s="1766"/>
      <c r="M41" s="1766"/>
      <c r="N41" s="1766"/>
      <c r="O41" s="1766"/>
      <c r="P41" s="1766"/>
      <c r="Q41" s="1766"/>
      <c r="R41" s="1766"/>
      <c r="S41" s="1766"/>
      <c r="T41" s="1766"/>
      <c r="U41" s="1766"/>
      <c r="V41" s="1766"/>
      <c r="W41" s="1766"/>
      <c r="X41" s="1768"/>
      <c r="Y41" s="1808">
        <v>44859</v>
      </c>
      <c r="Z41" s="1803" t="s">
        <v>268</v>
      </c>
      <c r="AA41" s="1803">
        <v>0</v>
      </c>
      <c r="AB41" s="1803">
        <v>2</v>
      </c>
      <c r="AC41" s="1816">
        <v>0</v>
      </c>
      <c r="AD41" s="1803" t="s">
        <v>244</v>
      </c>
      <c r="AE41" s="1780">
        <v>25</v>
      </c>
      <c r="AF41" s="1803">
        <v>0</v>
      </c>
      <c r="AG41" s="1803">
        <v>0</v>
      </c>
      <c r="AH41" s="1803">
        <v>0</v>
      </c>
      <c r="AI41" s="1803" t="s">
        <v>268</v>
      </c>
      <c r="AJ41" s="1803">
        <v>0</v>
      </c>
      <c r="AK41" s="1803">
        <v>0</v>
      </c>
      <c r="AL41" s="1803">
        <v>0</v>
      </c>
      <c r="AM41" s="1766"/>
      <c r="AN41" s="1766"/>
      <c r="AO41" s="1766"/>
      <c r="AP41" s="1768"/>
    </row>
    <row r="42" spans="1:42" ht="15" customHeight="1">
      <c r="A42" s="1772"/>
      <c r="B42" s="1808">
        <v>44860</v>
      </c>
      <c r="C42" s="1803" t="s">
        <v>268</v>
      </c>
      <c r="D42" s="1803">
        <v>0</v>
      </c>
      <c r="E42" s="1803">
        <v>0</v>
      </c>
      <c r="F42" s="1816">
        <v>0</v>
      </c>
      <c r="G42" s="1803" t="s">
        <v>244</v>
      </c>
      <c r="H42" s="1803">
        <v>100</v>
      </c>
      <c r="I42" s="1803">
        <v>0</v>
      </c>
      <c r="J42" s="1803">
        <v>0</v>
      </c>
      <c r="K42" s="1803">
        <v>0</v>
      </c>
      <c r="L42" s="1766"/>
      <c r="M42" s="1766"/>
      <c r="N42" s="1766"/>
      <c r="O42" s="1766"/>
      <c r="P42" s="1766"/>
      <c r="Q42" s="1766"/>
      <c r="R42" s="1766"/>
      <c r="S42" s="1766"/>
      <c r="T42" s="1766"/>
      <c r="U42" s="1766"/>
      <c r="V42" s="1766"/>
      <c r="W42" s="1766"/>
      <c r="X42" s="1768"/>
      <c r="Y42" s="1808">
        <v>44860</v>
      </c>
      <c r="Z42" s="1803" t="s">
        <v>268</v>
      </c>
      <c r="AA42" s="1803">
        <v>0</v>
      </c>
      <c r="AB42" s="1803">
        <v>0</v>
      </c>
      <c r="AC42" s="1816">
        <v>0</v>
      </c>
      <c r="AD42" s="1803" t="s">
        <v>244</v>
      </c>
      <c r="AE42" s="1780">
        <v>54</v>
      </c>
      <c r="AF42" s="1803">
        <v>0</v>
      </c>
      <c r="AG42" s="1803">
        <v>0</v>
      </c>
      <c r="AH42" s="1803">
        <v>0</v>
      </c>
      <c r="AI42" s="1803" t="s">
        <v>268</v>
      </c>
      <c r="AJ42" s="1803">
        <v>200</v>
      </c>
      <c r="AK42" s="1803">
        <v>6</v>
      </c>
      <c r="AL42" s="1803">
        <v>0</v>
      </c>
      <c r="AM42" s="1766"/>
      <c r="AN42" s="1766"/>
      <c r="AO42" s="1766"/>
      <c r="AP42" s="1768"/>
    </row>
    <row r="43" spans="1:42" ht="15" customHeight="1">
      <c r="A43" s="1772"/>
      <c r="B43" s="1808">
        <v>44861</v>
      </c>
      <c r="C43" s="1803" t="s">
        <v>268</v>
      </c>
      <c r="D43" s="1803">
        <v>0</v>
      </c>
      <c r="E43" s="1803">
        <v>1</v>
      </c>
      <c r="F43" s="1816">
        <v>0</v>
      </c>
      <c r="G43" s="1803" t="s">
        <v>244</v>
      </c>
      <c r="H43" s="1803">
        <v>0</v>
      </c>
      <c r="I43" s="1803">
        <v>0</v>
      </c>
      <c r="J43" s="1803">
        <v>0</v>
      </c>
      <c r="K43" s="1803">
        <v>3</v>
      </c>
      <c r="L43" s="1766"/>
      <c r="M43" s="1766"/>
      <c r="N43" s="1766"/>
      <c r="O43" s="1766"/>
      <c r="P43" s="1766"/>
      <c r="Q43" s="1766"/>
      <c r="R43" s="1766"/>
      <c r="S43" s="1766"/>
      <c r="T43" s="1766"/>
      <c r="U43" s="1766"/>
      <c r="V43" s="1766"/>
      <c r="W43" s="1766"/>
      <c r="X43" s="1768"/>
      <c r="Y43" s="1808">
        <v>44861</v>
      </c>
      <c r="Z43" s="1803" t="s">
        <v>268</v>
      </c>
      <c r="AA43" s="1803">
        <v>200</v>
      </c>
      <c r="AB43" s="1803">
        <v>4</v>
      </c>
      <c r="AC43" s="1816">
        <v>0</v>
      </c>
      <c r="AD43" s="1803" t="s">
        <v>244</v>
      </c>
      <c r="AE43" s="1780">
        <v>0</v>
      </c>
      <c r="AF43" s="1803">
        <v>0</v>
      </c>
      <c r="AG43" s="1803">
        <v>0</v>
      </c>
      <c r="AH43" s="1803">
        <v>1</v>
      </c>
      <c r="AI43" s="1803" t="s">
        <v>268</v>
      </c>
      <c r="AJ43" s="1803">
        <v>700</v>
      </c>
      <c r="AK43" s="1803">
        <v>22</v>
      </c>
      <c r="AL43" s="1803">
        <v>0</v>
      </c>
      <c r="AM43" s="1766"/>
      <c r="AN43" s="1766"/>
      <c r="AO43" s="1766"/>
      <c r="AP43" s="1768"/>
    </row>
    <row r="44" spans="1:42" ht="15" customHeight="1">
      <c r="A44" s="1772"/>
      <c r="B44" s="1808">
        <v>44862</v>
      </c>
      <c r="C44" s="1803" t="s">
        <v>268</v>
      </c>
      <c r="D44" s="1803">
        <v>100</v>
      </c>
      <c r="E44" s="1803">
        <v>0</v>
      </c>
      <c r="F44" s="1816">
        <v>0</v>
      </c>
      <c r="G44" s="1803" t="s">
        <v>244</v>
      </c>
      <c r="H44" s="1803">
        <v>80</v>
      </c>
      <c r="I44" s="1803">
        <v>0</v>
      </c>
      <c r="J44" s="1803">
        <v>0</v>
      </c>
      <c r="K44" s="1803">
        <v>0</v>
      </c>
      <c r="L44" s="1766"/>
      <c r="M44" s="1766"/>
      <c r="N44" s="1766"/>
      <c r="O44" s="1766"/>
      <c r="P44" s="1766"/>
      <c r="Q44" s="1766"/>
      <c r="R44" s="1766"/>
      <c r="S44" s="1766"/>
      <c r="T44" s="1766"/>
      <c r="U44" s="1766"/>
      <c r="V44" s="1766"/>
      <c r="W44" s="1766"/>
      <c r="X44" s="1768"/>
      <c r="Y44" s="1808">
        <v>44862</v>
      </c>
      <c r="Z44" s="1803" t="s">
        <v>268</v>
      </c>
      <c r="AA44" s="1803">
        <v>0</v>
      </c>
      <c r="AB44" s="1803">
        <v>4</v>
      </c>
      <c r="AC44" s="1816">
        <v>0</v>
      </c>
      <c r="AD44" s="1803" t="s">
        <v>244</v>
      </c>
      <c r="AE44" s="1780">
        <v>119</v>
      </c>
      <c r="AF44" s="1803">
        <v>0</v>
      </c>
      <c r="AG44" s="1803">
        <v>1</v>
      </c>
      <c r="AH44" s="1803">
        <v>0</v>
      </c>
      <c r="AI44" s="1803" t="s">
        <v>268</v>
      </c>
      <c r="AJ44" s="1803">
        <v>500</v>
      </c>
      <c r="AK44" s="1803">
        <v>8</v>
      </c>
      <c r="AL44" s="1803">
        <v>0</v>
      </c>
      <c r="AM44" s="1766"/>
      <c r="AN44" s="1766"/>
      <c r="AO44" s="1766"/>
      <c r="AP44" s="1768"/>
    </row>
    <row r="45" spans="1:42" ht="15" customHeight="1">
      <c r="A45" s="1772"/>
      <c r="B45" s="1808">
        <v>44863</v>
      </c>
      <c r="C45" s="1803" t="s">
        <v>268</v>
      </c>
      <c r="D45" s="1803">
        <v>100</v>
      </c>
      <c r="E45" s="1803">
        <v>3</v>
      </c>
      <c r="F45" s="1816">
        <v>0</v>
      </c>
      <c r="G45" s="1803" t="s">
        <v>244</v>
      </c>
      <c r="H45" s="1803">
        <v>44</v>
      </c>
      <c r="I45" s="1803">
        <v>0</v>
      </c>
      <c r="J45" s="1803">
        <v>0</v>
      </c>
      <c r="K45" s="1803">
        <v>0</v>
      </c>
      <c r="L45" s="1766"/>
      <c r="M45" s="1766"/>
      <c r="N45" s="1766"/>
      <c r="O45" s="1766"/>
      <c r="P45" s="1766"/>
      <c r="Q45" s="1766"/>
      <c r="R45" s="1766"/>
      <c r="S45" s="1766"/>
      <c r="T45" s="1766"/>
      <c r="U45" s="1766"/>
      <c r="V45" s="1766"/>
      <c r="W45" s="1766"/>
      <c r="X45" s="1768"/>
      <c r="Y45" s="1808">
        <v>44863</v>
      </c>
      <c r="Z45" s="1803" t="s">
        <v>268</v>
      </c>
      <c r="AA45" s="1803">
        <v>300</v>
      </c>
      <c r="AB45" s="1803">
        <v>2</v>
      </c>
      <c r="AC45" s="1816">
        <v>0</v>
      </c>
      <c r="AD45" s="1803" t="s">
        <v>244</v>
      </c>
      <c r="AE45" s="1780">
        <v>47</v>
      </c>
      <c r="AF45" s="1803">
        <v>0</v>
      </c>
      <c r="AG45" s="1803">
        <v>0</v>
      </c>
      <c r="AH45" s="1803">
        <v>0</v>
      </c>
      <c r="AI45" s="1803" t="s">
        <v>268</v>
      </c>
      <c r="AJ45" s="1803">
        <v>700</v>
      </c>
      <c r="AK45" s="1803">
        <v>10</v>
      </c>
      <c r="AL45" s="1803">
        <v>0</v>
      </c>
      <c r="AM45" s="1766"/>
      <c r="AN45" s="1766"/>
      <c r="AO45" s="1766"/>
      <c r="AP45" s="1768"/>
    </row>
    <row r="46" spans="1:42" ht="15" customHeight="1">
      <c r="A46" s="1772"/>
      <c r="B46" s="1808">
        <v>44864</v>
      </c>
      <c r="C46" s="1803" t="s">
        <v>268</v>
      </c>
      <c r="D46" s="1803">
        <v>100</v>
      </c>
      <c r="E46" s="1803">
        <v>0</v>
      </c>
      <c r="F46" s="1816">
        <v>0</v>
      </c>
      <c r="G46" s="1803" t="s">
        <v>244</v>
      </c>
      <c r="H46" s="1803">
        <v>100</v>
      </c>
      <c r="I46" s="1803">
        <v>0</v>
      </c>
      <c r="J46" s="1803">
        <v>0</v>
      </c>
      <c r="K46" s="1803">
        <v>1</v>
      </c>
      <c r="L46" s="1766"/>
      <c r="M46" s="1766"/>
      <c r="N46" s="1766"/>
      <c r="O46" s="1766"/>
      <c r="P46" s="1813" t="s">
        <v>308</v>
      </c>
      <c r="Q46" s="1766"/>
      <c r="R46" s="1766"/>
      <c r="S46" s="1766"/>
      <c r="T46" s="1766"/>
      <c r="U46" s="1766"/>
      <c r="V46" s="1766"/>
      <c r="W46" s="1766"/>
      <c r="X46" s="1768"/>
      <c r="Y46" s="1808">
        <v>44864</v>
      </c>
      <c r="Z46" s="1803" t="s">
        <v>268</v>
      </c>
      <c r="AA46" s="1803">
        <v>0</v>
      </c>
      <c r="AB46" s="1803">
        <v>4</v>
      </c>
      <c r="AC46" s="1816">
        <v>0</v>
      </c>
      <c r="AD46" s="1803" t="s">
        <v>244</v>
      </c>
      <c r="AE46" s="1780">
        <v>150</v>
      </c>
      <c r="AF46" s="1803">
        <v>0</v>
      </c>
      <c r="AG46" s="1803">
        <v>0</v>
      </c>
      <c r="AH46" s="1803">
        <v>0</v>
      </c>
      <c r="AI46" s="1803" t="s">
        <v>268</v>
      </c>
      <c r="AJ46" s="1803">
        <v>500</v>
      </c>
      <c r="AK46" s="1803">
        <v>16</v>
      </c>
      <c r="AL46" s="1803">
        <v>1</v>
      </c>
      <c r="AM46" s="1766"/>
      <c r="AN46" s="1766"/>
      <c r="AO46" s="1766"/>
      <c r="AP46" s="1768"/>
    </row>
    <row r="47" spans="1:42" ht="15.75" customHeight="1">
      <c r="A47" s="1772"/>
      <c r="B47" s="1808">
        <v>44865</v>
      </c>
      <c r="C47" s="1803" t="s">
        <v>268</v>
      </c>
      <c r="D47" s="1803">
        <v>100</v>
      </c>
      <c r="E47" s="1803">
        <v>0</v>
      </c>
      <c r="F47" s="1816">
        <v>0</v>
      </c>
      <c r="G47" s="1803" t="s">
        <v>244</v>
      </c>
      <c r="H47" s="1803">
        <v>30</v>
      </c>
      <c r="I47" s="1803">
        <v>0</v>
      </c>
      <c r="J47" s="1803">
        <v>1</v>
      </c>
      <c r="K47" s="1803">
        <v>0</v>
      </c>
      <c r="L47" s="1766"/>
      <c r="M47" s="1766"/>
      <c r="N47" s="1766"/>
      <c r="O47" s="1766"/>
      <c r="P47" s="1220" t="s">
        <v>246</v>
      </c>
      <c r="Q47" s="1766"/>
      <c r="R47" s="1766"/>
      <c r="S47" s="1766"/>
      <c r="T47" s="1766"/>
      <c r="U47" s="1766"/>
      <c r="V47" s="1766"/>
      <c r="W47" s="1766"/>
      <c r="X47" s="1768"/>
      <c r="Y47" s="1808">
        <v>44865</v>
      </c>
      <c r="Z47" s="1803" t="s">
        <v>268</v>
      </c>
      <c r="AA47" s="1803">
        <v>0</v>
      </c>
      <c r="AB47" s="1803">
        <v>0</v>
      </c>
      <c r="AC47" s="1816">
        <v>0</v>
      </c>
      <c r="AD47" s="1803" t="s">
        <v>244</v>
      </c>
      <c r="AE47" s="1780">
        <v>30</v>
      </c>
      <c r="AF47" s="1803">
        <v>0</v>
      </c>
      <c r="AG47" s="1803">
        <v>0</v>
      </c>
      <c r="AH47" s="1803">
        <v>0</v>
      </c>
      <c r="AI47" s="1803" t="s">
        <v>268</v>
      </c>
      <c r="AJ47" s="1803">
        <v>600</v>
      </c>
      <c r="AK47" s="1803">
        <v>4</v>
      </c>
      <c r="AL47" s="1803">
        <v>0</v>
      </c>
      <c r="AM47" s="1766"/>
      <c r="AN47" s="1766"/>
      <c r="AO47" s="1766"/>
      <c r="AP47" s="1768"/>
    </row>
    <row r="48" spans="1:42" ht="13.5" customHeight="1">
      <c r="A48" s="1772"/>
      <c r="B48" s="1808">
        <v>44866</v>
      </c>
      <c r="C48" s="1803" t="s">
        <v>268</v>
      </c>
      <c r="D48" s="1803">
        <v>0</v>
      </c>
      <c r="E48" s="1803">
        <v>0</v>
      </c>
      <c r="F48" s="1816">
        <v>0</v>
      </c>
      <c r="G48" s="1803" t="s">
        <v>244</v>
      </c>
      <c r="H48" s="1803">
        <v>66</v>
      </c>
      <c r="I48" s="1803">
        <v>0</v>
      </c>
      <c r="J48" s="1803">
        <v>0</v>
      </c>
      <c r="K48" s="1803">
        <v>2</v>
      </c>
      <c r="L48" s="1766"/>
      <c r="M48" s="1766"/>
      <c r="N48" s="1766"/>
      <c r="O48" s="1766"/>
      <c r="P48" s="1769"/>
      <c r="Q48" s="1769"/>
      <c r="R48" s="1769"/>
      <c r="S48" s="1769"/>
      <c r="T48" s="1766"/>
      <c r="U48" s="1766"/>
      <c r="V48" s="1766"/>
      <c r="W48" s="1766"/>
      <c r="X48" s="1768"/>
      <c r="Y48" s="1808">
        <v>44866</v>
      </c>
      <c r="Z48" s="1803" t="s">
        <v>268</v>
      </c>
      <c r="AA48" s="1803">
        <v>100</v>
      </c>
      <c r="AB48" s="1803">
        <v>1</v>
      </c>
      <c r="AC48" s="1816">
        <v>0</v>
      </c>
      <c r="AD48" s="1803" t="s">
        <v>244</v>
      </c>
      <c r="AE48" s="1780">
        <v>50</v>
      </c>
      <c r="AF48" s="1803">
        <v>0</v>
      </c>
      <c r="AG48" s="1803">
        <v>0</v>
      </c>
      <c r="AH48" s="1803">
        <v>0</v>
      </c>
      <c r="AI48" s="1803" t="s">
        <v>268</v>
      </c>
      <c r="AJ48" s="1803">
        <v>600</v>
      </c>
      <c r="AK48" s="1803">
        <v>8</v>
      </c>
      <c r="AL48" s="1803">
        <v>0</v>
      </c>
      <c r="AM48" s="1766"/>
      <c r="AN48" s="1766"/>
      <c r="AO48" s="1766"/>
      <c r="AP48" s="1768"/>
    </row>
    <row r="49" spans="1:42" ht="13.5" customHeight="1">
      <c r="A49" s="1772"/>
      <c r="B49" s="1808">
        <v>44867</v>
      </c>
      <c r="C49" s="1803" t="s">
        <v>268</v>
      </c>
      <c r="D49" s="1803">
        <v>0</v>
      </c>
      <c r="E49" s="1803">
        <v>0</v>
      </c>
      <c r="F49" s="1816">
        <v>0</v>
      </c>
      <c r="G49" s="1803" t="s">
        <v>244</v>
      </c>
      <c r="H49" s="1803">
        <v>66</v>
      </c>
      <c r="I49" s="1803">
        <v>0</v>
      </c>
      <c r="J49" s="1803">
        <v>0</v>
      </c>
      <c r="K49" s="1803">
        <v>0</v>
      </c>
      <c r="L49" s="1766"/>
      <c r="M49" s="1766"/>
      <c r="N49" s="1766"/>
      <c r="O49" s="1766"/>
      <c r="P49" s="1776" t="s">
        <v>240</v>
      </c>
      <c r="Q49" s="1776" t="s">
        <v>171</v>
      </c>
      <c r="R49" s="1776" t="s">
        <v>238</v>
      </c>
      <c r="S49" s="1776" t="s">
        <v>239</v>
      </c>
      <c r="T49" s="1766"/>
      <c r="U49" s="1766"/>
      <c r="V49" s="1766"/>
      <c r="W49" s="1766"/>
      <c r="X49" s="1768"/>
      <c r="Y49" s="1808">
        <v>44867</v>
      </c>
      <c r="Z49" s="1803" t="s">
        <v>268</v>
      </c>
      <c r="AA49" s="1803">
        <v>100</v>
      </c>
      <c r="AB49" s="1803">
        <v>1</v>
      </c>
      <c r="AC49" s="1816">
        <v>0</v>
      </c>
      <c r="AD49" s="1803" t="s">
        <v>244</v>
      </c>
      <c r="AE49" s="1780">
        <v>37</v>
      </c>
      <c r="AF49" s="1803">
        <v>0</v>
      </c>
      <c r="AG49" s="1803">
        <v>0</v>
      </c>
      <c r="AH49" s="1803">
        <v>0</v>
      </c>
      <c r="AI49" s="1803" t="s">
        <v>268</v>
      </c>
      <c r="AJ49" s="1803">
        <v>550</v>
      </c>
      <c r="AK49" s="1803">
        <v>5</v>
      </c>
      <c r="AL49" s="1803">
        <v>0</v>
      </c>
      <c r="AM49" s="1766"/>
      <c r="AN49" s="1766"/>
      <c r="AO49" s="1766"/>
      <c r="AP49" s="1768"/>
    </row>
    <row r="50" spans="1:42" ht="13.5" customHeight="1">
      <c r="A50" s="1772"/>
      <c r="B50" s="1808">
        <v>44868</v>
      </c>
      <c r="C50" s="1803" t="s">
        <v>268</v>
      </c>
      <c r="D50" s="1803">
        <v>0</v>
      </c>
      <c r="E50" s="1803">
        <v>0</v>
      </c>
      <c r="F50" s="1816">
        <v>0</v>
      </c>
      <c r="G50" s="1803" t="s">
        <v>244</v>
      </c>
      <c r="H50" s="1803">
        <v>66</v>
      </c>
      <c r="I50" s="1803">
        <v>0</v>
      </c>
      <c r="J50" s="1803">
        <v>0</v>
      </c>
      <c r="K50" s="1803">
        <v>39</v>
      </c>
      <c r="L50" s="1813" t="s">
        <v>309</v>
      </c>
      <c r="M50" s="1766"/>
      <c r="N50" s="1766"/>
      <c r="O50" s="1766"/>
      <c r="P50" s="1803" t="s">
        <v>244</v>
      </c>
      <c r="Q50" s="1804">
        <v>120000</v>
      </c>
      <c r="R50" s="1803">
        <v>800</v>
      </c>
      <c r="S50" s="1803">
        <v>120</v>
      </c>
      <c r="T50" s="1766"/>
      <c r="U50" s="1766"/>
      <c r="V50" s="1766"/>
      <c r="W50" s="1766"/>
      <c r="X50" s="1768"/>
      <c r="Y50" s="1808">
        <v>44868</v>
      </c>
      <c r="Z50" s="1803" t="s">
        <v>268</v>
      </c>
      <c r="AA50" s="1803">
        <v>100</v>
      </c>
      <c r="AB50" s="1803">
        <v>1</v>
      </c>
      <c r="AC50" s="1816">
        <v>0</v>
      </c>
      <c r="AD50" s="1803" t="s">
        <v>244</v>
      </c>
      <c r="AE50" s="1780">
        <v>40</v>
      </c>
      <c r="AF50" s="1803">
        <v>0</v>
      </c>
      <c r="AG50" s="1803">
        <v>0</v>
      </c>
      <c r="AH50" s="1803">
        <v>0</v>
      </c>
      <c r="AI50" s="1803" t="s">
        <v>268</v>
      </c>
      <c r="AJ50" s="1803">
        <v>570</v>
      </c>
      <c r="AK50" s="1803">
        <v>6</v>
      </c>
      <c r="AL50" s="1803">
        <v>0</v>
      </c>
      <c r="AM50" s="1766"/>
      <c r="AN50" s="1766"/>
      <c r="AO50" s="1766"/>
      <c r="AP50" s="1768"/>
    </row>
    <row r="51" spans="1:42" ht="13.5" customHeight="1">
      <c r="A51" s="1772"/>
      <c r="B51" s="1808">
        <v>44869</v>
      </c>
      <c r="C51" s="1803" t="s">
        <v>268</v>
      </c>
      <c r="D51" s="1803">
        <v>100</v>
      </c>
      <c r="E51" s="1803">
        <v>0</v>
      </c>
      <c r="F51" s="1816">
        <v>0</v>
      </c>
      <c r="G51" s="1803" t="s">
        <v>244</v>
      </c>
      <c r="H51" s="1803">
        <v>66</v>
      </c>
      <c r="I51" s="1803">
        <v>0</v>
      </c>
      <c r="J51" s="1803">
        <v>0</v>
      </c>
      <c r="K51" s="1803">
        <v>68</v>
      </c>
      <c r="L51" s="1220" t="s">
        <v>265</v>
      </c>
      <c r="M51" s="1766"/>
      <c r="N51" s="1766"/>
      <c r="O51" s="1766"/>
      <c r="P51" s="1803" t="s">
        <v>244</v>
      </c>
      <c r="Q51" s="1804">
        <v>100000</v>
      </c>
      <c r="R51" s="1803">
        <v>500</v>
      </c>
      <c r="S51" s="1803">
        <v>50</v>
      </c>
      <c r="T51" s="1766"/>
      <c r="U51" s="1766"/>
      <c r="V51" s="1766"/>
      <c r="W51" s="1766"/>
      <c r="X51" s="1768"/>
      <c r="Y51" s="1808">
        <v>44869</v>
      </c>
      <c r="Z51" s="1803" t="s">
        <v>268</v>
      </c>
      <c r="AA51" s="1803">
        <v>100</v>
      </c>
      <c r="AB51" s="1803">
        <v>1</v>
      </c>
      <c r="AC51" s="1816">
        <v>0</v>
      </c>
      <c r="AD51" s="1803" t="s">
        <v>244</v>
      </c>
      <c r="AE51" s="1780">
        <v>40</v>
      </c>
      <c r="AF51" s="1803">
        <v>0</v>
      </c>
      <c r="AG51" s="1803">
        <v>0</v>
      </c>
      <c r="AH51" s="1803">
        <v>0</v>
      </c>
      <c r="AI51" s="1803" t="s">
        <v>268</v>
      </c>
      <c r="AJ51" s="1803">
        <v>570</v>
      </c>
      <c r="AK51" s="1803">
        <v>6</v>
      </c>
      <c r="AL51" s="1803">
        <v>0</v>
      </c>
      <c r="AM51" s="1766"/>
      <c r="AN51" s="1766"/>
      <c r="AO51" s="1766"/>
      <c r="AP51" s="1768"/>
    </row>
    <row r="52" spans="1:42" ht="13.5" customHeight="1">
      <c r="A52" s="1772"/>
      <c r="B52" s="1808">
        <v>44870</v>
      </c>
      <c r="C52" s="1803" t="s">
        <v>268</v>
      </c>
      <c r="D52" s="1803">
        <v>0</v>
      </c>
      <c r="E52" s="1803">
        <v>2</v>
      </c>
      <c r="F52" s="1816">
        <v>0</v>
      </c>
      <c r="G52" s="1803" t="s">
        <v>244</v>
      </c>
      <c r="H52" s="1803">
        <v>0</v>
      </c>
      <c r="I52" s="1803">
        <v>0</v>
      </c>
      <c r="J52" s="1803">
        <v>0</v>
      </c>
      <c r="K52" s="1803">
        <v>14</v>
      </c>
      <c r="L52" s="1769"/>
      <c r="M52" s="1769"/>
      <c r="N52" s="1769"/>
      <c r="O52" s="1769"/>
      <c r="P52" s="1803" t="s">
        <v>244</v>
      </c>
      <c r="Q52" s="1804">
        <v>50000</v>
      </c>
      <c r="R52" s="1803">
        <v>200</v>
      </c>
      <c r="S52" s="1803">
        <v>60</v>
      </c>
      <c r="T52" s="1766"/>
      <c r="U52" s="1766"/>
      <c r="V52" s="1766"/>
      <c r="W52" s="1766"/>
      <c r="X52" s="1768"/>
      <c r="Y52" s="1808">
        <v>44870</v>
      </c>
      <c r="Z52" s="1803" t="s">
        <v>268</v>
      </c>
      <c r="AA52" s="1803">
        <v>100</v>
      </c>
      <c r="AB52" s="1803">
        <v>1</v>
      </c>
      <c r="AC52" s="1816">
        <v>0</v>
      </c>
      <c r="AD52" s="1803" t="s">
        <v>244</v>
      </c>
      <c r="AE52" s="1780">
        <v>40</v>
      </c>
      <c r="AF52" s="1803">
        <v>0</v>
      </c>
      <c r="AG52" s="1803">
        <v>0</v>
      </c>
      <c r="AH52" s="1803">
        <v>1</v>
      </c>
      <c r="AI52" s="1803" t="s">
        <v>268</v>
      </c>
      <c r="AJ52" s="1803">
        <v>570</v>
      </c>
      <c r="AK52" s="1803">
        <v>6</v>
      </c>
      <c r="AL52" s="1803">
        <v>0</v>
      </c>
      <c r="AM52" s="1766"/>
      <c r="AN52" s="1766"/>
      <c r="AO52" s="1766"/>
      <c r="AP52" s="1768"/>
    </row>
    <row r="53" spans="1:42" ht="13.5" customHeight="1">
      <c r="A53" s="1772"/>
      <c r="B53" s="1808">
        <v>44871</v>
      </c>
      <c r="C53" s="1803" t="s">
        <v>268</v>
      </c>
      <c r="D53" s="1803">
        <v>0</v>
      </c>
      <c r="E53" s="1803">
        <v>0</v>
      </c>
      <c r="F53" s="1816">
        <v>0</v>
      </c>
      <c r="G53" s="1803" t="s">
        <v>244</v>
      </c>
      <c r="H53" s="1803">
        <v>0</v>
      </c>
      <c r="I53" s="1803">
        <v>0</v>
      </c>
      <c r="J53" s="1803">
        <v>0</v>
      </c>
      <c r="K53" s="1803">
        <v>7</v>
      </c>
      <c r="L53" s="1776" t="s">
        <v>240</v>
      </c>
      <c r="M53" s="1776" t="s">
        <v>171</v>
      </c>
      <c r="N53" s="1776" t="s">
        <v>238</v>
      </c>
      <c r="O53" s="1815" t="s">
        <v>239</v>
      </c>
      <c r="P53" s="1803" t="s">
        <v>244</v>
      </c>
      <c r="Q53" s="1804">
        <v>30000</v>
      </c>
      <c r="R53" s="1803">
        <v>200</v>
      </c>
      <c r="S53" s="1803">
        <v>20</v>
      </c>
      <c r="T53" s="1766"/>
      <c r="U53" s="1766"/>
      <c r="V53" s="1766"/>
      <c r="W53" s="1766"/>
      <c r="X53" s="1768"/>
      <c r="Y53" s="1808">
        <v>44871</v>
      </c>
      <c r="Z53" s="1803" t="s">
        <v>268</v>
      </c>
      <c r="AA53" s="1803">
        <v>100</v>
      </c>
      <c r="AB53" s="1803">
        <v>1</v>
      </c>
      <c r="AC53" s="1816">
        <v>0</v>
      </c>
      <c r="AD53" s="1803" t="s">
        <v>244</v>
      </c>
      <c r="AE53" s="1780">
        <v>40</v>
      </c>
      <c r="AF53" s="1803">
        <v>0</v>
      </c>
      <c r="AG53" s="1803">
        <v>0</v>
      </c>
      <c r="AH53" s="1803">
        <v>0</v>
      </c>
      <c r="AI53" s="1803" t="s">
        <v>268</v>
      </c>
      <c r="AJ53" s="1803">
        <v>570</v>
      </c>
      <c r="AK53" s="1803">
        <v>6</v>
      </c>
      <c r="AL53" s="1803">
        <v>0</v>
      </c>
      <c r="AM53" s="1766"/>
      <c r="AN53" s="1766"/>
      <c r="AO53" s="1766"/>
      <c r="AP53" s="1768"/>
    </row>
    <row r="54" spans="1:42" ht="13.5" customHeight="1">
      <c r="A54" s="1772"/>
      <c r="B54" s="1808">
        <v>44872</v>
      </c>
      <c r="C54" s="1803" t="s">
        <v>268</v>
      </c>
      <c r="D54" s="1803">
        <v>100</v>
      </c>
      <c r="E54" s="1803">
        <v>2</v>
      </c>
      <c r="F54" s="1816">
        <v>0</v>
      </c>
      <c r="G54" s="1803" t="s">
        <v>244</v>
      </c>
      <c r="H54" s="1803">
        <v>57</v>
      </c>
      <c r="I54" s="1803">
        <v>0</v>
      </c>
      <c r="J54" s="1803">
        <v>0</v>
      </c>
      <c r="K54" s="1803">
        <v>10</v>
      </c>
      <c r="L54" s="1803" t="s">
        <v>268</v>
      </c>
      <c r="M54" s="1804">
        <v>45900</v>
      </c>
      <c r="N54" s="1804">
        <v>1599</v>
      </c>
      <c r="O54" s="1816">
        <v>132</v>
      </c>
      <c r="P54" s="1803" t="s">
        <v>244</v>
      </c>
      <c r="Q54" s="1804">
        <v>57709</v>
      </c>
      <c r="R54" s="1803">
        <v>700</v>
      </c>
      <c r="S54" s="1803">
        <v>73</v>
      </c>
      <c r="T54" s="1766"/>
      <c r="U54" s="1766"/>
      <c r="V54" s="1766"/>
      <c r="W54" s="1766"/>
      <c r="X54" s="1768"/>
      <c r="Y54" s="1808">
        <v>44872</v>
      </c>
      <c r="Z54" s="1803" t="s">
        <v>268</v>
      </c>
      <c r="AA54" s="1803">
        <v>100</v>
      </c>
      <c r="AB54" s="1803">
        <v>15</v>
      </c>
      <c r="AC54" s="1816">
        <v>0</v>
      </c>
      <c r="AD54" s="1803" t="s">
        <v>244</v>
      </c>
      <c r="AE54" s="1780">
        <v>194</v>
      </c>
      <c r="AF54" s="1803">
        <v>100</v>
      </c>
      <c r="AG54" s="1803">
        <v>1</v>
      </c>
      <c r="AH54" s="1803">
        <v>0</v>
      </c>
      <c r="AI54" s="1803" t="s">
        <v>268</v>
      </c>
      <c r="AJ54" s="1804">
        <v>2070</v>
      </c>
      <c r="AK54" s="1803">
        <v>45</v>
      </c>
      <c r="AL54" s="1803">
        <v>1</v>
      </c>
      <c r="AM54" s="1813" t="s">
        <v>289</v>
      </c>
      <c r="AN54" s="1766"/>
      <c r="AO54" s="1766"/>
      <c r="AP54" s="1768"/>
    </row>
    <row r="55" spans="1:42" ht="13.5" customHeight="1">
      <c r="A55" s="1772"/>
      <c r="B55" s="1808">
        <v>44873</v>
      </c>
      <c r="C55" s="1803" t="s">
        <v>268</v>
      </c>
      <c r="D55" s="1803">
        <v>0</v>
      </c>
      <c r="E55" s="1803">
        <v>1</v>
      </c>
      <c r="F55" s="1816">
        <v>0</v>
      </c>
      <c r="G55" s="1803" t="s">
        <v>244</v>
      </c>
      <c r="H55" s="1803">
        <v>33</v>
      </c>
      <c r="I55" s="1803">
        <v>100</v>
      </c>
      <c r="J55" s="1803">
        <v>0</v>
      </c>
      <c r="K55" s="1803">
        <v>4</v>
      </c>
      <c r="L55" s="1803" t="s">
        <v>268</v>
      </c>
      <c r="M55" s="1804">
        <v>9200</v>
      </c>
      <c r="N55" s="1803">
        <v>216</v>
      </c>
      <c r="O55" s="1816">
        <v>54</v>
      </c>
      <c r="P55" s="1803" t="s">
        <v>244</v>
      </c>
      <c r="Q55" s="1804">
        <v>11138</v>
      </c>
      <c r="R55" s="1803">
        <v>0</v>
      </c>
      <c r="S55" s="1803">
        <v>8</v>
      </c>
      <c r="T55" s="1766"/>
      <c r="U55" s="1766"/>
      <c r="V55" s="1766"/>
      <c r="W55" s="1766"/>
      <c r="X55" s="1768"/>
      <c r="Y55" s="1808">
        <v>44873</v>
      </c>
      <c r="Z55" s="1803" t="s">
        <v>268</v>
      </c>
      <c r="AA55" s="1803">
        <v>500</v>
      </c>
      <c r="AB55" s="1803">
        <v>27</v>
      </c>
      <c r="AC55" s="1816">
        <v>0</v>
      </c>
      <c r="AD55" s="1803" t="s">
        <v>244</v>
      </c>
      <c r="AE55" s="1780">
        <v>98</v>
      </c>
      <c r="AF55" s="1803">
        <v>0</v>
      </c>
      <c r="AG55" s="1803">
        <v>0</v>
      </c>
      <c r="AH55" s="1803">
        <v>0</v>
      </c>
      <c r="AI55" s="1803" t="s">
        <v>268</v>
      </c>
      <c r="AJ55" s="1804">
        <v>1000</v>
      </c>
      <c r="AK55" s="1803">
        <v>51</v>
      </c>
      <c r="AL55" s="1803">
        <v>0</v>
      </c>
      <c r="AM55" s="1220" t="s">
        <v>248</v>
      </c>
      <c r="AN55" s="1766"/>
      <c r="AO55" s="1766"/>
      <c r="AP55" s="1768"/>
    </row>
    <row r="56" spans="1:42" ht="13.5" customHeight="1">
      <c r="A56" s="1772"/>
      <c r="B56" s="1808">
        <v>44874</v>
      </c>
      <c r="C56" s="1803" t="s">
        <v>268</v>
      </c>
      <c r="D56" s="1803">
        <v>0</v>
      </c>
      <c r="E56" s="1803">
        <v>1</v>
      </c>
      <c r="F56" s="1816">
        <v>0</v>
      </c>
      <c r="G56" s="1803" t="s">
        <v>244</v>
      </c>
      <c r="H56" s="1803">
        <v>11</v>
      </c>
      <c r="I56" s="1803">
        <v>0</v>
      </c>
      <c r="J56" s="1803">
        <v>0</v>
      </c>
      <c r="K56" s="1803">
        <v>4</v>
      </c>
      <c r="L56" s="1803" t="s">
        <v>268</v>
      </c>
      <c r="M56" s="1804">
        <v>2900</v>
      </c>
      <c r="N56" s="1803">
        <v>35</v>
      </c>
      <c r="O56" s="1816">
        <v>2</v>
      </c>
      <c r="P56" s="1803" t="s">
        <v>244</v>
      </c>
      <c r="Q56" s="1804">
        <v>11153</v>
      </c>
      <c r="R56" s="1803">
        <v>0</v>
      </c>
      <c r="S56" s="1803">
        <v>8</v>
      </c>
      <c r="T56" s="1766"/>
      <c r="U56" s="1766"/>
      <c r="V56" s="1766"/>
      <c r="W56" s="1766"/>
      <c r="X56" s="1768"/>
      <c r="Y56" s="1808">
        <v>44874</v>
      </c>
      <c r="Z56" s="1803" t="s">
        <v>268</v>
      </c>
      <c r="AA56" s="1803">
        <v>0</v>
      </c>
      <c r="AB56" s="1803">
        <v>2</v>
      </c>
      <c r="AC56" s="1816">
        <v>0</v>
      </c>
      <c r="AD56" s="1803" t="s">
        <v>244</v>
      </c>
      <c r="AE56" s="1780">
        <v>11</v>
      </c>
      <c r="AF56" s="1803">
        <v>0</v>
      </c>
      <c r="AG56" s="1803">
        <v>0</v>
      </c>
      <c r="AH56" s="1803">
        <v>0</v>
      </c>
      <c r="AI56" s="1803" t="s">
        <v>268</v>
      </c>
      <c r="AJ56" s="1803">
        <v>300</v>
      </c>
      <c r="AK56" s="1803">
        <v>27</v>
      </c>
      <c r="AL56" s="1803">
        <v>0</v>
      </c>
      <c r="AM56" s="1769"/>
      <c r="AN56" s="1769"/>
      <c r="AO56" s="1769"/>
      <c r="AP56" s="1771"/>
    </row>
    <row r="57" spans="1:42" ht="13.5" customHeight="1">
      <c r="A57" s="1772"/>
      <c r="B57" s="1808">
        <v>44875</v>
      </c>
      <c r="C57" s="1803" t="s">
        <v>268</v>
      </c>
      <c r="D57" s="1803">
        <v>0</v>
      </c>
      <c r="E57" s="1803">
        <v>0</v>
      </c>
      <c r="F57" s="1816">
        <v>0</v>
      </c>
      <c r="G57" s="1803" t="s">
        <v>244</v>
      </c>
      <c r="H57" s="1803">
        <v>24</v>
      </c>
      <c r="I57" s="1803">
        <v>0</v>
      </c>
      <c r="J57" s="1803">
        <v>0</v>
      </c>
      <c r="K57" s="1803">
        <v>2</v>
      </c>
      <c r="L57" s="1803" t="s">
        <v>268</v>
      </c>
      <c r="M57" s="1804">
        <v>2900</v>
      </c>
      <c r="N57" s="1803">
        <v>40</v>
      </c>
      <c r="O57" s="1816">
        <v>4</v>
      </c>
      <c r="P57" s="1803" t="s">
        <v>244</v>
      </c>
      <c r="Q57" s="1804">
        <v>10000</v>
      </c>
      <c r="R57" s="1803">
        <v>0</v>
      </c>
      <c r="S57" s="1803">
        <v>8</v>
      </c>
      <c r="T57" s="1766"/>
      <c r="U57" s="1766"/>
      <c r="V57" s="1766"/>
      <c r="W57" s="1766"/>
      <c r="X57" s="1768"/>
      <c r="Y57" s="1808">
        <v>44875</v>
      </c>
      <c r="Z57" s="1803" t="s">
        <v>268</v>
      </c>
      <c r="AA57" s="1803">
        <v>0</v>
      </c>
      <c r="AB57" s="1803">
        <v>6</v>
      </c>
      <c r="AC57" s="1816">
        <v>0</v>
      </c>
      <c r="AD57" s="1803" t="s">
        <v>244</v>
      </c>
      <c r="AE57" s="1780">
        <v>20</v>
      </c>
      <c r="AF57" s="1803">
        <v>0</v>
      </c>
      <c r="AG57" s="1803">
        <v>0</v>
      </c>
      <c r="AH57" s="1803">
        <v>0</v>
      </c>
      <c r="AI57" s="1803" t="s">
        <v>268</v>
      </c>
      <c r="AJ57" s="1803">
        <v>400</v>
      </c>
      <c r="AK57" s="1803">
        <v>0</v>
      </c>
      <c r="AL57" s="1803">
        <v>0</v>
      </c>
      <c r="AM57" s="1776" t="s">
        <v>240</v>
      </c>
      <c r="AN57" s="1776" t="s">
        <v>171</v>
      </c>
      <c r="AO57" s="1776" t="s">
        <v>238</v>
      </c>
      <c r="AP57" s="1776" t="s">
        <v>239</v>
      </c>
    </row>
    <row r="58" spans="1:42" ht="13.5" customHeight="1">
      <c r="A58" s="1772"/>
      <c r="B58" s="1808">
        <v>44876</v>
      </c>
      <c r="C58" s="1803" t="s">
        <v>268</v>
      </c>
      <c r="D58" s="1803">
        <v>0</v>
      </c>
      <c r="E58" s="1803">
        <v>0</v>
      </c>
      <c r="F58" s="1816">
        <v>0</v>
      </c>
      <c r="G58" s="1803" t="s">
        <v>244</v>
      </c>
      <c r="H58" s="1803">
        <v>24</v>
      </c>
      <c r="I58" s="1803">
        <v>0</v>
      </c>
      <c r="J58" s="1803">
        <v>0</v>
      </c>
      <c r="K58" s="1803">
        <v>2</v>
      </c>
      <c r="L58" s="1803" t="s">
        <v>268</v>
      </c>
      <c r="M58" s="1803">
        <v>600</v>
      </c>
      <c r="N58" s="1803">
        <v>30</v>
      </c>
      <c r="O58" s="1816">
        <v>3</v>
      </c>
      <c r="P58" s="1803" t="s">
        <v>244</v>
      </c>
      <c r="Q58" s="1804">
        <v>3000</v>
      </c>
      <c r="R58" s="1803">
        <v>0</v>
      </c>
      <c r="S58" s="1803">
        <v>3</v>
      </c>
      <c r="T58" s="1813" t="s">
        <v>310</v>
      </c>
      <c r="U58" s="1766"/>
      <c r="V58" s="1766"/>
      <c r="W58" s="1766"/>
      <c r="X58" s="1768"/>
      <c r="Y58" s="1808">
        <v>44876</v>
      </c>
      <c r="Z58" s="1803" t="s">
        <v>268</v>
      </c>
      <c r="AA58" s="1803">
        <v>0</v>
      </c>
      <c r="AB58" s="1803">
        <v>5</v>
      </c>
      <c r="AC58" s="1816">
        <v>0</v>
      </c>
      <c r="AD58" s="1803" t="s">
        <v>244</v>
      </c>
      <c r="AE58" s="1780">
        <v>50</v>
      </c>
      <c r="AF58" s="1803">
        <v>0</v>
      </c>
      <c r="AG58" s="1803">
        <v>0</v>
      </c>
      <c r="AH58" s="1785">
        <v>120</v>
      </c>
      <c r="AI58" s="1803" t="s">
        <v>268</v>
      </c>
      <c r="AJ58" s="1803">
        <v>400</v>
      </c>
      <c r="AK58" s="1803">
        <v>10</v>
      </c>
      <c r="AL58" s="1803">
        <v>0</v>
      </c>
      <c r="AM58" s="1803" t="s">
        <v>244</v>
      </c>
      <c r="AN58" s="1804">
        <v>8200</v>
      </c>
      <c r="AO58" s="1803">
        <v>700</v>
      </c>
      <c r="AP58" s="1803">
        <v>48</v>
      </c>
    </row>
    <row r="59" spans="1:42" ht="13.5" customHeight="1">
      <c r="A59" s="1772"/>
      <c r="B59" s="1808">
        <v>44877</v>
      </c>
      <c r="C59" s="1803" t="s">
        <v>268</v>
      </c>
      <c r="D59" s="1803">
        <v>0</v>
      </c>
      <c r="E59" s="1803">
        <v>0</v>
      </c>
      <c r="F59" s="1816">
        <v>0</v>
      </c>
      <c r="G59" s="1803" t="s">
        <v>244</v>
      </c>
      <c r="H59" s="1803">
        <v>24</v>
      </c>
      <c r="I59" s="1803">
        <v>0</v>
      </c>
      <c r="J59" s="1803">
        <v>0</v>
      </c>
      <c r="K59" s="1803">
        <v>3</v>
      </c>
      <c r="L59" s="1803" t="s">
        <v>268</v>
      </c>
      <c r="M59" s="1803">
        <v>500</v>
      </c>
      <c r="N59" s="1803">
        <v>50</v>
      </c>
      <c r="O59" s="1816">
        <v>2</v>
      </c>
      <c r="P59" s="1803" t="s">
        <v>244</v>
      </c>
      <c r="Q59" s="1804">
        <v>3000</v>
      </c>
      <c r="R59" s="1803">
        <v>0</v>
      </c>
      <c r="S59" s="1803">
        <v>3</v>
      </c>
      <c r="T59" s="1220" t="s">
        <v>285</v>
      </c>
      <c r="U59" s="1766"/>
      <c r="V59" s="1766"/>
      <c r="W59" s="1766"/>
      <c r="X59" s="1768"/>
      <c r="Y59" s="1808">
        <v>44877</v>
      </c>
      <c r="Z59" s="1803" t="s">
        <v>268</v>
      </c>
      <c r="AA59" s="1803">
        <v>0</v>
      </c>
      <c r="AB59" s="1803">
        <v>5</v>
      </c>
      <c r="AC59" s="1816">
        <v>0</v>
      </c>
      <c r="AD59" s="1803" t="s">
        <v>244</v>
      </c>
      <c r="AE59" s="1780">
        <v>100</v>
      </c>
      <c r="AF59" s="1803">
        <v>0</v>
      </c>
      <c r="AG59" s="1803">
        <v>0</v>
      </c>
      <c r="AH59" s="1785">
        <v>76</v>
      </c>
      <c r="AI59" s="1803" t="s">
        <v>268</v>
      </c>
      <c r="AJ59" s="1803">
        <v>200</v>
      </c>
      <c r="AK59" s="1803">
        <v>10</v>
      </c>
      <c r="AL59" s="1803">
        <v>0</v>
      </c>
      <c r="AM59" s="1803" t="s">
        <v>244</v>
      </c>
      <c r="AN59" s="1804">
        <v>1400</v>
      </c>
      <c r="AO59" s="1803">
        <v>100</v>
      </c>
      <c r="AP59" s="1803">
        <v>1</v>
      </c>
    </row>
    <row r="60" spans="1:42" ht="13.5" customHeight="1">
      <c r="A60" s="1772"/>
      <c r="B60" s="1808">
        <v>44878</v>
      </c>
      <c r="C60" s="1803" t="s">
        <v>268</v>
      </c>
      <c r="D60" s="1803">
        <v>200</v>
      </c>
      <c r="E60" s="1803">
        <v>0</v>
      </c>
      <c r="F60" s="1816">
        <v>0</v>
      </c>
      <c r="G60" s="1803" t="s">
        <v>244</v>
      </c>
      <c r="H60" s="1803">
        <v>79</v>
      </c>
      <c r="I60" s="1803">
        <v>0</v>
      </c>
      <c r="J60" s="1803">
        <v>1</v>
      </c>
      <c r="K60" s="1803">
        <v>2</v>
      </c>
      <c r="L60" s="1803" t="s">
        <v>268</v>
      </c>
      <c r="M60" s="1804">
        <v>1300</v>
      </c>
      <c r="N60" s="1803">
        <v>29</v>
      </c>
      <c r="O60" s="1816">
        <v>19</v>
      </c>
      <c r="P60" s="1803" t="s">
        <v>244</v>
      </c>
      <c r="Q60" s="1804">
        <v>2190</v>
      </c>
      <c r="R60" s="1803">
        <v>100</v>
      </c>
      <c r="S60" s="1803">
        <v>2</v>
      </c>
      <c r="T60" s="1769"/>
      <c r="U60" s="1769"/>
      <c r="V60" s="1769"/>
      <c r="W60" s="1769"/>
      <c r="X60" s="1768"/>
      <c r="Y60" s="1808">
        <v>44878</v>
      </c>
      <c r="Z60" s="1803" t="s">
        <v>268</v>
      </c>
      <c r="AA60" s="1804">
        <v>1100</v>
      </c>
      <c r="AB60" s="1803">
        <v>7</v>
      </c>
      <c r="AC60" s="1816">
        <v>0</v>
      </c>
      <c r="AD60" s="1803" t="s">
        <v>244</v>
      </c>
      <c r="AE60" s="1780">
        <v>72</v>
      </c>
      <c r="AF60" s="1803">
        <v>0</v>
      </c>
      <c r="AG60" s="1803">
        <v>0</v>
      </c>
      <c r="AH60" s="1785">
        <v>17</v>
      </c>
      <c r="AI60" s="1803" t="s">
        <v>268</v>
      </c>
      <c r="AJ60" s="1803">
        <v>500</v>
      </c>
      <c r="AK60" s="1803">
        <v>6</v>
      </c>
      <c r="AL60" s="1803">
        <v>0</v>
      </c>
      <c r="AM60" s="1803" t="s">
        <v>244</v>
      </c>
      <c r="AN60" s="1804">
        <v>1738</v>
      </c>
      <c r="AO60" s="1803">
        <v>200</v>
      </c>
      <c r="AP60" s="1803">
        <v>4</v>
      </c>
    </row>
    <row r="61" spans="1:42" ht="13.5" customHeight="1">
      <c r="A61" s="1772"/>
      <c r="B61" s="1808">
        <v>44879</v>
      </c>
      <c r="C61" s="1803" t="s">
        <v>268</v>
      </c>
      <c r="D61" s="1803">
        <v>0</v>
      </c>
      <c r="E61" s="1803">
        <v>0</v>
      </c>
      <c r="F61" s="1816">
        <v>0</v>
      </c>
      <c r="G61" s="1803" t="s">
        <v>244</v>
      </c>
      <c r="H61" s="1803">
        <v>25</v>
      </c>
      <c r="I61" s="1803">
        <v>0</v>
      </c>
      <c r="J61" s="1803">
        <v>0</v>
      </c>
      <c r="K61" s="1803">
        <v>2</v>
      </c>
      <c r="L61" s="1803" t="s">
        <v>268</v>
      </c>
      <c r="M61" s="1803">
        <v>600</v>
      </c>
      <c r="N61" s="1803">
        <v>10</v>
      </c>
      <c r="O61" s="1816">
        <v>1</v>
      </c>
      <c r="P61" s="1803" t="s">
        <v>244</v>
      </c>
      <c r="Q61" s="1803">
        <v>138</v>
      </c>
      <c r="R61" s="1803">
        <v>100</v>
      </c>
      <c r="S61" s="1803">
        <v>0</v>
      </c>
      <c r="T61" s="1776" t="s">
        <v>240</v>
      </c>
      <c r="U61" s="1776" t="s">
        <v>171</v>
      </c>
      <c r="V61" s="1776" t="s">
        <v>238</v>
      </c>
      <c r="W61" s="1815" t="s">
        <v>239</v>
      </c>
      <c r="X61" s="1768"/>
      <c r="Y61" s="1808">
        <v>44879</v>
      </c>
      <c r="Z61" s="1803" t="s">
        <v>268</v>
      </c>
      <c r="AA61" s="1803">
        <v>0</v>
      </c>
      <c r="AB61" s="1803">
        <v>2</v>
      </c>
      <c r="AC61" s="1816">
        <v>0</v>
      </c>
      <c r="AD61" s="1803" t="s">
        <v>244</v>
      </c>
      <c r="AE61" s="1780">
        <v>28</v>
      </c>
      <c r="AF61" s="1803">
        <v>0</v>
      </c>
      <c r="AG61" s="1803">
        <v>0</v>
      </c>
      <c r="AH61" s="1785">
        <v>32</v>
      </c>
      <c r="AI61" s="1803" t="s">
        <v>268</v>
      </c>
      <c r="AJ61" s="1803">
        <v>200</v>
      </c>
      <c r="AK61" s="1803">
        <v>4</v>
      </c>
      <c r="AL61" s="1803">
        <v>0</v>
      </c>
      <c r="AM61" s="1803" t="s">
        <v>244</v>
      </c>
      <c r="AN61" s="1803">
        <v>603</v>
      </c>
      <c r="AO61" s="1803">
        <v>0</v>
      </c>
      <c r="AP61" s="1803">
        <v>0</v>
      </c>
    </row>
    <row r="62" spans="1:42" ht="13.5" customHeight="1">
      <c r="A62" s="1772"/>
      <c r="B62" s="1808">
        <v>44880</v>
      </c>
      <c r="C62" s="1803" t="s">
        <v>268</v>
      </c>
      <c r="D62" s="1803">
        <v>0</v>
      </c>
      <c r="E62" s="1803">
        <v>0</v>
      </c>
      <c r="F62" s="1816">
        <v>0</v>
      </c>
      <c r="G62" s="1803" t="s">
        <v>244</v>
      </c>
      <c r="H62" s="1803">
        <v>35</v>
      </c>
      <c r="I62" s="1803">
        <v>0</v>
      </c>
      <c r="J62" s="1803">
        <v>0</v>
      </c>
      <c r="K62" s="1817">
        <v>1157</v>
      </c>
      <c r="L62" s="1803" t="s">
        <v>268</v>
      </c>
      <c r="M62" s="1803">
        <v>600</v>
      </c>
      <c r="N62" s="1803">
        <v>14</v>
      </c>
      <c r="O62" s="1816">
        <v>0</v>
      </c>
      <c r="P62" s="1803" t="s">
        <v>244</v>
      </c>
      <c r="Q62" s="1803">
        <v>179</v>
      </c>
      <c r="R62" s="1803">
        <v>0</v>
      </c>
      <c r="S62" s="1803">
        <v>0</v>
      </c>
      <c r="T62" s="1803" t="s">
        <v>268</v>
      </c>
      <c r="U62" s="1804">
        <v>90000</v>
      </c>
      <c r="V62" s="1804">
        <v>4000</v>
      </c>
      <c r="W62" s="1803">
        <v>100</v>
      </c>
      <c r="X62" s="1768"/>
      <c r="Y62" s="1808">
        <v>44880</v>
      </c>
      <c r="Z62" s="1803" t="s">
        <v>268</v>
      </c>
      <c r="AA62" s="1803">
        <v>100</v>
      </c>
      <c r="AB62" s="1803">
        <v>4</v>
      </c>
      <c r="AC62" s="1816">
        <v>0</v>
      </c>
      <c r="AD62" s="1803" t="s">
        <v>244</v>
      </c>
      <c r="AE62" s="1780">
        <v>58</v>
      </c>
      <c r="AF62" s="1803">
        <v>0</v>
      </c>
      <c r="AG62" s="1803">
        <v>0</v>
      </c>
      <c r="AH62" s="1785">
        <v>10</v>
      </c>
      <c r="AI62" s="1803" t="s">
        <v>268</v>
      </c>
      <c r="AJ62" s="1803">
        <v>100</v>
      </c>
      <c r="AK62" s="1803">
        <v>4</v>
      </c>
      <c r="AL62" s="1803">
        <v>0</v>
      </c>
      <c r="AM62" s="1803" t="s">
        <v>244</v>
      </c>
      <c r="AN62" s="1803">
        <v>743</v>
      </c>
      <c r="AO62" s="1803">
        <v>100</v>
      </c>
      <c r="AP62" s="1803">
        <v>0</v>
      </c>
    </row>
    <row r="63" spans="1:42" ht="13.5" customHeight="1">
      <c r="A63" s="1772"/>
      <c r="B63" s="1808">
        <v>44881</v>
      </c>
      <c r="C63" s="1803" t="s">
        <v>268</v>
      </c>
      <c r="D63" s="1803">
        <v>100</v>
      </c>
      <c r="E63" s="1803">
        <v>1</v>
      </c>
      <c r="F63" s="1816">
        <v>0</v>
      </c>
      <c r="G63" s="1803" t="s">
        <v>244</v>
      </c>
      <c r="H63" s="1803">
        <v>23</v>
      </c>
      <c r="I63" s="1803">
        <v>0</v>
      </c>
      <c r="J63" s="1803">
        <v>0</v>
      </c>
      <c r="K63" s="1817">
        <v>1316</v>
      </c>
      <c r="L63" s="1803" t="s">
        <v>268</v>
      </c>
      <c r="M63" s="1803">
        <v>400</v>
      </c>
      <c r="N63" s="1803">
        <v>8</v>
      </c>
      <c r="O63" s="1816">
        <v>0</v>
      </c>
      <c r="P63" s="1803" t="s">
        <v>244</v>
      </c>
      <c r="Q63" s="1803">
        <v>367</v>
      </c>
      <c r="R63" s="1803">
        <v>0</v>
      </c>
      <c r="S63" s="1803">
        <v>0</v>
      </c>
      <c r="T63" s="1803" t="s">
        <v>268</v>
      </c>
      <c r="U63" s="1804">
        <v>115000</v>
      </c>
      <c r="V63" s="1804">
        <v>3694</v>
      </c>
      <c r="W63" s="1804">
        <v>1500</v>
      </c>
      <c r="X63" s="1768"/>
      <c r="Y63" s="1808">
        <v>44881</v>
      </c>
      <c r="Z63" s="1803" t="s">
        <v>268</v>
      </c>
      <c r="AA63" s="1803">
        <v>100</v>
      </c>
      <c r="AB63" s="1803">
        <v>2</v>
      </c>
      <c r="AC63" s="1816">
        <v>0</v>
      </c>
      <c r="AD63" s="1803" t="s">
        <v>244</v>
      </c>
      <c r="AE63" s="1780">
        <v>79</v>
      </c>
      <c r="AF63" s="1803">
        <v>0</v>
      </c>
      <c r="AG63" s="1803">
        <v>0</v>
      </c>
      <c r="AH63" s="1785">
        <v>7</v>
      </c>
      <c r="AI63" s="1803" t="s">
        <v>268</v>
      </c>
      <c r="AJ63" s="1803">
        <v>200</v>
      </c>
      <c r="AK63" s="1803">
        <v>4</v>
      </c>
      <c r="AL63" s="1803">
        <v>0</v>
      </c>
      <c r="AM63" s="1803" t="s">
        <v>244</v>
      </c>
      <c r="AN63" s="1803">
        <v>383</v>
      </c>
      <c r="AO63" s="1803">
        <v>0</v>
      </c>
      <c r="AP63" s="1803">
        <v>0</v>
      </c>
    </row>
    <row r="64" spans="1:42" ht="13.5" customHeight="1">
      <c r="A64" s="1772"/>
      <c r="B64" s="1808">
        <v>44882</v>
      </c>
      <c r="C64" s="1803" t="s">
        <v>268</v>
      </c>
      <c r="D64" s="1803">
        <v>0</v>
      </c>
      <c r="E64" s="1803">
        <v>1</v>
      </c>
      <c r="F64" s="1816">
        <v>0</v>
      </c>
      <c r="G64" s="1803" t="s">
        <v>244</v>
      </c>
      <c r="H64" s="1803">
        <v>28</v>
      </c>
      <c r="I64" s="1803">
        <v>0</v>
      </c>
      <c r="J64" s="1803">
        <v>0</v>
      </c>
      <c r="K64" s="1780">
        <v>92</v>
      </c>
      <c r="L64" s="1803" t="s">
        <v>268</v>
      </c>
      <c r="M64" s="1803">
        <v>300</v>
      </c>
      <c r="N64" s="1803">
        <v>7</v>
      </c>
      <c r="O64" s="1816">
        <v>1</v>
      </c>
      <c r="P64" s="1803" t="s">
        <v>244</v>
      </c>
      <c r="Q64" s="1803">
        <v>294</v>
      </c>
      <c r="R64" s="1803">
        <v>0</v>
      </c>
      <c r="S64" s="1803">
        <v>1</v>
      </c>
      <c r="T64" s="1803" t="s">
        <v>268</v>
      </c>
      <c r="U64" s="1804">
        <v>31000</v>
      </c>
      <c r="V64" s="1803">
        <v>891</v>
      </c>
      <c r="W64" s="1803">
        <v>352</v>
      </c>
      <c r="X64" s="1768"/>
      <c r="Y64" s="1808">
        <v>44882</v>
      </c>
      <c r="Z64" s="1803" t="s">
        <v>268</v>
      </c>
      <c r="AA64" s="1803">
        <v>0</v>
      </c>
      <c r="AB64" s="1803">
        <v>0</v>
      </c>
      <c r="AC64" s="1816">
        <v>0</v>
      </c>
      <c r="AD64" s="1803" t="s">
        <v>244</v>
      </c>
      <c r="AE64" s="1780">
        <v>40</v>
      </c>
      <c r="AF64" s="1803">
        <v>0</v>
      </c>
      <c r="AG64" s="1803">
        <v>0</v>
      </c>
      <c r="AH64" s="1780">
        <v>3</v>
      </c>
      <c r="AI64" s="1803" t="s">
        <v>268</v>
      </c>
      <c r="AJ64" s="1803">
        <v>0</v>
      </c>
      <c r="AK64" s="1803">
        <v>2</v>
      </c>
      <c r="AL64" s="1803">
        <v>0</v>
      </c>
      <c r="AM64" s="1803" t="s">
        <v>244</v>
      </c>
      <c r="AN64" s="1803">
        <v>239</v>
      </c>
      <c r="AO64" s="1803">
        <v>0</v>
      </c>
      <c r="AP64" s="1803">
        <v>0</v>
      </c>
    </row>
    <row r="65" spans="1:42" ht="13.5" customHeight="1">
      <c r="A65" s="1772"/>
      <c r="B65" s="1808">
        <v>44883</v>
      </c>
      <c r="C65" s="1803" t="s">
        <v>268</v>
      </c>
      <c r="D65" s="1803">
        <v>0</v>
      </c>
      <c r="E65" s="1803">
        <v>0</v>
      </c>
      <c r="F65" s="1816">
        <v>0</v>
      </c>
      <c r="G65" s="1803" t="s">
        <v>244</v>
      </c>
      <c r="H65" s="1803">
        <v>38</v>
      </c>
      <c r="I65" s="1803">
        <v>0</v>
      </c>
      <c r="J65" s="1803">
        <v>0</v>
      </c>
      <c r="K65" s="1780">
        <v>32</v>
      </c>
      <c r="L65" s="1803" t="s">
        <v>268</v>
      </c>
      <c r="M65" s="1803">
        <v>200</v>
      </c>
      <c r="N65" s="1803">
        <v>2</v>
      </c>
      <c r="O65" s="1816">
        <v>0</v>
      </c>
      <c r="P65" s="1803" t="s">
        <v>244</v>
      </c>
      <c r="Q65" s="1803">
        <v>92</v>
      </c>
      <c r="R65" s="1803">
        <v>0</v>
      </c>
      <c r="S65" s="1803">
        <v>0</v>
      </c>
      <c r="T65" s="1803" t="s">
        <v>268</v>
      </c>
      <c r="U65" s="1804">
        <v>4000</v>
      </c>
      <c r="V65" s="1803">
        <v>115</v>
      </c>
      <c r="W65" s="1803">
        <v>98</v>
      </c>
      <c r="X65" s="1768"/>
      <c r="Y65" s="1808">
        <v>44883</v>
      </c>
      <c r="Z65" s="1803" t="s">
        <v>268</v>
      </c>
      <c r="AA65" s="1803">
        <v>0</v>
      </c>
      <c r="AB65" s="1803">
        <v>1</v>
      </c>
      <c r="AC65" s="1816">
        <v>0</v>
      </c>
      <c r="AD65" s="1803" t="s">
        <v>244</v>
      </c>
      <c r="AE65" s="1780">
        <v>23</v>
      </c>
      <c r="AF65" s="1803">
        <v>0</v>
      </c>
      <c r="AG65" s="1803">
        <v>0</v>
      </c>
      <c r="AH65" s="1780">
        <v>7</v>
      </c>
      <c r="AI65" s="1803" t="s">
        <v>268</v>
      </c>
      <c r="AJ65" s="1803">
        <v>100</v>
      </c>
      <c r="AK65" s="1803">
        <v>2</v>
      </c>
      <c r="AL65" s="1803">
        <v>0</v>
      </c>
      <c r="AM65" s="1803" t="s">
        <v>244</v>
      </c>
      <c r="AN65" s="1803">
        <v>194</v>
      </c>
      <c r="AO65" s="1803">
        <v>0</v>
      </c>
      <c r="AP65" s="1803">
        <v>0</v>
      </c>
    </row>
    <row r="66" spans="1:42" ht="13.5" customHeight="1">
      <c r="A66" s="1772"/>
      <c r="B66" s="1808">
        <v>44884</v>
      </c>
      <c r="C66" s="1803" t="s">
        <v>268</v>
      </c>
      <c r="D66" s="1803">
        <v>0</v>
      </c>
      <c r="E66" s="1803">
        <v>0</v>
      </c>
      <c r="F66" s="1816">
        <v>0</v>
      </c>
      <c r="G66" s="1803" t="s">
        <v>244</v>
      </c>
      <c r="H66" s="1803">
        <v>0</v>
      </c>
      <c r="I66" s="1803">
        <v>0</v>
      </c>
      <c r="J66" s="1803">
        <v>0</v>
      </c>
      <c r="K66" s="1780">
        <v>8</v>
      </c>
      <c r="L66" s="1803" t="s">
        <v>268</v>
      </c>
      <c r="M66" s="1803">
        <v>100</v>
      </c>
      <c r="N66" s="1803">
        <v>3</v>
      </c>
      <c r="O66" s="1816">
        <v>0</v>
      </c>
      <c r="P66" s="1803" t="s">
        <v>244</v>
      </c>
      <c r="Q66" s="1803">
        <v>71</v>
      </c>
      <c r="R66" s="1803">
        <v>0</v>
      </c>
      <c r="S66" s="1803">
        <v>0</v>
      </c>
      <c r="T66" s="1803" t="s">
        <v>268</v>
      </c>
      <c r="U66" s="1804">
        <v>6000</v>
      </c>
      <c r="V66" s="1803">
        <v>191</v>
      </c>
      <c r="W66" s="1803">
        <v>119</v>
      </c>
      <c r="X66" s="1768"/>
      <c r="Y66" s="1808">
        <v>44884</v>
      </c>
      <c r="Z66" s="1803" t="s">
        <v>268</v>
      </c>
      <c r="AA66" s="1803">
        <v>100</v>
      </c>
      <c r="AB66" s="1803">
        <v>1</v>
      </c>
      <c r="AC66" s="1816">
        <v>0</v>
      </c>
      <c r="AD66" s="1803" t="s">
        <v>244</v>
      </c>
      <c r="AE66" s="1780">
        <v>37</v>
      </c>
      <c r="AF66" s="1803">
        <v>0</v>
      </c>
      <c r="AG66" s="1803">
        <v>0</v>
      </c>
      <c r="AH66" s="1780">
        <v>2</v>
      </c>
      <c r="AI66" s="1803" t="s">
        <v>268</v>
      </c>
      <c r="AJ66" s="1803">
        <v>100</v>
      </c>
      <c r="AK66" s="1803">
        <v>2</v>
      </c>
      <c r="AL66" s="1803">
        <v>0</v>
      </c>
      <c r="AM66" s="1803" t="s">
        <v>244</v>
      </c>
      <c r="AN66" s="1803">
        <v>249</v>
      </c>
      <c r="AO66" s="1803">
        <v>0</v>
      </c>
      <c r="AP66" s="1803">
        <v>0</v>
      </c>
    </row>
    <row r="67" spans="1:42" ht="13.5" customHeight="1">
      <c r="A67" s="1772"/>
      <c r="B67" s="1808">
        <v>44885</v>
      </c>
      <c r="C67" s="1803" t="s">
        <v>268</v>
      </c>
      <c r="D67" s="1803">
        <v>0</v>
      </c>
      <c r="E67" s="1803">
        <v>0</v>
      </c>
      <c r="F67" s="1816">
        <v>0</v>
      </c>
      <c r="G67" s="1803" t="s">
        <v>244</v>
      </c>
      <c r="H67" s="1803">
        <v>37</v>
      </c>
      <c r="I67" s="1803">
        <v>0</v>
      </c>
      <c r="J67" s="1803">
        <v>0</v>
      </c>
      <c r="K67" s="1780">
        <v>19</v>
      </c>
      <c r="L67" s="1803" t="s">
        <v>268</v>
      </c>
      <c r="M67" s="1803">
        <v>300</v>
      </c>
      <c r="N67" s="1803">
        <v>4</v>
      </c>
      <c r="O67" s="1816">
        <v>1</v>
      </c>
      <c r="P67" s="1803" t="s">
        <v>244</v>
      </c>
      <c r="Q67" s="1803">
        <v>160</v>
      </c>
      <c r="R67" s="1803">
        <v>0</v>
      </c>
      <c r="S67" s="1803">
        <v>0</v>
      </c>
      <c r="T67" s="1803" t="s">
        <v>268</v>
      </c>
      <c r="U67" s="1804">
        <v>2000</v>
      </c>
      <c r="V67" s="1803">
        <v>80</v>
      </c>
      <c r="W67" s="1803">
        <v>221</v>
      </c>
      <c r="X67" s="1768"/>
      <c r="Y67" s="1808">
        <v>44885</v>
      </c>
      <c r="Z67" s="1803" t="s">
        <v>268</v>
      </c>
      <c r="AA67" s="1803">
        <v>100</v>
      </c>
      <c r="AB67" s="1803">
        <v>2</v>
      </c>
      <c r="AC67" s="1816">
        <v>0</v>
      </c>
      <c r="AD67" s="1803" t="s">
        <v>244</v>
      </c>
      <c r="AE67" s="1780">
        <v>53</v>
      </c>
      <c r="AF67" s="1803">
        <v>0</v>
      </c>
      <c r="AG67" s="1803">
        <v>0</v>
      </c>
      <c r="AH67" s="1780">
        <v>11</v>
      </c>
      <c r="AI67" s="1803" t="s">
        <v>268</v>
      </c>
      <c r="AJ67" s="1803">
        <v>100</v>
      </c>
      <c r="AK67" s="1803">
        <v>3</v>
      </c>
      <c r="AL67" s="1803">
        <v>0</v>
      </c>
      <c r="AM67" s="1803" t="s">
        <v>244</v>
      </c>
      <c r="AN67" s="1803">
        <v>408</v>
      </c>
      <c r="AO67" s="1803">
        <v>0</v>
      </c>
      <c r="AP67" s="1803">
        <v>0</v>
      </c>
    </row>
    <row r="68" spans="1:42" ht="13.5" customHeight="1">
      <c r="A68" s="1772"/>
      <c r="B68" s="1808">
        <v>44886</v>
      </c>
      <c r="C68" s="1803" t="s">
        <v>268</v>
      </c>
      <c r="D68" s="1803">
        <v>100</v>
      </c>
      <c r="E68" s="1803">
        <v>0</v>
      </c>
      <c r="F68" s="1816">
        <v>0</v>
      </c>
      <c r="G68" s="1803" t="s">
        <v>244</v>
      </c>
      <c r="H68" s="1803">
        <v>25</v>
      </c>
      <c r="I68" s="1803">
        <v>0</v>
      </c>
      <c r="J68" s="1803">
        <v>0</v>
      </c>
      <c r="K68" s="1780">
        <v>16</v>
      </c>
      <c r="L68" s="1803" t="s">
        <v>268</v>
      </c>
      <c r="M68" s="1803">
        <v>100</v>
      </c>
      <c r="N68" s="1803">
        <v>3</v>
      </c>
      <c r="O68" s="1816">
        <v>0</v>
      </c>
      <c r="P68" s="1803" t="s">
        <v>244</v>
      </c>
      <c r="Q68" s="1803">
        <v>116</v>
      </c>
      <c r="R68" s="1803">
        <v>0</v>
      </c>
      <c r="S68" s="1803">
        <v>1</v>
      </c>
      <c r="T68" s="1803" t="s">
        <v>268</v>
      </c>
      <c r="U68" s="1804">
        <v>2000</v>
      </c>
      <c r="V68" s="1803">
        <v>40</v>
      </c>
      <c r="W68" s="1803">
        <v>121</v>
      </c>
      <c r="X68" s="1768"/>
      <c r="Y68" s="1808">
        <v>44886</v>
      </c>
      <c r="Z68" s="1803" t="s">
        <v>268</v>
      </c>
      <c r="AA68" s="1803">
        <v>100</v>
      </c>
      <c r="AB68" s="1803">
        <v>6</v>
      </c>
      <c r="AC68" s="1816">
        <v>0</v>
      </c>
      <c r="AD68" s="1803" t="s">
        <v>244</v>
      </c>
      <c r="AE68" s="1780">
        <v>47</v>
      </c>
      <c r="AF68" s="1803">
        <v>0</v>
      </c>
      <c r="AG68" s="1803">
        <v>0</v>
      </c>
      <c r="AH68" s="1780">
        <v>4</v>
      </c>
      <c r="AI68" s="1803" t="s">
        <v>268</v>
      </c>
      <c r="AJ68" s="1803">
        <v>100</v>
      </c>
      <c r="AK68" s="1803">
        <v>8</v>
      </c>
      <c r="AL68" s="1803">
        <v>0</v>
      </c>
      <c r="AM68" s="1803" t="s">
        <v>244</v>
      </c>
      <c r="AN68" s="1803">
        <v>190</v>
      </c>
      <c r="AO68" s="1803">
        <v>100</v>
      </c>
      <c r="AP68" s="1803">
        <v>0</v>
      </c>
    </row>
    <row r="69" spans="1:42" ht="13.5" customHeight="1">
      <c r="A69" s="1772"/>
      <c r="B69" s="1808">
        <v>44887</v>
      </c>
      <c r="C69" s="1803" t="s">
        <v>268</v>
      </c>
      <c r="D69" s="1803">
        <v>0</v>
      </c>
      <c r="E69" s="1803">
        <v>0</v>
      </c>
      <c r="F69" s="1816">
        <v>0</v>
      </c>
      <c r="G69" s="1803" t="s">
        <v>244</v>
      </c>
      <c r="H69" s="1803">
        <v>21</v>
      </c>
      <c r="I69" s="1803">
        <v>0</v>
      </c>
      <c r="J69" s="1803">
        <v>0</v>
      </c>
      <c r="K69" s="1780">
        <v>7</v>
      </c>
      <c r="L69" s="1803" t="s">
        <v>268</v>
      </c>
      <c r="M69" s="1803">
        <v>100</v>
      </c>
      <c r="N69" s="1803">
        <v>3</v>
      </c>
      <c r="O69" s="1816">
        <v>0</v>
      </c>
      <c r="P69" s="1803" t="s">
        <v>244</v>
      </c>
      <c r="Q69" s="1803">
        <v>92</v>
      </c>
      <c r="R69" s="1803">
        <v>0</v>
      </c>
      <c r="S69" s="1803">
        <v>0</v>
      </c>
      <c r="T69" s="1803" t="s">
        <v>268</v>
      </c>
      <c r="U69" s="1804">
        <v>1000</v>
      </c>
      <c r="V69" s="1803">
        <v>30</v>
      </c>
      <c r="W69" s="1803">
        <v>91</v>
      </c>
      <c r="X69" s="1768"/>
      <c r="Y69" s="1808">
        <v>44887</v>
      </c>
      <c r="Z69" s="1803" t="s">
        <v>268</v>
      </c>
      <c r="AA69" s="1803">
        <v>100</v>
      </c>
      <c r="AB69" s="1803">
        <v>4</v>
      </c>
      <c r="AC69" s="1816">
        <v>0</v>
      </c>
      <c r="AD69" s="1803" t="s">
        <v>244</v>
      </c>
      <c r="AE69" s="1780">
        <v>39</v>
      </c>
      <c r="AF69" s="1803">
        <v>0</v>
      </c>
      <c r="AG69" s="1803">
        <v>0</v>
      </c>
      <c r="AH69" s="1780">
        <v>1</v>
      </c>
      <c r="AI69" s="1803" t="s">
        <v>268</v>
      </c>
      <c r="AJ69" s="1803">
        <v>200</v>
      </c>
      <c r="AK69" s="1803">
        <v>7</v>
      </c>
      <c r="AL69" s="1803">
        <v>0</v>
      </c>
      <c r="AM69" s="1803" t="s">
        <v>244</v>
      </c>
      <c r="AN69" s="1803">
        <v>176</v>
      </c>
      <c r="AO69" s="1803">
        <v>0</v>
      </c>
      <c r="AP69" s="1803">
        <v>0</v>
      </c>
    </row>
    <row r="70" spans="1:42" ht="13.5" customHeight="1">
      <c r="A70" s="1772"/>
      <c r="B70" s="1808">
        <v>44888</v>
      </c>
      <c r="C70" s="1803" t="s">
        <v>268</v>
      </c>
      <c r="D70" s="1803">
        <v>0</v>
      </c>
      <c r="E70" s="1803">
        <v>0</v>
      </c>
      <c r="F70" s="1816">
        <v>0</v>
      </c>
      <c r="G70" s="1803" t="s">
        <v>244</v>
      </c>
      <c r="H70" s="1803">
        <v>31</v>
      </c>
      <c r="I70" s="1803">
        <v>0</v>
      </c>
      <c r="J70" s="1803">
        <v>0</v>
      </c>
      <c r="K70" s="1780">
        <v>9</v>
      </c>
      <c r="L70" s="1803" t="s">
        <v>268</v>
      </c>
      <c r="M70" s="1803">
        <v>100</v>
      </c>
      <c r="N70" s="1803">
        <v>1</v>
      </c>
      <c r="O70" s="1816">
        <v>0</v>
      </c>
      <c r="P70" s="1803" t="s">
        <v>244</v>
      </c>
      <c r="Q70" s="1803">
        <v>73</v>
      </c>
      <c r="R70" s="1803">
        <v>0</v>
      </c>
      <c r="S70" s="1803">
        <v>0</v>
      </c>
      <c r="T70" s="1803" t="s">
        <v>268</v>
      </c>
      <c r="U70" s="1804">
        <v>1000</v>
      </c>
      <c r="V70" s="1803">
        <v>94</v>
      </c>
      <c r="W70" s="1803">
        <v>174</v>
      </c>
      <c r="X70" s="1768"/>
      <c r="Y70" s="1808">
        <v>44888</v>
      </c>
      <c r="Z70" s="1803" t="s">
        <v>268</v>
      </c>
      <c r="AA70" s="1803">
        <v>100</v>
      </c>
      <c r="AB70" s="1803">
        <v>3</v>
      </c>
      <c r="AC70" s="1816">
        <v>0</v>
      </c>
      <c r="AD70" s="1803" t="s">
        <v>244</v>
      </c>
      <c r="AE70" s="1780">
        <v>27</v>
      </c>
      <c r="AF70" s="1803">
        <v>0</v>
      </c>
      <c r="AG70" s="1803">
        <v>0</v>
      </c>
      <c r="AH70" s="1780">
        <v>6</v>
      </c>
      <c r="AI70" s="1803" t="s">
        <v>268</v>
      </c>
      <c r="AJ70" s="1803">
        <v>0</v>
      </c>
      <c r="AK70" s="1803">
        <v>2</v>
      </c>
      <c r="AL70" s="1803">
        <v>0</v>
      </c>
      <c r="AM70" s="1803" t="s">
        <v>244</v>
      </c>
      <c r="AN70" s="1803">
        <v>152</v>
      </c>
      <c r="AO70" s="1803">
        <v>0</v>
      </c>
      <c r="AP70" s="1803">
        <v>0</v>
      </c>
    </row>
    <row r="71" spans="1:42" ht="13.5" customHeight="1">
      <c r="A71" s="1772"/>
      <c r="B71" s="1808">
        <v>44889</v>
      </c>
      <c r="C71" s="1803" t="s">
        <v>268</v>
      </c>
      <c r="D71" s="1803">
        <v>0</v>
      </c>
      <c r="E71" s="1803">
        <v>0</v>
      </c>
      <c r="F71" s="1816">
        <v>0</v>
      </c>
      <c r="G71" s="1803" t="s">
        <v>244</v>
      </c>
      <c r="H71" s="1803">
        <v>24</v>
      </c>
      <c r="I71" s="1803">
        <v>0</v>
      </c>
      <c r="J71" s="1803">
        <v>0</v>
      </c>
      <c r="K71" s="1780">
        <v>14</v>
      </c>
      <c r="L71" s="1803" t="s">
        <v>268</v>
      </c>
      <c r="M71" s="1803">
        <v>100</v>
      </c>
      <c r="N71" s="1803">
        <v>4</v>
      </c>
      <c r="O71" s="1816">
        <v>2</v>
      </c>
      <c r="P71" s="1803" t="s">
        <v>244</v>
      </c>
      <c r="Q71" s="1803">
        <v>80</v>
      </c>
      <c r="R71" s="1803">
        <v>0</v>
      </c>
      <c r="S71" s="1803">
        <v>0</v>
      </c>
      <c r="T71" s="1803" t="s">
        <v>268</v>
      </c>
      <c r="U71" s="1804">
        <v>1000</v>
      </c>
      <c r="V71" s="1803">
        <v>201</v>
      </c>
      <c r="W71" s="1803">
        <v>780</v>
      </c>
      <c r="X71" s="1768"/>
      <c r="Y71" s="1808">
        <v>44889</v>
      </c>
      <c r="Z71" s="1803" t="s">
        <v>268</v>
      </c>
      <c r="AA71" s="1803">
        <v>100</v>
      </c>
      <c r="AB71" s="1803">
        <v>4</v>
      </c>
      <c r="AC71" s="1816">
        <v>0</v>
      </c>
      <c r="AD71" s="1803" t="s">
        <v>244</v>
      </c>
      <c r="AE71" s="1780">
        <v>17</v>
      </c>
      <c r="AF71" s="1804">
        <v>13500</v>
      </c>
      <c r="AG71" s="1803">
        <v>0</v>
      </c>
      <c r="AH71" s="1780">
        <v>2</v>
      </c>
      <c r="AI71" s="1803" t="s">
        <v>268</v>
      </c>
      <c r="AJ71" s="1803">
        <v>100</v>
      </c>
      <c r="AK71" s="1803">
        <v>5</v>
      </c>
      <c r="AL71" s="1803">
        <v>0</v>
      </c>
      <c r="AM71" s="1803" t="s">
        <v>244</v>
      </c>
      <c r="AN71" s="1803">
        <v>120</v>
      </c>
      <c r="AO71" s="1803">
        <v>0</v>
      </c>
      <c r="AP71" s="1803">
        <v>0</v>
      </c>
    </row>
    <row r="72" spans="1:42" ht="13.5" customHeight="1">
      <c r="A72" s="1772"/>
      <c r="B72" s="1808">
        <v>44890</v>
      </c>
      <c r="C72" s="1803" t="s">
        <v>268</v>
      </c>
      <c r="D72" s="1803"/>
      <c r="E72" s="1803"/>
      <c r="F72" s="1818"/>
      <c r="G72" s="1803" t="s">
        <v>244</v>
      </c>
      <c r="H72" s="1803"/>
      <c r="I72" s="1803"/>
      <c r="J72" s="1803"/>
      <c r="K72" s="1803"/>
      <c r="L72" s="1803"/>
      <c r="M72" s="1803"/>
      <c r="N72" s="1803"/>
      <c r="O72" s="1819"/>
      <c r="P72" s="1803"/>
      <c r="Q72" s="1803"/>
      <c r="R72" s="1803"/>
      <c r="S72" s="1803"/>
      <c r="T72" s="1803"/>
      <c r="U72" s="1803"/>
      <c r="V72" s="1803"/>
      <c r="W72" s="1819"/>
      <c r="X72" s="1768"/>
      <c r="Y72" s="1808">
        <v>44890</v>
      </c>
      <c r="Z72" s="1803" t="s">
        <v>268</v>
      </c>
      <c r="AA72" s="1803"/>
      <c r="AB72" s="1803"/>
      <c r="AC72" s="1818"/>
      <c r="AD72" s="1803" t="s">
        <v>244</v>
      </c>
      <c r="AE72" s="1780"/>
      <c r="AF72" s="1803"/>
      <c r="AG72" s="1803"/>
      <c r="AH72" s="1803"/>
      <c r="AI72" s="1803" t="s">
        <v>268</v>
      </c>
      <c r="AJ72" s="1803"/>
      <c r="AK72" s="1803"/>
      <c r="AL72" s="1818"/>
      <c r="AM72" s="1803" t="s">
        <v>244</v>
      </c>
      <c r="AN72" s="1803"/>
      <c r="AO72" s="1803"/>
      <c r="AP72" s="1803"/>
    </row>
    <row r="73" spans="1:42" ht="13.5" customHeight="1">
      <c r="A73" s="1772"/>
      <c r="B73" s="1808">
        <v>44891</v>
      </c>
      <c r="C73" s="1803" t="s">
        <v>268</v>
      </c>
      <c r="D73" s="1803"/>
      <c r="E73" s="1803"/>
      <c r="F73" s="1818"/>
      <c r="G73" s="1803" t="s">
        <v>244</v>
      </c>
      <c r="H73" s="1803"/>
      <c r="I73" s="1803"/>
      <c r="J73" s="1803"/>
      <c r="K73" s="1803"/>
      <c r="L73" s="1803"/>
      <c r="M73" s="1803"/>
      <c r="N73" s="1803"/>
      <c r="O73" s="1819"/>
      <c r="P73" s="1803"/>
      <c r="Q73" s="1803"/>
      <c r="R73" s="1803"/>
      <c r="S73" s="1803"/>
      <c r="T73" s="1803"/>
      <c r="U73" s="1803"/>
      <c r="V73" s="1803"/>
      <c r="W73" s="1819"/>
      <c r="X73" s="1768"/>
      <c r="Y73" s="1808">
        <v>44891</v>
      </c>
      <c r="Z73" s="1803" t="s">
        <v>268</v>
      </c>
      <c r="AA73" s="1803"/>
      <c r="AB73" s="1803"/>
      <c r="AC73" s="1818"/>
      <c r="AD73" s="1803" t="s">
        <v>244</v>
      </c>
      <c r="AE73" s="1780"/>
      <c r="AF73" s="1803"/>
      <c r="AG73" s="1803"/>
      <c r="AH73" s="1803"/>
      <c r="AI73" s="1803" t="s">
        <v>268</v>
      </c>
      <c r="AJ73" s="1803"/>
      <c r="AK73" s="1803"/>
      <c r="AL73" s="1818"/>
      <c r="AM73" s="1803" t="s">
        <v>244</v>
      </c>
      <c r="AN73" s="1803"/>
      <c r="AO73" s="1803"/>
      <c r="AP73" s="1803"/>
    </row>
    <row r="74" spans="1:42" ht="13.5" customHeight="1">
      <c r="A74" s="1772"/>
      <c r="B74" s="1808">
        <v>44892</v>
      </c>
      <c r="C74" s="1803" t="s">
        <v>268</v>
      </c>
      <c r="D74" s="1803"/>
      <c r="E74" s="1803"/>
      <c r="F74" s="1818"/>
      <c r="G74" s="1803" t="s">
        <v>244</v>
      </c>
      <c r="H74" s="1803"/>
      <c r="I74" s="1803"/>
      <c r="J74" s="1803"/>
      <c r="K74" s="1803"/>
      <c r="L74" s="1803"/>
      <c r="M74" s="1803"/>
      <c r="N74" s="1803"/>
      <c r="O74" s="1819"/>
      <c r="P74" s="1803"/>
      <c r="Q74" s="1803"/>
      <c r="R74" s="1803"/>
      <c r="S74" s="1803"/>
      <c r="T74" s="1803"/>
      <c r="U74" s="1803"/>
      <c r="V74" s="1803"/>
      <c r="W74" s="1819"/>
      <c r="X74" s="1768"/>
      <c r="Y74" s="1808">
        <v>44892</v>
      </c>
      <c r="Z74" s="1803" t="s">
        <v>268</v>
      </c>
      <c r="AA74" s="1803"/>
      <c r="AB74" s="1803"/>
      <c r="AC74" s="1818"/>
      <c r="AD74" s="1803" t="s">
        <v>244</v>
      </c>
      <c r="AE74" s="1780"/>
      <c r="AF74" s="1803"/>
      <c r="AG74" s="1803"/>
      <c r="AH74" s="1803"/>
      <c r="AI74" s="1803" t="s">
        <v>268</v>
      </c>
      <c r="AJ74" s="1803"/>
      <c r="AK74" s="1803"/>
      <c r="AL74" s="1818"/>
      <c r="AM74" s="1803" t="s">
        <v>244</v>
      </c>
      <c r="AN74" s="1803"/>
      <c r="AO74" s="1803"/>
      <c r="AP74" s="1803"/>
    </row>
    <row r="75" spans="1:42" ht="13.5" customHeight="1">
      <c r="A75" s="1772"/>
      <c r="B75" s="1808">
        <v>44893</v>
      </c>
      <c r="C75" s="1803" t="s">
        <v>268</v>
      </c>
      <c r="D75" s="1803"/>
      <c r="E75" s="1803"/>
      <c r="F75" s="1818"/>
      <c r="G75" s="1803" t="s">
        <v>244</v>
      </c>
      <c r="H75" s="1803"/>
      <c r="I75" s="1803"/>
      <c r="J75" s="1803"/>
      <c r="K75" s="1803"/>
      <c r="L75" s="1803"/>
      <c r="M75" s="1803"/>
      <c r="N75" s="1803"/>
      <c r="O75" s="1819"/>
      <c r="P75" s="1803"/>
      <c r="Q75" s="1803"/>
      <c r="R75" s="1803"/>
      <c r="S75" s="1803"/>
      <c r="T75" s="1803"/>
      <c r="U75" s="1803"/>
      <c r="V75" s="1803"/>
      <c r="W75" s="1819"/>
      <c r="X75" s="1768"/>
      <c r="Y75" s="1808">
        <v>44893</v>
      </c>
      <c r="Z75" s="1803" t="s">
        <v>268</v>
      </c>
      <c r="AA75" s="1803"/>
      <c r="AB75" s="1803"/>
      <c r="AC75" s="1818"/>
      <c r="AD75" s="1803" t="s">
        <v>244</v>
      </c>
      <c r="AE75" s="1780"/>
      <c r="AF75" s="1803"/>
      <c r="AG75" s="1803"/>
      <c r="AH75" s="1803"/>
      <c r="AI75" s="1803" t="s">
        <v>268</v>
      </c>
      <c r="AJ75" s="1803"/>
      <c r="AK75" s="1803"/>
      <c r="AL75" s="1818"/>
      <c r="AM75" s="1803" t="s">
        <v>244</v>
      </c>
      <c r="AN75" s="1803"/>
      <c r="AO75" s="1803"/>
      <c r="AP75" s="1803"/>
    </row>
    <row r="76" spans="1:42" ht="13.5" customHeight="1">
      <c r="A76" s="1772"/>
      <c r="B76" s="1808">
        <v>44894</v>
      </c>
      <c r="C76" s="1803" t="s">
        <v>268</v>
      </c>
      <c r="D76" s="1803"/>
      <c r="E76" s="1803"/>
      <c r="F76" s="1818"/>
      <c r="G76" s="1803" t="s">
        <v>244</v>
      </c>
      <c r="H76" s="1803"/>
      <c r="I76" s="1803"/>
      <c r="J76" s="1803"/>
      <c r="K76" s="1803"/>
      <c r="L76" s="1803"/>
      <c r="M76" s="1803"/>
      <c r="N76" s="1803"/>
      <c r="O76" s="1819"/>
      <c r="P76" s="1803"/>
      <c r="Q76" s="1803"/>
      <c r="R76" s="1803"/>
      <c r="S76" s="1803"/>
      <c r="T76" s="1803"/>
      <c r="U76" s="1803"/>
      <c r="V76" s="1803"/>
      <c r="W76" s="1819"/>
      <c r="X76" s="1768"/>
      <c r="Y76" s="1808">
        <v>44894</v>
      </c>
      <c r="Z76" s="1803" t="s">
        <v>268</v>
      </c>
      <c r="AA76" s="1803"/>
      <c r="AB76" s="1803"/>
      <c r="AC76" s="1818"/>
      <c r="AD76" s="1803" t="s">
        <v>244</v>
      </c>
      <c r="AE76" s="1780"/>
      <c r="AF76" s="1803"/>
      <c r="AG76" s="1803"/>
      <c r="AH76" s="1803"/>
      <c r="AI76" s="1803" t="s">
        <v>268</v>
      </c>
      <c r="AJ76" s="1803"/>
      <c r="AK76" s="1803"/>
      <c r="AL76" s="1818"/>
      <c r="AM76" s="1803" t="s">
        <v>244</v>
      </c>
      <c r="AN76" s="1803"/>
      <c r="AO76" s="1803"/>
      <c r="AP76" s="1803"/>
    </row>
    <row r="77" spans="1:42" ht="13.5" customHeight="1">
      <c r="A77" s="1772"/>
      <c r="B77" s="1808">
        <v>44895</v>
      </c>
      <c r="C77" s="1803" t="s">
        <v>268</v>
      </c>
      <c r="D77" s="1803"/>
      <c r="E77" s="1803"/>
      <c r="F77" s="1818"/>
      <c r="G77" s="1803" t="s">
        <v>244</v>
      </c>
      <c r="H77" s="1803"/>
      <c r="I77" s="1803"/>
      <c r="J77" s="1803"/>
      <c r="K77" s="1803"/>
      <c r="L77" s="1803"/>
      <c r="M77" s="1803"/>
      <c r="N77" s="1803"/>
      <c r="O77" s="1819"/>
      <c r="P77" s="1803"/>
      <c r="Q77" s="1803"/>
      <c r="R77" s="1803"/>
      <c r="S77" s="1803"/>
      <c r="T77" s="1803"/>
      <c r="U77" s="1803"/>
      <c r="V77" s="1803"/>
      <c r="W77" s="1819"/>
      <c r="X77" s="1768"/>
      <c r="Y77" s="1808">
        <v>44895</v>
      </c>
      <c r="Z77" s="1803" t="s">
        <v>268</v>
      </c>
      <c r="AA77" s="1803"/>
      <c r="AB77" s="1803"/>
      <c r="AC77" s="1818"/>
      <c r="AD77" s="1803" t="s">
        <v>244</v>
      </c>
      <c r="AE77" s="1780"/>
      <c r="AF77" s="1803"/>
      <c r="AG77" s="1803"/>
      <c r="AH77" s="1803"/>
      <c r="AI77" s="1803" t="s">
        <v>268</v>
      </c>
      <c r="AJ77" s="1803"/>
      <c r="AK77" s="1803"/>
      <c r="AL77" s="1818"/>
      <c r="AM77" s="1803" t="s">
        <v>244</v>
      </c>
      <c r="AN77" s="1803"/>
      <c r="AO77" s="1803"/>
      <c r="AP77" s="1803"/>
    </row>
    <row r="78" spans="1:42" ht="13.95" customHeight="1">
      <c r="A78" s="1811"/>
      <c r="B78" s="2104" t="s">
        <v>303</v>
      </c>
      <c r="C78" s="2105"/>
      <c r="D78" s="1821">
        <v>94400</v>
      </c>
      <c r="E78" s="1821">
        <v>3981</v>
      </c>
      <c r="F78" s="1821">
        <v>1634</v>
      </c>
      <c r="G78" s="1820" t="s">
        <v>304</v>
      </c>
      <c r="H78" s="1821">
        <v>344657</v>
      </c>
      <c r="I78" s="1821">
        <v>3600</v>
      </c>
      <c r="J78" s="1821">
        <v>1102</v>
      </c>
      <c r="K78" s="1820">
        <v>720</v>
      </c>
      <c r="L78" s="1820" t="s">
        <v>305</v>
      </c>
      <c r="M78" s="1821">
        <v>66200</v>
      </c>
      <c r="N78" s="1821">
        <v>2058</v>
      </c>
      <c r="O78" s="1820">
        <v>221</v>
      </c>
      <c r="P78" s="1820" t="s">
        <v>304</v>
      </c>
      <c r="Q78" s="1821">
        <v>399852</v>
      </c>
      <c r="R78" s="1821">
        <v>2600</v>
      </c>
      <c r="S78" s="1820">
        <v>357</v>
      </c>
      <c r="T78" s="1820" t="s">
        <v>305</v>
      </c>
      <c r="U78" s="1821">
        <v>253000</v>
      </c>
      <c r="V78" s="1821">
        <v>9336</v>
      </c>
      <c r="W78" s="1821">
        <v>3556</v>
      </c>
      <c r="X78" s="1771"/>
      <c r="Y78" s="2104" t="s">
        <v>303</v>
      </c>
      <c r="Z78" s="2105"/>
      <c r="AA78" s="1821">
        <v>49100</v>
      </c>
      <c r="AB78" s="1821">
        <v>2566</v>
      </c>
      <c r="AC78" s="1820">
        <v>58</v>
      </c>
      <c r="AD78" s="1820" t="s">
        <v>304</v>
      </c>
      <c r="AE78" s="1821">
        <v>62020</v>
      </c>
      <c r="AF78" s="1821">
        <v>15000</v>
      </c>
      <c r="AG78" s="1820">
        <v>95</v>
      </c>
      <c r="AH78" s="1820">
        <v>538</v>
      </c>
      <c r="AI78" s="1820" t="s">
        <v>305</v>
      </c>
      <c r="AJ78" s="1821">
        <v>51500</v>
      </c>
      <c r="AK78" s="1821">
        <v>1969</v>
      </c>
      <c r="AL78" s="1820">
        <v>46</v>
      </c>
      <c r="AM78" s="1820" t="s">
        <v>306</v>
      </c>
      <c r="AN78" s="1821">
        <v>14795</v>
      </c>
      <c r="AO78" s="1821">
        <v>1200</v>
      </c>
      <c r="AP78" s="1820">
        <v>53</v>
      </c>
    </row>
    <row r="79" spans="1:42" ht="13.5" customHeight="1">
      <c r="A79" s="358"/>
      <c r="B79" s="1657"/>
      <c r="C79" s="1655"/>
      <c r="D79" s="1655"/>
      <c r="E79" s="1655"/>
      <c r="F79" s="1747"/>
      <c r="G79" s="1655"/>
      <c r="H79" s="1655"/>
      <c r="I79" s="1655"/>
      <c r="J79" s="1655"/>
      <c r="K79" s="1655"/>
      <c r="L79" s="1655"/>
      <c r="M79" s="1655"/>
      <c r="N79" s="1655"/>
      <c r="O79" s="1666"/>
      <c r="P79" s="1655"/>
      <c r="Q79" s="1655"/>
      <c r="R79" s="1655"/>
      <c r="S79" s="1655"/>
      <c r="T79" s="1655"/>
      <c r="U79" s="1655"/>
      <c r="V79" s="1655"/>
      <c r="W79" s="1666"/>
      <c r="X79" s="877"/>
      <c r="Y79" s="1655"/>
      <c r="Z79" s="1655"/>
      <c r="AA79" s="1655"/>
      <c r="AB79" s="1655"/>
      <c r="AC79" s="1747"/>
      <c r="AD79" s="1655"/>
      <c r="AE79" s="1654"/>
      <c r="AF79" s="1655"/>
      <c r="AG79" s="1655"/>
      <c r="AH79" s="1655"/>
      <c r="AI79" s="1655"/>
      <c r="AJ79" s="1655"/>
      <c r="AK79" s="1655"/>
      <c r="AL79" s="1747"/>
      <c r="AM79" s="1655"/>
      <c r="AN79" s="1655"/>
      <c r="AO79" s="1655"/>
      <c r="AP79" s="1655"/>
    </row>
    <row r="80" spans="1:42" ht="13.5" customHeight="1">
      <c r="A80" s="358"/>
      <c r="B80" s="1658">
        <v>44882</v>
      </c>
      <c r="C80" s="1655" t="s">
        <v>268</v>
      </c>
      <c r="D80" s="1655"/>
      <c r="E80" s="1655"/>
      <c r="F80" s="1747"/>
      <c r="G80" s="1655" t="s">
        <v>244</v>
      </c>
      <c r="H80" s="1655"/>
      <c r="I80" s="1655"/>
      <c r="J80" s="1655"/>
      <c r="K80" s="1655"/>
      <c r="L80" s="1655" t="s">
        <v>268</v>
      </c>
      <c r="M80" s="1655"/>
      <c r="N80" s="1655"/>
      <c r="O80" s="1747"/>
      <c r="P80" s="1655" t="s">
        <v>244</v>
      </c>
      <c r="Q80" s="1655"/>
      <c r="R80" s="1655"/>
      <c r="S80" s="1655"/>
      <c r="T80" s="1655" t="s">
        <v>268</v>
      </c>
      <c r="U80" s="1655"/>
      <c r="V80" s="1655"/>
      <c r="W80" s="1747"/>
      <c r="X80" s="877"/>
      <c r="Y80" s="1664">
        <v>44882</v>
      </c>
      <c r="Z80" s="1655" t="s">
        <v>268</v>
      </c>
      <c r="AA80" s="1655"/>
      <c r="AB80" s="1655"/>
      <c r="AC80" s="1747"/>
      <c r="AD80" s="1655"/>
      <c r="AE80" s="1654"/>
      <c r="AF80" s="1655"/>
      <c r="AG80" s="1655"/>
      <c r="AH80" s="1655"/>
      <c r="AI80" s="1655"/>
      <c r="AJ80" s="1655"/>
      <c r="AK80" s="1655"/>
      <c r="AL80" s="1747"/>
      <c r="AM80" s="1655" t="s">
        <v>244</v>
      </c>
      <c r="AN80" s="1655"/>
      <c r="AO80" s="1655"/>
      <c r="AP80" s="1655"/>
    </row>
    <row r="81" spans="1:42" ht="13.5" customHeight="1">
      <c r="A81" s="358"/>
      <c r="B81" s="2103" t="s">
        <v>303</v>
      </c>
      <c r="C81" s="2088"/>
      <c r="D81" s="1668">
        <v>94300</v>
      </c>
      <c r="E81" s="1668">
        <v>3981</v>
      </c>
      <c r="F81" s="1668">
        <v>1634</v>
      </c>
      <c r="G81" s="1667" t="s">
        <v>304</v>
      </c>
      <c r="H81" s="1668">
        <v>344481</v>
      </c>
      <c r="I81" s="1668">
        <v>3600</v>
      </c>
      <c r="J81" s="1668">
        <v>1102</v>
      </c>
      <c r="K81" s="1667">
        <v>523</v>
      </c>
      <c r="L81" s="1667" t="s">
        <v>305</v>
      </c>
      <c r="M81" s="1668">
        <v>65200</v>
      </c>
      <c r="N81" s="1668">
        <v>2038</v>
      </c>
      <c r="O81" s="1667">
        <v>218</v>
      </c>
      <c r="P81" s="1667" t="s">
        <v>304</v>
      </c>
      <c r="Q81" s="1668">
        <v>399168</v>
      </c>
      <c r="R81" s="1668">
        <v>2600</v>
      </c>
      <c r="S81" s="1667">
        <v>356</v>
      </c>
      <c r="T81" s="1667" t="s">
        <v>305</v>
      </c>
      <c r="U81" s="1668">
        <v>236000</v>
      </c>
      <c r="V81" s="1668">
        <v>8585</v>
      </c>
      <c r="W81" s="1668">
        <v>1952</v>
      </c>
      <c r="X81" s="875"/>
      <c r="Y81" s="2087" t="s">
        <v>303</v>
      </c>
      <c r="Z81" s="2088"/>
      <c r="AA81" s="1668">
        <v>48500</v>
      </c>
      <c r="AB81" s="1668">
        <v>2545</v>
      </c>
      <c r="AC81" s="1667">
        <v>58</v>
      </c>
      <c r="AD81" s="1667" t="s">
        <v>304</v>
      </c>
      <c r="AE81" s="1668">
        <v>61777</v>
      </c>
      <c r="AF81" s="1668">
        <v>1500</v>
      </c>
      <c r="AG81" s="1667">
        <v>95</v>
      </c>
      <c r="AH81" s="1667">
        <v>505</v>
      </c>
      <c r="AI81" s="1667" t="s">
        <v>305</v>
      </c>
      <c r="AJ81" s="1668">
        <v>50800</v>
      </c>
      <c r="AK81" s="1668">
        <v>1940</v>
      </c>
      <c r="AL81" s="1667">
        <v>46</v>
      </c>
      <c r="AM81" s="1667" t="s">
        <v>306</v>
      </c>
      <c r="AN81" s="1668">
        <v>13306</v>
      </c>
      <c r="AO81" s="1668">
        <v>1100</v>
      </c>
      <c r="AP81" s="1667">
        <v>53</v>
      </c>
    </row>
    <row r="82" spans="1:42" ht="13.5" customHeight="1">
      <c r="A82" s="358"/>
      <c r="B82" s="876"/>
      <c r="C82" s="1627"/>
      <c r="D82" s="1627"/>
      <c r="E82" s="1627"/>
      <c r="F82" s="1627"/>
      <c r="G82" s="1627"/>
      <c r="H82" s="1627"/>
      <c r="I82" s="1627"/>
      <c r="J82" s="1627"/>
      <c r="K82" s="1627"/>
      <c r="L82" s="1627"/>
      <c r="M82" s="1627"/>
      <c r="N82" s="1627"/>
      <c r="O82" s="1627"/>
      <c r="P82" s="1627"/>
      <c r="Q82" s="1627"/>
      <c r="R82" s="1627"/>
      <c r="S82" s="1627"/>
      <c r="T82" s="1627"/>
      <c r="U82" s="1627"/>
      <c r="V82" s="1627"/>
      <c r="W82" s="1627"/>
      <c r="X82" s="1627"/>
      <c r="Y82" s="1627"/>
      <c r="Z82" s="1627"/>
      <c r="AA82" s="1627"/>
      <c r="AB82" s="1627"/>
      <c r="AC82" s="1627"/>
      <c r="AD82" s="877"/>
    </row>
    <row r="83" spans="1:42" ht="13.5" customHeight="1">
      <c r="A83" s="358"/>
      <c r="B83" s="876"/>
      <c r="C83" s="1627"/>
      <c r="D83" s="1627"/>
      <c r="E83" s="1627"/>
      <c r="F83" s="1627"/>
      <c r="G83" s="1627"/>
      <c r="H83" s="1627"/>
      <c r="I83" s="1627"/>
      <c r="J83" s="1627"/>
      <c r="K83" s="1627"/>
      <c r="L83" s="1627"/>
      <c r="M83" s="1627"/>
      <c r="N83" s="1627"/>
      <c r="O83" s="1627"/>
      <c r="P83" s="1627"/>
      <c r="Q83" s="1627"/>
      <c r="R83" s="1627"/>
      <c r="S83" s="1627"/>
      <c r="T83" s="1627"/>
      <c r="U83" s="1627"/>
      <c r="V83" s="1627"/>
      <c r="W83" s="1627"/>
      <c r="X83" s="1627"/>
      <c r="Y83" s="1627"/>
      <c r="Z83" s="1627"/>
      <c r="AA83" s="1627"/>
      <c r="AB83" s="1627"/>
      <c r="AC83" s="1627"/>
      <c r="AD83" s="877"/>
    </row>
    <row r="84" spans="1:42" ht="13.5" customHeight="1">
      <c r="A84" s="358"/>
      <c r="B84" s="876"/>
      <c r="C84" s="1627"/>
      <c r="D84" s="1627"/>
      <c r="E84" s="1627"/>
      <c r="F84" s="1627"/>
      <c r="G84" s="1627"/>
      <c r="H84" s="1627"/>
      <c r="I84" s="1627"/>
      <c r="J84" s="1627"/>
      <c r="K84" s="1627"/>
      <c r="L84" s="1627"/>
      <c r="M84" s="1627"/>
      <c r="N84" s="1627"/>
      <c r="O84" s="1627"/>
      <c r="P84" s="1627"/>
      <c r="Q84" s="1627"/>
      <c r="R84" s="1627"/>
      <c r="S84" s="1627"/>
      <c r="T84" s="1627"/>
      <c r="U84" s="1627"/>
      <c r="V84" s="1627"/>
      <c r="W84" s="1627"/>
      <c r="X84" s="1627"/>
      <c r="Y84" s="1627"/>
      <c r="Z84" s="1627"/>
      <c r="AA84" s="1627"/>
      <c r="AB84" s="1627"/>
      <c r="AC84" s="1627"/>
      <c r="AD84" s="877"/>
    </row>
    <row r="85" spans="1:42" ht="13.5" customHeight="1">
      <c r="A85" s="358"/>
      <c r="B85" s="876"/>
      <c r="C85" s="1627"/>
      <c r="D85" s="1627"/>
      <c r="E85" s="1627"/>
      <c r="F85" s="1627"/>
      <c r="G85" s="1627"/>
      <c r="H85" s="1627"/>
      <c r="I85" s="1627"/>
      <c r="J85" s="1627"/>
      <c r="K85" s="1627"/>
      <c r="L85" s="1627"/>
      <c r="M85" s="1627"/>
      <c r="N85" s="1627"/>
      <c r="O85" s="1627"/>
      <c r="P85" s="1627"/>
      <c r="Q85" s="1627"/>
      <c r="R85" s="1627"/>
      <c r="S85" s="1627"/>
      <c r="T85" s="1627"/>
      <c r="U85" s="1627"/>
      <c r="V85" s="1627"/>
      <c r="W85" s="1627"/>
      <c r="X85" s="1627"/>
      <c r="Y85" s="1627"/>
      <c r="Z85" s="1627"/>
      <c r="AA85" s="1627"/>
      <c r="AB85" s="1627"/>
      <c r="AC85" s="1627"/>
      <c r="AD85" s="877"/>
    </row>
    <row r="86" spans="1:42" ht="13.5" customHeight="1">
      <c r="A86" s="358"/>
      <c r="B86" s="876"/>
      <c r="C86" s="1627"/>
      <c r="D86" s="1627"/>
      <c r="E86" s="1627"/>
      <c r="F86" s="1627"/>
      <c r="G86" s="1627"/>
      <c r="H86" s="1627"/>
      <c r="I86" s="1627"/>
      <c r="J86" s="1627"/>
      <c r="K86" s="1627"/>
      <c r="L86" s="1627"/>
      <c r="M86" s="1627"/>
      <c r="N86" s="1627"/>
      <c r="O86" s="1627"/>
      <c r="P86" s="1627"/>
      <c r="Q86" s="1627"/>
      <c r="R86" s="1627"/>
      <c r="S86" s="1627"/>
      <c r="T86" s="1627"/>
      <c r="U86" s="1627"/>
      <c r="V86" s="1627"/>
      <c r="W86" s="1627"/>
      <c r="X86" s="1627"/>
      <c r="Y86" s="1627"/>
      <c r="Z86" s="1627"/>
      <c r="AA86" s="1627"/>
      <c r="AB86" s="1627"/>
      <c r="AC86" s="1627"/>
      <c r="AD86" s="877"/>
    </row>
    <row r="87" spans="1:42" ht="13.5" customHeight="1">
      <c r="A87" s="358"/>
      <c r="B87" s="876"/>
      <c r="C87" s="1627"/>
      <c r="D87" s="1627"/>
      <c r="E87" s="1627"/>
      <c r="F87" s="1627"/>
      <c r="G87" s="1627"/>
      <c r="H87" s="1627"/>
      <c r="I87" s="1627"/>
      <c r="J87" s="1627"/>
      <c r="K87" s="1627"/>
      <c r="L87" s="1627"/>
      <c r="M87" s="1627"/>
      <c r="N87" s="1627"/>
      <c r="O87" s="1627"/>
      <c r="P87" s="1627"/>
      <c r="Q87" s="1627"/>
      <c r="R87" s="1627"/>
      <c r="S87" s="1627"/>
      <c r="T87" s="1627"/>
      <c r="U87" s="1627"/>
      <c r="V87" s="1627"/>
      <c r="W87" s="1627"/>
      <c r="X87" s="1627"/>
      <c r="Y87" s="1627"/>
      <c r="Z87" s="1627"/>
      <c r="AA87" s="1627"/>
      <c r="AB87" s="1627"/>
      <c r="AC87" s="1627"/>
      <c r="AD87" s="877"/>
    </row>
    <row r="88" spans="1:42" ht="13.5" customHeight="1">
      <c r="A88" s="358"/>
      <c r="B88" s="876"/>
      <c r="C88" s="1627"/>
      <c r="D88" s="1627"/>
      <c r="E88" s="1627"/>
      <c r="F88" s="1627"/>
      <c r="G88" s="1627"/>
      <c r="H88" s="1627"/>
      <c r="I88" s="1627"/>
      <c r="J88" s="1627"/>
      <c r="K88" s="1627"/>
      <c r="L88" s="1627"/>
      <c r="M88" s="1627"/>
      <c r="N88" s="1627"/>
      <c r="O88" s="1627"/>
      <c r="P88" s="1627"/>
      <c r="Q88" s="1627"/>
      <c r="R88" s="1627"/>
      <c r="S88" s="1627"/>
      <c r="T88" s="1627"/>
      <c r="U88" s="1627"/>
      <c r="V88" s="1627"/>
      <c r="W88" s="1627"/>
      <c r="X88" s="1627"/>
      <c r="Y88" s="1627"/>
      <c r="Z88" s="1627"/>
      <c r="AA88" s="1627"/>
      <c r="AB88" s="1627"/>
      <c r="AC88" s="1627"/>
      <c r="AD88" s="877"/>
    </row>
    <row r="89" spans="1:42" ht="13.5" customHeight="1">
      <c r="A89" s="358"/>
      <c r="B89" s="876"/>
      <c r="C89" s="1627"/>
      <c r="D89" s="1627"/>
      <c r="E89" s="1627"/>
      <c r="F89" s="1627"/>
      <c r="G89" s="1627"/>
      <c r="H89" s="1627"/>
      <c r="I89" s="1627"/>
      <c r="J89" s="1627"/>
      <c r="K89" s="1627"/>
      <c r="L89" s="1627"/>
      <c r="M89" s="1627"/>
      <c r="N89" s="1627"/>
      <c r="O89" s="1627"/>
      <c r="P89" s="1627"/>
      <c r="Q89" s="1627"/>
      <c r="R89" s="1627"/>
      <c r="S89" s="1627"/>
      <c r="T89" s="1627"/>
      <c r="U89" s="1627"/>
      <c r="V89" s="1627"/>
      <c r="W89" s="1627"/>
      <c r="X89" s="1627"/>
      <c r="Y89" s="1627"/>
      <c r="Z89" s="1627"/>
      <c r="AA89" s="1627"/>
      <c r="AB89" s="1627"/>
      <c r="AC89" s="1627"/>
      <c r="AD89" s="877"/>
    </row>
    <row r="90" spans="1:42" ht="13.5" customHeight="1">
      <c r="A90" s="358"/>
      <c r="B90" s="876"/>
      <c r="C90" s="1627"/>
      <c r="D90" s="1627"/>
      <c r="E90" s="1627"/>
      <c r="F90" s="1627"/>
      <c r="G90" s="1627"/>
      <c r="H90" s="1627"/>
      <c r="I90" s="1627"/>
      <c r="J90" s="1627"/>
      <c r="K90" s="1627"/>
      <c r="L90" s="1627"/>
      <c r="M90" s="1627"/>
      <c r="N90" s="1627"/>
      <c r="O90" s="1627"/>
      <c r="P90" s="1627"/>
      <c r="Q90" s="1627"/>
      <c r="R90" s="1627"/>
      <c r="S90" s="1627"/>
      <c r="T90" s="1627"/>
      <c r="U90" s="1627"/>
      <c r="V90" s="1627"/>
      <c r="W90" s="1627"/>
      <c r="X90" s="1627"/>
      <c r="Y90" s="1627"/>
      <c r="Z90" s="1627"/>
      <c r="AA90" s="1627"/>
      <c r="AB90" s="1627"/>
      <c r="AC90" s="1627"/>
      <c r="AD90" s="877"/>
    </row>
    <row r="91" spans="1:42" ht="13.5" customHeight="1">
      <c r="A91" s="358"/>
      <c r="B91" s="876"/>
      <c r="C91" s="1627"/>
      <c r="D91" s="1627"/>
      <c r="E91" s="1627"/>
      <c r="F91" s="1627"/>
      <c r="G91" s="1627"/>
      <c r="H91" s="1627"/>
      <c r="I91" s="1627"/>
      <c r="J91" s="1627"/>
      <c r="K91" s="1627"/>
      <c r="L91" s="1627"/>
      <c r="M91" s="1627"/>
      <c r="N91" s="1627"/>
      <c r="O91" s="1627"/>
      <c r="P91" s="1627"/>
      <c r="Q91" s="1627"/>
      <c r="R91" s="1627"/>
      <c r="S91" s="1627"/>
      <c r="T91" s="1627"/>
      <c r="U91" s="1627"/>
      <c r="V91" s="1627"/>
      <c r="W91" s="1627"/>
      <c r="X91" s="1627"/>
      <c r="Y91" s="1627"/>
      <c r="Z91" s="1627"/>
      <c r="AA91" s="1627"/>
      <c r="AB91" s="1627"/>
      <c r="AC91" s="1627"/>
      <c r="AD91" s="877"/>
    </row>
    <row r="92" spans="1:42" ht="13.5" customHeight="1">
      <c r="A92" s="358"/>
      <c r="B92" s="876"/>
      <c r="C92" s="1627"/>
      <c r="D92" s="1627"/>
      <c r="E92" s="1627"/>
      <c r="F92" s="1627"/>
      <c r="G92" s="1627"/>
      <c r="H92" s="1627"/>
      <c r="I92" s="1627"/>
      <c r="J92" s="1627"/>
      <c r="K92" s="1627"/>
      <c r="L92" s="1627"/>
      <c r="M92" s="1627"/>
      <c r="N92" s="1627"/>
      <c r="O92" s="1627"/>
      <c r="P92" s="1627"/>
      <c r="Q92" s="1627"/>
      <c r="R92" s="1627"/>
      <c r="S92" s="1627"/>
      <c r="T92" s="1627"/>
      <c r="U92" s="1627"/>
      <c r="V92" s="1627"/>
      <c r="W92" s="1627"/>
      <c r="X92" s="1627"/>
      <c r="Y92" s="1627"/>
      <c r="Z92" s="1627"/>
      <c r="AA92" s="1627"/>
      <c r="AB92" s="1627"/>
      <c r="AC92" s="1627"/>
      <c r="AD92" s="877"/>
    </row>
    <row r="93" spans="1:42" ht="13.5" customHeight="1">
      <c r="A93" s="358"/>
      <c r="B93" s="876"/>
      <c r="C93" s="1627"/>
      <c r="D93" s="1627"/>
      <c r="E93" s="1627"/>
      <c r="F93" s="1627"/>
      <c r="G93" s="1627"/>
      <c r="H93" s="1627"/>
      <c r="I93" s="1627"/>
      <c r="J93" s="1627"/>
      <c r="K93" s="1627"/>
      <c r="L93" s="1627"/>
      <c r="M93" s="1627"/>
      <c r="N93" s="1627"/>
      <c r="O93" s="1627"/>
      <c r="P93" s="1627"/>
      <c r="Q93" s="1627"/>
      <c r="R93" s="1627"/>
      <c r="S93" s="1627"/>
      <c r="T93" s="1627"/>
      <c r="U93" s="1627"/>
      <c r="V93" s="1627"/>
      <c r="W93" s="1627"/>
      <c r="X93" s="1627"/>
      <c r="Y93" s="1627"/>
      <c r="Z93" s="1627"/>
      <c r="AA93" s="1627"/>
      <c r="AB93" s="1627"/>
      <c r="AC93" s="1627"/>
      <c r="AD93" s="877"/>
    </row>
    <row r="94" spans="1:42" ht="13.5" customHeight="1">
      <c r="A94" s="358"/>
      <c r="B94" s="876"/>
      <c r="C94" s="1627"/>
      <c r="D94" s="1627"/>
      <c r="E94" s="1627"/>
      <c r="F94" s="1627"/>
      <c r="G94" s="1627"/>
      <c r="H94" s="1627"/>
      <c r="I94" s="1627"/>
      <c r="J94" s="1627"/>
      <c r="K94" s="1627"/>
      <c r="L94" s="1627"/>
      <c r="M94" s="1627"/>
      <c r="N94" s="1627"/>
      <c r="O94" s="1627"/>
      <c r="P94" s="1627"/>
      <c r="Q94" s="1627"/>
      <c r="R94" s="1627"/>
      <c r="S94" s="1627"/>
      <c r="T94" s="1627"/>
      <c r="U94" s="1627"/>
      <c r="V94" s="1627"/>
      <c r="W94" s="1627"/>
      <c r="X94" s="1627"/>
      <c r="Y94" s="1627"/>
      <c r="Z94" s="1627"/>
      <c r="AA94" s="1627"/>
      <c r="AB94" s="1627"/>
      <c r="AC94" s="1627"/>
      <c r="AD94" s="877"/>
    </row>
    <row r="95" spans="1:42" ht="13.5" customHeight="1">
      <c r="A95" s="358"/>
      <c r="B95" s="876"/>
      <c r="C95" s="1627"/>
      <c r="D95" s="1627"/>
      <c r="E95" s="1627"/>
      <c r="F95" s="1627"/>
      <c r="G95" s="1627"/>
      <c r="H95" s="1627"/>
      <c r="I95" s="1627"/>
      <c r="J95" s="1627"/>
      <c r="K95" s="1627"/>
      <c r="L95" s="1627"/>
      <c r="M95" s="1627"/>
      <c r="N95" s="1627"/>
      <c r="O95" s="1627"/>
      <c r="P95" s="1627"/>
      <c r="Q95" s="1627"/>
      <c r="R95" s="1627"/>
      <c r="S95" s="1627"/>
      <c r="T95" s="1627"/>
      <c r="U95" s="1627"/>
      <c r="V95" s="1627"/>
      <c r="W95" s="1627"/>
      <c r="X95" s="1627"/>
      <c r="Y95" s="1627"/>
      <c r="Z95" s="1627"/>
      <c r="AA95" s="1627"/>
      <c r="AB95" s="1627"/>
      <c r="AC95" s="1627"/>
      <c r="AD95" s="877"/>
    </row>
    <row r="96" spans="1:42" ht="13.5" customHeight="1">
      <c r="A96" s="358"/>
      <c r="B96" s="876"/>
      <c r="C96" s="1627"/>
      <c r="D96" s="1627"/>
      <c r="E96" s="1627"/>
      <c r="F96" s="1627"/>
      <c r="G96" s="1627"/>
      <c r="H96" s="1627"/>
      <c r="I96" s="1627"/>
      <c r="J96" s="1627"/>
      <c r="K96" s="1627"/>
      <c r="L96" s="1627"/>
      <c r="M96" s="1627"/>
      <c r="N96" s="1627"/>
      <c r="O96" s="1627"/>
      <c r="P96" s="1627"/>
      <c r="Q96" s="1627"/>
      <c r="R96" s="1627"/>
      <c r="S96" s="1627"/>
      <c r="T96" s="1627"/>
      <c r="U96" s="1627"/>
      <c r="V96" s="1627"/>
      <c r="W96" s="1627"/>
      <c r="X96" s="1627"/>
      <c r="Y96" s="1627"/>
      <c r="Z96" s="1627"/>
      <c r="AA96" s="1627"/>
      <c r="AB96" s="1627"/>
      <c r="AC96" s="1627"/>
      <c r="AD96" s="877"/>
    </row>
    <row r="97" spans="1:30" ht="13.5" customHeight="1">
      <c r="A97" s="358"/>
      <c r="B97" s="876"/>
      <c r="C97" s="1627"/>
      <c r="D97" s="1627"/>
      <c r="E97" s="1627"/>
      <c r="F97" s="1627"/>
      <c r="G97" s="1627"/>
      <c r="H97" s="1627"/>
      <c r="I97" s="1627"/>
      <c r="J97" s="1627"/>
      <c r="K97" s="1627"/>
      <c r="L97" s="1627"/>
      <c r="M97" s="1627"/>
      <c r="N97" s="1627"/>
      <c r="O97" s="1627"/>
      <c r="P97" s="1627"/>
      <c r="Q97" s="1627"/>
      <c r="R97" s="1627"/>
      <c r="S97" s="1627"/>
      <c r="T97" s="1627"/>
      <c r="U97" s="1627"/>
      <c r="V97" s="1627"/>
      <c r="W97" s="1627"/>
      <c r="X97" s="1627"/>
      <c r="Y97" s="1627"/>
      <c r="Z97" s="1627"/>
      <c r="AA97" s="1627"/>
      <c r="AB97" s="1627"/>
      <c r="AC97" s="1627"/>
      <c r="AD97" s="877"/>
    </row>
    <row r="98" spans="1:30" ht="13.5" customHeight="1">
      <c r="A98" s="358"/>
      <c r="B98" s="876"/>
      <c r="C98" s="1627"/>
      <c r="D98" s="1627"/>
      <c r="E98" s="1627"/>
      <c r="F98" s="1627"/>
      <c r="G98" s="1627"/>
      <c r="H98" s="1627"/>
      <c r="I98" s="1627"/>
      <c r="J98" s="1627"/>
      <c r="K98" s="1627"/>
      <c r="L98" s="1627"/>
      <c r="M98" s="1627"/>
      <c r="N98" s="1627"/>
      <c r="O98" s="1627"/>
      <c r="P98" s="1627"/>
      <c r="Q98" s="1627"/>
      <c r="R98" s="1627"/>
      <c r="S98" s="1627"/>
      <c r="T98" s="1627"/>
      <c r="U98" s="1627"/>
      <c r="V98" s="1627"/>
      <c r="W98" s="1627"/>
      <c r="X98" s="1627"/>
      <c r="Y98" s="1627"/>
      <c r="Z98" s="1627"/>
      <c r="AA98" s="1627"/>
      <c r="AB98" s="1627"/>
      <c r="AC98" s="1627"/>
      <c r="AD98" s="877"/>
    </row>
    <row r="99" spans="1:30" ht="13.5" customHeight="1">
      <c r="A99" s="358"/>
      <c r="B99" s="874"/>
      <c r="C99" s="1626"/>
      <c r="D99" s="1626"/>
      <c r="E99" s="1626"/>
      <c r="F99" s="1626"/>
      <c r="G99" s="1626"/>
      <c r="H99" s="1626"/>
      <c r="I99" s="1626"/>
      <c r="J99" s="1626"/>
      <c r="K99" s="1626"/>
      <c r="L99" s="1626"/>
      <c r="M99" s="1626"/>
      <c r="N99" s="1626"/>
      <c r="O99" s="1626"/>
      <c r="P99" s="1626"/>
      <c r="Q99" s="1626"/>
      <c r="R99" s="1626"/>
      <c r="S99" s="1626"/>
      <c r="T99" s="1626"/>
      <c r="U99" s="1626"/>
      <c r="V99" s="1626"/>
      <c r="W99" s="1626"/>
      <c r="X99" s="1626"/>
      <c r="Y99" s="1626"/>
      <c r="Z99" s="1626"/>
      <c r="AA99" s="1626"/>
      <c r="AB99" s="1626"/>
      <c r="AC99" s="1626"/>
      <c r="AD99" s="875"/>
    </row>
    <row r="100" spans="1:30" ht="13.5" customHeight="1">
      <c r="A100" s="358"/>
      <c r="B100" s="358"/>
      <c r="C100" s="358"/>
      <c r="D100" s="358"/>
      <c r="E100" s="358"/>
      <c r="F100" s="358"/>
      <c r="G100" s="358"/>
      <c r="H100" s="358"/>
      <c r="I100" s="358"/>
      <c r="J100" s="358"/>
      <c r="K100" s="358"/>
      <c r="L100" s="358"/>
      <c r="M100" s="358"/>
      <c r="N100" s="358"/>
      <c r="O100" s="358"/>
      <c r="P100" s="358"/>
      <c r="Q100" s="358"/>
      <c r="R100" s="358"/>
      <c r="S100" s="358"/>
      <c r="T100" s="358"/>
      <c r="U100" s="358"/>
      <c r="V100" s="358"/>
      <c r="W100" s="358"/>
      <c r="X100" s="358"/>
      <c r="Y100" s="358"/>
      <c r="Z100" s="358"/>
    </row>
    <row r="101" spans="1:30" ht="13.5" customHeight="1">
      <c r="A101" s="358"/>
      <c r="B101" s="358"/>
      <c r="C101" s="358"/>
      <c r="D101" s="358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8"/>
      <c r="T101" s="358"/>
      <c r="U101" s="358"/>
      <c r="V101" s="358"/>
      <c r="W101" s="358"/>
      <c r="X101" s="358"/>
      <c r="Y101" s="358"/>
      <c r="Z101" s="358"/>
    </row>
    <row r="102" spans="1:30" ht="13.5" customHeight="1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8"/>
      <c r="P102" s="358"/>
      <c r="Q102" s="358"/>
      <c r="R102" s="358"/>
      <c r="S102" s="358"/>
      <c r="T102" s="358"/>
      <c r="U102" s="358"/>
      <c r="V102" s="358"/>
      <c r="W102" s="358"/>
      <c r="X102" s="358"/>
      <c r="Y102" s="358"/>
      <c r="Z102" s="358"/>
    </row>
    <row r="103" spans="1:30" ht="13.5" customHeight="1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8"/>
      <c r="P103" s="358"/>
      <c r="Q103" s="358"/>
      <c r="R103" s="358"/>
      <c r="S103" s="358"/>
      <c r="T103" s="358"/>
      <c r="U103" s="358"/>
      <c r="V103" s="358"/>
      <c r="W103" s="358"/>
      <c r="X103" s="358"/>
      <c r="Y103" s="358"/>
      <c r="Z103" s="358"/>
    </row>
    <row r="104" spans="1:30" ht="13.5" customHeight="1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58"/>
      <c r="Z104" s="358"/>
    </row>
    <row r="105" spans="1:30" ht="13.5" customHeight="1">
      <c r="A105" s="358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58"/>
      <c r="Z105" s="358"/>
    </row>
    <row r="106" spans="1:30" ht="13.5" customHeight="1">
      <c r="A106" s="358"/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58"/>
      <c r="Z106" s="358"/>
    </row>
    <row r="107" spans="1:30" ht="13.5" customHeight="1">
      <c r="A107" s="358"/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8"/>
      <c r="M107" s="358"/>
      <c r="N107" s="358"/>
      <c r="O107" s="358"/>
      <c r="P107" s="358"/>
      <c r="Q107" s="358"/>
      <c r="R107" s="358"/>
      <c r="S107" s="358"/>
      <c r="T107" s="358"/>
      <c r="U107" s="358"/>
      <c r="V107" s="358"/>
      <c r="W107" s="358"/>
      <c r="X107" s="358"/>
      <c r="Y107" s="358"/>
      <c r="Z107" s="358"/>
    </row>
    <row r="108" spans="1:30" ht="13.5" customHeight="1">
      <c r="A108" s="358"/>
      <c r="B108" s="358"/>
      <c r="C108" s="358"/>
      <c r="D108" s="358"/>
      <c r="E108" s="358"/>
      <c r="F108" s="358"/>
      <c r="G108" s="358"/>
      <c r="H108" s="358"/>
      <c r="I108" s="358"/>
      <c r="J108" s="358"/>
      <c r="K108" s="358"/>
      <c r="L108" s="358"/>
      <c r="M108" s="358"/>
      <c r="N108" s="358"/>
      <c r="O108" s="358"/>
      <c r="P108" s="358"/>
      <c r="Q108" s="358"/>
      <c r="R108" s="358"/>
      <c r="S108" s="358"/>
      <c r="T108" s="358"/>
      <c r="U108" s="358"/>
      <c r="V108" s="358"/>
      <c r="W108" s="358"/>
      <c r="X108" s="358"/>
      <c r="Y108" s="358"/>
      <c r="Z108" s="358"/>
    </row>
    <row r="109" spans="1:30" ht="13.5" customHeight="1">
      <c r="A109" s="358"/>
      <c r="B109" s="358"/>
      <c r="C109" s="358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8"/>
      <c r="P109" s="358"/>
      <c r="Q109" s="358"/>
      <c r="R109" s="358"/>
      <c r="S109" s="358"/>
      <c r="T109" s="358"/>
      <c r="U109" s="358"/>
      <c r="V109" s="358"/>
      <c r="W109" s="358"/>
      <c r="X109" s="358"/>
      <c r="Y109" s="358"/>
      <c r="Z109" s="358"/>
    </row>
    <row r="110" spans="1:30" ht="13.5" customHeight="1">
      <c r="A110" s="358"/>
      <c r="B110" s="358"/>
      <c r="C110" s="358"/>
      <c r="D110" s="358"/>
      <c r="E110" s="358"/>
      <c r="F110" s="358"/>
      <c r="G110" s="358"/>
      <c r="H110" s="358"/>
      <c r="I110" s="358"/>
      <c r="J110" s="358"/>
      <c r="K110" s="358"/>
      <c r="L110" s="358"/>
      <c r="M110" s="358"/>
      <c r="N110" s="358"/>
      <c r="O110" s="358"/>
      <c r="P110" s="358"/>
      <c r="Q110" s="358"/>
      <c r="R110" s="358"/>
      <c r="S110" s="358"/>
      <c r="T110" s="358"/>
      <c r="U110" s="358"/>
      <c r="V110" s="358"/>
      <c r="W110" s="358"/>
      <c r="X110" s="358"/>
      <c r="Y110" s="358"/>
      <c r="Z110" s="358"/>
    </row>
    <row r="111" spans="1:30" ht="13.5" customHeight="1">
      <c r="A111" s="358"/>
      <c r="B111" s="358"/>
      <c r="C111" s="358"/>
      <c r="D111" s="358"/>
      <c r="E111" s="358"/>
      <c r="F111" s="358"/>
      <c r="G111" s="358"/>
      <c r="H111" s="358"/>
      <c r="I111" s="358"/>
      <c r="J111" s="358"/>
      <c r="K111" s="358"/>
      <c r="L111" s="358"/>
      <c r="M111" s="358"/>
      <c r="N111" s="358"/>
      <c r="O111" s="358"/>
      <c r="P111" s="358"/>
      <c r="Q111" s="358"/>
      <c r="R111" s="358"/>
      <c r="S111" s="358"/>
      <c r="T111" s="358"/>
      <c r="U111" s="358"/>
      <c r="V111" s="358"/>
      <c r="W111" s="358"/>
      <c r="X111" s="358"/>
      <c r="Y111" s="358"/>
      <c r="Z111" s="358"/>
    </row>
    <row r="112" spans="1:30" ht="13.5" customHeight="1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8"/>
      <c r="P112" s="358"/>
      <c r="Q112" s="358"/>
      <c r="R112" s="358"/>
      <c r="S112" s="358"/>
      <c r="T112" s="358"/>
      <c r="U112" s="358"/>
      <c r="V112" s="358"/>
      <c r="W112" s="358"/>
      <c r="X112" s="358"/>
      <c r="Y112" s="358"/>
      <c r="Z112" s="358"/>
    </row>
    <row r="113" spans="1:26" ht="13.5" customHeight="1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8"/>
      <c r="P113" s="358"/>
      <c r="Q113" s="358"/>
      <c r="R113" s="358"/>
      <c r="S113" s="358"/>
      <c r="T113" s="358"/>
      <c r="U113" s="358"/>
      <c r="V113" s="358"/>
      <c r="W113" s="358"/>
      <c r="X113" s="358"/>
      <c r="Y113" s="358"/>
      <c r="Z113" s="358"/>
    </row>
    <row r="114" spans="1:26" ht="13.5" customHeight="1">
      <c r="A114" s="358"/>
      <c r="B114" s="358"/>
      <c r="C114" s="358"/>
      <c r="D114" s="358"/>
      <c r="E114" s="358"/>
      <c r="F114" s="358"/>
      <c r="G114" s="358"/>
      <c r="H114" s="358"/>
      <c r="I114" s="358"/>
      <c r="J114" s="358"/>
      <c r="K114" s="358"/>
      <c r="L114" s="358"/>
      <c r="M114" s="358"/>
      <c r="N114" s="358"/>
      <c r="O114" s="358"/>
      <c r="P114" s="358"/>
      <c r="Q114" s="358"/>
      <c r="R114" s="358"/>
      <c r="S114" s="358"/>
      <c r="T114" s="358"/>
      <c r="U114" s="358"/>
      <c r="V114" s="358"/>
      <c r="W114" s="358"/>
      <c r="X114" s="358"/>
      <c r="Y114" s="358"/>
      <c r="Z114" s="358"/>
    </row>
    <row r="115" spans="1:26" ht="13.5" customHeight="1">
      <c r="A115" s="358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58"/>
      <c r="N115" s="358"/>
      <c r="O115" s="358"/>
      <c r="P115" s="358"/>
      <c r="Q115" s="358"/>
      <c r="R115" s="358"/>
      <c r="S115" s="358"/>
      <c r="T115" s="358"/>
      <c r="U115" s="358"/>
      <c r="V115" s="358"/>
      <c r="W115" s="358"/>
      <c r="X115" s="358"/>
      <c r="Y115" s="358"/>
      <c r="Z115" s="358"/>
    </row>
    <row r="116" spans="1:26" ht="13.5" customHeight="1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</row>
    <row r="117" spans="1:26" ht="13.5" customHeight="1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58"/>
      <c r="Z117" s="358"/>
    </row>
    <row r="118" spans="1:26" ht="13.5" customHeight="1">
      <c r="A118" s="358"/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58"/>
      <c r="Z118" s="358"/>
    </row>
    <row r="119" spans="1:26" ht="13.5" customHeight="1">
      <c r="A119" s="358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</row>
    <row r="120" spans="1:26" ht="13.5" customHeight="1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8"/>
      <c r="P120" s="358"/>
      <c r="Q120" s="358"/>
      <c r="R120" s="358"/>
      <c r="S120" s="358"/>
      <c r="T120" s="358"/>
      <c r="U120" s="358"/>
      <c r="V120" s="358"/>
      <c r="W120" s="358"/>
      <c r="X120" s="358"/>
      <c r="Y120" s="358"/>
      <c r="Z120" s="358"/>
    </row>
    <row r="121" spans="1:26" ht="13.5" customHeight="1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58"/>
      <c r="Z121" s="358"/>
    </row>
    <row r="122" spans="1:26" ht="13.5" customHeight="1">
      <c r="A122" s="358"/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</row>
    <row r="123" spans="1:26" ht="13.5" customHeight="1">
      <c r="A123" s="358"/>
      <c r="B123" s="358"/>
      <c r="C123" s="358"/>
      <c r="D123" s="358"/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8"/>
      <c r="P123" s="358"/>
      <c r="Q123" s="358"/>
      <c r="R123" s="358"/>
      <c r="S123" s="358"/>
      <c r="T123" s="358"/>
      <c r="U123" s="358"/>
      <c r="V123" s="358"/>
      <c r="W123" s="358"/>
      <c r="X123" s="358"/>
      <c r="Y123" s="358"/>
      <c r="Z123" s="358"/>
    </row>
    <row r="124" spans="1:26" ht="13.5" customHeight="1">
      <c r="A124" s="358"/>
      <c r="B124" s="358"/>
      <c r="C124" s="358"/>
      <c r="D124" s="358"/>
      <c r="E124" s="358"/>
      <c r="F124" s="358"/>
      <c r="G124" s="358"/>
      <c r="H124" s="358"/>
      <c r="I124" s="358"/>
      <c r="J124" s="358"/>
      <c r="K124" s="358"/>
      <c r="L124" s="358"/>
      <c r="M124" s="358"/>
      <c r="N124" s="358"/>
      <c r="O124" s="358"/>
      <c r="P124" s="358"/>
      <c r="Q124" s="358"/>
      <c r="R124" s="358"/>
      <c r="S124" s="358"/>
      <c r="T124" s="358"/>
      <c r="U124" s="358"/>
      <c r="V124" s="358"/>
      <c r="W124" s="358"/>
      <c r="X124" s="358"/>
      <c r="Y124" s="358"/>
      <c r="Z124" s="358"/>
    </row>
    <row r="125" spans="1:26" ht="13.5" customHeight="1">
      <c r="A125" s="358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</row>
    <row r="126" spans="1:26" ht="13.5" customHeight="1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8"/>
      <c r="P126" s="358"/>
      <c r="Q126" s="358"/>
      <c r="R126" s="358"/>
      <c r="S126" s="358"/>
      <c r="T126" s="358"/>
      <c r="U126" s="358"/>
      <c r="V126" s="358"/>
      <c r="W126" s="358"/>
      <c r="X126" s="358"/>
      <c r="Y126" s="358"/>
      <c r="Z126" s="358"/>
    </row>
    <row r="127" spans="1:26" ht="13.5" customHeight="1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58"/>
      <c r="Z127" s="358"/>
    </row>
    <row r="128" spans="1:26" ht="13.5" customHeight="1">
      <c r="A128" s="358"/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</row>
    <row r="129" spans="1:26" ht="13.5" customHeight="1">
      <c r="A129" s="358"/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58"/>
      <c r="Z129" s="358"/>
    </row>
    <row r="130" spans="1:26" ht="13.5" customHeight="1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8"/>
      <c r="N130" s="358"/>
      <c r="O130" s="358"/>
      <c r="P130" s="358"/>
      <c r="Q130" s="358"/>
      <c r="R130" s="358"/>
      <c r="S130" s="358"/>
      <c r="T130" s="358"/>
      <c r="U130" s="358"/>
      <c r="V130" s="358"/>
      <c r="W130" s="358"/>
      <c r="X130" s="358"/>
      <c r="Y130" s="358"/>
      <c r="Z130" s="358"/>
    </row>
    <row r="131" spans="1:26" ht="13.5" customHeight="1">
      <c r="A131" s="358"/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58"/>
      <c r="Z131" s="358"/>
    </row>
    <row r="132" spans="1:26" ht="13.5" customHeight="1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58"/>
      <c r="Z132" s="358"/>
    </row>
    <row r="133" spans="1:26" ht="13.5" customHeight="1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8"/>
      <c r="P133" s="358"/>
      <c r="Q133" s="358"/>
      <c r="R133" s="358"/>
      <c r="S133" s="358"/>
      <c r="T133" s="358"/>
      <c r="U133" s="358"/>
      <c r="V133" s="358"/>
      <c r="W133" s="358"/>
      <c r="X133" s="358"/>
      <c r="Y133" s="358"/>
      <c r="Z133" s="358"/>
    </row>
    <row r="134" spans="1:26" ht="13.5" customHeight="1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8"/>
      <c r="N134" s="358"/>
      <c r="O134" s="358"/>
      <c r="P134" s="358"/>
      <c r="Q134" s="358"/>
      <c r="R134" s="358"/>
      <c r="S134" s="358"/>
      <c r="T134" s="358"/>
      <c r="U134" s="358"/>
      <c r="V134" s="358"/>
      <c r="W134" s="358"/>
      <c r="X134" s="358"/>
      <c r="Y134" s="358"/>
      <c r="Z134" s="358"/>
    </row>
    <row r="135" spans="1:26" ht="13.5" customHeight="1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358"/>
      <c r="Y135" s="358"/>
      <c r="Z135" s="358"/>
    </row>
    <row r="136" spans="1:26" ht="13.5" customHeight="1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58"/>
      <c r="Z136" s="358"/>
    </row>
    <row r="137" spans="1:26" ht="13.5" customHeight="1">
      <c r="A137" s="358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58"/>
      <c r="Z137" s="358"/>
    </row>
    <row r="138" spans="1:26" ht="13.5" customHeight="1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58"/>
      <c r="Z138" s="358"/>
    </row>
    <row r="139" spans="1:26" ht="13.5" customHeight="1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58"/>
      <c r="Z139" s="358"/>
    </row>
    <row r="140" spans="1:26" ht="13.5" customHeight="1">
      <c r="A140" s="358"/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58"/>
      <c r="Z140" s="358"/>
    </row>
    <row r="141" spans="1:26" ht="13.5" customHeight="1">
      <c r="A141" s="358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58"/>
      <c r="T141" s="358"/>
      <c r="U141" s="358"/>
      <c r="V141" s="358"/>
      <c r="W141" s="358"/>
      <c r="X141" s="358"/>
      <c r="Y141" s="358"/>
      <c r="Z141" s="358"/>
    </row>
    <row r="142" spans="1:26" ht="13.5" customHeight="1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8"/>
      <c r="N142" s="358"/>
      <c r="O142" s="358"/>
      <c r="P142" s="358"/>
      <c r="Q142" s="358"/>
      <c r="R142" s="358"/>
      <c r="S142" s="358"/>
      <c r="T142" s="358"/>
      <c r="U142" s="358"/>
      <c r="V142" s="358"/>
      <c r="W142" s="358"/>
      <c r="X142" s="358"/>
      <c r="Y142" s="358"/>
      <c r="Z142" s="358"/>
    </row>
    <row r="143" spans="1:26" ht="13.5" customHeight="1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58"/>
      <c r="Z143" s="358"/>
    </row>
    <row r="144" spans="1:26" ht="13.5" customHeight="1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58"/>
      <c r="Z144" s="358"/>
    </row>
    <row r="145" spans="1:26" ht="13.5" customHeight="1">
      <c r="A145" s="358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58"/>
      <c r="Z145" s="358"/>
    </row>
    <row r="146" spans="1:26" ht="13.5" customHeight="1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58"/>
      <c r="Z146" s="358"/>
    </row>
    <row r="147" spans="1:26" ht="13.5" customHeight="1">
      <c r="A147" s="358"/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  <c r="P147" s="358"/>
      <c r="Q147" s="358"/>
      <c r="R147" s="358"/>
      <c r="S147" s="358"/>
      <c r="T147" s="358"/>
      <c r="U147" s="358"/>
      <c r="V147" s="358"/>
      <c r="W147" s="358"/>
      <c r="X147" s="358"/>
      <c r="Y147" s="358"/>
      <c r="Z147" s="358"/>
    </row>
    <row r="148" spans="1:26" ht="13.5" customHeight="1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8"/>
      <c r="P148" s="358"/>
      <c r="Q148" s="358"/>
      <c r="R148" s="358"/>
      <c r="S148" s="358"/>
      <c r="T148" s="358"/>
      <c r="U148" s="358"/>
      <c r="V148" s="358"/>
      <c r="W148" s="358"/>
      <c r="X148" s="358"/>
      <c r="Y148" s="358"/>
      <c r="Z148" s="358"/>
    </row>
    <row r="149" spans="1:26" ht="13.5" customHeight="1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8"/>
      <c r="P149" s="358"/>
      <c r="Q149" s="358"/>
      <c r="R149" s="358"/>
      <c r="S149" s="358"/>
      <c r="T149" s="358"/>
      <c r="U149" s="358"/>
      <c r="V149" s="358"/>
      <c r="W149" s="358"/>
      <c r="X149" s="358"/>
      <c r="Y149" s="358"/>
      <c r="Z149" s="358"/>
    </row>
    <row r="150" spans="1:26" ht="13.5" customHeight="1">
      <c r="A150" s="358"/>
      <c r="B150" s="358"/>
      <c r="C150" s="358"/>
      <c r="D150" s="358"/>
      <c r="E150" s="358"/>
      <c r="F150" s="358"/>
      <c r="G150" s="358"/>
      <c r="H150" s="358"/>
      <c r="I150" s="358"/>
      <c r="J150" s="358"/>
      <c r="K150" s="358"/>
      <c r="L150" s="358"/>
      <c r="M150" s="358"/>
      <c r="N150" s="358"/>
      <c r="O150" s="358"/>
      <c r="P150" s="358"/>
      <c r="Q150" s="358"/>
      <c r="R150" s="358"/>
      <c r="S150" s="358"/>
      <c r="T150" s="358"/>
      <c r="U150" s="358"/>
      <c r="V150" s="358"/>
      <c r="W150" s="358"/>
      <c r="X150" s="358"/>
      <c r="Y150" s="358"/>
      <c r="Z150" s="358"/>
    </row>
    <row r="151" spans="1:26" ht="13.5" customHeight="1">
      <c r="A151" s="358"/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</row>
    <row r="152" spans="1:26" ht="13.5" customHeight="1">
      <c r="A152" s="358"/>
      <c r="B152" s="358"/>
      <c r="C152" s="358"/>
      <c r="D152" s="358"/>
      <c r="E152" s="358"/>
      <c r="F152" s="358"/>
      <c r="G152" s="358"/>
      <c r="H152" s="358"/>
      <c r="I152" s="358"/>
      <c r="J152" s="358"/>
      <c r="K152" s="358"/>
      <c r="L152" s="358"/>
      <c r="M152" s="358"/>
      <c r="N152" s="358"/>
      <c r="O152" s="358"/>
      <c r="P152" s="358"/>
      <c r="Q152" s="358"/>
      <c r="R152" s="358"/>
      <c r="S152" s="358"/>
      <c r="T152" s="358"/>
      <c r="U152" s="358"/>
      <c r="V152" s="358"/>
      <c r="W152" s="358"/>
      <c r="X152" s="358"/>
      <c r="Y152" s="358"/>
      <c r="Z152" s="358"/>
    </row>
    <row r="153" spans="1:26" ht="13.5" customHeight="1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8"/>
      <c r="P153" s="358"/>
      <c r="Q153" s="358"/>
      <c r="R153" s="358"/>
      <c r="S153" s="358"/>
      <c r="T153" s="358"/>
      <c r="U153" s="358"/>
      <c r="V153" s="358"/>
      <c r="W153" s="358"/>
      <c r="X153" s="358"/>
      <c r="Y153" s="358"/>
      <c r="Z153" s="358"/>
    </row>
    <row r="154" spans="1:26" ht="13.5" customHeight="1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8"/>
      <c r="P154" s="358"/>
      <c r="Q154" s="358"/>
      <c r="R154" s="358"/>
      <c r="S154" s="358"/>
      <c r="T154" s="358"/>
      <c r="U154" s="358"/>
      <c r="V154" s="358"/>
      <c r="W154" s="358"/>
      <c r="X154" s="358"/>
      <c r="Y154" s="358"/>
      <c r="Z154" s="358"/>
    </row>
    <row r="155" spans="1:26" ht="13.5" customHeight="1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8"/>
      <c r="N155" s="358"/>
      <c r="O155" s="358"/>
      <c r="P155" s="358"/>
      <c r="Q155" s="358"/>
      <c r="R155" s="358"/>
      <c r="S155" s="358"/>
      <c r="T155" s="358"/>
      <c r="U155" s="358"/>
      <c r="V155" s="358"/>
      <c r="W155" s="358"/>
      <c r="X155" s="358"/>
      <c r="Y155" s="358"/>
      <c r="Z155" s="358"/>
    </row>
    <row r="156" spans="1:26" ht="13.5" customHeight="1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58"/>
      <c r="Z156" s="358"/>
    </row>
    <row r="157" spans="1:26" ht="13.5" customHeight="1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58"/>
      <c r="Z157" s="358"/>
    </row>
    <row r="158" spans="1:26" ht="13.5" customHeight="1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58"/>
      <c r="Z158" s="358"/>
    </row>
    <row r="159" spans="1:26" ht="13.5" customHeight="1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58"/>
      <c r="Z159" s="358"/>
    </row>
    <row r="160" spans="1:26" ht="13.5" customHeight="1">
      <c r="A160" s="358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</row>
    <row r="161" spans="1:26" ht="13.5" customHeight="1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58"/>
      <c r="Z161" s="358"/>
    </row>
    <row r="162" spans="1:26" ht="13.5" customHeight="1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58"/>
      <c r="Z162" s="358"/>
    </row>
    <row r="163" spans="1:26" ht="13.5" customHeight="1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58"/>
      <c r="Z163" s="358"/>
    </row>
    <row r="164" spans="1:26" ht="13.5" customHeight="1">
      <c r="A164" s="358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58"/>
      <c r="Z164" s="358"/>
    </row>
    <row r="165" spans="1:26" ht="13.5" customHeight="1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8"/>
      <c r="P165" s="358"/>
      <c r="Q165" s="358"/>
      <c r="R165" s="358"/>
      <c r="S165" s="358"/>
      <c r="T165" s="358"/>
      <c r="U165" s="358"/>
      <c r="V165" s="358"/>
      <c r="W165" s="358"/>
      <c r="X165" s="358"/>
      <c r="Y165" s="358"/>
      <c r="Z165" s="358"/>
    </row>
    <row r="166" spans="1:26" ht="13.5" customHeight="1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58"/>
      <c r="Z166" s="358"/>
    </row>
    <row r="167" spans="1:26" ht="13.5" customHeight="1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58"/>
      <c r="Z167" s="358"/>
    </row>
    <row r="168" spans="1:26" ht="13.5" customHeight="1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58"/>
      <c r="Z168" s="358"/>
    </row>
    <row r="169" spans="1:26" ht="13.5" customHeight="1">
      <c r="A169" s="358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58"/>
      <c r="Z169" s="358"/>
    </row>
    <row r="170" spans="1:26" ht="13.5" customHeight="1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</row>
    <row r="171" spans="1:26" ht="13.5" customHeight="1">
      <c r="A171" s="358"/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58"/>
      <c r="Z171" s="358"/>
    </row>
    <row r="172" spans="1:26" ht="13.5" customHeight="1">
      <c r="A172" s="358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58"/>
      <c r="N172" s="358"/>
      <c r="O172" s="358"/>
      <c r="P172" s="358"/>
      <c r="Q172" s="358"/>
      <c r="R172" s="358"/>
      <c r="S172" s="358"/>
      <c r="T172" s="358"/>
      <c r="U172" s="358"/>
      <c r="V172" s="358"/>
      <c r="W172" s="358"/>
      <c r="X172" s="358"/>
      <c r="Y172" s="358"/>
      <c r="Z172" s="358"/>
    </row>
    <row r="173" spans="1:26" ht="13.5" customHeight="1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8"/>
      <c r="P173" s="358"/>
      <c r="Q173" s="358"/>
      <c r="R173" s="358"/>
      <c r="S173" s="358"/>
      <c r="T173" s="358"/>
      <c r="U173" s="358"/>
      <c r="V173" s="358"/>
      <c r="W173" s="358"/>
      <c r="X173" s="358"/>
      <c r="Y173" s="358"/>
      <c r="Z173" s="358"/>
    </row>
    <row r="174" spans="1:26" ht="13.5" customHeight="1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58"/>
      <c r="Z174" s="358"/>
    </row>
    <row r="175" spans="1:26" ht="13.5" customHeight="1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58"/>
      <c r="Z175" s="358"/>
    </row>
    <row r="176" spans="1:26" ht="13.5" customHeight="1">
      <c r="A176" s="358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58"/>
      <c r="Z176" s="358"/>
    </row>
    <row r="177" spans="1:26" ht="13.5" customHeight="1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8"/>
      <c r="P177" s="358"/>
      <c r="Q177" s="358"/>
      <c r="R177" s="358"/>
      <c r="S177" s="358"/>
      <c r="T177" s="358"/>
      <c r="U177" s="358"/>
      <c r="V177" s="358"/>
      <c r="W177" s="358"/>
      <c r="X177" s="358"/>
      <c r="Y177" s="358"/>
      <c r="Z177" s="358"/>
    </row>
    <row r="178" spans="1:26" ht="13.5" customHeight="1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58"/>
      <c r="Z178" s="358"/>
    </row>
    <row r="179" spans="1:26" ht="13.5" customHeight="1">
      <c r="A179" s="358"/>
      <c r="B179" s="358"/>
      <c r="C179" s="358"/>
      <c r="D179" s="358"/>
      <c r="E179" s="358"/>
      <c r="F179" s="358"/>
      <c r="G179" s="358"/>
      <c r="H179" s="358"/>
      <c r="I179" s="358"/>
      <c r="J179" s="358"/>
      <c r="K179" s="358"/>
      <c r="L179" s="358"/>
      <c r="M179" s="358"/>
      <c r="N179" s="358"/>
      <c r="O179" s="358"/>
      <c r="P179" s="358"/>
      <c r="Q179" s="358"/>
      <c r="R179" s="358"/>
      <c r="S179" s="358"/>
      <c r="T179" s="358"/>
      <c r="U179" s="358"/>
      <c r="V179" s="358"/>
      <c r="W179" s="358"/>
      <c r="X179" s="358"/>
      <c r="Y179" s="358"/>
      <c r="Z179" s="358"/>
    </row>
    <row r="180" spans="1:26" ht="13.5" customHeight="1">
      <c r="A180" s="358"/>
      <c r="B180" s="358"/>
      <c r="C180" s="358"/>
      <c r="D180" s="358"/>
      <c r="E180" s="358"/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</row>
    <row r="181" spans="1:26" ht="13.5" customHeight="1">
      <c r="A181" s="358"/>
      <c r="B181" s="358"/>
      <c r="C181" s="358"/>
      <c r="D181" s="358"/>
      <c r="E181" s="358"/>
      <c r="F181" s="358"/>
      <c r="G181" s="358"/>
      <c r="H181" s="358"/>
      <c r="I181" s="358"/>
      <c r="J181" s="358"/>
      <c r="K181" s="358"/>
      <c r="L181" s="358"/>
      <c r="M181" s="358"/>
      <c r="N181" s="358"/>
      <c r="O181" s="358"/>
      <c r="P181" s="358"/>
      <c r="Q181" s="358"/>
      <c r="R181" s="358"/>
      <c r="S181" s="358"/>
      <c r="T181" s="358"/>
      <c r="U181" s="358"/>
      <c r="V181" s="358"/>
      <c r="W181" s="358"/>
      <c r="X181" s="358"/>
      <c r="Y181" s="358"/>
      <c r="Z181" s="358"/>
    </row>
    <row r="182" spans="1:26" ht="13.5" customHeight="1">
      <c r="A182" s="358"/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</row>
    <row r="183" spans="1:26" ht="13.5" customHeight="1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8"/>
      <c r="P183" s="358"/>
      <c r="Q183" s="358"/>
      <c r="R183" s="358"/>
      <c r="S183" s="358"/>
      <c r="T183" s="358"/>
      <c r="U183" s="358"/>
      <c r="V183" s="358"/>
      <c r="W183" s="358"/>
      <c r="X183" s="358"/>
      <c r="Y183" s="358"/>
      <c r="Z183" s="358"/>
    </row>
    <row r="184" spans="1:26" ht="13.5" customHeight="1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8"/>
      <c r="P184" s="358"/>
      <c r="Q184" s="358"/>
      <c r="R184" s="358"/>
      <c r="S184" s="358"/>
      <c r="T184" s="358"/>
      <c r="U184" s="358"/>
      <c r="V184" s="358"/>
      <c r="W184" s="358"/>
      <c r="X184" s="358"/>
      <c r="Y184" s="358"/>
      <c r="Z184" s="358"/>
    </row>
    <row r="185" spans="1:26" ht="13.5" customHeight="1">
      <c r="A185" s="358"/>
      <c r="B185" s="358"/>
      <c r="C185" s="358"/>
      <c r="D185" s="358"/>
      <c r="E185" s="358"/>
      <c r="F185" s="358"/>
      <c r="G185" s="358"/>
      <c r="H185" s="358"/>
      <c r="I185" s="358"/>
      <c r="J185" s="358"/>
      <c r="K185" s="358"/>
      <c r="L185" s="358"/>
      <c r="M185" s="358"/>
      <c r="N185" s="358"/>
      <c r="O185" s="358"/>
      <c r="P185" s="358"/>
      <c r="Q185" s="358"/>
      <c r="R185" s="358"/>
      <c r="S185" s="358"/>
      <c r="T185" s="358"/>
      <c r="U185" s="358"/>
      <c r="V185" s="358"/>
      <c r="W185" s="358"/>
      <c r="X185" s="358"/>
      <c r="Y185" s="358"/>
      <c r="Z185" s="358"/>
    </row>
    <row r="186" spans="1:26" ht="13.5" customHeight="1">
      <c r="A186" s="358"/>
      <c r="B186" s="358"/>
      <c r="C186" s="358"/>
      <c r="D186" s="358"/>
      <c r="E186" s="358"/>
      <c r="F186" s="358"/>
      <c r="G186" s="358"/>
      <c r="H186" s="358"/>
      <c r="I186" s="358"/>
      <c r="J186" s="358"/>
      <c r="K186" s="358"/>
      <c r="L186" s="358"/>
      <c r="M186" s="358"/>
      <c r="N186" s="358"/>
      <c r="O186" s="358"/>
      <c r="P186" s="358"/>
      <c r="Q186" s="358"/>
      <c r="R186" s="358"/>
      <c r="S186" s="358"/>
      <c r="T186" s="358"/>
      <c r="U186" s="358"/>
      <c r="V186" s="358"/>
      <c r="W186" s="358"/>
      <c r="X186" s="358"/>
      <c r="Y186" s="358"/>
      <c r="Z186" s="358"/>
    </row>
    <row r="187" spans="1:26" ht="13.5" customHeight="1">
      <c r="A187" s="358"/>
      <c r="B187" s="358"/>
      <c r="C187" s="358"/>
      <c r="D187" s="358"/>
      <c r="E187" s="358"/>
      <c r="F187" s="358"/>
      <c r="G187" s="358"/>
      <c r="H187" s="358"/>
      <c r="I187" s="358"/>
      <c r="J187" s="358"/>
      <c r="K187" s="358"/>
      <c r="L187" s="358"/>
      <c r="M187" s="358"/>
      <c r="N187" s="358"/>
      <c r="O187" s="358"/>
      <c r="P187" s="358"/>
      <c r="Q187" s="358"/>
      <c r="R187" s="358"/>
      <c r="S187" s="358"/>
      <c r="T187" s="358"/>
      <c r="U187" s="358"/>
      <c r="V187" s="358"/>
      <c r="W187" s="358"/>
      <c r="X187" s="358"/>
      <c r="Y187" s="358"/>
      <c r="Z187" s="358"/>
    </row>
    <row r="188" spans="1:26" ht="13.5" customHeight="1">
      <c r="A188" s="358"/>
      <c r="B188" s="358"/>
      <c r="C188" s="358"/>
      <c r="D188" s="358"/>
      <c r="E188" s="358"/>
      <c r="F188" s="358"/>
      <c r="G188" s="358"/>
      <c r="H188" s="358"/>
      <c r="I188" s="358"/>
      <c r="J188" s="358"/>
      <c r="K188" s="358"/>
      <c r="L188" s="358"/>
      <c r="M188" s="358"/>
      <c r="N188" s="358"/>
      <c r="O188" s="358"/>
      <c r="P188" s="358"/>
      <c r="Q188" s="358"/>
      <c r="R188" s="358"/>
      <c r="S188" s="358"/>
      <c r="T188" s="358"/>
      <c r="U188" s="358"/>
      <c r="V188" s="358"/>
      <c r="W188" s="358"/>
      <c r="X188" s="358"/>
      <c r="Y188" s="358"/>
      <c r="Z188" s="358"/>
    </row>
    <row r="189" spans="1:26" ht="13.5" customHeight="1">
      <c r="A189" s="358"/>
      <c r="B189" s="358"/>
      <c r="C189" s="358"/>
      <c r="D189" s="358"/>
      <c r="E189" s="358"/>
      <c r="F189" s="358"/>
      <c r="G189" s="358"/>
      <c r="H189" s="358"/>
      <c r="I189" s="358"/>
      <c r="J189" s="358"/>
      <c r="K189" s="358"/>
      <c r="L189" s="358"/>
      <c r="M189" s="358"/>
      <c r="N189" s="358"/>
      <c r="O189" s="358"/>
      <c r="P189" s="358"/>
      <c r="Q189" s="358"/>
      <c r="R189" s="358"/>
      <c r="S189" s="358"/>
      <c r="T189" s="358"/>
      <c r="U189" s="358"/>
      <c r="V189" s="358"/>
      <c r="W189" s="358"/>
      <c r="X189" s="358"/>
      <c r="Y189" s="358"/>
      <c r="Z189" s="358"/>
    </row>
    <row r="190" spans="1:26" ht="13.5" customHeight="1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8"/>
      <c r="P190" s="358"/>
      <c r="Q190" s="358"/>
      <c r="R190" s="358"/>
      <c r="S190" s="358"/>
      <c r="T190" s="358"/>
      <c r="U190" s="358"/>
      <c r="V190" s="358"/>
      <c r="W190" s="358"/>
      <c r="X190" s="358"/>
      <c r="Y190" s="358"/>
      <c r="Z190" s="358"/>
    </row>
    <row r="191" spans="1:26" ht="13.5" customHeight="1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8"/>
      <c r="P191" s="358"/>
      <c r="Q191" s="358"/>
      <c r="R191" s="358"/>
      <c r="S191" s="358"/>
      <c r="T191" s="358"/>
      <c r="U191" s="358"/>
      <c r="V191" s="358"/>
      <c r="W191" s="358"/>
      <c r="X191" s="358"/>
      <c r="Y191" s="358"/>
      <c r="Z191" s="358"/>
    </row>
    <row r="192" spans="1:26" ht="13.5" customHeight="1">
      <c r="A192" s="358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58"/>
      <c r="N192" s="358"/>
      <c r="O192" s="358"/>
      <c r="P192" s="358"/>
      <c r="Q192" s="358"/>
      <c r="R192" s="358"/>
      <c r="S192" s="358"/>
      <c r="T192" s="358"/>
      <c r="U192" s="358"/>
      <c r="V192" s="358"/>
      <c r="W192" s="358"/>
      <c r="X192" s="358"/>
      <c r="Y192" s="358"/>
      <c r="Z192" s="358"/>
    </row>
    <row r="193" spans="1:26" ht="13.5" customHeight="1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8"/>
      <c r="N193" s="358"/>
      <c r="O193" s="358"/>
      <c r="P193" s="358"/>
      <c r="Q193" s="358"/>
      <c r="R193" s="358"/>
      <c r="S193" s="358"/>
      <c r="T193" s="358"/>
      <c r="U193" s="358"/>
      <c r="V193" s="358"/>
      <c r="W193" s="358"/>
      <c r="X193" s="358"/>
      <c r="Y193" s="358"/>
      <c r="Z193" s="358"/>
    </row>
    <row r="194" spans="1:26" ht="13.5" customHeight="1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58"/>
      <c r="Z194" s="358"/>
    </row>
    <row r="195" spans="1:26" ht="13.5" customHeight="1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58"/>
      <c r="Z195" s="358"/>
    </row>
    <row r="196" spans="1:26" ht="13.5" customHeight="1">
      <c r="A196" s="358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58"/>
      <c r="Z196" s="358"/>
    </row>
    <row r="197" spans="1:26" ht="13.5" customHeight="1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8"/>
      <c r="N197" s="358"/>
      <c r="O197" s="358"/>
      <c r="P197" s="358"/>
      <c r="Q197" s="358"/>
      <c r="R197" s="358"/>
      <c r="S197" s="358"/>
      <c r="T197" s="358"/>
      <c r="U197" s="358"/>
      <c r="V197" s="358"/>
      <c r="W197" s="358"/>
      <c r="X197" s="358"/>
      <c r="Y197" s="358"/>
      <c r="Z197" s="358"/>
    </row>
    <row r="198" spans="1:26" ht="13.5" customHeight="1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58"/>
      <c r="Z198" s="358"/>
    </row>
    <row r="199" spans="1:26" ht="13.5" customHeight="1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8"/>
      <c r="P199" s="358"/>
      <c r="Q199" s="358"/>
      <c r="R199" s="358"/>
      <c r="S199" s="358"/>
      <c r="T199" s="358"/>
      <c r="U199" s="358"/>
      <c r="V199" s="358"/>
      <c r="W199" s="358"/>
      <c r="X199" s="358"/>
      <c r="Y199" s="358"/>
      <c r="Z199" s="358"/>
    </row>
    <row r="200" spans="1:26" ht="13.5" customHeight="1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8"/>
      <c r="N200" s="358"/>
      <c r="O200" s="358"/>
      <c r="P200" s="358"/>
      <c r="Q200" s="358"/>
      <c r="R200" s="358"/>
      <c r="S200" s="358"/>
      <c r="T200" s="358"/>
      <c r="U200" s="358"/>
      <c r="V200" s="358"/>
      <c r="W200" s="358"/>
      <c r="X200" s="358"/>
      <c r="Y200" s="358"/>
      <c r="Z200" s="358"/>
    </row>
    <row r="201" spans="1:26" ht="13.5" customHeight="1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58"/>
      <c r="Z201" s="358"/>
    </row>
    <row r="202" spans="1:26" ht="13.5" customHeight="1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58"/>
      <c r="Z202" s="358"/>
    </row>
    <row r="203" spans="1:26" ht="13.5" customHeight="1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58"/>
      <c r="Z203" s="358"/>
    </row>
    <row r="204" spans="1:26" ht="13.5" customHeight="1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58"/>
      <c r="Z204" s="358"/>
    </row>
    <row r="205" spans="1:26" ht="13.5" customHeight="1">
      <c r="A205" s="358"/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58"/>
      <c r="Z205" s="358"/>
    </row>
    <row r="206" spans="1:26" ht="13.5" customHeight="1">
      <c r="A206" s="358"/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58"/>
      <c r="Z206" s="358"/>
    </row>
    <row r="207" spans="1:26" ht="13.5" customHeight="1">
      <c r="A207" s="358"/>
      <c r="B207" s="358"/>
      <c r="C207" s="358"/>
      <c r="D207" s="358"/>
      <c r="E207" s="358"/>
      <c r="F207" s="358"/>
      <c r="G207" s="358"/>
      <c r="H207" s="358"/>
      <c r="I207" s="358"/>
      <c r="J207" s="358"/>
      <c r="K207" s="358"/>
      <c r="L207" s="358"/>
      <c r="M207" s="358"/>
      <c r="N207" s="358"/>
      <c r="O207" s="358"/>
      <c r="P207" s="358"/>
      <c r="Q207" s="358"/>
      <c r="R207" s="358"/>
      <c r="S207" s="358"/>
      <c r="T207" s="358"/>
      <c r="U207" s="358"/>
      <c r="V207" s="358"/>
      <c r="W207" s="358"/>
      <c r="X207" s="358"/>
      <c r="Y207" s="358"/>
      <c r="Z207" s="358"/>
    </row>
    <row r="208" spans="1:26" ht="13.5" customHeight="1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8"/>
      <c r="P208" s="358"/>
      <c r="Q208" s="358"/>
      <c r="R208" s="358"/>
      <c r="S208" s="358"/>
      <c r="T208" s="358"/>
      <c r="U208" s="358"/>
      <c r="V208" s="358"/>
      <c r="W208" s="358"/>
      <c r="X208" s="358"/>
      <c r="Y208" s="358"/>
      <c r="Z208" s="358"/>
    </row>
    <row r="209" spans="1:26" ht="13.5" customHeight="1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8"/>
      <c r="P209" s="358"/>
      <c r="Q209" s="358"/>
      <c r="R209" s="358"/>
      <c r="S209" s="358"/>
      <c r="T209" s="358"/>
      <c r="U209" s="358"/>
      <c r="V209" s="358"/>
      <c r="W209" s="358"/>
      <c r="X209" s="358"/>
      <c r="Y209" s="358"/>
      <c r="Z209" s="358"/>
    </row>
    <row r="210" spans="1:26" ht="13.5" customHeight="1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8"/>
      <c r="N210" s="358"/>
      <c r="O210" s="358"/>
      <c r="P210" s="358"/>
      <c r="Q210" s="358"/>
      <c r="R210" s="358"/>
      <c r="S210" s="358"/>
      <c r="T210" s="358"/>
      <c r="U210" s="358"/>
      <c r="V210" s="358"/>
      <c r="W210" s="358"/>
      <c r="X210" s="358"/>
      <c r="Y210" s="358"/>
      <c r="Z210" s="358"/>
    </row>
    <row r="211" spans="1:26" ht="13.5" customHeight="1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58"/>
      <c r="Z211" s="358"/>
    </row>
    <row r="212" spans="1:26" ht="13.5" customHeight="1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58"/>
      <c r="Z212" s="358"/>
    </row>
    <row r="213" spans="1:26" ht="13.5" customHeight="1">
      <c r="A213" s="358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58"/>
      <c r="Z213" s="358"/>
    </row>
    <row r="214" spans="1:26" ht="13.5" customHeight="1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8"/>
      <c r="P214" s="358"/>
      <c r="Q214" s="358"/>
      <c r="R214" s="358"/>
      <c r="S214" s="358"/>
      <c r="T214" s="358"/>
      <c r="U214" s="358"/>
      <c r="V214" s="358"/>
      <c r="W214" s="358"/>
      <c r="X214" s="358"/>
      <c r="Y214" s="358"/>
      <c r="Z214" s="358"/>
    </row>
    <row r="215" spans="1:26" ht="13.5" customHeight="1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58"/>
      <c r="Z215" s="358"/>
    </row>
    <row r="216" spans="1:26" ht="13.5" customHeight="1">
      <c r="A216" s="358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58"/>
      <c r="Z216" s="358"/>
    </row>
    <row r="217" spans="1:26" ht="13.5" customHeight="1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58"/>
      <c r="Z217" s="358"/>
    </row>
    <row r="218" spans="1:26" ht="13.5" customHeight="1">
      <c r="A218" s="358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58"/>
      <c r="Z218" s="358"/>
    </row>
    <row r="219" spans="1:26" ht="13.5" customHeight="1">
      <c r="A219" s="358"/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58"/>
      <c r="Z219" s="358"/>
    </row>
    <row r="220" spans="1:26" ht="13.5" customHeight="1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</row>
    <row r="221" spans="1:26" ht="13.5" customHeight="1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8"/>
      <c r="P221" s="358"/>
      <c r="Q221" s="358"/>
      <c r="R221" s="358"/>
      <c r="S221" s="358"/>
      <c r="T221" s="358"/>
      <c r="U221" s="358"/>
      <c r="V221" s="358"/>
      <c r="W221" s="358"/>
      <c r="X221" s="358"/>
      <c r="Y221" s="358"/>
      <c r="Z221" s="358"/>
    </row>
    <row r="222" spans="1:26" ht="13.5" customHeight="1">
      <c r="A222" s="358"/>
      <c r="B222" s="358"/>
      <c r="C222" s="358"/>
      <c r="D222" s="358"/>
      <c r="E222" s="358"/>
      <c r="F222" s="358"/>
      <c r="G222" s="358"/>
      <c r="H222" s="358"/>
      <c r="I222" s="358"/>
      <c r="J222" s="358"/>
      <c r="K222" s="358"/>
      <c r="L222" s="358"/>
      <c r="M222" s="358"/>
      <c r="N222" s="358"/>
      <c r="O222" s="358"/>
      <c r="P222" s="358"/>
      <c r="Q222" s="358"/>
      <c r="R222" s="358"/>
      <c r="S222" s="358"/>
      <c r="T222" s="358"/>
      <c r="U222" s="358"/>
      <c r="V222" s="358"/>
      <c r="W222" s="358"/>
      <c r="X222" s="358"/>
      <c r="Y222" s="358"/>
      <c r="Z222" s="358"/>
    </row>
    <row r="223" spans="1:26" ht="13.5" customHeight="1">
      <c r="A223" s="358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58"/>
      <c r="N223" s="358"/>
      <c r="O223" s="358"/>
      <c r="P223" s="358"/>
      <c r="Q223" s="358"/>
      <c r="R223" s="358"/>
      <c r="S223" s="358"/>
      <c r="T223" s="358"/>
      <c r="U223" s="358"/>
      <c r="V223" s="358"/>
      <c r="W223" s="358"/>
      <c r="X223" s="358"/>
      <c r="Y223" s="358"/>
      <c r="Z223" s="358"/>
    </row>
    <row r="224" spans="1:26" ht="13.5" customHeight="1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8"/>
      <c r="N224" s="358"/>
      <c r="O224" s="358"/>
      <c r="P224" s="358"/>
      <c r="Q224" s="358"/>
      <c r="R224" s="358"/>
      <c r="S224" s="358"/>
      <c r="T224" s="358"/>
      <c r="U224" s="358"/>
      <c r="V224" s="358"/>
      <c r="W224" s="358"/>
      <c r="X224" s="358"/>
      <c r="Y224" s="358"/>
      <c r="Z224" s="358"/>
    </row>
    <row r="225" spans="1:26" ht="13.5" customHeight="1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58"/>
      <c r="Z225" s="358"/>
    </row>
    <row r="226" spans="1:26" ht="13.5" customHeight="1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58"/>
      <c r="Z226" s="358"/>
    </row>
    <row r="227" spans="1:26" ht="13.5" customHeight="1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58"/>
      <c r="Z227" s="358"/>
    </row>
    <row r="228" spans="1:26" ht="13.5" customHeight="1">
      <c r="A228" s="358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58"/>
      <c r="Z228" s="358"/>
    </row>
    <row r="229" spans="1:26" ht="13.5" customHeight="1">
      <c r="A229" s="358"/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58"/>
      <c r="Z229" s="358"/>
    </row>
    <row r="230" spans="1:26" ht="13.5" customHeight="1">
      <c r="A230" s="358"/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58"/>
      <c r="Z230" s="358"/>
    </row>
    <row r="231" spans="1:26" ht="13.5" customHeight="1">
      <c r="A231" s="358"/>
      <c r="B231" s="358"/>
      <c r="C231" s="358"/>
      <c r="D231" s="358"/>
      <c r="E231" s="358"/>
      <c r="F231" s="358"/>
      <c r="G231" s="358"/>
      <c r="H231" s="358"/>
      <c r="I231" s="358"/>
      <c r="J231" s="358"/>
      <c r="K231" s="358"/>
      <c r="L231" s="358"/>
      <c r="M231" s="358"/>
      <c r="N231" s="358"/>
      <c r="O231" s="358"/>
      <c r="P231" s="358"/>
      <c r="Q231" s="358"/>
      <c r="R231" s="358"/>
      <c r="S231" s="358"/>
      <c r="T231" s="358"/>
      <c r="U231" s="358"/>
      <c r="V231" s="358"/>
      <c r="W231" s="358"/>
      <c r="X231" s="358"/>
      <c r="Y231" s="358"/>
      <c r="Z231" s="358"/>
    </row>
    <row r="232" spans="1:26" ht="13.5" customHeight="1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</row>
    <row r="233" spans="1:26" ht="13.5" customHeight="1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8"/>
      <c r="P233" s="358"/>
      <c r="Q233" s="358"/>
      <c r="R233" s="358"/>
      <c r="S233" s="358"/>
      <c r="T233" s="358"/>
      <c r="U233" s="358"/>
      <c r="V233" s="358"/>
      <c r="W233" s="358"/>
      <c r="X233" s="358"/>
      <c r="Y233" s="358"/>
      <c r="Z233" s="358"/>
    </row>
    <row r="234" spans="1:26" ht="13.5" customHeight="1">
      <c r="A234" s="358"/>
      <c r="B234" s="358"/>
      <c r="C234" s="358"/>
      <c r="D234" s="358"/>
      <c r="E234" s="358"/>
      <c r="F234" s="358"/>
      <c r="G234" s="358"/>
      <c r="H234" s="358"/>
      <c r="I234" s="358"/>
      <c r="J234" s="358"/>
      <c r="K234" s="358"/>
      <c r="L234" s="358"/>
      <c r="M234" s="358"/>
      <c r="N234" s="358"/>
      <c r="O234" s="358"/>
      <c r="P234" s="358"/>
      <c r="Q234" s="358"/>
      <c r="R234" s="358"/>
      <c r="S234" s="358"/>
      <c r="T234" s="358"/>
      <c r="U234" s="358"/>
      <c r="V234" s="358"/>
      <c r="W234" s="358"/>
      <c r="X234" s="358"/>
      <c r="Y234" s="358"/>
      <c r="Z234" s="358"/>
    </row>
    <row r="235" spans="1:26" ht="13.5" customHeight="1">
      <c r="A235" s="358"/>
      <c r="B235" s="358"/>
      <c r="C235" s="358"/>
      <c r="D235" s="358"/>
      <c r="E235" s="358"/>
      <c r="F235" s="358"/>
      <c r="G235" s="358"/>
      <c r="H235" s="358"/>
      <c r="I235" s="358"/>
      <c r="J235" s="358"/>
      <c r="K235" s="358"/>
      <c r="L235" s="358"/>
      <c r="M235" s="358"/>
      <c r="N235" s="358"/>
      <c r="O235" s="358"/>
      <c r="P235" s="358"/>
      <c r="Q235" s="358"/>
      <c r="R235" s="358"/>
      <c r="S235" s="358"/>
      <c r="T235" s="358"/>
      <c r="U235" s="358"/>
      <c r="V235" s="358"/>
      <c r="W235" s="358"/>
      <c r="X235" s="358"/>
      <c r="Y235" s="358"/>
      <c r="Z235" s="358"/>
    </row>
    <row r="236" spans="1:26" ht="13.5" customHeight="1">
      <c r="A236" s="358"/>
      <c r="B236" s="358"/>
      <c r="C236" s="358"/>
      <c r="D236" s="358"/>
      <c r="E236" s="358"/>
      <c r="F236" s="358"/>
      <c r="G236" s="358"/>
      <c r="H236" s="358"/>
      <c r="I236" s="358"/>
      <c r="J236" s="358"/>
      <c r="K236" s="358"/>
      <c r="L236" s="358"/>
      <c r="M236" s="358"/>
      <c r="N236" s="358"/>
      <c r="O236" s="358"/>
      <c r="P236" s="358"/>
      <c r="Q236" s="358"/>
      <c r="R236" s="358"/>
      <c r="S236" s="358"/>
      <c r="T236" s="358"/>
      <c r="U236" s="358"/>
      <c r="V236" s="358"/>
      <c r="W236" s="358"/>
      <c r="X236" s="358"/>
      <c r="Y236" s="358"/>
      <c r="Z236" s="358"/>
    </row>
    <row r="237" spans="1:26" ht="13.5" customHeight="1">
      <c r="A237" s="358"/>
      <c r="B237" s="358"/>
      <c r="C237" s="358"/>
      <c r="D237" s="358"/>
      <c r="E237" s="358"/>
      <c r="F237" s="358"/>
      <c r="G237" s="358"/>
      <c r="H237" s="358"/>
      <c r="I237" s="358"/>
      <c r="J237" s="358"/>
      <c r="K237" s="358"/>
      <c r="L237" s="358"/>
      <c r="M237" s="358"/>
      <c r="N237" s="358"/>
      <c r="O237" s="358"/>
      <c r="P237" s="358"/>
      <c r="Q237" s="358"/>
      <c r="R237" s="358"/>
      <c r="S237" s="358"/>
      <c r="T237" s="358"/>
      <c r="U237" s="358"/>
      <c r="V237" s="358"/>
      <c r="W237" s="358"/>
      <c r="X237" s="358"/>
      <c r="Y237" s="358"/>
      <c r="Z237" s="358"/>
    </row>
    <row r="238" spans="1:26" ht="13.5" customHeight="1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</row>
    <row r="239" spans="1:26" ht="13.5" customHeight="1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8"/>
      <c r="P239" s="358"/>
      <c r="Q239" s="358"/>
      <c r="R239" s="358"/>
      <c r="S239" s="358"/>
      <c r="T239" s="358"/>
      <c r="U239" s="358"/>
      <c r="V239" s="358"/>
      <c r="W239" s="358"/>
      <c r="X239" s="358"/>
      <c r="Y239" s="358"/>
      <c r="Z239" s="358"/>
    </row>
    <row r="240" spans="1:26" ht="13.5" customHeight="1">
      <c r="A240" s="358"/>
      <c r="B240" s="358"/>
      <c r="C240" s="358"/>
      <c r="D240" s="358"/>
      <c r="E240" s="358"/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</row>
    <row r="241" spans="1:26" ht="13.5" customHeight="1">
      <c r="A241" s="358"/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358"/>
      <c r="Y241" s="358"/>
      <c r="Z241" s="358"/>
    </row>
    <row r="242" spans="1:26" ht="13.5" customHeight="1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8"/>
      <c r="P242" s="358"/>
      <c r="Q242" s="358"/>
      <c r="R242" s="358"/>
      <c r="S242" s="358"/>
      <c r="T242" s="358"/>
      <c r="U242" s="358"/>
      <c r="V242" s="358"/>
      <c r="W242" s="358"/>
      <c r="X242" s="358"/>
      <c r="Y242" s="358"/>
      <c r="Z242" s="358"/>
    </row>
    <row r="243" spans="1:26" ht="13.5" customHeight="1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8"/>
      <c r="P243" s="358"/>
      <c r="Q243" s="358"/>
      <c r="R243" s="358"/>
      <c r="S243" s="358"/>
      <c r="T243" s="358"/>
      <c r="U243" s="358"/>
      <c r="V243" s="358"/>
      <c r="W243" s="358"/>
      <c r="X243" s="358"/>
      <c r="Y243" s="358"/>
      <c r="Z243" s="358"/>
    </row>
    <row r="244" spans="1:26" ht="13.5" customHeight="1">
      <c r="A244" s="358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58"/>
      <c r="Z244" s="358"/>
    </row>
    <row r="245" spans="1:26" ht="13.5" customHeight="1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8"/>
      <c r="N245" s="358"/>
      <c r="O245" s="358"/>
      <c r="P245" s="358"/>
      <c r="Q245" s="358"/>
      <c r="R245" s="358"/>
      <c r="S245" s="358"/>
      <c r="T245" s="358"/>
      <c r="U245" s="358"/>
      <c r="V245" s="358"/>
      <c r="W245" s="358"/>
      <c r="X245" s="358"/>
      <c r="Y245" s="358"/>
      <c r="Z245" s="358"/>
    </row>
    <row r="246" spans="1:26" ht="13.5" customHeight="1">
      <c r="A246" s="358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58"/>
      <c r="Z246" s="358"/>
    </row>
    <row r="247" spans="1:26" ht="13.5" customHeight="1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8"/>
      <c r="N247" s="358"/>
      <c r="O247" s="358"/>
      <c r="P247" s="358"/>
      <c r="Q247" s="358"/>
      <c r="R247" s="358"/>
      <c r="S247" s="358"/>
      <c r="T247" s="358"/>
      <c r="U247" s="358"/>
      <c r="V247" s="358"/>
      <c r="W247" s="358"/>
      <c r="X247" s="358"/>
      <c r="Y247" s="358"/>
      <c r="Z247" s="358"/>
    </row>
    <row r="248" spans="1:26" ht="13.5" customHeight="1">
      <c r="A248" s="358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58"/>
      <c r="Z248" s="358"/>
    </row>
    <row r="249" spans="1:26" ht="13.5" customHeight="1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8"/>
      <c r="N249" s="358"/>
      <c r="O249" s="358"/>
      <c r="P249" s="358"/>
      <c r="Q249" s="358"/>
      <c r="R249" s="358"/>
      <c r="S249" s="358"/>
      <c r="T249" s="358"/>
      <c r="U249" s="358"/>
      <c r="V249" s="358"/>
      <c r="W249" s="358"/>
      <c r="X249" s="358"/>
      <c r="Y249" s="358"/>
      <c r="Z249" s="358"/>
    </row>
    <row r="250" spans="1:26" ht="13.5" customHeight="1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</row>
    <row r="251" spans="1:26" ht="13.5" customHeight="1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8"/>
      <c r="P251" s="358"/>
      <c r="Q251" s="358"/>
      <c r="R251" s="358"/>
      <c r="S251" s="358"/>
      <c r="T251" s="358"/>
      <c r="U251" s="358"/>
      <c r="V251" s="358"/>
      <c r="W251" s="358"/>
      <c r="X251" s="358"/>
      <c r="Y251" s="358"/>
      <c r="Z251" s="358"/>
    </row>
    <row r="252" spans="1:26" ht="13.5" customHeight="1">
      <c r="A252" s="358"/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58"/>
      <c r="Z252" s="358"/>
    </row>
    <row r="253" spans="1:26" ht="13.5" customHeight="1">
      <c r="A253" s="358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58"/>
      <c r="N253" s="358"/>
      <c r="O253" s="358"/>
      <c r="P253" s="358"/>
      <c r="Q253" s="358"/>
      <c r="R253" s="358"/>
      <c r="S253" s="358"/>
      <c r="T253" s="358"/>
      <c r="U253" s="358"/>
      <c r="V253" s="358"/>
      <c r="W253" s="358"/>
      <c r="X253" s="358"/>
      <c r="Y253" s="358"/>
      <c r="Z253" s="358"/>
    </row>
    <row r="254" spans="1:26" ht="13.5" customHeight="1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58"/>
      <c r="N254" s="358"/>
      <c r="O254" s="358"/>
      <c r="P254" s="358"/>
      <c r="Q254" s="358"/>
      <c r="R254" s="358"/>
      <c r="S254" s="358"/>
      <c r="T254" s="358"/>
      <c r="U254" s="358"/>
      <c r="V254" s="358"/>
      <c r="W254" s="358"/>
      <c r="X254" s="358"/>
      <c r="Y254" s="358"/>
      <c r="Z254" s="358"/>
    </row>
    <row r="255" spans="1:26" ht="13.5" customHeight="1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58"/>
      <c r="Z255" s="358"/>
    </row>
    <row r="256" spans="1:26" ht="13.5" customHeight="1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8"/>
      <c r="P256" s="358"/>
      <c r="Q256" s="358"/>
      <c r="R256" s="358"/>
      <c r="S256" s="358"/>
      <c r="T256" s="358"/>
      <c r="U256" s="358"/>
      <c r="V256" s="358"/>
      <c r="W256" s="358"/>
      <c r="X256" s="358"/>
      <c r="Y256" s="358"/>
      <c r="Z256" s="358"/>
    </row>
    <row r="257" spans="1:26" ht="13.5" customHeight="1">
      <c r="A257" s="358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58"/>
      <c r="Z257" s="358"/>
    </row>
    <row r="258" spans="1:26" ht="13.5" customHeight="1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8"/>
      <c r="N258" s="358"/>
      <c r="O258" s="358"/>
      <c r="P258" s="358"/>
      <c r="Q258" s="358"/>
      <c r="R258" s="358"/>
      <c r="S258" s="358"/>
      <c r="T258" s="358"/>
      <c r="U258" s="358"/>
      <c r="V258" s="358"/>
      <c r="W258" s="358"/>
      <c r="X258" s="358"/>
      <c r="Y258" s="358"/>
      <c r="Z258" s="358"/>
    </row>
    <row r="259" spans="1:26" ht="13.5" customHeight="1">
      <c r="A259" s="358"/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58"/>
      <c r="Z259" s="358"/>
    </row>
    <row r="260" spans="1:26" ht="13.5" customHeight="1">
      <c r="A260" s="358"/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</row>
    <row r="261" spans="1:26" ht="13.5" customHeight="1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8"/>
      <c r="P261" s="358"/>
      <c r="Q261" s="358"/>
      <c r="R261" s="358"/>
      <c r="S261" s="358"/>
      <c r="T261" s="358"/>
      <c r="U261" s="358"/>
      <c r="V261" s="358"/>
      <c r="W261" s="358"/>
      <c r="X261" s="358"/>
      <c r="Y261" s="358"/>
      <c r="Z261" s="358"/>
    </row>
    <row r="262" spans="1:26" ht="13.5" customHeight="1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8"/>
      <c r="P262" s="358"/>
      <c r="Q262" s="358"/>
      <c r="R262" s="358"/>
      <c r="S262" s="358"/>
      <c r="T262" s="358"/>
      <c r="U262" s="358"/>
      <c r="V262" s="358"/>
      <c r="W262" s="358"/>
      <c r="X262" s="358"/>
      <c r="Y262" s="358"/>
      <c r="Z262" s="358"/>
    </row>
    <row r="263" spans="1:26" ht="13.5" customHeight="1">
      <c r="A263" s="358"/>
      <c r="B263" s="358"/>
      <c r="C263" s="358"/>
      <c r="D263" s="358"/>
      <c r="E263" s="358"/>
      <c r="F263" s="358"/>
      <c r="G263" s="358"/>
      <c r="H263" s="358"/>
      <c r="I263" s="358"/>
      <c r="J263" s="358"/>
      <c r="K263" s="358"/>
      <c r="L263" s="358"/>
      <c r="M263" s="358"/>
      <c r="N263" s="358"/>
      <c r="O263" s="358"/>
      <c r="P263" s="358"/>
      <c r="Q263" s="358"/>
      <c r="R263" s="358"/>
      <c r="S263" s="358"/>
      <c r="T263" s="358"/>
      <c r="U263" s="358"/>
      <c r="V263" s="358"/>
      <c r="W263" s="358"/>
      <c r="X263" s="358"/>
      <c r="Y263" s="358"/>
      <c r="Z263" s="358"/>
    </row>
    <row r="264" spans="1:26" ht="13.5" customHeight="1">
      <c r="A264" s="358"/>
      <c r="B264" s="358"/>
      <c r="C264" s="358"/>
      <c r="D264" s="358"/>
      <c r="E264" s="358"/>
      <c r="F264" s="358"/>
      <c r="G264" s="358"/>
      <c r="H264" s="358"/>
      <c r="I264" s="358"/>
      <c r="J264" s="358"/>
      <c r="K264" s="358"/>
      <c r="L264" s="358"/>
      <c r="M264" s="358"/>
      <c r="N264" s="358"/>
      <c r="O264" s="358"/>
      <c r="P264" s="358"/>
      <c r="Q264" s="358"/>
      <c r="R264" s="358"/>
      <c r="S264" s="358"/>
      <c r="T264" s="358"/>
      <c r="U264" s="358"/>
      <c r="V264" s="358"/>
      <c r="W264" s="358"/>
      <c r="X264" s="358"/>
      <c r="Y264" s="358"/>
      <c r="Z264" s="358"/>
    </row>
    <row r="265" spans="1:26" ht="13.5" customHeight="1">
      <c r="A265" s="358"/>
      <c r="B265" s="358"/>
      <c r="C265" s="358"/>
      <c r="D265" s="358"/>
      <c r="E265" s="358"/>
      <c r="F265" s="358"/>
      <c r="G265" s="358"/>
      <c r="H265" s="358"/>
      <c r="I265" s="358"/>
      <c r="J265" s="358"/>
      <c r="K265" s="358"/>
      <c r="L265" s="358"/>
      <c r="M265" s="358"/>
      <c r="N265" s="358"/>
      <c r="O265" s="358"/>
      <c r="P265" s="358"/>
      <c r="Q265" s="358"/>
      <c r="R265" s="358"/>
      <c r="S265" s="358"/>
      <c r="T265" s="358"/>
      <c r="U265" s="358"/>
      <c r="V265" s="358"/>
      <c r="W265" s="358"/>
      <c r="X265" s="358"/>
      <c r="Y265" s="358"/>
      <c r="Z265" s="358"/>
    </row>
    <row r="266" spans="1:26" ht="13.5" customHeight="1">
      <c r="A266" s="358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358"/>
      <c r="Y266" s="358"/>
      <c r="Z266" s="358"/>
    </row>
    <row r="267" spans="1:26" ht="13.5" customHeight="1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8"/>
      <c r="N267" s="358"/>
      <c r="O267" s="358"/>
      <c r="P267" s="358"/>
      <c r="Q267" s="358"/>
      <c r="R267" s="358"/>
      <c r="S267" s="358"/>
      <c r="T267" s="358"/>
      <c r="U267" s="358"/>
      <c r="V267" s="358"/>
      <c r="W267" s="358"/>
      <c r="X267" s="358"/>
      <c r="Y267" s="358"/>
      <c r="Z267" s="358"/>
    </row>
    <row r="268" spans="1:26" ht="13.5" customHeight="1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58"/>
      <c r="Z268" s="358"/>
    </row>
    <row r="269" spans="1:26" ht="13.5" customHeight="1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58"/>
      <c r="Z269" s="358"/>
    </row>
    <row r="270" spans="1:26" ht="13.5" customHeight="1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58"/>
      <c r="Z270" s="358"/>
    </row>
    <row r="271" spans="1:26" ht="13.5" customHeight="1">
      <c r="A271" s="358"/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58"/>
      <c r="Z271" s="358"/>
    </row>
    <row r="272" spans="1:26" ht="13.5" customHeight="1">
      <c r="A272" s="358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58"/>
      <c r="N272" s="358"/>
      <c r="O272" s="358"/>
      <c r="P272" s="358"/>
      <c r="Q272" s="358"/>
      <c r="R272" s="358"/>
      <c r="S272" s="358"/>
      <c r="T272" s="358"/>
      <c r="U272" s="358"/>
      <c r="V272" s="358"/>
      <c r="W272" s="358"/>
      <c r="X272" s="358"/>
      <c r="Y272" s="358"/>
      <c r="Z272" s="358"/>
    </row>
    <row r="273" spans="1:26" ht="13.5" customHeight="1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8"/>
      <c r="N273" s="358"/>
      <c r="O273" s="358"/>
      <c r="P273" s="358"/>
      <c r="Q273" s="358"/>
      <c r="R273" s="358"/>
      <c r="S273" s="358"/>
      <c r="T273" s="358"/>
      <c r="U273" s="358"/>
      <c r="V273" s="358"/>
      <c r="W273" s="358"/>
      <c r="X273" s="358"/>
      <c r="Y273" s="358"/>
      <c r="Z273" s="358"/>
    </row>
    <row r="274" spans="1:26" ht="13.5" customHeight="1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58"/>
      <c r="Z274" s="358"/>
    </row>
    <row r="275" spans="1:26" ht="13.5" customHeight="1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58"/>
      <c r="Z275" s="358"/>
    </row>
    <row r="276" spans="1:26" ht="13.5" customHeight="1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58"/>
      <c r="Z276" s="358"/>
    </row>
    <row r="277" spans="1:26" ht="13.5" customHeight="1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58"/>
      <c r="Z277" s="358"/>
    </row>
    <row r="278" spans="1:26" ht="13.5" customHeight="1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358"/>
      <c r="P278" s="358"/>
      <c r="Q278" s="358"/>
      <c r="R278" s="358"/>
      <c r="S278" s="358"/>
      <c r="T278" s="358"/>
      <c r="U278" s="358"/>
      <c r="V278" s="358"/>
      <c r="W278" s="358"/>
      <c r="X278" s="358"/>
      <c r="Y278" s="358"/>
      <c r="Z278" s="358"/>
    </row>
    <row r="279" spans="1:26" ht="13.5" customHeight="1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358"/>
      <c r="P279" s="358"/>
      <c r="Q279" s="358"/>
      <c r="R279" s="358"/>
      <c r="S279" s="358"/>
      <c r="T279" s="358"/>
      <c r="U279" s="358"/>
      <c r="V279" s="358"/>
      <c r="W279" s="358"/>
      <c r="X279" s="358"/>
      <c r="Y279" s="358"/>
      <c r="Z279" s="358"/>
    </row>
    <row r="280" spans="1:26" ht="13.5" customHeight="1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58"/>
      <c r="Z280" s="358"/>
    </row>
    <row r="281" spans="1:26" ht="13.5" customHeight="1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58"/>
      <c r="Z281" s="358"/>
    </row>
    <row r="282" spans="1:26" ht="13.5" customHeight="1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58"/>
      <c r="Z282" s="358"/>
    </row>
    <row r="283" spans="1:26" ht="13.5" customHeight="1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58"/>
      <c r="Z283" s="358"/>
    </row>
    <row r="284" spans="1:26" ht="13.5" customHeight="1">
      <c r="A284" s="358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58"/>
      <c r="N284" s="358"/>
      <c r="O284" s="358"/>
      <c r="P284" s="358"/>
      <c r="Q284" s="358"/>
      <c r="R284" s="358"/>
      <c r="S284" s="358"/>
      <c r="T284" s="358"/>
      <c r="U284" s="358"/>
      <c r="V284" s="358"/>
      <c r="W284" s="358"/>
      <c r="X284" s="358"/>
      <c r="Y284" s="358"/>
      <c r="Z284" s="358"/>
    </row>
    <row r="285" spans="1:26" ht="13.5" customHeight="1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8"/>
      <c r="N285" s="358"/>
      <c r="O285" s="358"/>
      <c r="P285" s="358"/>
      <c r="Q285" s="358"/>
      <c r="R285" s="358"/>
      <c r="S285" s="358"/>
      <c r="T285" s="358"/>
      <c r="U285" s="358"/>
      <c r="V285" s="358"/>
      <c r="W285" s="358"/>
      <c r="X285" s="358"/>
      <c r="Y285" s="358"/>
      <c r="Z285" s="358"/>
    </row>
    <row r="286" spans="1:26" ht="13.5" customHeight="1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58"/>
      <c r="Z286" s="358"/>
    </row>
    <row r="287" spans="1:26" ht="13.5" customHeight="1">
      <c r="A287" s="358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58"/>
      <c r="Z287" s="358"/>
    </row>
    <row r="288" spans="1:26" ht="13.5" customHeight="1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58"/>
      <c r="Z288" s="358"/>
    </row>
    <row r="289" spans="1:26" ht="13.5" customHeight="1">
      <c r="A289" s="358"/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58"/>
      <c r="Z289" s="358"/>
    </row>
    <row r="290" spans="1:26" ht="13.5" customHeight="1">
      <c r="A290" s="358"/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58"/>
      <c r="Z290" s="358"/>
    </row>
    <row r="291" spans="1:26" ht="13.5" customHeight="1">
      <c r="A291" s="358"/>
      <c r="B291" s="358"/>
      <c r="C291" s="358"/>
      <c r="D291" s="358"/>
      <c r="E291" s="358"/>
      <c r="F291" s="358"/>
      <c r="G291" s="358"/>
      <c r="H291" s="358"/>
      <c r="I291" s="358"/>
      <c r="J291" s="358"/>
      <c r="K291" s="358"/>
      <c r="L291" s="358"/>
      <c r="M291" s="358"/>
      <c r="N291" s="358"/>
      <c r="O291" s="358"/>
      <c r="P291" s="358"/>
      <c r="Q291" s="358"/>
      <c r="R291" s="358"/>
      <c r="S291" s="358"/>
      <c r="T291" s="358"/>
      <c r="U291" s="358"/>
      <c r="V291" s="358"/>
      <c r="W291" s="358"/>
      <c r="X291" s="358"/>
      <c r="Y291" s="358"/>
      <c r="Z291" s="358"/>
    </row>
    <row r="292" spans="1:26" ht="13.5" customHeight="1">
      <c r="A292" s="358"/>
      <c r="B292" s="358"/>
      <c r="C292" s="358"/>
      <c r="D292" s="358"/>
      <c r="E292" s="358"/>
      <c r="F292" s="358"/>
      <c r="G292" s="358"/>
      <c r="H292" s="358"/>
      <c r="I292" s="358"/>
      <c r="J292" s="358"/>
      <c r="K292" s="358"/>
      <c r="L292" s="358"/>
      <c r="M292" s="358"/>
      <c r="N292" s="358"/>
      <c r="O292" s="358"/>
      <c r="P292" s="358"/>
      <c r="Q292" s="358"/>
      <c r="R292" s="358"/>
      <c r="S292" s="358"/>
      <c r="T292" s="358"/>
      <c r="U292" s="358"/>
      <c r="V292" s="358"/>
      <c r="W292" s="358"/>
      <c r="X292" s="358"/>
      <c r="Y292" s="358"/>
      <c r="Z292" s="358"/>
    </row>
    <row r="293" spans="1:26" ht="13.5" customHeight="1">
      <c r="A293" s="358"/>
      <c r="B293" s="358"/>
      <c r="C293" s="358"/>
      <c r="D293" s="358"/>
      <c r="E293" s="358"/>
      <c r="F293" s="358"/>
      <c r="G293" s="358"/>
      <c r="H293" s="358"/>
      <c r="I293" s="358"/>
      <c r="J293" s="358"/>
      <c r="K293" s="358"/>
      <c r="L293" s="358"/>
      <c r="M293" s="358"/>
      <c r="N293" s="358"/>
      <c r="O293" s="358"/>
      <c r="P293" s="358"/>
      <c r="Q293" s="358"/>
      <c r="R293" s="358"/>
      <c r="S293" s="358"/>
      <c r="T293" s="358"/>
      <c r="U293" s="358"/>
      <c r="V293" s="358"/>
      <c r="W293" s="358"/>
      <c r="X293" s="358"/>
      <c r="Y293" s="358"/>
      <c r="Z293" s="358"/>
    </row>
    <row r="294" spans="1:26" ht="13.5" customHeight="1">
      <c r="A294" s="358"/>
      <c r="B294" s="358"/>
      <c r="C294" s="358"/>
      <c r="D294" s="358"/>
      <c r="E294" s="358"/>
      <c r="F294" s="358"/>
      <c r="G294" s="358"/>
      <c r="H294" s="358"/>
      <c r="I294" s="358"/>
      <c r="J294" s="358"/>
      <c r="K294" s="358"/>
      <c r="L294" s="358"/>
      <c r="M294" s="358"/>
      <c r="N294" s="358"/>
      <c r="O294" s="358"/>
      <c r="P294" s="358"/>
      <c r="Q294" s="358"/>
      <c r="R294" s="358"/>
      <c r="S294" s="358"/>
      <c r="T294" s="358"/>
      <c r="U294" s="358"/>
      <c r="V294" s="358"/>
      <c r="W294" s="358"/>
      <c r="X294" s="358"/>
      <c r="Y294" s="358"/>
      <c r="Z294" s="358"/>
    </row>
    <row r="295" spans="1:26" ht="13.5" customHeight="1">
      <c r="A295" s="358"/>
      <c r="B295" s="358"/>
      <c r="C295" s="358"/>
      <c r="D295" s="358"/>
      <c r="E295" s="358"/>
      <c r="F295" s="358"/>
      <c r="G295" s="358"/>
      <c r="H295" s="358"/>
      <c r="I295" s="358"/>
      <c r="J295" s="358"/>
      <c r="K295" s="358"/>
      <c r="L295" s="358"/>
      <c r="M295" s="358"/>
      <c r="N295" s="358"/>
      <c r="O295" s="358"/>
      <c r="P295" s="358"/>
      <c r="Q295" s="358"/>
      <c r="R295" s="358"/>
      <c r="S295" s="358"/>
      <c r="T295" s="358"/>
      <c r="U295" s="358"/>
      <c r="V295" s="358"/>
      <c r="W295" s="358"/>
      <c r="X295" s="358"/>
      <c r="Y295" s="358"/>
      <c r="Z295" s="358"/>
    </row>
    <row r="296" spans="1:26" ht="13.5" customHeight="1">
      <c r="A296" s="358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358"/>
      <c r="Y296" s="358"/>
      <c r="Z296" s="358"/>
    </row>
    <row r="297" spans="1:26" ht="13.5" customHeight="1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8"/>
      <c r="N297" s="358"/>
      <c r="O297" s="358"/>
      <c r="P297" s="358"/>
      <c r="Q297" s="358"/>
      <c r="R297" s="358"/>
      <c r="S297" s="358"/>
      <c r="T297" s="358"/>
      <c r="U297" s="358"/>
      <c r="V297" s="358"/>
      <c r="W297" s="358"/>
      <c r="X297" s="358"/>
      <c r="Y297" s="358"/>
      <c r="Z297" s="358"/>
    </row>
    <row r="298" spans="1:26" ht="13.5" customHeight="1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58"/>
      <c r="Z298" s="358"/>
    </row>
    <row r="299" spans="1:26" ht="13.5" customHeight="1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58"/>
      <c r="Z299" s="358"/>
    </row>
    <row r="300" spans="1:26" ht="13.5" customHeight="1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</row>
    <row r="301" spans="1:26" ht="13.5" customHeight="1">
      <c r="A301" s="358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58"/>
      <c r="Z301" s="358"/>
    </row>
    <row r="302" spans="1:26" ht="13.5" customHeight="1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8"/>
      <c r="N302" s="358"/>
      <c r="O302" s="358"/>
      <c r="P302" s="358"/>
      <c r="Q302" s="358"/>
      <c r="R302" s="358"/>
      <c r="S302" s="358"/>
      <c r="T302" s="358"/>
      <c r="U302" s="358"/>
      <c r="V302" s="358"/>
      <c r="W302" s="358"/>
      <c r="X302" s="358"/>
      <c r="Y302" s="358"/>
      <c r="Z302" s="358"/>
    </row>
    <row r="303" spans="1:26" ht="13.5" customHeight="1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58"/>
      <c r="Z303" s="358"/>
    </row>
    <row r="304" spans="1:26" ht="13.5" customHeight="1">
      <c r="A304" s="358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58"/>
      <c r="Z304" s="358"/>
    </row>
    <row r="305" spans="1:26" ht="13.5" customHeight="1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58"/>
      <c r="Z305" s="358"/>
    </row>
    <row r="306" spans="1:26" ht="13.5" customHeight="1">
      <c r="A306" s="358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58"/>
      <c r="Z306" s="358"/>
    </row>
    <row r="307" spans="1:26" ht="13.5" customHeight="1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58"/>
      <c r="Z307" s="358"/>
    </row>
    <row r="308" spans="1:26" ht="13.5" customHeight="1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58"/>
      <c r="Z308" s="358"/>
    </row>
    <row r="309" spans="1:26" ht="13.5" customHeight="1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58"/>
      <c r="Z309" s="358"/>
    </row>
    <row r="310" spans="1:26" ht="13.5" customHeight="1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W310" s="358"/>
      <c r="X310" s="358"/>
      <c r="Y310" s="358"/>
      <c r="Z310" s="358"/>
    </row>
    <row r="311" spans="1:26" ht="13.5" customHeight="1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58"/>
      <c r="Z311" s="358"/>
    </row>
    <row r="312" spans="1:26" ht="13.5" customHeight="1">
      <c r="A312" s="358"/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58"/>
      <c r="Z312" s="358"/>
    </row>
    <row r="313" spans="1:26" ht="13.5" customHeight="1">
      <c r="A313" s="358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8"/>
      <c r="N313" s="358"/>
      <c r="O313" s="358"/>
      <c r="P313" s="358"/>
      <c r="Q313" s="358"/>
      <c r="R313" s="358"/>
      <c r="S313" s="358"/>
      <c r="T313" s="358"/>
      <c r="U313" s="358"/>
      <c r="V313" s="358"/>
      <c r="W313" s="358"/>
      <c r="X313" s="358"/>
      <c r="Y313" s="358"/>
      <c r="Z313" s="358"/>
    </row>
    <row r="314" spans="1:26" ht="13.5" customHeight="1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8"/>
      <c r="N314" s="358"/>
      <c r="O314" s="358"/>
      <c r="P314" s="358"/>
      <c r="Q314" s="358"/>
      <c r="R314" s="358"/>
      <c r="S314" s="358"/>
      <c r="T314" s="358"/>
      <c r="U314" s="358"/>
      <c r="V314" s="358"/>
      <c r="W314" s="358"/>
      <c r="X314" s="358"/>
      <c r="Y314" s="358"/>
      <c r="Z314" s="358"/>
    </row>
    <row r="315" spans="1:26" ht="13.5" customHeight="1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58"/>
      <c r="Z315" s="358"/>
    </row>
    <row r="316" spans="1:26" ht="13.5" customHeight="1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58"/>
      <c r="Z316" s="358"/>
    </row>
    <row r="317" spans="1:26" ht="13.5" customHeight="1">
      <c r="A317" s="358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58"/>
      <c r="Z317" s="358"/>
    </row>
    <row r="318" spans="1:26" ht="13.5" customHeight="1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8"/>
      <c r="N318" s="358"/>
      <c r="O318" s="358"/>
      <c r="P318" s="358"/>
      <c r="Q318" s="358"/>
      <c r="R318" s="358"/>
      <c r="S318" s="358"/>
      <c r="T318" s="358"/>
      <c r="U318" s="358"/>
      <c r="V318" s="358"/>
      <c r="W318" s="358"/>
      <c r="X318" s="358"/>
      <c r="Y318" s="358"/>
      <c r="Z318" s="358"/>
    </row>
    <row r="319" spans="1:26" ht="13.5" customHeight="1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58"/>
      <c r="Z319" s="358"/>
    </row>
    <row r="320" spans="1:26" ht="13.5" customHeight="1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8"/>
      <c r="N320" s="358"/>
      <c r="O320" s="358"/>
      <c r="P320" s="358"/>
      <c r="Q320" s="358"/>
      <c r="R320" s="358"/>
      <c r="S320" s="358"/>
      <c r="T320" s="358"/>
      <c r="U320" s="358"/>
      <c r="V320" s="358"/>
      <c r="W320" s="358"/>
      <c r="X320" s="358"/>
      <c r="Y320" s="358"/>
      <c r="Z320" s="358"/>
    </row>
    <row r="321" spans="1:26" ht="13.5" customHeight="1">
      <c r="A321" s="358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58"/>
      <c r="Z321" s="358"/>
    </row>
    <row r="322" spans="1:26" ht="13.5" customHeight="1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58"/>
      <c r="Z322" s="358"/>
    </row>
    <row r="323" spans="1:26" ht="13.5" customHeight="1">
      <c r="A323" s="358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58"/>
      <c r="N323" s="358"/>
      <c r="O323" s="358"/>
      <c r="P323" s="358"/>
      <c r="Q323" s="358"/>
      <c r="R323" s="358"/>
      <c r="S323" s="358"/>
      <c r="T323" s="358"/>
      <c r="U323" s="358"/>
      <c r="V323" s="358"/>
      <c r="W323" s="358"/>
      <c r="X323" s="358"/>
      <c r="Y323" s="358"/>
      <c r="Z323" s="358"/>
    </row>
    <row r="324" spans="1:26" ht="13.5" customHeight="1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58"/>
      <c r="Z324" s="358"/>
    </row>
    <row r="325" spans="1:26" ht="13.5" customHeight="1">
      <c r="A325" s="358"/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58"/>
      <c r="Z325" s="358"/>
    </row>
    <row r="326" spans="1:26" ht="13.5" customHeight="1">
      <c r="A326" s="35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</row>
    <row r="327" spans="1:26" ht="13.5" customHeight="1">
      <c r="A327" s="358"/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58"/>
      <c r="Z327" s="358"/>
    </row>
    <row r="328" spans="1:26" ht="13.5" customHeight="1">
      <c r="A328" s="358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8"/>
      <c r="N328" s="358"/>
      <c r="O328" s="358"/>
      <c r="P328" s="358"/>
      <c r="Q328" s="358"/>
      <c r="R328" s="358"/>
      <c r="S328" s="358"/>
      <c r="T328" s="358"/>
      <c r="U328" s="358"/>
      <c r="V328" s="358"/>
      <c r="W328" s="358"/>
      <c r="X328" s="358"/>
      <c r="Y328" s="358"/>
      <c r="Z328" s="358"/>
    </row>
    <row r="329" spans="1:26" ht="13.5" customHeight="1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8"/>
      <c r="N329" s="358"/>
      <c r="O329" s="358"/>
      <c r="P329" s="358"/>
      <c r="Q329" s="358"/>
      <c r="R329" s="358"/>
      <c r="S329" s="358"/>
      <c r="T329" s="358"/>
      <c r="U329" s="358"/>
      <c r="V329" s="358"/>
      <c r="W329" s="358"/>
      <c r="X329" s="358"/>
      <c r="Y329" s="358"/>
      <c r="Z329" s="358"/>
    </row>
    <row r="330" spans="1:26" ht="13.5" customHeight="1">
      <c r="A330" s="358"/>
      <c r="B330" s="358"/>
      <c r="C330" s="358"/>
      <c r="D330" s="358"/>
      <c r="E330" s="358"/>
      <c r="F330" s="358"/>
      <c r="G330" s="358"/>
      <c r="H330" s="358"/>
      <c r="I330" s="358"/>
      <c r="J330" s="358"/>
      <c r="K330" s="358"/>
      <c r="L330" s="358"/>
      <c r="M330" s="358"/>
      <c r="N330" s="358"/>
      <c r="O330" s="358"/>
      <c r="P330" s="358"/>
      <c r="Q330" s="358"/>
      <c r="R330" s="358"/>
      <c r="S330" s="358"/>
      <c r="T330" s="358"/>
      <c r="U330" s="358"/>
      <c r="V330" s="358"/>
      <c r="W330" s="358"/>
      <c r="X330" s="358"/>
      <c r="Y330" s="358"/>
      <c r="Z330" s="358"/>
    </row>
    <row r="331" spans="1:26" ht="13.5" customHeight="1">
      <c r="A331" s="358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58"/>
      <c r="Z331" s="358"/>
    </row>
    <row r="332" spans="1:26" ht="13.5" customHeight="1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W332" s="358"/>
      <c r="X332" s="358"/>
      <c r="Y332" s="358"/>
      <c r="Z332" s="358"/>
    </row>
    <row r="333" spans="1:26" ht="13.5" customHeight="1">
      <c r="A333" s="358"/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58"/>
      <c r="Z333" s="358"/>
    </row>
    <row r="334" spans="1:26" ht="13.5" customHeight="1">
      <c r="A334" s="358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8"/>
      <c r="N334" s="358"/>
      <c r="O334" s="358"/>
      <c r="P334" s="358"/>
      <c r="Q334" s="358"/>
      <c r="R334" s="358"/>
      <c r="S334" s="358"/>
      <c r="T334" s="358"/>
      <c r="U334" s="358"/>
      <c r="V334" s="358"/>
      <c r="W334" s="358"/>
      <c r="X334" s="358"/>
      <c r="Y334" s="358"/>
      <c r="Z334" s="358"/>
    </row>
    <row r="335" spans="1:26" ht="13.5" customHeight="1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8"/>
      <c r="N335" s="358"/>
      <c r="O335" s="358"/>
      <c r="P335" s="358"/>
      <c r="Q335" s="358"/>
      <c r="R335" s="358"/>
      <c r="S335" s="358"/>
      <c r="T335" s="358"/>
      <c r="U335" s="358"/>
      <c r="V335" s="358"/>
      <c r="W335" s="358"/>
      <c r="X335" s="358"/>
      <c r="Y335" s="358"/>
      <c r="Z335" s="358"/>
    </row>
    <row r="336" spans="1:26" ht="13.5" customHeight="1">
      <c r="A336" s="358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58"/>
      <c r="Z336" s="358"/>
    </row>
    <row r="337" spans="1:26" ht="13.5" customHeight="1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58"/>
      <c r="N337" s="358"/>
      <c r="O337" s="358"/>
      <c r="P337" s="358"/>
      <c r="Q337" s="358"/>
      <c r="R337" s="358"/>
      <c r="S337" s="358"/>
      <c r="T337" s="358"/>
      <c r="U337" s="358"/>
      <c r="V337" s="358"/>
      <c r="W337" s="358"/>
      <c r="X337" s="358"/>
      <c r="Y337" s="358"/>
      <c r="Z337" s="358"/>
    </row>
    <row r="338" spans="1:26" ht="13.5" customHeight="1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58"/>
      <c r="Z338" s="358"/>
    </row>
    <row r="339" spans="1:26" ht="13.5" customHeight="1">
      <c r="A339" s="358"/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58"/>
      <c r="Z339" s="358"/>
    </row>
    <row r="340" spans="1:26" ht="13.5" customHeight="1">
      <c r="A340" s="358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8"/>
      <c r="N340" s="358"/>
      <c r="O340" s="358"/>
      <c r="P340" s="358"/>
      <c r="Q340" s="358"/>
      <c r="R340" s="358"/>
      <c r="S340" s="358"/>
      <c r="T340" s="358"/>
      <c r="U340" s="358"/>
      <c r="V340" s="358"/>
      <c r="W340" s="358"/>
      <c r="X340" s="358"/>
      <c r="Y340" s="358"/>
      <c r="Z340" s="358"/>
    </row>
    <row r="341" spans="1:26" ht="13.5" customHeight="1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8"/>
      <c r="N341" s="358"/>
      <c r="O341" s="358"/>
      <c r="P341" s="358"/>
      <c r="Q341" s="358"/>
      <c r="R341" s="358"/>
      <c r="S341" s="358"/>
      <c r="T341" s="358"/>
      <c r="U341" s="358"/>
      <c r="V341" s="358"/>
      <c r="W341" s="358"/>
      <c r="X341" s="358"/>
      <c r="Y341" s="358"/>
      <c r="Z341" s="358"/>
    </row>
    <row r="342" spans="1:26" ht="13.5" customHeight="1">
      <c r="A342" s="358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58"/>
      <c r="Z342" s="358"/>
    </row>
    <row r="343" spans="1:26" ht="13.5" customHeight="1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358"/>
      <c r="Z343" s="358"/>
    </row>
    <row r="344" spans="1:26" ht="13.5" customHeight="1">
      <c r="A344" s="358"/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58"/>
      <c r="Z344" s="358"/>
    </row>
    <row r="345" spans="1:26" ht="13.5" customHeight="1">
      <c r="A345" s="358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8"/>
      <c r="N345" s="358"/>
      <c r="O345" s="358"/>
      <c r="P345" s="358"/>
      <c r="Q345" s="358"/>
      <c r="R345" s="358"/>
      <c r="S345" s="358"/>
      <c r="T345" s="358"/>
      <c r="U345" s="358"/>
      <c r="V345" s="358"/>
      <c r="W345" s="358"/>
      <c r="X345" s="358"/>
      <c r="Y345" s="358"/>
      <c r="Z345" s="358"/>
    </row>
    <row r="346" spans="1:26" ht="13.5" customHeight="1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8"/>
      <c r="N346" s="358"/>
      <c r="O346" s="358"/>
      <c r="P346" s="358"/>
      <c r="Q346" s="358"/>
      <c r="R346" s="358"/>
      <c r="S346" s="358"/>
      <c r="T346" s="358"/>
      <c r="U346" s="358"/>
      <c r="V346" s="358"/>
      <c r="W346" s="358"/>
      <c r="X346" s="358"/>
      <c r="Y346" s="358"/>
      <c r="Z346" s="358"/>
    </row>
    <row r="347" spans="1:26" ht="13.5" customHeight="1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58"/>
      <c r="Z347" s="358"/>
    </row>
    <row r="348" spans="1:26" ht="13.5" customHeight="1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58"/>
      <c r="Z348" s="358"/>
    </row>
    <row r="349" spans="1:26" ht="13.5" customHeight="1">
      <c r="A349" s="358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58"/>
      <c r="Z349" s="358"/>
    </row>
    <row r="350" spans="1:26" ht="13.5" customHeight="1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8"/>
      <c r="N350" s="358"/>
      <c r="O350" s="358"/>
      <c r="P350" s="358"/>
      <c r="Q350" s="358"/>
      <c r="R350" s="358"/>
      <c r="S350" s="358"/>
      <c r="T350" s="358"/>
      <c r="U350" s="358"/>
      <c r="V350" s="358"/>
      <c r="W350" s="358"/>
      <c r="X350" s="358"/>
      <c r="Y350" s="358"/>
      <c r="Z350" s="358"/>
    </row>
    <row r="351" spans="1:26" ht="13.5" customHeight="1">
      <c r="A351" s="358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58"/>
      <c r="Z351" s="358"/>
    </row>
    <row r="352" spans="1:26" ht="13.5" customHeight="1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58"/>
      <c r="Z352" s="358"/>
    </row>
    <row r="353" spans="1:26" ht="13.5" customHeight="1">
      <c r="A353" s="358"/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58"/>
      <c r="Z353" s="358"/>
    </row>
    <row r="354" spans="1:26" ht="13.5" customHeight="1">
      <c r="A354" s="358"/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58"/>
      <c r="Z354" s="358"/>
    </row>
    <row r="355" spans="1:26" ht="13.5" customHeight="1">
      <c r="A355" s="358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58"/>
      <c r="N355" s="358"/>
      <c r="O355" s="358"/>
      <c r="P355" s="358"/>
      <c r="Q355" s="358"/>
      <c r="R355" s="358"/>
      <c r="S355" s="358"/>
      <c r="T355" s="358"/>
      <c r="U355" s="358"/>
      <c r="V355" s="358"/>
      <c r="W355" s="358"/>
      <c r="X355" s="358"/>
      <c r="Y355" s="358"/>
      <c r="Z355" s="358"/>
    </row>
    <row r="356" spans="1:26" ht="13.5" customHeight="1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58"/>
      <c r="N356" s="358"/>
      <c r="O356" s="358"/>
      <c r="P356" s="358"/>
      <c r="Q356" s="358"/>
      <c r="R356" s="358"/>
      <c r="S356" s="358"/>
      <c r="T356" s="358"/>
      <c r="U356" s="358"/>
      <c r="V356" s="358"/>
      <c r="W356" s="358"/>
      <c r="X356" s="358"/>
      <c r="Y356" s="358"/>
      <c r="Z356" s="358"/>
    </row>
    <row r="357" spans="1:26" ht="13.5" customHeight="1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58"/>
      <c r="Z357" s="358"/>
    </row>
    <row r="358" spans="1:26" ht="13.5" customHeight="1">
      <c r="A358" s="358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8"/>
      <c r="N358" s="358"/>
      <c r="O358" s="358"/>
      <c r="P358" s="358"/>
      <c r="Q358" s="358"/>
      <c r="R358" s="358"/>
      <c r="S358" s="358"/>
      <c r="T358" s="358"/>
      <c r="U358" s="358"/>
      <c r="V358" s="358"/>
      <c r="W358" s="358"/>
      <c r="X358" s="358"/>
      <c r="Y358" s="358"/>
      <c r="Z358" s="358"/>
    </row>
    <row r="359" spans="1:26" ht="13.5" customHeight="1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8"/>
      <c r="N359" s="358"/>
      <c r="O359" s="358"/>
      <c r="P359" s="358"/>
      <c r="Q359" s="358"/>
      <c r="R359" s="358"/>
      <c r="S359" s="358"/>
      <c r="T359" s="358"/>
      <c r="U359" s="358"/>
      <c r="V359" s="358"/>
      <c r="W359" s="358"/>
      <c r="X359" s="358"/>
      <c r="Y359" s="358"/>
      <c r="Z359" s="358"/>
    </row>
    <row r="360" spans="1:26" ht="13.5" customHeight="1">
      <c r="A360" s="358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58"/>
      <c r="Z360" s="358"/>
    </row>
    <row r="361" spans="1:26" ht="13.5" customHeight="1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58"/>
      <c r="N361" s="358"/>
      <c r="O361" s="358"/>
      <c r="P361" s="358"/>
      <c r="Q361" s="358"/>
      <c r="R361" s="358"/>
      <c r="S361" s="358"/>
      <c r="T361" s="358"/>
      <c r="U361" s="358"/>
      <c r="V361" s="358"/>
      <c r="W361" s="358"/>
      <c r="X361" s="358"/>
      <c r="Y361" s="358"/>
      <c r="Z361" s="358"/>
    </row>
    <row r="362" spans="1:26" ht="13.5" customHeight="1">
      <c r="A362" s="358"/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58"/>
      <c r="Z362" s="358"/>
    </row>
    <row r="363" spans="1:26" ht="13.5" customHeight="1">
      <c r="A363" s="358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358"/>
      <c r="Y363" s="358"/>
      <c r="Z363" s="358"/>
    </row>
    <row r="364" spans="1:26" ht="13.5" customHeight="1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8"/>
      <c r="N364" s="358"/>
      <c r="O364" s="358"/>
      <c r="P364" s="358"/>
      <c r="Q364" s="358"/>
      <c r="R364" s="358"/>
      <c r="S364" s="358"/>
      <c r="T364" s="358"/>
      <c r="U364" s="358"/>
      <c r="V364" s="358"/>
      <c r="W364" s="358"/>
      <c r="X364" s="358"/>
      <c r="Y364" s="358"/>
      <c r="Z364" s="358"/>
    </row>
    <row r="365" spans="1:26" ht="13.5" customHeight="1">
      <c r="A365" s="358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58"/>
      <c r="Z365" s="358"/>
    </row>
    <row r="366" spans="1:26" ht="13.5" customHeight="1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58"/>
      <c r="N366" s="358"/>
      <c r="O366" s="358"/>
      <c r="P366" s="358"/>
      <c r="Q366" s="358"/>
      <c r="R366" s="358"/>
      <c r="S366" s="358"/>
      <c r="T366" s="358"/>
      <c r="U366" s="358"/>
      <c r="V366" s="358"/>
      <c r="W366" s="358"/>
      <c r="X366" s="358"/>
      <c r="Y366" s="358"/>
      <c r="Z366" s="358"/>
    </row>
    <row r="367" spans="1:26" ht="13.5" customHeight="1">
      <c r="A367" s="358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58"/>
      <c r="Z367" s="358"/>
    </row>
    <row r="368" spans="1:26" ht="13.5" customHeight="1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358"/>
      <c r="Z368" s="358"/>
    </row>
    <row r="369" spans="1:26" ht="13.5" customHeight="1">
      <c r="A369" s="358"/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58"/>
      <c r="Z369" s="358"/>
    </row>
    <row r="370" spans="1:26" ht="13.5" customHeight="1">
      <c r="A370" s="358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8"/>
      <c r="N370" s="358"/>
      <c r="O370" s="358"/>
      <c r="P370" s="358"/>
      <c r="Q370" s="358"/>
      <c r="R370" s="358"/>
      <c r="S370" s="358"/>
      <c r="T370" s="358"/>
      <c r="U370" s="358"/>
      <c r="V370" s="358"/>
      <c r="W370" s="358"/>
      <c r="X370" s="358"/>
      <c r="Y370" s="358"/>
      <c r="Z370" s="358"/>
    </row>
    <row r="371" spans="1:26" ht="13.5" customHeight="1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8"/>
      <c r="N371" s="358"/>
      <c r="O371" s="358"/>
      <c r="P371" s="358"/>
      <c r="Q371" s="358"/>
      <c r="R371" s="358"/>
      <c r="S371" s="358"/>
      <c r="T371" s="358"/>
      <c r="U371" s="358"/>
      <c r="V371" s="358"/>
      <c r="W371" s="358"/>
      <c r="X371" s="358"/>
      <c r="Y371" s="358"/>
      <c r="Z371" s="358"/>
    </row>
    <row r="372" spans="1:26" ht="13.5" customHeight="1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58"/>
      <c r="Z372" s="358"/>
    </row>
    <row r="373" spans="1:26" ht="13.5" customHeight="1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58"/>
      <c r="N373" s="358"/>
      <c r="O373" s="358"/>
      <c r="P373" s="358"/>
      <c r="Q373" s="358"/>
      <c r="R373" s="358"/>
      <c r="S373" s="358"/>
      <c r="T373" s="358"/>
      <c r="U373" s="358"/>
      <c r="V373" s="358"/>
      <c r="W373" s="358"/>
      <c r="X373" s="358"/>
      <c r="Y373" s="358"/>
      <c r="Z373" s="358"/>
    </row>
    <row r="374" spans="1:26" ht="13.5" customHeight="1">
      <c r="A374" s="358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58"/>
      <c r="Z374" s="358"/>
    </row>
    <row r="375" spans="1:26" ht="13.5" customHeight="1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58"/>
      <c r="Z375" s="358"/>
    </row>
    <row r="376" spans="1:26" ht="13.5" customHeight="1">
      <c r="A376" s="358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58"/>
      <c r="N376" s="358"/>
      <c r="O376" s="358"/>
      <c r="P376" s="358"/>
      <c r="Q376" s="358"/>
      <c r="R376" s="358"/>
      <c r="S376" s="358"/>
      <c r="T376" s="358"/>
      <c r="U376" s="358"/>
      <c r="V376" s="358"/>
      <c r="W376" s="358"/>
      <c r="X376" s="358"/>
      <c r="Y376" s="358"/>
      <c r="Z376" s="358"/>
    </row>
    <row r="377" spans="1:26" ht="13.5" customHeight="1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58"/>
      <c r="Z377" s="358"/>
    </row>
    <row r="378" spans="1:26" ht="13.5" customHeight="1">
      <c r="A378" s="358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58"/>
      <c r="Z378" s="358"/>
    </row>
    <row r="379" spans="1:26" ht="13.5" customHeight="1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58"/>
      <c r="Z379" s="358"/>
    </row>
    <row r="380" spans="1:26" ht="13.5" customHeight="1">
      <c r="A380" s="358"/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58"/>
      <c r="Z380" s="358"/>
    </row>
    <row r="381" spans="1:26" ht="13.5" customHeight="1">
      <c r="A381" s="358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8"/>
      <c r="N381" s="358"/>
      <c r="O381" s="358"/>
      <c r="P381" s="358"/>
      <c r="Q381" s="358"/>
      <c r="R381" s="358"/>
      <c r="S381" s="358"/>
      <c r="T381" s="358"/>
      <c r="U381" s="358"/>
      <c r="V381" s="358"/>
      <c r="W381" s="358"/>
      <c r="X381" s="358"/>
      <c r="Y381" s="358"/>
      <c r="Z381" s="358"/>
    </row>
    <row r="382" spans="1:26" ht="13.5" customHeight="1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8"/>
      <c r="N382" s="358"/>
      <c r="O382" s="358"/>
      <c r="P382" s="358"/>
      <c r="Q382" s="358"/>
      <c r="R382" s="358"/>
      <c r="S382" s="358"/>
      <c r="T382" s="358"/>
      <c r="U382" s="358"/>
      <c r="V382" s="358"/>
      <c r="W382" s="358"/>
      <c r="X382" s="358"/>
      <c r="Y382" s="358"/>
      <c r="Z382" s="358"/>
    </row>
    <row r="383" spans="1:26" ht="13.5" customHeight="1">
      <c r="A383" s="358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58"/>
      <c r="Z383" s="358"/>
    </row>
    <row r="384" spans="1:26" ht="13.5" customHeight="1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W384" s="358"/>
      <c r="X384" s="358"/>
      <c r="Y384" s="358"/>
      <c r="Z384" s="358"/>
    </row>
    <row r="385" spans="1:26" ht="13.5" customHeight="1">
      <c r="A385" s="358"/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58"/>
      <c r="Z385" s="358"/>
    </row>
    <row r="386" spans="1:26" ht="13.5" customHeight="1">
      <c r="A386" s="358"/>
      <c r="B386" s="358"/>
      <c r="C386" s="358"/>
      <c r="D386" s="358"/>
      <c r="E386" s="358"/>
      <c r="F386" s="358"/>
      <c r="G386" s="358"/>
      <c r="H386" s="358"/>
      <c r="I386" s="358"/>
      <c r="J386" s="358"/>
      <c r="K386" s="358"/>
      <c r="L386" s="358"/>
      <c r="M386" s="358"/>
      <c r="N386" s="358"/>
      <c r="O386" s="358"/>
      <c r="P386" s="358"/>
      <c r="Q386" s="358"/>
      <c r="R386" s="358"/>
      <c r="S386" s="358"/>
      <c r="T386" s="358"/>
      <c r="U386" s="358"/>
      <c r="V386" s="358"/>
      <c r="W386" s="358"/>
      <c r="X386" s="358"/>
      <c r="Y386" s="358"/>
      <c r="Z386" s="358"/>
    </row>
    <row r="387" spans="1:26" ht="13.5" customHeight="1">
      <c r="A387" s="358"/>
      <c r="B387" s="358"/>
      <c r="C387" s="358"/>
      <c r="D387" s="358"/>
      <c r="E387" s="358"/>
      <c r="F387" s="358"/>
      <c r="G387" s="358"/>
      <c r="H387" s="358"/>
      <c r="I387" s="358"/>
      <c r="J387" s="358"/>
      <c r="K387" s="358"/>
      <c r="L387" s="358"/>
      <c r="M387" s="358"/>
      <c r="N387" s="358"/>
      <c r="O387" s="358"/>
      <c r="P387" s="358"/>
      <c r="Q387" s="358"/>
      <c r="R387" s="358"/>
      <c r="S387" s="358"/>
      <c r="T387" s="358"/>
      <c r="U387" s="358"/>
      <c r="V387" s="358"/>
      <c r="W387" s="358"/>
      <c r="X387" s="358"/>
      <c r="Y387" s="358"/>
      <c r="Z387" s="358"/>
    </row>
    <row r="388" spans="1:26" ht="13.5" customHeight="1">
      <c r="A388" s="358"/>
      <c r="B388" s="358"/>
      <c r="C388" s="358"/>
      <c r="D388" s="358"/>
      <c r="E388" s="358"/>
      <c r="F388" s="358"/>
      <c r="G388" s="358"/>
      <c r="H388" s="358"/>
      <c r="I388" s="358"/>
      <c r="J388" s="358"/>
      <c r="K388" s="358"/>
      <c r="L388" s="358"/>
      <c r="M388" s="358"/>
      <c r="N388" s="358"/>
      <c r="O388" s="358"/>
      <c r="P388" s="358"/>
      <c r="Q388" s="358"/>
      <c r="R388" s="358"/>
      <c r="S388" s="358"/>
      <c r="T388" s="358"/>
      <c r="U388" s="358"/>
      <c r="V388" s="358"/>
      <c r="W388" s="358"/>
      <c r="X388" s="358"/>
      <c r="Y388" s="358"/>
      <c r="Z388" s="358"/>
    </row>
    <row r="389" spans="1:26" ht="13.5" customHeight="1">
      <c r="A389" s="358"/>
      <c r="B389" s="358"/>
      <c r="C389" s="358"/>
      <c r="D389" s="358"/>
      <c r="E389" s="358"/>
      <c r="F389" s="358"/>
      <c r="G389" s="358"/>
      <c r="H389" s="358"/>
      <c r="I389" s="358"/>
      <c r="J389" s="358"/>
      <c r="K389" s="358"/>
      <c r="L389" s="358"/>
      <c r="M389" s="358"/>
      <c r="N389" s="358"/>
      <c r="O389" s="358"/>
      <c r="P389" s="358"/>
      <c r="Q389" s="358"/>
      <c r="R389" s="358"/>
      <c r="S389" s="358"/>
      <c r="T389" s="358"/>
      <c r="U389" s="358"/>
      <c r="V389" s="358"/>
      <c r="W389" s="358"/>
      <c r="X389" s="358"/>
      <c r="Y389" s="358"/>
      <c r="Z389" s="358"/>
    </row>
    <row r="390" spans="1:26" ht="13.5" customHeight="1">
      <c r="A390" s="358"/>
      <c r="B390" s="358"/>
      <c r="C390" s="358"/>
      <c r="D390" s="358"/>
      <c r="E390" s="358"/>
      <c r="F390" s="358"/>
      <c r="G390" s="358"/>
      <c r="H390" s="358"/>
      <c r="I390" s="358"/>
      <c r="J390" s="358"/>
      <c r="K390" s="358"/>
      <c r="L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W390" s="358"/>
      <c r="X390" s="358"/>
      <c r="Y390" s="358"/>
      <c r="Z390" s="358"/>
    </row>
    <row r="391" spans="1:26" ht="13.5" customHeight="1">
      <c r="A391" s="358"/>
      <c r="B391" s="358"/>
      <c r="C391" s="358"/>
      <c r="D391" s="358"/>
      <c r="E391" s="358"/>
      <c r="F391" s="358"/>
      <c r="G391" s="358"/>
      <c r="H391" s="358"/>
      <c r="I391" s="358"/>
      <c r="J391" s="358"/>
      <c r="K391" s="358"/>
      <c r="L391" s="358"/>
      <c r="M391" s="358"/>
      <c r="N391" s="358"/>
      <c r="O391" s="358"/>
      <c r="P391" s="358"/>
      <c r="Q391" s="358"/>
      <c r="R391" s="358"/>
      <c r="S391" s="358"/>
      <c r="T391" s="358"/>
      <c r="U391" s="358"/>
      <c r="V391" s="358"/>
      <c r="W391" s="358"/>
      <c r="X391" s="358"/>
      <c r="Y391" s="358"/>
      <c r="Z391" s="358"/>
    </row>
    <row r="392" spans="1:26" ht="13.5" customHeight="1">
      <c r="A392" s="358"/>
      <c r="B392" s="358"/>
      <c r="C392" s="358"/>
      <c r="D392" s="358"/>
      <c r="E392" s="358"/>
      <c r="F392" s="358"/>
      <c r="G392" s="358"/>
      <c r="H392" s="358"/>
      <c r="I392" s="358"/>
      <c r="J392" s="358"/>
      <c r="K392" s="358"/>
      <c r="L392" s="358"/>
      <c r="M392" s="358"/>
      <c r="N392" s="358"/>
      <c r="O392" s="358"/>
      <c r="P392" s="358"/>
      <c r="Q392" s="358"/>
      <c r="R392" s="358"/>
      <c r="S392" s="358"/>
      <c r="T392" s="358"/>
      <c r="U392" s="358"/>
      <c r="V392" s="358"/>
      <c r="W392" s="358"/>
      <c r="X392" s="358"/>
      <c r="Y392" s="358"/>
      <c r="Z392" s="358"/>
    </row>
    <row r="393" spans="1:26" ht="13.5" customHeight="1">
      <c r="A393" s="358"/>
      <c r="B393" s="358"/>
      <c r="C393" s="358"/>
      <c r="D393" s="358"/>
      <c r="E393" s="358"/>
      <c r="F393" s="358"/>
      <c r="G393" s="358"/>
      <c r="H393" s="358"/>
      <c r="I393" s="358"/>
      <c r="J393" s="358"/>
      <c r="K393" s="358"/>
      <c r="L393" s="358"/>
      <c r="M393" s="358"/>
      <c r="N393" s="358"/>
      <c r="O393" s="358"/>
      <c r="P393" s="358"/>
      <c r="Q393" s="358"/>
      <c r="R393" s="358"/>
      <c r="S393" s="358"/>
      <c r="T393" s="358"/>
      <c r="U393" s="358"/>
      <c r="V393" s="358"/>
      <c r="W393" s="358"/>
      <c r="X393" s="358"/>
      <c r="Y393" s="358"/>
      <c r="Z393" s="358"/>
    </row>
    <row r="394" spans="1:26" ht="13.5" customHeight="1">
      <c r="A394" s="358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58"/>
      <c r="N394" s="358"/>
      <c r="O394" s="358"/>
      <c r="P394" s="358"/>
      <c r="Q394" s="358"/>
      <c r="R394" s="358"/>
      <c r="S394" s="358"/>
      <c r="T394" s="358"/>
      <c r="U394" s="358"/>
      <c r="V394" s="358"/>
      <c r="W394" s="358"/>
      <c r="X394" s="358"/>
      <c r="Y394" s="358"/>
      <c r="Z394" s="358"/>
    </row>
    <row r="395" spans="1:26" ht="13.5" customHeight="1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58"/>
      <c r="N395" s="358"/>
      <c r="O395" s="358"/>
      <c r="P395" s="358"/>
      <c r="Q395" s="358"/>
      <c r="R395" s="358"/>
      <c r="S395" s="358"/>
      <c r="T395" s="358"/>
      <c r="U395" s="358"/>
      <c r="V395" s="358"/>
      <c r="W395" s="358"/>
      <c r="X395" s="358"/>
      <c r="Y395" s="358"/>
      <c r="Z395" s="358"/>
    </row>
    <row r="396" spans="1:26" ht="13.5" customHeight="1">
      <c r="A396" s="358"/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58"/>
      <c r="Z396" s="358"/>
    </row>
    <row r="397" spans="1:26" ht="13.5" customHeight="1">
      <c r="A397" s="358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358"/>
      <c r="Y397" s="358"/>
      <c r="Z397" s="358"/>
    </row>
    <row r="398" spans="1:26" ht="13.5" customHeight="1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8"/>
      <c r="N398" s="358"/>
      <c r="O398" s="358"/>
      <c r="P398" s="358"/>
      <c r="Q398" s="358"/>
      <c r="R398" s="358"/>
      <c r="S398" s="358"/>
      <c r="T398" s="358"/>
      <c r="U398" s="358"/>
      <c r="V398" s="358"/>
      <c r="W398" s="358"/>
      <c r="X398" s="358"/>
      <c r="Y398" s="358"/>
      <c r="Z398" s="358"/>
    </row>
    <row r="399" spans="1:26" ht="13.5" customHeight="1">
      <c r="A399" s="358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58"/>
      <c r="Z399" s="358"/>
    </row>
    <row r="400" spans="1:26" ht="13.5" customHeight="1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58"/>
      <c r="N400" s="358"/>
      <c r="O400" s="358"/>
      <c r="P400" s="358"/>
      <c r="Q400" s="358"/>
      <c r="R400" s="358"/>
      <c r="S400" s="358"/>
      <c r="T400" s="358"/>
      <c r="U400" s="358"/>
      <c r="V400" s="358"/>
      <c r="W400" s="358"/>
      <c r="X400" s="358"/>
      <c r="Y400" s="358"/>
      <c r="Z400" s="358"/>
    </row>
    <row r="401" spans="1:26" ht="13.5" customHeight="1">
      <c r="A401" s="358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58"/>
      <c r="Z401" s="358"/>
    </row>
    <row r="402" spans="1:26" ht="13.5" customHeight="1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58"/>
      <c r="N402" s="358"/>
      <c r="O402" s="358"/>
      <c r="P402" s="358"/>
      <c r="Q402" s="358"/>
      <c r="R402" s="358"/>
      <c r="S402" s="358"/>
      <c r="T402" s="358"/>
      <c r="U402" s="358"/>
      <c r="V402" s="358"/>
      <c r="W402" s="358"/>
      <c r="X402" s="358"/>
      <c r="Y402" s="358"/>
      <c r="Z402" s="358"/>
    </row>
    <row r="403" spans="1:26" ht="13.5" customHeight="1">
      <c r="A403" s="358"/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58"/>
      <c r="Z403" s="358"/>
    </row>
    <row r="404" spans="1:26" ht="13.5" customHeight="1">
      <c r="A404" s="358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8"/>
      <c r="N404" s="358"/>
      <c r="O404" s="358"/>
      <c r="P404" s="358"/>
      <c r="Q404" s="358"/>
      <c r="R404" s="358"/>
      <c r="S404" s="358"/>
      <c r="T404" s="358"/>
      <c r="U404" s="358"/>
      <c r="V404" s="358"/>
      <c r="W404" s="358"/>
      <c r="X404" s="358"/>
      <c r="Y404" s="358"/>
      <c r="Z404" s="358"/>
    </row>
    <row r="405" spans="1:26" ht="13.5" customHeight="1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8"/>
      <c r="N405" s="358"/>
      <c r="O405" s="358"/>
      <c r="P405" s="358"/>
      <c r="Q405" s="358"/>
      <c r="R405" s="358"/>
      <c r="S405" s="358"/>
      <c r="T405" s="358"/>
      <c r="U405" s="358"/>
      <c r="V405" s="358"/>
      <c r="W405" s="358"/>
      <c r="X405" s="358"/>
      <c r="Y405" s="358"/>
      <c r="Z405" s="358"/>
    </row>
    <row r="406" spans="1:26" ht="13.5" customHeight="1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58"/>
      <c r="Z406" s="358"/>
    </row>
    <row r="407" spans="1:26" ht="13.5" customHeight="1">
      <c r="A407" s="358"/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58"/>
      <c r="Z407" s="358"/>
    </row>
    <row r="408" spans="1:26" ht="13.5" customHeight="1">
      <c r="A408" s="358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8"/>
      <c r="N408" s="358"/>
      <c r="O408" s="358"/>
      <c r="P408" s="358"/>
      <c r="Q408" s="358"/>
      <c r="R408" s="358"/>
      <c r="S408" s="358"/>
      <c r="T408" s="358"/>
      <c r="U408" s="358"/>
      <c r="V408" s="358"/>
      <c r="W408" s="358"/>
      <c r="X408" s="358"/>
      <c r="Y408" s="358"/>
      <c r="Z408" s="358"/>
    </row>
    <row r="409" spans="1:26" ht="13.5" customHeight="1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8"/>
      <c r="N409" s="358"/>
      <c r="O409" s="358"/>
      <c r="P409" s="358"/>
      <c r="Q409" s="358"/>
      <c r="R409" s="358"/>
      <c r="S409" s="358"/>
      <c r="T409" s="358"/>
      <c r="U409" s="358"/>
      <c r="V409" s="358"/>
      <c r="W409" s="358"/>
      <c r="X409" s="358"/>
      <c r="Y409" s="358"/>
      <c r="Z409" s="358"/>
    </row>
    <row r="410" spans="1:26" ht="13.5" customHeight="1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58"/>
      <c r="Z410" s="358"/>
    </row>
    <row r="411" spans="1:26" ht="13.5" customHeight="1">
      <c r="A411" s="358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58"/>
      <c r="Z411" s="358"/>
    </row>
    <row r="412" spans="1:26" ht="13.5" customHeight="1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58"/>
      <c r="N412" s="358"/>
      <c r="O412" s="358"/>
      <c r="P412" s="358"/>
      <c r="Q412" s="358"/>
      <c r="R412" s="358"/>
      <c r="S412" s="358"/>
      <c r="T412" s="358"/>
      <c r="U412" s="358"/>
      <c r="V412" s="358"/>
      <c r="W412" s="358"/>
      <c r="X412" s="358"/>
      <c r="Y412" s="358"/>
      <c r="Z412" s="358"/>
    </row>
    <row r="413" spans="1:26" ht="13.5" customHeight="1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58"/>
      <c r="N413" s="358"/>
      <c r="O413" s="358"/>
      <c r="P413" s="358"/>
      <c r="Q413" s="358"/>
      <c r="R413" s="358"/>
      <c r="S413" s="358"/>
      <c r="T413" s="358"/>
      <c r="U413" s="358"/>
      <c r="V413" s="358"/>
      <c r="W413" s="358"/>
      <c r="X413" s="358"/>
      <c r="Y413" s="358"/>
      <c r="Z413" s="358"/>
    </row>
    <row r="414" spans="1:26" ht="13.5" customHeight="1">
      <c r="A414" s="358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58"/>
      <c r="Z414" s="358"/>
    </row>
    <row r="415" spans="1:26" ht="13.5" customHeight="1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58"/>
      <c r="Z415" s="358"/>
    </row>
    <row r="416" spans="1:26" ht="13.5" customHeight="1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58"/>
      <c r="Z416" s="358"/>
    </row>
    <row r="417" spans="1:26" ht="13.5" customHeight="1">
      <c r="A417" s="358"/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58"/>
      <c r="Z417" s="358"/>
    </row>
    <row r="418" spans="1:26" ht="13.5" customHeight="1">
      <c r="A418" s="358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58"/>
      <c r="Z418" s="358"/>
    </row>
    <row r="419" spans="1:26" ht="13.5" customHeight="1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58"/>
      <c r="N419" s="358"/>
      <c r="O419" s="358"/>
      <c r="P419" s="358"/>
      <c r="Q419" s="358"/>
      <c r="R419" s="358"/>
      <c r="S419" s="358"/>
      <c r="T419" s="358"/>
      <c r="U419" s="358"/>
      <c r="V419" s="358"/>
      <c r="W419" s="358"/>
      <c r="X419" s="358"/>
      <c r="Y419" s="358"/>
      <c r="Z419" s="358"/>
    </row>
    <row r="420" spans="1:26" ht="13.5" customHeight="1">
      <c r="A420" s="358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58"/>
      <c r="Z420" s="358"/>
    </row>
    <row r="421" spans="1:26" ht="13.5" customHeight="1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8"/>
      <c r="N421" s="358"/>
      <c r="O421" s="358"/>
      <c r="P421" s="358"/>
      <c r="Q421" s="358"/>
      <c r="R421" s="358"/>
      <c r="S421" s="358"/>
      <c r="T421" s="358"/>
      <c r="U421" s="358"/>
      <c r="V421" s="358"/>
      <c r="W421" s="358"/>
      <c r="X421" s="358"/>
      <c r="Y421" s="358"/>
      <c r="Z421" s="358"/>
    </row>
    <row r="422" spans="1:26" ht="13.5" customHeight="1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58"/>
      <c r="Z422" s="358"/>
    </row>
    <row r="423" spans="1:26" ht="13.5" customHeight="1">
      <c r="A423" s="358"/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58"/>
      <c r="Z423" s="358"/>
    </row>
    <row r="424" spans="1:26" ht="13.5" customHeight="1">
      <c r="A424" s="358"/>
      <c r="B424" s="358"/>
      <c r="C424" s="358"/>
      <c r="D424" s="358"/>
      <c r="E424" s="358"/>
      <c r="F424" s="358"/>
      <c r="G424" s="358"/>
      <c r="H424" s="358"/>
      <c r="I424" s="358"/>
      <c r="J424" s="358"/>
      <c r="K424" s="358"/>
      <c r="L424" s="358"/>
      <c r="M424" s="358"/>
      <c r="N424" s="358"/>
      <c r="O424" s="358"/>
      <c r="P424" s="358"/>
      <c r="Q424" s="358"/>
      <c r="R424" s="358"/>
      <c r="S424" s="358"/>
      <c r="T424" s="358"/>
      <c r="U424" s="358"/>
      <c r="V424" s="358"/>
      <c r="W424" s="358"/>
      <c r="X424" s="358"/>
      <c r="Y424" s="358"/>
      <c r="Z424" s="358"/>
    </row>
    <row r="425" spans="1:26" ht="13.5" customHeight="1">
      <c r="A425" s="358"/>
      <c r="B425" s="358"/>
      <c r="C425" s="358"/>
      <c r="D425" s="358"/>
      <c r="E425" s="358"/>
      <c r="F425" s="358"/>
      <c r="G425" s="358"/>
      <c r="H425" s="358"/>
      <c r="I425" s="358"/>
      <c r="J425" s="358"/>
      <c r="K425" s="358"/>
      <c r="L425" s="358"/>
      <c r="M425" s="358"/>
      <c r="N425" s="358"/>
      <c r="O425" s="358"/>
      <c r="P425" s="358"/>
      <c r="Q425" s="358"/>
      <c r="R425" s="358"/>
      <c r="S425" s="358"/>
      <c r="T425" s="358"/>
      <c r="U425" s="358"/>
      <c r="V425" s="358"/>
      <c r="W425" s="358"/>
      <c r="X425" s="358"/>
      <c r="Y425" s="358"/>
      <c r="Z425" s="358"/>
    </row>
    <row r="426" spans="1:26" ht="13.5" customHeight="1">
      <c r="A426" s="358"/>
      <c r="B426" s="358"/>
      <c r="C426" s="358"/>
      <c r="D426" s="358"/>
      <c r="E426" s="358"/>
      <c r="F426" s="358"/>
      <c r="G426" s="358"/>
      <c r="H426" s="358"/>
      <c r="I426" s="358"/>
      <c r="J426" s="358"/>
      <c r="K426" s="358"/>
      <c r="L426" s="358"/>
      <c r="M426" s="358"/>
      <c r="N426" s="358"/>
      <c r="O426" s="358"/>
      <c r="P426" s="358"/>
      <c r="Q426" s="358"/>
      <c r="R426" s="358"/>
      <c r="S426" s="358"/>
      <c r="T426" s="358"/>
      <c r="U426" s="358"/>
      <c r="V426" s="358"/>
      <c r="W426" s="358"/>
      <c r="X426" s="358"/>
      <c r="Y426" s="358"/>
      <c r="Z426" s="358"/>
    </row>
    <row r="427" spans="1:26" ht="13.5" customHeight="1">
      <c r="A427" s="358"/>
      <c r="B427" s="358"/>
      <c r="C427" s="358"/>
      <c r="D427" s="358"/>
      <c r="E427" s="358"/>
      <c r="F427" s="358"/>
      <c r="G427" s="358"/>
      <c r="H427" s="358"/>
      <c r="I427" s="358"/>
      <c r="J427" s="358"/>
      <c r="K427" s="358"/>
      <c r="L427" s="358"/>
      <c r="M427" s="358"/>
      <c r="N427" s="358"/>
      <c r="O427" s="358"/>
      <c r="P427" s="358"/>
      <c r="Q427" s="358"/>
      <c r="R427" s="358"/>
      <c r="S427" s="358"/>
      <c r="T427" s="358"/>
      <c r="U427" s="358"/>
      <c r="V427" s="358"/>
      <c r="W427" s="358"/>
      <c r="X427" s="358"/>
      <c r="Y427" s="358"/>
      <c r="Z427" s="358"/>
    </row>
    <row r="428" spans="1:26" ht="13.5" customHeight="1">
      <c r="A428" s="358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58"/>
      <c r="N428" s="358"/>
      <c r="O428" s="358"/>
      <c r="P428" s="358"/>
      <c r="Q428" s="358"/>
      <c r="R428" s="358"/>
      <c r="S428" s="358"/>
      <c r="T428" s="358"/>
      <c r="U428" s="358"/>
      <c r="V428" s="358"/>
      <c r="W428" s="358"/>
      <c r="X428" s="358"/>
      <c r="Y428" s="358"/>
      <c r="Z428" s="358"/>
    </row>
    <row r="429" spans="1:26" ht="13.5" customHeight="1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58"/>
      <c r="N429" s="358"/>
      <c r="O429" s="358"/>
      <c r="P429" s="358"/>
      <c r="Q429" s="358"/>
      <c r="R429" s="358"/>
      <c r="S429" s="358"/>
      <c r="T429" s="358"/>
      <c r="U429" s="358"/>
      <c r="V429" s="358"/>
      <c r="W429" s="358"/>
      <c r="X429" s="358"/>
      <c r="Y429" s="358"/>
      <c r="Z429" s="358"/>
    </row>
    <row r="430" spans="1:26" ht="13.5" customHeight="1">
      <c r="A430" s="358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58"/>
      <c r="Z430" s="358"/>
    </row>
    <row r="431" spans="1:26" ht="13.5" customHeight="1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8"/>
      <c r="N431" s="358"/>
      <c r="O431" s="358"/>
      <c r="P431" s="358"/>
      <c r="Q431" s="358"/>
      <c r="R431" s="358"/>
      <c r="S431" s="358"/>
      <c r="T431" s="358"/>
      <c r="U431" s="358"/>
      <c r="V431" s="358"/>
      <c r="W431" s="358"/>
      <c r="X431" s="358"/>
      <c r="Y431" s="358"/>
      <c r="Z431" s="358"/>
    </row>
    <row r="432" spans="1:26" ht="13.5" customHeight="1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58"/>
      <c r="Z432" s="358"/>
    </row>
    <row r="433" spans="1:26" ht="13.5" customHeight="1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58"/>
      <c r="Z433" s="358"/>
    </row>
    <row r="434" spans="1:26" ht="13.5" customHeight="1">
      <c r="A434" s="358"/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58"/>
      <c r="Z434" s="358"/>
    </row>
    <row r="435" spans="1:26" ht="13.5" customHeight="1">
      <c r="A435" s="358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8"/>
      <c r="N435" s="358"/>
      <c r="O435" s="358"/>
      <c r="P435" s="358"/>
      <c r="Q435" s="358"/>
      <c r="R435" s="358"/>
      <c r="S435" s="358"/>
      <c r="T435" s="358"/>
      <c r="U435" s="358"/>
      <c r="V435" s="358"/>
      <c r="W435" s="358"/>
      <c r="X435" s="358"/>
      <c r="Y435" s="358"/>
      <c r="Z435" s="358"/>
    </row>
    <row r="436" spans="1:26" ht="13.5" customHeight="1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8"/>
      <c r="N436" s="358"/>
      <c r="O436" s="358"/>
      <c r="P436" s="358"/>
      <c r="Q436" s="358"/>
      <c r="R436" s="358"/>
      <c r="S436" s="358"/>
      <c r="T436" s="358"/>
      <c r="U436" s="358"/>
      <c r="V436" s="358"/>
      <c r="W436" s="358"/>
      <c r="X436" s="358"/>
      <c r="Y436" s="358"/>
      <c r="Z436" s="358"/>
    </row>
    <row r="437" spans="1:26" ht="13.5" customHeight="1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58"/>
      <c r="Z437" s="358"/>
    </row>
    <row r="438" spans="1:26" ht="13.5" customHeight="1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58"/>
      <c r="Z438" s="358"/>
    </row>
    <row r="439" spans="1:26" ht="13.5" customHeight="1">
      <c r="A439" s="358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58"/>
      <c r="Z439" s="358"/>
    </row>
    <row r="440" spans="1:26" ht="13.5" customHeight="1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58"/>
      <c r="Z440" s="358"/>
    </row>
    <row r="441" spans="1:26" ht="13.5" customHeight="1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58"/>
      <c r="Z441" s="358"/>
    </row>
    <row r="442" spans="1:26" ht="13.5" customHeight="1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58"/>
      <c r="Z442" s="358"/>
    </row>
    <row r="443" spans="1:26" ht="13.5" customHeight="1">
      <c r="A443" s="358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8"/>
      <c r="N443" s="358"/>
      <c r="O443" s="358"/>
      <c r="P443" s="358"/>
      <c r="Q443" s="358"/>
      <c r="R443" s="358"/>
      <c r="S443" s="358"/>
      <c r="T443" s="358"/>
      <c r="U443" s="358"/>
      <c r="V443" s="358"/>
      <c r="W443" s="358"/>
      <c r="X443" s="358"/>
      <c r="Y443" s="358"/>
      <c r="Z443" s="358"/>
    </row>
    <row r="444" spans="1:26" ht="13.5" customHeight="1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8"/>
      <c r="N444" s="358"/>
      <c r="O444" s="358"/>
      <c r="P444" s="358"/>
      <c r="Q444" s="358"/>
      <c r="R444" s="358"/>
      <c r="S444" s="358"/>
      <c r="T444" s="358"/>
      <c r="U444" s="358"/>
      <c r="V444" s="358"/>
      <c r="W444" s="358"/>
      <c r="X444" s="358"/>
      <c r="Y444" s="358"/>
      <c r="Z444" s="358"/>
    </row>
    <row r="445" spans="1:26" ht="13.5" customHeight="1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58"/>
      <c r="N445" s="358"/>
      <c r="O445" s="358"/>
      <c r="P445" s="358"/>
      <c r="Q445" s="358"/>
      <c r="R445" s="358"/>
      <c r="S445" s="358"/>
      <c r="T445" s="358"/>
      <c r="U445" s="358"/>
      <c r="V445" s="358"/>
      <c r="W445" s="358"/>
      <c r="X445" s="358"/>
      <c r="Y445" s="358"/>
      <c r="Z445" s="358"/>
    </row>
    <row r="446" spans="1:26" ht="13.5" customHeight="1">
      <c r="A446" s="358"/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58"/>
      <c r="Z446" s="358"/>
    </row>
    <row r="447" spans="1:26" ht="13.5" customHeight="1">
      <c r="A447" s="358"/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58"/>
      <c r="Z447" s="358"/>
    </row>
    <row r="448" spans="1:26" ht="13.5" customHeight="1">
      <c r="A448" s="358"/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58"/>
      <c r="Z448" s="358"/>
    </row>
    <row r="449" spans="1:26" ht="13.5" customHeight="1">
      <c r="A449" s="358"/>
      <c r="B449" s="358"/>
      <c r="C449" s="358"/>
      <c r="D449" s="358"/>
      <c r="E449" s="358"/>
      <c r="F449" s="358"/>
      <c r="G449" s="358"/>
      <c r="H449" s="358"/>
      <c r="I449" s="358"/>
      <c r="J449" s="358"/>
      <c r="K449" s="358"/>
      <c r="L449" s="358"/>
      <c r="M449" s="358"/>
      <c r="N449" s="358"/>
      <c r="O449" s="358"/>
      <c r="P449" s="358"/>
      <c r="Q449" s="358"/>
      <c r="R449" s="358"/>
      <c r="S449" s="358"/>
      <c r="T449" s="358"/>
      <c r="U449" s="358"/>
      <c r="V449" s="358"/>
      <c r="W449" s="358"/>
      <c r="X449" s="358"/>
      <c r="Y449" s="358"/>
      <c r="Z449" s="358"/>
    </row>
    <row r="450" spans="1:26" ht="13.5" customHeight="1">
      <c r="A450" s="358"/>
      <c r="B450" s="358"/>
      <c r="C450" s="358"/>
      <c r="D450" s="358"/>
      <c r="E450" s="358"/>
      <c r="F450" s="358"/>
      <c r="G450" s="358"/>
      <c r="H450" s="358"/>
      <c r="I450" s="358"/>
      <c r="J450" s="358"/>
      <c r="K450" s="358"/>
      <c r="L450" s="358"/>
      <c r="M450" s="358"/>
      <c r="N450" s="358"/>
      <c r="O450" s="358"/>
      <c r="P450" s="358"/>
      <c r="Q450" s="358"/>
      <c r="R450" s="358"/>
      <c r="S450" s="358"/>
      <c r="T450" s="358"/>
      <c r="U450" s="358"/>
      <c r="V450" s="358"/>
      <c r="W450" s="358"/>
      <c r="X450" s="358"/>
      <c r="Y450" s="358"/>
      <c r="Z450" s="358"/>
    </row>
    <row r="451" spans="1:26" ht="13.5" customHeight="1">
      <c r="A451" s="358"/>
      <c r="B451" s="358"/>
      <c r="C451" s="358"/>
      <c r="D451" s="358"/>
      <c r="E451" s="358"/>
      <c r="F451" s="358"/>
      <c r="G451" s="358"/>
      <c r="H451" s="358"/>
      <c r="I451" s="358"/>
      <c r="J451" s="358"/>
      <c r="K451" s="358"/>
      <c r="L451" s="358"/>
      <c r="M451" s="358"/>
      <c r="N451" s="358"/>
      <c r="O451" s="358"/>
      <c r="P451" s="358"/>
      <c r="Q451" s="358"/>
      <c r="R451" s="358"/>
      <c r="S451" s="358"/>
      <c r="T451" s="358"/>
      <c r="U451" s="358"/>
      <c r="V451" s="358"/>
      <c r="W451" s="358"/>
      <c r="X451" s="358"/>
      <c r="Y451" s="358"/>
      <c r="Z451" s="358"/>
    </row>
    <row r="452" spans="1:26" ht="13.5" customHeight="1">
      <c r="A452" s="358"/>
      <c r="B452" s="358"/>
      <c r="C452" s="358"/>
      <c r="D452" s="358"/>
      <c r="E452" s="358"/>
      <c r="F452" s="358"/>
      <c r="G452" s="358"/>
      <c r="H452" s="358"/>
      <c r="I452" s="358"/>
      <c r="J452" s="358"/>
      <c r="K452" s="358"/>
      <c r="L452" s="358"/>
      <c r="M452" s="358"/>
      <c r="N452" s="358"/>
      <c r="O452" s="358"/>
      <c r="P452" s="358"/>
      <c r="Q452" s="358"/>
      <c r="R452" s="358"/>
      <c r="S452" s="358"/>
      <c r="T452" s="358"/>
      <c r="U452" s="358"/>
      <c r="V452" s="358"/>
      <c r="W452" s="358"/>
      <c r="X452" s="358"/>
      <c r="Y452" s="358"/>
      <c r="Z452" s="358"/>
    </row>
    <row r="453" spans="1:26" ht="13.5" customHeight="1">
      <c r="A453" s="358"/>
      <c r="B453" s="358"/>
      <c r="C453" s="358"/>
      <c r="D453" s="358"/>
      <c r="E453" s="358"/>
      <c r="F453" s="358"/>
      <c r="G453" s="358"/>
      <c r="H453" s="358"/>
      <c r="I453" s="358"/>
      <c r="J453" s="358"/>
      <c r="K453" s="358"/>
      <c r="L453" s="358"/>
      <c r="M453" s="358"/>
      <c r="N453" s="358"/>
      <c r="O453" s="358"/>
      <c r="P453" s="358"/>
      <c r="Q453" s="358"/>
      <c r="R453" s="358"/>
      <c r="S453" s="358"/>
      <c r="T453" s="358"/>
      <c r="U453" s="358"/>
      <c r="V453" s="358"/>
      <c r="W453" s="358"/>
      <c r="X453" s="358"/>
      <c r="Y453" s="358"/>
      <c r="Z453" s="358"/>
    </row>
    <row r="454" spans="1:26" ht="13.5" customHeight="1">
      <c r="A454" s="358"/>
      <c r="B454" s="358"/>
      <c r="C454" s="358"/>
      <c r="D454" s="358"/>
      <c r="E454" s="358"/>
      <c r="F454" s="358"/>
      <c r="G454" s="358"/>
      <c r="H454" s="358"/>
      <c r="I454" s="358"/>
      <c r="J454" s="358"/>
      <c r="K454" s="358"/>
      <c r="L454" s="358"/>
      <c r="M454" s="358"/>
      <c r="N454" s="358"/>
      <c r="O454" s="358"/>
      <c r="P454" s="358"/>
      <c r="Q454" s="358"/>
      <c r="R454" s="358"/>
      <c r="S454" s="358"/>
      <c r="T454" s="358"/>
      <c r="U454" s="358"/>
      <c r="V454" s="358"/>
      <c r="W454" s="358"/>
      <c r="X454" s="358"/>
      <c r="Y454" s="358"/>
      <c r="Z454" s="358"/>
    </row>
    <row r="455" spans="1:26" ht="13.5" customHeight="1">
      <c r="A455" s="358"/>
      <c r="B455" s="358"/>
      <c r="C455" s="358"/>
      <c r="D455" s="358"/>
      <c r="E455" s="358"/>
      <c r="F455" s="358"/>
      <c r="G455" s="358"/>
      <c r="H455" s="358"/>
      <c r="I455" s="358"/>
      <c r="J455" s="358"/>
      <c r="K455" s="358"/>
      <c r="L455" s="358"/>
      <c r="M455" s="358"/>
      <c r="N455" s="358"/>
      <c r="O455" s="358"/>
      <c r="P455" s="358"/>
      <c r="Q455" s="358"/>
      <c r="R455" s="358"/>
      <c r="S455" s="358"/>
      <c r="T455" s="358"/>
      <c r="U455" s="358"/>
      <c r="V455" s="358"/>
      <c r="W455" s="358"/>
      <c r="X455" s="358"/>
      <c r="Y455" s="358"/>
      <c r="Z455" s="358"/>
    </row>
    <row r="456" spans="1:26" ht="13.5" customHeight="1">
      <c r="A456" s="358"/>
      <c r="B456" s="358"/>
      <c r="C456" s="358"/>
      <c r="D456" s="358"/>
      <c r="E456" s="358"/>
      <c r="F456" s="358"/>
      <c r="G456" s="358"/>
      <c r="H456" s="358"/>
      <c r="I456" s="358"/>
      <c r="J456" s="358"/>
      <c r="K456" s="358"/>
      <c r="L456" s="358"/>
      <c r="M456" s="358"/>
      <c r="N456" s="358"/>
      <c r="O456" s="358"/>
      <c r="P456" s="358"/>
      <c r="Q456" s="358"/>
      <c r="R456" s="358"/>
      <c r="S456" s="358"/>
      <c r="T456" s="358"/>
      <c r="U456" s="358"/>
      <c r="V456" s="358"/>
      <c r="W456" s="358"/>
      <c r="X456" s="358"/>
      <c r="Y456" s="358"/>
      <c r="Z456" s="358"/>
    </row>
    <row r="457" spans="1:26" ht="13.5" customHeight="1">
      <c r="A457" s="358"/>
      <c r="B457" s="358"/>
      <c r="C457" s="358"/>
      <c r="D457" s="358"/>
      <c r="E457" s="358"/>
      <c r="F457" s="358"/>
      <c r="G457" s="358"/>
      <c r="H457" s="358"/>
      <c r="I457" s="358"/>
      <c r="J457" s="358"/>
      <c r="K457" s="358"/>
      <c r="L457" s="358"/>
      <c r="M457" s="358"/>
      <c r="N457" s="358"/>
      <c r="O457" s="358"/>
      <c r="P457" s="358"/>
      <c r="Q457" s="358"/>
      <c r="R457" s="358"/>
      <c r="S457" s="358"/>
      <c r="T457" s="358"/>
      <c r="U457" s="358"/>
      <c r="V457" s="358"/>
      <c r="W457" s="358"/>
      <c r="X457" s="358"/>
      <c r="Y457" s="358"/>
      <c r="Z457" s="358"/>
    </row>
    <row r="458" spans="1:26" ht="13.5" customHeight="1">
      <c r="A458" s="358"/>
      <c r="B458" s="358"/>
      <c r="C458" s="358"/>
      <c r="D458" s="358"/>
      <c r="E458" s="358"/>
      <c r="F458" s="358"/>
      <c r="G458" s="358"/>
      <c r="H458" s="358"/>
      <c r="I458" s="358"/>
      <c r="J458" s="358"/>
      <c r="K458" s="358"/>
      <c r="L458" s="358"/>
      <c r="M458" s="358"/>
      <c r="N458" s="358"/>
      <c r="O458" s="358"/>
      <c r="P458" s="358"/>
      <c r="Q458" s="358"/>
      <c r="R458" s="358"/>
      <c r="S458" s="358"/>
      <c r="T458" s="358"/>
      <c r="U458" s="358"/>
      <c r="V458" s="358"/>
      <c r="W458" s="358"/>
      <c r="X458" s="358"/>
      <c r="Y458" s="358"/>
      <c r="Z458" s="358"/>
    </row>
    <row r="459" spans="1:26" ht="13.5" customHeight="1">
      <c r="A459" s="358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8"/>
      <c r="N459" s="358"/>
      <c r="O459" s="358"/>
      <c r="P459" s="358"/>
      <c r="Q459" s="358"/>
      <c r="R459" s="358"/>
      <c r="S459" s="358"/>
      <c r="T459" s="358"/>
      <c r="U459" s="358"/>
      <c r="V459" s="358"/>
      <c r="W459" s="358"/>
      <c r="X459" s="358"/>
      <c r="Y459" s="358"/>
      <c r="Z459" s="358"/>
    </row>
    <row r="460" spans="1:26" ht="13.5" customHeight="1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8"/>
      <c r="N460" s="358"/>
      <c r="O460" s="358"/>
      <c r="P460" s="358"/>
      <c r="Q460" s="358"/>
      <c r="R460" s="358"/>
      <c r="S460" s="358"/>
      <c r="T460" s="358"/>
      <c r="U460" s="358"/>
      <c r="V460" s="358"/>
      <c r="W460" s="358"/>
      <c r="X460" s="358"/>
      <c r="Y460" s="358"/>
      <c r="Z460" s="358"/>
    </row>
    <row r="461" spans="1:26" ht="13.5" customHeight="1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58"/>
      <c r="Z461" s="358"/>
    </row>
    <row r="462" spans="1:26" ht="13.5" customHeight="1">
      <c r="A462" s="358"/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58"/>
      <c r="Z462" s="358"/>
    </row>
    <row r="463" spans="1:26" ht="13.5" customHeight="1">
      <c r="A463" s="358"/>
      <c r="B463" s="358"/>
      <c r="C463" s="358"/>
      <c r="D463" s="358"/>
      <c r="E463" s="358"/>
      <c r="F463" s="358"/>
      <c r="G463" s="358"/>
      <c r="H463" s="358"/>
      <c r="I463" s="358"/>
      <c r="J463" s="358"/>
      <c r="K463" s="358"/>
      <c r="L463" s="358"/>
      <c r="M463" s="358"/>
      <c r="N463" s="358"/>
      <c r="O463" s="358"/>
      <c r="P463" s="358"/>
      <c r="Q463" s="358"/>
      <c r="R463" s="358"/>
      <c r="S463" s="358"/>
      <c r="T463" s="358"/>
      <c r="U463" s="358"/>
      <c r="V463" s="358"/>
      <c r="W463" s="358"/>
      <c r="X463" s="358"/>
      <c r="Y463" s="358"/>
      <c r="Z463" s="358"/>
    </row>
    <row r="464" spans="1:26" ht="13.5" customHeight="1">
      <c r="A464" s="358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8"/>
      <c r="N464" s="358"/>
      <c r="O464" s="358"/>
      <c r="P464" s="358"/>
      <c r="Q464" s="358"/>
      <c r="R464" s="358"/>
      <c r="S464" s="358"/>
      <c r="T464" s="358"/>
      <c r="U464" s="358"/>
      <c r="V464" s="358"/>
      <c r="W464" s="358"/>
      <c r="X464" s="358"/>
      <c r="Y464" s="358"/>
      <c r="Z464" s="358"/>
    </row>
    <row r="465" spans="1:26" ht="13.5" customHeight="1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8"/>
      <c r="N465" s="358"/>
      <c r="O465" s="358"/>
      <c r="P465" s="358"/>
      <c r="Q465" s="358"/>
      <c r="R465" s="358"/>
      <c r="S465" s="358"/>
      <c r="T465" s="358"/>
      <c r="U465" s="358"/>
      <c r="V465" s="358"/>
      <c r="W465" s="358"/>
      <c r="X465" s="358"/>
      <c r="Y465" s="358"/>
      <c r="Z465" s="358"/>
    </row>
    <row r="466" spans="1:26" ht="13.5" customHeight="1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58"/>
      <c r="Z466" s="358"/>
    </row>
    <row r="467" spans="1:26" ht="13.5" customHeight="1">
      <c r="A467" s="358"/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58"/>
      <c r="Z467" s="358"/>
    </row>
    <row r="468" spans="1:26" ht="13.5" customHeight="1">
      <c r="A468" s="358"/>
      <c r="B468" s="358"/>
      <c r="C468" s="358"/>
      <c r="D468" s="358"/>
      <c r="E468" s="358"/>
      <c r="F468" s="358"/>
      <c r="G468" s="358"/>
      <c r="H468" s="358"/>
      <c r="I468" s="358"/>
      <c r="J468" s="358"/>
      <c r="K468" s="358"/>
      <c r="L468" s="358"/>
      <c r="M468" s="358"/>
      <c r="N468" s="358"/>
      <c r="O468" s="358"/>
      <c r="P468" s="358"/>
      <c r="Q468" s="358"/>
      <c r="R468" s="358"/>
      <c r="S468" s="358"/>
      <c r="T468" s="358"/>
      <c r="U468" s="358"/>
      <c r="V468" s="358"/>
      <c r="W468" s="358"/>
      <c r="X468" s="358"/>
      <c r="Y468" s="358"/>
      <c r="Z468" s="358"/>
    </row>
    <row r="469" spans="1:26" ht="13.5" customHeight="1">
      <c r="A469" s="358"/>
      <c r="B469" s="358"/>
      <c r="C469" s="358"/>
      <c r="D469" s="358"/>
      <c r="E469" s="358"/>
      <c r="F469" s="358"/>
      <c r="G469" s="358"/>
      <c r="H469" s="358"/>
      <c r="I469" s="358"/>
      <c r="J469" s="358"/>
      <c r="K469" s="358"/>
      <c r="L469" s="358"/>
      <c r="M469" s="358"/>
      <c r="N469" s="358"/>
      <c r="O469" s="358"/>
      <c r="P469" s="358"/>
      <c r="Q469" s="358"/>
      <c r="R469" s="358"/>
      <c r="S469" s="358"/>
      <c r="T469" s="358"/>
      <c r="U469" s="358"/>
      <c r="V469" s="358"/>
      <c r="W469" s="358"/>
      <c r="X469" s="358"/>
      <c r="Y469" s="358"/>
      <c r="Z469" s="358"/>
    </row>
    <row r="470" spans="1:26" ht="13.5" customHeight="1">
      <c r="A470" s="358"/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8"/>
      <c r="N470" s="358"/>
      <c r="O470" s="358"/>
      <c r="P470" s="358"/>
      <c r="Q470" s="358"/>
      <c r="R470" s="358"/>
      <c r="S470" s="358"/>
      <c r="T470" s="358"/>
      <c r="U470" s="358"/>
      <c r="V470" s="358"/>
      <c r="W470" s="358"/>
      <c r="X470" s="358"/>
      <c r="Y470" s="358"/>
      <c r="Z470" s="358"/>
    </row>
    <row r="471" spans="1:26" ht="13.5" customHeight="1">
      <c r="A471" s="358"/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8"/>
      <c r="N471" s="358"/>
      <c r="O471" s="358"/>
      <c r="P471" s="358"/>
      <c r="Q471" s="358"/>
      <c r="R471" s="358"/>
      <c r="S471" s="358"/>
      <c r="T471" s="358"/>
      <c r="U471" s="358"/>
      <c r="V471" s="358"/>
      <c r="W471" s="358"/>
      <c r="X471" s="358"/>
      <c r="Y471" s="358"/>
      <c r="Z471" s="358"/>
    </row>
    <row r="472" spans="1:26" ht="13.5" customHeight="1">
      <c r="A472" s="358"/>
      <c r="B472" s="358"/>
      <c r="C472" s="358"/>
      <c r="D472" s="358"/>
      <c r="E472" s="358"/>
      <c r="F472" s="358"/>
      <c r="G472" s="358"/>
      <c r="H472" s="358"/>
      <c r="I472" s="358"/>
      <c r="J472" s="358"/>
      <c r="K472" s="358"/>
      <c r="L472" s="358"/>
      <c r="M472" s="358"/>
      <c r="N472" s="358"/>
      <c r="O472" s="358"/>
      <c r="P472" s="358"/>
      <c r="Q472" s="358"/>
      <c r="R472" s="358"/>
      <c r="S472" s="358"/>
      <c r="T472" s="358"/>
      <c r="U472" s="358"/>
      <c r="V472" s="358"/>
      <c r="W472" s="358"/>
      <c r="X472" s="358"/>
      <c r="Y472" s="358"/>
      <c r="Z472" s="358"/>
    </row>
    <row r="473" spans="1:26" ht="13.5" customHeight="1">
      <c r="A473" s="358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8"/>
      <c r="N473" s="358"/>
      <c r="O473" s="358"/>
      <c r="P473" s="358"/>
      <c r="Q473" s="358"/>
      <c r="R473" s="358"/>
      <c r="S473" s="358"/>
      <c r="T473" s="358"/>
      <c r="U473" s="358"/>
      <c r="V473" s="358"/>
      <c r="W473" s="358"/>
      <c r="X473" s="358"/>
      <c r="Y473" s="358"/>
      <c r="Z473" s="358"/>
    </row>
    <row r="474" spans="1:26" ht="13.5" customHeight="1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8"/>
      <c r="N474" s="358"/>
      <c r="O474" s="358"/>
      <c r="P474" s="358"/>
      <c r="Q474" s="358"/>
      <c r="R474" s="358"/>
      <c r="S474" s="358"/>
      <c r="T474" s="358"/>
      <c r="U474" s="358"/>
      <c r="V474" s="358"/>
      <c r="W474" s="358"/>
      <c r="X474" s="358"/>
      <c r="Y474" s="358"/>
      <c r="Z474" s="358"/>
    </row>
    <row r="475" spans="1:26" ht="13.5" customHeight="1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58"/>
      <c r="Z475" s="358"/>
    </row>
    <row r="476" spans="1:26" ht="13.5" customHeight="1">
      <c r="A476" s="358"/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58"/>
      <c r="Z476" s="358"/>
    </row>
    <row r="477" spans="1:26" ht="13.5" customHeight="1">
      <c r="A477" s="358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8"/>
      <c r="N477" s="358"/>
      <c r="O477" s="358"/>
      <c r="P477" s="358"/>
      <c r="Q477" s="358"/>
      <c r="R477" s="358"/>
      <c r="S477" s="358"/>
      <c r="T477" s="358"/>
      <c r="U477" s="358"/>
      <c r="V477" s="358"/>
      <c r="W477" s="358"/>
      <c r="X477" s="358"/>
      <c r="Y477" s="358"/>
      <c r="Z477" s="358"/>
    </row>
    <row r="478" spans="1:26" ht="13.5" customHeight="1">
      <c r="A478" s="358"/>
      <c r="B478" s="358"/>
      <c r="C478" s="358"/>
      <c r="D478" s="358"/>
      <c r="E478" s="358"/>
      <c r="F478" s="358"/>
      <c r="G478" s="358"/>
      <c r="H478" s="358"/>
      <c r="I478" s="358"/>
      <c r="J478" s="358"/>
      <c r="K478" s="358"/>
      <c r="L478" s="358"/>
      <c r="M478" s="358"/>
      <c r="N478" s="358"/>
      <c r="O478" s="358"/>
      <c r="P478" s="358"/>
      <c r="Q478" s="358"/>
      <c r="R478" s="358"/>
      <c r="S478" s="358"/>
      <c r="T478" s="358"/>
      <c r="U478" s="358"/>
      <c r="V478" s="358"/>
      <c r="W478" s="358"/>
      <c r="X478" s="358"/>
      <c r="Y478" s="358"/>
      <c r="Z478" s="358"/>
    </row>
    <row r="479" spans="1:26" ht="13.5" customHeight="1">
      <c r="A479" s="358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8"/>
      <c r="N479" s="358"/>
      <c r="O479" s="358"/>
      <c r="P479" s="358"/>
      <c r="Q479" s="358"/>
      <c r="R479" s="358"/>
      <c r="S479" s="358"/>
      <c r="T479" s="358"/>
      <c r="U479" s="358"/>
      <c r="V479" s="358"/>
      <c r="W479" s="358"/>
      <c r="X479" s="358"/>
      <c r="Y479" s="358"/>
      <c r="Z479" s="358"/>
    </row>
    <row r="480" spans="1:26" ht="13.5" customHeight="1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8"/>
      <c r="N480" s="358"/>
      <c r="O480" s="358"/>
      <c r="P480" s="358"/>
      <c r="Q480" s="358"/>
      <c r="R480" s="358"/>
      <c r="S480" s="358"/>
      <c r="T480" s="358"/>
      <c r="U480" s="358"/>
      <c r="V480" s="358"/>
      <c r="W480" s="358"/>
      <c r="X480" s="358"/>
      <c r="Y480" s="358"/>
      <c r="Z480" s="358"/>
    </row>
    <row r="481" spans="1:26" ht="13.5" customHeight="1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58"/>
      <c r="Z481" s="358"/>
    </row>
    <row r="482" spans="1:26" ht="13.5" customHeight="1">
      <c r="A482" s="358"/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58"/>
      <c r="Z482" s="358"/>
    </row>
    <row r="483" spans="1:26" ht="13.5" customHeight="1">
      <c r="A483" s="358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58"/>
      <c r="Z483" s="358"/>
    </row>
    <row r="484" spans="1:26" ht="13.5" customHeight="1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58"/>
      <c r="Z484" s="358"/>
    </row>
    <row r="485" spans="1:26" ht="13.5" customHeight="1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8"/>
      <c r="N485" s="358"/>
      <c r="O485" s="358"/>
      <c r="P485" s="358"/>
      <c r="Q485" s="358"/>
      <c r="R485" s="358"/>
      <c r="S485" s="358"/>
      <c r="T485" s="358"/>
      <c r="U485" s="358"/>
      <c r="V485" s="358"/>
      <c r="W485" s="358"/>
      <c r="X485" s="358"/>
      <c r="Y485" s="358"/>
      <c r="Z485" s="358"/>
    </row>
    <row r="486" spans="1:26" ht="13.5" customHeight="1">
      <c r="A486" s="358"/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58"/>
      <c r="Z486" s="358"/>
    </row>
    <row r="487" spans="1:26" ht="13.5" customHeight="1">
      <c r="A487" s="358"/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58"/>
      <c r="Z487" s="358"/>
    </row>
    <row r="488" spans="1:26" ht="13.5" customHeight="1">
      <c r="A488" s="358"/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58"/>
      <c r="Z488" s="358"/>
    </row>
    <row r="489" spans="1:26" ht="13.5" customHeight="1">
      <c r="A489" s="358"/>
      <c r="B489" s="358"/>
      <c r="C489" s="358"/>
      <c r="D489" s="358"/>
      <c r="E489" s="358"/>
      <c r="F489" s="358"/>
      <c r="G489" s="358"/>
      <c r="H489" s="358"/>
      <c r="I489" s="358"/>
      <c r="J489" s="358"/>
      <c r="K489" s="358"/>
      <c r="L489" s="358"/>
      <c r="M489" s="358"/>
      <c r="N489" s="358"/>
      <c r="O489" s="358"/>
      <c r="P489" s="358"/>
      <c r="Q489" s="358"/>
      <c r="R489" s="358"/>
      <c r="S489" s="358"/>
      <c r="T489" s="358"/>
      <c r="U489" s="358"/>
      <c r="V489" s="358"/>
      <c r="W489" s="358"/>
      <c r="X489" s="358"/>
      <c r="Y489" s="358"/>
      <c r="Z489" s="358"/>
    </row>
    <row r="490" spans="1:26" ht="13.5" customHeight="1">
      <c r="A490" s="358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58"/>
      <c r="N490" s="358"/>
      <c r="O490" s="358"/>
      <c r="P490" s="358"/>
      <c r="Q490" s="358"/>
      <c r="R490" s="358"/>
      <c r="S490" s="358"/>
      <c r="T490" s="358"/>
      <c r="U490" s="358"/>
      <c r="V490" s="358"/>
      <c r="W490" s="358"/>
      <c r="X490" s="358"/>
      <c r="Y490" s="358"/>
      <c r="Z490" s="358"/>
    </row>
    <row r="491" spans="1:26" ht="13.5" customHeight="1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58"/>
      <c r="N491" s="358"/>
      <c r="O491" s="358"/>
      <c r="P491" s="358"/>
      <c r="Q491" s="358"/>
      <c r="R491" s="358"/>
      <c r="S491" s="358"/>
      <c r="T491" s="358"/>
      <c r="U491" s="358"/>
      <c r="V491" s="358"/>
      <c r="W491" s="358"/>
      <c r="X491" s="358"/>
      <c r="Y491" s="358"/>
      <c r="Z491" s="358"/>
    </row>
    <row r="492" spans="1:26" ht="13.5" customHeight="1">
      <c r="A492" s="358"/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58"/>
      <c r="Z492" s="358"/>
    </row>
    <row r="493" spans="1:26" ht="13.5" customHeight="1">
      <c r="A493" s="358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8"/>
      <c r="N493" s="358"/>
      <c r="O493" s="358"/>
      <c r="P493" s="358"/>
      <c r="Q493" s="358"/>
      <c r="R493" s="358"/>
      <c r="S493" s="358"/>
      <c r="T493" s="358"/>
      <c r="U493" s="358"/>
      <c r="V493" s="358"/>
      <c r="W493" s="358"/>
      <c r="X493" s="358"/>
      <c r="Y493" s="358"/>
      <c r="Z493" s="358"/>
    </row>
    <row r="494" spans="1:26" ht="13.5" customHeight="1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8"/>
      <c r="N494" s="358"/>
      <c r="O494" s="358"/>
      <c r="P494" s="358"/>
      <c r="Q494" s="358"/>
      <c r="R494" s="358"/>
      <c r="S494" s="358"/>
      <c r="T494" s="358"/>
      <c r="U494" s="358"/>
      <c r="V494" s="358"/>
      <c r="W494" s="358"/>
      <c r="X494" s="358"/>
      <c r="Y494" s="358"/>
      <c r="Z494" s="358"/>
    </row>
    <row r="495" spans="1:26" ht="13.5" customHeight="1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58"/>
      <c r="Z495" s="358"/>
    </row>
    <row r="496" spans="1:26" ht="13.5" customHeight="1">
      <c r="A496" s="358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58"/>
      <c r="Z496" s="358"/>
    </row>
    <row r="497" spans="1:26" ht="13.5" customHeight="1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58"/>
      <c r="N497" s="358"/>
      <c r="O497" s="358"/>
      <c r="P497" s="358"/>
      <c r="Q497" s="358"/>
      <c r="R497" s="358"/>
      <c r="S497" s="358"/>
      <c r="T497" s="358"/>
      <c r="U497" s="358"/>
      <c r="V497" s="358"/>
      <c r="W497" s="358"/>
      <c r="X497" s="358"/>
      <c r="Y497" s="358"/>
      <c r="Z497" s="358"/>
    </row>
    <row r="498" spans="1:26" ht="13.5" customHeight="1">
      <c r="A498" s="358"/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58"/>
      <c r="Z498" s="358"/>
    </row>
    <row r="499" spans="1:26" ht="13.5" customHeight="1">
      <c r="A499" s="358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8"/>
      <c r="N499" s="358"/>
      <c r="O499" s="358"/>
      <c r="P499" s="358"/>
      <c r="Q499" s="358"/>
      <c r="R499" s="358"/>
      <c r="S499" s="358"/>
      <c r="T499" s="358"/>
      <c r="U499" s="358"/>
      <c r="V499" s="358"/>
      <c r="W499" s="358"/>
      <c r="X499" s="358"/>
      <c r="Y499" s="358"/>
      <c r="Z499" s="358"/>
    </row>
    <row r="500" spans="1:26" ht="13.5" customHeight="1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8"/>
      <c r="N500" s="358"/>
      <c r="O500" s="358"/>
      <c r="P500" s="358"/>
      <c r="Q500" s="358"/>
      <c r="R500" s="358"/>
      <c r="S500" s="358"/>
      <c r="T500" s="358"/>
      <c r="U500" s="358"/>
      <c r="V500" s="358"/>
      <c r="W500" s="358"/>
      <c r="X500" s="358"/>
      <c r="Y500" s="358"/>
      <c r="Z500" s="358"/>
    </row>
    <row r="501" spans="1:26" ht="13.5" customHeight="1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58"/>
      <c r="Z501" s="358"/>
    </row>
    <row r="502" spans="1:26" ht="13.5" customHeight="1">
      <c r="A502" s="3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58"/>
      <c r="Z502" s="358"/>
    </row>
    <row r="503" spans="1:26" ht="13.5" customHeight="1">
      <c r="A503" s="358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58"/>
      <c r="N503" s="358"/>
      <c r="O503" s="358"/>
      <c r="P503" s="358"/>
      <c r="Q503" s="358"/>
      <c r="R503" s="358"/>
      <c r="S503" s="358"/>
      <c r="T503" s="358"/>
      <c r="U503" s="358"/>
      <c r="V503" s="358"/>
      <c r="W503" s="358"/>
      <c r="X503" s="358"/>
      <c r="Y503" s="358"/>
      <c r="Z503" s="358"/>
    </row>
    <row r="504" spans="1:26" ht="13.5" customHeight="1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58"/>
      <c r="N504" s="358"/>
      <c r="O504" s="358"/>
      <c r="P504" s="358"/>
      <c r="Q504" s="358"/>
      <c r="R504" s="358"/>
      <c r="S504" s="358"/>
      <c r="T504" s="358"/>
      <c r="U504" s="358"/>
      <c r="V504" s="358"/>
      <c r="W504" s="358"/>
      <c r="X504" s="358"/>
      <c r="Y504" s="358"/>
      <c r="Z504" s="358"/>
    </row>
    <row r="505" spans="1:26" ht="13.5" customHeight="1">
      <c r="A505" s="358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58"/>
      <c r="Z505" s="358"/>
    </row>
    <row r="506" spans="1:26" ht="13.5" customHeight="1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8"/>
      <c r="N506" s="358"/>
      <c r="O506" s="358"/>
      <c r="P506" s="358"/>
      <c r="Q506" s="358"/>
      <c r="R506" s="358"/>
      <c r="S506" s="358"/>
      <c r="T506" s="358"/>
      <c r="U506" s="358"/>
      <c r="V506" s="358"/>
      <c r="W506" s="358"/>
      <c r="X506" s="358"/>
      <c r="Y506" s="358"/>
      <c r="Z506" s="358"/>
    </row>
    <row r="507" spans="1:26" ht="13.5" customHeight="1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8"/>
      <c r="N507" s="358"/>
      <c r="O507" s="358"/>
      <c r="P507" s="358"/>
      <c r="Q507" s="358"/>
      <c r="R507" s="358"/>
      <c r="S507" s="358"/>
      <c r="T507" s="358"/>
      <c r="U507" s="358"/>
      <c r="V507" s="358"/>
      <c r="W507" s="358"/>
      <c r="X507" s="358"/>
      <c r="Y507" s="358"/>
      <c r="Z507" s="358"/>
    </row>
    <row r="508" spans="1:26" ht="13.5" customHeight="1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58"/>
      <c r="Z508" s="358"/>
    </row>
    <row r="509" spans="1:26" ht="13.5" customHeight="1">
      <c r="A509" s="358"/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58"/>
      <c r="Z509" s="358"/>
    </row>
    <row r="510" spans="1:26" ht="13.5" customHeight="1">
      <c r="A510" s="358"/>
      <c r="B510" s="358"/>
      <c r="C510" s="358"/>
      <c r="D510" s="358"/>
      <c r="E510" s="358"/>
      <c r="F510" s="358"/>
      <c r="G510" s="358"/>
      <c r="H510" s="358"/>
      <c r="I510" s="358"/>
      <c r="J510" s="358"/>
      <c r="K510" s="358"/>
      <c r="L510" s="358"/>
      <c r="M510" s="358"/>
      <c r="N510" s="358"/>
      <c r="O510" s="358"/>
      <c r="P510" s="358"/>
      <c r="Q510" s="358"/>
      <c r="R510" s="358"/>
      <c r="S510" s="358"/>
      <c r="T510" s="358"/>
      <c r="U510" s="358"/>
      <c r="V510" s="358"/>
      <c r="W510" s="358"/>
      <c r="X510" s="358"/>
      <c r="Y510" s="358"/>
      <c r="Z510" s="358"/>
    </row>
    <row r="511" spans="1:26" ht="13.5" customHeight="1">
      <c r="A511" s="358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58"/>
      <c r="N511" s="358"/>
      <c r="O511" s="358"/>
      <c r="P511" s="358"/>
      <c r="Q511" s="358"/>
      <c r="R511" s="358"/>
      <c r="S511" s="358"/>
      <c r="T511" s="358"/>
      <c r="U511" s="358"/>
      <c r="V511" s="358"/>
      <c r="W511" s="358"/>
      <c r="X511" s="358"/>
      <c r="Y511" s="358"/>
      <c r="Z511" s="358"/>
    </row>
    <row r="512" spans="1:26" ht="13.5" customHeight="1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58"/>
      <c r="N512" s="358"/>
      <c r="O512" s="358"/>
      <c r="P512" s="358"/>
      <c r="Q512" s="358"/>
      <c r="R512" s="358"/>
      <c r="S512" s="358"/>
      <c r="T512" s="358"/>
      <c r="U512" s="358"/>
      <c r="V512" s="358"/>
      <c r="W512" s="358"/>
      <c r="X512" s="358"/>
      <c r="Y512" s="358"/>
      <c r="Z512" s="358"/>
    </row>
    <row r="513" spans="1:26" ht="13.5" customHeight="1">
      <c r="A513" s="358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8"/>
      <c r="N513" s="358"/>
      <c r="O513" s="358"/>
      <c r="P513" s="358"/>
      <c r="Q513" s="358"/>
      <c r="R513" s="358"/>
      <c r="S513" s="358"/>
      <c r="T513" s="358"/>
      <c r="U513" s="358"/>
      <c r="V513" s="358"/>
      <c r="W513" s="358"/>
      <c r="X513" s="358"/>
      <c r="Y513" s="358"/>
      <c r="Z513" s="358"/>
    </row>
    <row r="514" spans="1:26" ht="13.5" customHeight="1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8"/>
      <c r="N514" s="358"/>
      <c r="O514" s="358"/>
      <c r="P514" s="358"/>
      <c r="Q514" s="358"/>
      <c r="R514" s="358"/>
      <c r="S514" s="358"/>
      <c r="T514" s="358"/>
      <c r="U514" s="358"/>
      <c r="V514" s="358"/>
      <c r="W514" s="358"/>
      <c r="X514" s="358"/>
      <c r="Y514" s="358"/>
      <c r="Z514" s="358"/>
    </row>
    <row r="515" spans="1:26" ht="13.5" customHeight="1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W515" s="358"/>
      <c r="X515" s="358"/>
      <c r="Y515" s="358"/>
      <c r="Z515" s="358"/>
    </row>
    <row r="516" spans="1:26" ht="13.5" customHeight="1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58"/>
      <c r="N516" s="358"/>
      <c r="O516" s="358"/>
      <c r="P516" s="358"/>
      <c r="Q516" s="358"/>
      <c r="R516" s="358"/>
      <c r="S516" s="358"/>
      <c r="T516" s="358"/>
      <c r="U516" s="358"/>
      <c r="V516" s="358"/>
      <c r="W516" s="358"/>
      <c r="X516" s="358"/>
      <c r="Y516" s="358"/>
      <c r="Z516" s="358"/>
    </row>
    <row r="517" spans="1:26" ht="13.5" customHeight="1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58"/>
      <c r="N517" s="358"/>
      <c r="O517" s="358"/>
      <c r="P517" s="358"/>
      <c r="Q517" s="358"/>
      <c r="R517" s="358"/>
      <c r="S517" s="358"/>
      <c r="T517" s="358"/>
      <c r="U517" s="358"/>
      <c r="V517" s="358"/>
      <c r="W517" s="358"/>
      <c r="X517" s="358"/>
      <c r="Y517" s="358"/>
      <c r="Z517" s="358"/>
    </row>
    <row r="518" spans="1:26" ht="13.5" customHeight="1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58"/>
      <c r="N518" s="358"/>
      <c r="O518" s="358"/>
      <c r="P518" s="358"/>
      <c r="Q518" s="358"/>
      <c r="R518" s="358"/>
      <c r="S518" s="358"/>
      <c r="T518" s="358"/>
      <c r="U518" s="358"/>
      <c r="V518" s="358"/>
      <c r="W518" s="358"/>
      <c r="X518" s="358"/>
      <c r="Y518" s="358"/>
      <c r="Z518" s="358"/>
    </row>
    <row r="519" spans="1:26" ht="13.5" customHeight="1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58"/>
      <c r="N519" s="358"/>
      <c r="O519" s="358"/>
      <c r="P519" s="358"/>
      <c r="Q519" s="358"/>
      <c r="R519" s="358"/>
      <c r="S519" s="358"/>
      <c r="T519" s="358"/>
      <c r="U519" s="358"/>
      <c r="V519" s="358"/>
      <c r="W519" s="358"/>
      <c r="X519" s="358"/>
      <c r="Y519" s="358"/>
      <c r="Z519" s="358"/>
    </row>
    <row r="520" spans="1:26" ht="13.5" customHeight="1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58"/>
      <c r="N520" s="358"/>
      <c r="O520" s="358"/>
      <c r="P520" s="358"/>
      <c r="Q520" s="358"/>
      <c r="R520" s="358"/>
      <c r="S520" s="358"/>
      <c r="T520" s="358"/>
      <c r="U520" s="358"/>
      <c r="V520" s="358"/>
      <c r="W520" s="358"/>
      <c r="X520" s="358"/>
      <c r="Y520" s="358"/>
      <c r="Z520" s="358"/>
    </row>
    <row r="521" spans="1:26" ht="13.5" customHeight="1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58"/>
      <c r="N521" s="358"/>
      <c r="O521" s="358"/>
      <c r="P521" s="358"/>
      <c r="Q521" s="358"/>
      <c r="R521" s="358"/>
      <c r="S521" s="358"/>
      <c r="T521" s="358"/>
      <c r="U521" s="358"/>
      <c r="V521" s="358"/>
      <c r="W521" s="358"/>
      <c r="X521" s="358"/>
      <c r="Y521" s="358"/>
      <c r="Z521" s="358"/>
    </row>
    <row r="522" spans="1:26" ht="13.5" customHeight="1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358"/>
      <c r="N522" s="358"/>
      <c r="O522" s="358"/>
      <c r="P522" s="358"/>
      <c r="Q522" s="358"/>
      <c r="R522" s="358"/>
      <c r="S522" s="358"/>
      <c r="T522" s="358"/>
      <c r="U522" s="358"/>
      <c r="V522" s="358"/>
      <c r="W522" s="358"/>
      <c r="X522" s="358"/>
      <c r="Y522" s="358"/>
      <c r="Z522" s="358"/>
    </row>
    <row r="523" spans="1:26" ht="13.5" customHeight="1">
      <c r="A523" s="358"/>
      <c r="B523" s="358"/>
      <c r="C523" s="358"/>
      <c r="D523" s="358"/>
      <c r="E523" s="358"/>
      <c r="F523" s="358"/>
      <c r="G523" s="358"/>
      <c r="H523" s="358"/>
      <c r="I523" s="358"/>
      <c r="J523" s="358"/>
      <c r="K523" s="358"/>
      <c r="L523" s="358"/>
      <c r="M523" s="358"/>
      <c r="N523" s="358"/>
      <c r="O523" s="358"/>
      <c r="P523" s="358"/>
      <c r="Q523" s="358"/>
      <c r="R523" s="358"/>
      <c r="S523" s="358"/>
      <c r="T523" s="358"/>
      <c r="U523" s="358"/>
      <c r="V523" s="358"/>
      <c r="W523" s="358"/>
      <c r="X523" s="358"/>
      <c r="Y523" s="358"/>
      <c r="Z523" s="358"/>
    </row>
    <row r="524" spans="1:26" ht="13.5" customHeight="1">
      <c r="A524" s="358"/>
      <c r="B524" s="358"/>
      <c r="C524" s="358"/>
      <c r="D524" s="358"/>
      <c r="E524" s="358"/>
      <c r="F524" s="358"/>
      <c r="G524" s="358"/>
      <c r="H524" s="358"/>
      <c r="I524" s="358"/>
      <c r="J524" s="358"/>
      <c r="K524" s="358"/>
      <c r="L524" s="358"/>
      <c r="M524" s="358"/>
      <c r="N524" s="358"/>
      <c r="O524" s="358"/>
      <c r="P524" s="358"/>
      <c r="Q524" s="358"/>
      <c r="R524" s="358"/>
      <c r="S524" s="358"/>
      <c r="T524" s="358"/>
      <c r="U524" s="358"/>
      <c r="V524" s="358"/>
      <c r="W524" s="358"/>
      <c r="X524" s="358"/>
      <c r="Y524" s="358"/>
      <c r="Z524" s="358"/>
    </row>
    <row r="525" spans="1:26" ht="13.5" customHeight="1">
      <c r="A525" s="358"/>
      <c r="B525" s="358"/>
      <c r="C525" s="358"/>
      <c r="D525" s="358"/>
      <c r="E525" s="358"/>
      <c r="F525" s="358"/>
      <c r="G525" s="358"/>
      <c r="H525" s="358"/>
      <c r="I525" s="358"/>
      <c r="J525" s="358"/>
      <c r="K525" s="358"/>
      <c r="L525" s="358"/>
      <c r="M525" s="358"/>
      <c r="N525" s="358"/>
      <c r="O525" s="358"/>
      <c r="P525" s="358"/>
      <c r="Q525" s="358"/>
      <c r="R525" s="358"/>
      <c r="S525" s="358"/>
      <c r="T525" s="358"/>
      <c r="U525" s="358"/>
      <c r="V525" s="358"/>
      <c r="W525" s="358"/>
      <c r="X525" s="358"/>
      <c r="Y525" s="358"/>
      <c r="Z525" s="358"/>
    </row>
    <row r="526" spans="1:26" ht="13.5" customHeight="1">
      <c r="A526" s="358"/>
      <c r="B526" s="358"/>
      <c r="C526" s="358"/>
      <c r="D526" s="358"/>
      <c r="E526" s="358"/>
      <c r="F526" s="358"/>
      <c r="G526" s="358"/>
      <c r="H526" s="358"/>
      <c r="I526" s="358"/>
      <c r="J526" s="358"/>
      <c r="K526" s="358"/>
      <c r="L526" s="358"/>
      <c r="M526" s="358"/>
      <c r="N526" s="358"/>
      <c r="O526" s="358"/>
      <c r="P526" s="358"/>
      <c r="Q526" s="358"/>
      <c r="R526" s="358"/>
      <c r="S526" s="358"/>
      <c r="T526" s="358"/>
      <c r="U526" s="358"/>
      <c r="V526" s="358"/>
      <c r="W526" s="358"/>
      <c r="X526" s="358"/>
      <c r="Y526" s="358"/>
      <c r="Z526" s="358"/>
    </row>
    <row r="527" spans="1:26" ht="13.5" customHeight="1">
      <c r="A527" s="358"/>
      <c r="B527" s="358"/>
      <c r="C527" s="358"/>
      <c r="D527" s="358"/>
      <c r="E527" s="358"/>
      <c r="F527" s="358"/>
      <c r="G527" s="358"/>
      <c r="H527" s="358"/>
      <c r="I527" s="358"/>
      <c r="J527" s="358"/>
      <c r="K527" s="358"/>
      <c r="L527" s="358"/>
      <c r="M527" s="358"/>
      <c r="N527" s="358"/>
      <c r="O527" s="358"/>
      <c r="P527" s="358"/>
      <c r="Q527" s="358"/>
      <c r="R527" s="358"/>
      <c r="S527" s="358"/>
      <c r="T527" s="358"/>
      <c r="U527" s="358"/>
      <c r="V527" s="358"/>
      <c r="W527" s="358"/>
      <c r="X527" s="358"/>
      <c r="Y527" s="358"/>
      <c r="Z527" s="358"/>
    </row>
    <row r="528" spans="1:26" ht="13.5" customHeight="1">
      <c r="A528" s="358"/>
      <c r="B528" s="358"/>
      <c r="C528" s="358"/>
      <c r="D528" s="358"/>
      <c r="E528" s="358"/>
      <c r="F528" s="358"/>
      <c r="G528" s="358"/>
      <c r="H528" s="358"/>
      <c r="I528" s="358"/>
      <c r="J528" s="358"/>
      <c r="K528" s="358"/>
      <c r="L528" s="358"/>
      <c r="M528" s="358"/>
      <c r="N528" s="358"/>
      <c r="O528" s="358"/>
      <c r="P528" s="358"/>
      <c r="Q528" s="358"/>
      <c r="R528" s="358"/>
      <c r="S528" s="358"/>
      <c r="T528" s="358"/>
      <c r="U528" s="358"/>
      <c r="V528" s="358"/>
      <c r="W528" s="358"/>
      <c r="X528" s="358"/>
      <c r="Y528" s="358"/>
      <c r="Z528" s="358"/>
    </row>
    <row r="529" spans="1:26" ht="13.5" customHeight="1">
      <c r="A529" s="358"/>
      <c r="B529" s="358"/>
      <c r="C529" s="358"/>
      <c r="D529" s="358"/>
      <c r="E529" s="358"/>
      <c r="F529" s="358"/>
      <c r="G529" s="358"/>
      <c r="H529" s="358"/>
      <c r="I529" s="358"/>
      <c r="J529" s="358"/>
      <c r="K529" s="358"/>
      <c r="L529" s="358"/>
      <c r="M529" s="358"/>
      <c r="N529" s="358"/>
      <c r="O529" s="358"/>
      <c r="P529" s="358"/>
      <c r="Q529" s="358"/>
      <c r="R529" s="358"/>
      <c r="S529" s="358"/>
      <c r="T529" s="358"/>
      <c r="U529" s="358"/>
      <c r="V529" s="358"/>
      <c r="W529" s="358"/>
      <c r="X529" s="358"/>
      <c r="Y529" s="358"/>
      <c r="Z529" s="358"/>
    </row>
    <row r="530" spans="1:26" ht="13.5" customHeight="1">
      <c r="A530" s="358"/>
      <c r="B530" s="358"/>
      <c r="C530" s="358"/>
      <c r="D530" s="358"/>
      <c r="E530" s="358"/>
      <c r="F530" s="358"/>
      <c r="G530" s="358"/>
      <c r="H530" s="358"/>
      <c r="I530" s="358"/>
      <c r="J530" s="358"/>
      <c r="K530" s="358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W530" s="358"/>
      <c r="X530" s="358"/>
      <c r="Y530" s="358"/>
      <c r="Z530" s="358"/>
    </row>
    <row r="531" spans="1:26" ht="13.5" customHeight="1">
      <c r="A531" s="358"/>
      <c r="B531" s="358"/>
      <c r="C531" s="358"/>
      <c r="D531" s="358"/>
      <c r="E531" s="358"/>
      <c r="F531" s="358"/>
      <c r="G531" s="358"/>
      <c r="H531" s="358"/>
      <c r="I531" s="358"/>
      <c r="J531" s="358"/>
      <c r="K531" s="358"/>
      <c r="L531" s="358"/>
      <c r="M531" s="358"/>
      <c r="N531" s="358"/>
      <c r="O531" s="358"/>
      <c r="P531" s="358"/>
      <c r="Q531" s="358"/>
      <c r="R531" s="358"/>
      <c r="S531" s="358"/>
      <c r="T531" s="358"/>
      <c r="U531" s="358"/>
      <c r="V531" s="358"/>
      <c r="W531" s="358"/>
      <c r="X531" s="358"/>
      <c r="Y531" s="358"/>
      <c r="Z531" s="358"/>
    </row>
    <row r="532" spans="1:26" ht="13.5" customHeight="1">
      <c r="A532" s="358"/>
      <c r="B532" s="358"/>
      <c r="C532" s="358"/>
      <c r="D532" s="358"/>
      <c r="E532" s="358"/>
      <c r="F532" s="358"/>
      <c r="G532" s="358"/>
      <c r="H532" s="358"/>
      <c r="I532" s="358"/>
      <c r="J532" s="358"/>
      <c r="K532" s="358"/>
      <c r="L532" s="358"/>
      <c r="M532" s="358"/>
      <c r="N532" s="358"/>
      <c r="O532" s="358"/>
      <c r="P532" s="358"/>
      <c r="Q532" s="358"/>
      <c r="R532" s="358"/>
      <c r="S532" s="358"/>
      <c r="T532" s="358"/>
      <c r="U532" s="358"/>
      <c r="V532" s="358"/>
      <c r="W532" s="358"/>
      <c r="X532" s="358"/>
      <c r="Y532" s="358"/>
      <c r="Z532" s="358"/>
    </row>
    <row r="533" spans="1:26" ht="13.5" customHeight="1">
      <c r="A533" s="358"/>
      <c r="B533" s="358"/>
      <c r="C533" s="358"/>
      <c r="D533" s="358"/>
      <c r="E533" s="358"/>
      <c r="F533" s="358"/>
      <c r="G533" s="358"/>
      <c r="H533" s="358"/>
      <c r="I533" s="358"/>
      <c r="J533" s="358"/>
      <c r="K533" s="358"/>
      <c r="L533" s="358"/>
      <c r="M533" s="358"/>
      <c r="N533" s="358"/>
      <c r="O533" s="358"/>
      <c r="P533" s="358"/>
      <c r="Q533" s="358"/>
      <c r="R533" s="358"/>
      <c r="S533" s="358"/>
      <c r="T533" s="358"/>
      <c r="U533" s="358"/>
      <c r="V533" s="358"/>
      <c r="W533" s="358"/>
      <c r="X533" s="358"/>
      <c r="Y533" s="358"/>
      <c r="Z533" s="358"/>
    </row>
    <row r="534" spans="1:26" ht="13.5" customHeight="1">
      <c r="A534" s="358"/>
      <c r="B534" s="358"/>
      <c r="C534" s="358"/>
      <c r="D534" s="358"/>
      <c r="E534" s="358"/>
      <c r="F534" s="358"/>
      <c r="G534" s="358"/>
      <c r="H534" s="358"/>
      <c r="I534" s="358"/>
      <c r="J534" s="358"/>
      <c r="K534" s="358"/>
      <c r="L534" s="358"/>
      <c r="M534" s="358"/>
      <c r="N534" s="358"/>
      <c r="O534" s="358"/>
      <c r="P534" s="358"/>
      <c r="Q534" s="358"/>
      <c r="R534" s="358"/>
      <c r="S534" s="358"/>
      <c r="T534" s="358"/>
      <c r="U534" s="358"/>
      <c r="V534" s="358"/>
      <c r="W534" s="358"/>
      <c r="X534" s="358"/>
      <c r="Y534" s="358"/>
      <c r="Z534" s="358"/>
    </row>
    <row r="535" spans="1:26" ht="13.5" customHeight="1">
      <c r="A535" s="358"/>
      <c r="B535" s="358"/>
      <c r="C535" s="358"/>
      <c r="D535" s="358"/>
      <c r="E535" s="358"/>
      <c r="F535" s="358"/>
      <c r="G535" s="358"/>
      <c r="H535" s="358"/>
      <c r="I535" s="358"/>
      <c r="J535" s="358"/>
      <c r="K535" s="358"/>
      <c r="L535" s="358"/>
      <c r="M535" s="358"/>
      <c r="N535" s="358"/>
      <c r="O535" s="358"/>
      <c r="P535" s="358"/>
      <c r="Q535" s="358"/>
      <c r="R535" s="358"/>
      <c r="S535" s="358"/>
      <c r="T535" s="358"/>
      <c r="U535" s="358"/>
      <c r="V535" s="358"/>
      <c r="W535" s="358"/>
      <c r="X535" s="358"/>
      <c r="Y535" s="358"/>
      <c r="Z535" s="358"/>
    </row>
    <row r="536" spans="1:26" ht="13.5" customHeight="1">
      <c r="A536" s="358"/>
      <c r="B536" s="358"/>
      <c r="C536" s="358"/>
      <c r="D536" s="358"/>
      <c r="E536" s="358"/>
      <c r="F536" s="358"/>
      <c r="G536" s="358"/>
      <c r="H536" s="358"/>
      <c r="I536" s="358"/>
      <c r="J536" s="358"/>
      <c r="K536" s="358"/>
      <c r="L536" s="358"/>
      <c r="M536" s="358"/>
      <c r="N536" s="358"/>
      <c r="O536" s="358"/>
      <c r="P536" s="358"/>
      <c r="Q536" s="358"/>
      <c r="R536" s="358"/>
      <c r="S536" s="358"/>
      <c r="T536" s="358"/>
      <c r="U536" s="358"/>
      <c r="V536" s="358"/>
      <c r="W536" s="358"/>
      <c r="X536" s="358"/>
      <c r="Y536" s="358"/>
      <c r="Z536" s="358"/>
    </row>
    <row r="537" spans="1:26" ht="13.5" customHeight="1">
      <c r="A537" s="358"/>
      <c r="B537" s="358"/>
      <c r="C537" s="358"/>
      <c r="D537" s="358"/>
      <c r="E537" s="358"/>
      <c r="F537" s="358"/>
      <c r="G537" s="358"/>
      <c r="H537" s="358"/>
      <c r="I537" s="358"/>
      <c r="J537" s="358"/>
      <c r="K537" s="358"/>
      <c r="L537" s="358"/>
      <c r="M537" s="358"/>
      <c r="N537" s="358"/>
      <c r="O537" s="358"/>
      <c r="P537" s="358"/>
      <c r="Q537" s="358"/>
      <c r="R537" s="358"/>
      <c r="S537" s="358"/>
      <c r="T537" s="358"/>
      <c r="U537" s="358"/>
      <c r="V537" s="358"/>
      <c r="W537" s="358"/>
      <c r="X537" s="358"/>
      <c r="Y537" s="358"/>
      <c r="Z537" s="358"/>
    </row>
    <row r="538" spans="1:26" ht="13.5" customHeight="1">
      <c r="A538" s="358"/>
      <c r="B538" s="358"/>
      <c r="C538" s="358"/>
      <c r="D538" s="358"/>
      <c r="E538" s="358"/>
      <c r="F538" s="358"/>
      <c r="G538" s="358"/>
      <c r="H538" s="358"/>
      <c r="I538" s="358"/>
      <c r="J538" s="358"/>
      <c r="K538" s="358"/>
      <c r="L538" s="358"/>
      <c r="M538" s="358"/>
      <c r="N538" s="358"/>
      <c r="O538" s="358"/>
      <c r="P538" s="358"/>
      <c r="Q538" s="358"/>
      <c r="R538" s="358"/>
      <c r="S538" s="358"/>
      <c r="T538" s="358"/>
      <c r="U538" s="358"/>
      <c r="V538" s="358"/>
      <c r="W538" s="358"/>
      <c r="X538" s="358"/>
      <c r="Y538" s="358"/>
      <c r="Z538" s="358"/>
    </row>
    <row r="539" spans="1:26" ht="13.5" customHeight="1">
      <c r="A539" s="358"/>
      <c r="B539" s="358"/>
      <c r="C539" s="358"/>
      <c r="D539" s="358"/>
      <c r="E539" s="358"/>
      <c r="F539" s="358"/>
      <c r="G539" s="358"/>
      <c r="H539" s="358"/>
      <c r="I539" s="358"/>
      <c r="J539" s="358"/>
      <c r="K539" s="358"/>
      <c r="L539" s="358"/>
      <c r="M539" s="358"/>
      <c r="N539" s="358"/>
      <c r="O539" s="358"/>
      <c r="P539" s="358"/>
      <c r="Q539" s="358"/>
      <c r="R539" s="358"/>
      <c r="S539" s="358"/>
      <c r="T539" s="358"/>
      <c r="U539" s="358"/>
      <c r="V539" s="358"/>
      <c r="W539" s="358"/>
      <c r="X539" s="358"/>
      <c r="Y539" s="358"/>
      <c r="Z539" s="358"/>
    </row>
    <row r="540" spans="1:26" ht="13.5" customHeight="1">
      <c r="A540" s="358"/>
      <c r="B540" s="358"/>
      <c r="C540" s="358"/>
      <c r="D540" s="358"/>
      <c r="E540" s="358"/>
      <c r="F540" s="358"/>
      <c r="G540" s="358"/>
      <c r="H540" s="358"/>
      <c r="I540" s="358"/>
      <c r="J540" s="358"/>
      <c r="K540" s="358"/>
      <c r="L540" s="358"/>
      <c r="M540" s="358"/>
      <c r="N540" s="358"/>
      <c r="O540" s="358"/>
      <c r="P540" s="358"/>
      <c r="Q540" s="358"/>
      <c r="R540" s="358"/>
      <c r="S540" s="358"/>
      <c r="T540" s="358"/>
      <c r="U540" s="358"/>
      <c r="V540" s="358"/>
      <c r="W540" s="358"/>
      <c r="X540" s="358"/>
      <c r="Y540" s="358"/>
      <c r="Z540" s="358"/>
    </row>
    <row r="541" spans="1:26" ht="13.5" customHeight="1">
      <c r="A541" s="358"/>
      <c r="B541" s="358"/>
      <c r="C541" s="358"/>
      <c r="D541" s="358"/>
      <c r="E541" s="358"/>
      <c r="F541" s="358"/>
      <c r="G541" s="358"/>
      <c r="H541" s="358"/>
      <c r="I541" s="358"/>
      <c r="J541" s="358"/>
      <c r="K541" s="358"/>
      <c r="L541" s="358"/>
      <c r="M541" s="358"/>
      <c r="N541" s="358"/>
      <c r="O541" s="358"/>
      <c r="P541" s="358"/>
      <c r="Q541" s="358"/>
      <c r="R541" s="358"/>
      <c r="S541" s="358"/>
      <c r="T541" s="358"/>
      <c r="U541" s="358"/>
      <c r="V541" s="358"/>
      <c r="W541" s="358"/>
      <c r="X541" s="358"/>
      <c r="Y541" s="358"/>
      <c r="Z541" s="358"/>
    </row>
    <row r="542" spans="1:26" ht="13.5" customHeight="1">
      <c r="A542" s="358"/>
      <c r="B542" s="358"/>
      <c r="C542" s="358"/>
      <c r="D542" s="358"/>
      <c r="E542" s="358"/>
      <c r="F542" s="358"/>
      <c r="G542" s="358"/>
      <c r="H542" s="358"/>
      <c r="I542" s="358"/>
      <c r="J542" s="358"/>
      <c r="K542" s="358"/>
      <c r="L542" s="358"/>
      <c r="M542" s="358"/>
      <c r="N542" s="358"/>
      <c r="O542" s="358"/>
      <c r="P542" s="358"/>
      <c r="Q542" s="358"/>
      <c r="R542" s="358"/>
      <c r="S542" s="358"/>
      <c r="T542" s="358"/>
      <c r="U542" s="358"/>
      <c r="V542" s="358"/>
      <c r="W542" s="358"/>
      <c r="X542" s="358"/>
      <c r="Y542" s="358"/>
      <c r="Z542" s="358"/>
    </row>
    <row r="543" spans="1:26" ht="13.5" customHeight="1">
      <c r="A543" s="358"/>
      <c r="B543" s="358"/>
      <c r="C543" s="358"/>
      <c r="D543" s="358"/>
      <c r="E543" s="358"/>
      <c r="F543" s="358"/>
      <c r="G543" s="358"/>
      <c r="H543" s="358"/>
      <c r="I543" s="358"/>
      <c r="J543" s="358"/>
      <c r="K543" s="358"/>
      <c r="L543" s="358"/>
      <c r="M543" s="358"/>
      <c r="N543" s="358"/>
      <c r="O543" s="358"/>
      <c r="P543" s="358"/>
      <c r="Q543" s="358"/>
      <c r="R543" s="358"/>
      <c r="S543" s="358"/>
      <c r="T543" s="358"/>
      <c r="U543" s="358"/>
      <c r="V543" s="358"/>
      <c r="W543" s="358"/>
      <c r="X543" s="358"/>
      <c r="Y543" s="358"/>
      <c r="Z543" s="358"/>
    </row>
    <row r="544" spans="1:26" ht="13.5" customHeight="1">
      <c r="A544" s="358"/>
      <c r="B544" s="358"/>
      <c r="C544" s="358"/>
      <c r="D544" s="358"/>
      <c r="E544" s="358"/>
      <c r="F544" s="358"/>
      <c r="G544" s="358"/>
      <c r="H544" s="358"/>
      <c r="I544" s="358"/>
      <c r="J544" s="358"/>
      <c r="K544" s="358"/>
      <c r="L544" s="358"/>
      <c r="M544" s="358"/>
      <c r="N544" s="358"/>
      <c r="O544" s="358"/>
      <c r="P544" s="358"/>
      <c r="Q544" s="358"/>
      <c r="R544" s="358"/>
      <c r="S544" s="358"/>
      <c r="T544" s="358"/>
      <c r="U544" s="358"/>
      <c r="V544" s="358"/>
      <c r="W544" s="358"/>
      <c r="X544" s="358"/>
      <c r="Y544" s="358"/>
      <c r="Z544" s="358"/>
    </row>
    <row r="545" spans="1:26" ht="13.5" customHeight="1">
      <c r="A545" s="358"/>
      <c r="B545" s="358"/>
      <c r="C545" s="358"/>
      <c r="D545" s="358"/>
      <c r="E545" s="358"/>
      <c r="F545" s="358"/>
      <c r="G545" s="358"/>
      <c r="H545" s="358"/>
      <c r="I545" s="358"/>
      <c r="J545" s="358"/>
      <c r="K545" s="358"/>
      <c r="L545" s="358"/>
      <c r="M545" s="358"/>
      <c r="N545" s="358"/>
      <c r="O545" s="358"/>
      <c r="P545" s="358"/>
      <c r="Q545" s="358"/>
      <c r="R545" s="358"/>
      <c r="S545" s="358"/>
      <c r="T545" s="358"/>
      <c r="U545" s="358"/>
      <c r="V545" s="358"/>
      <c r="W545" s="358"/>
      <c r="X545" s="358"/>
      <c r="Y545" s="358"/>
      <c r="Z545" s="358"/>
    </row>
    <row r="546" spans="1:26" ht="13.5" customHeight="1">
      <c r="A546" s="358"/>
      <c r="B546" s="358"/>
      <c r="C546" s="358"/>
      <c r="D546" s="358"/>
      <c r="E546" s="358"/>
      <c r="F546" s="358"/>
      <c r="G546" s="358"/>
      <c r="H546" s="358"/>
      <c r="I546" s="358"/>
      <c r="J546" s="358"/>
      <c r="K546" s="358"/>
      <c r="L546" s="358"/>
      <c r="M546" s="358"/>
      <c r="N546" s="358"/>
      <c r="O546" s="358"/>
      <c r="P546" s="358"/>
      <c r="Q546" s="358"/>
      <c r="R546" s="358"/>
      <c r="S546" s="358"/>
      <c r="T546" s="358"/>
      <c r="U546" s="358"/>
      <c r="V546" s="358"/>
      <c r="W546" s="358"/>
      <c r="X546" s="358"/>
      <c r="Y546" s="358"/>
      <c r="Z546" s="358"/>
    </row>
    <row r="547" spans="1:26" ht="13.5" customHeight="1">
      <c r="A547" s="358"/>
      <c r="B547" s="358"/>
      <c r="C547" s="358"/>
      <c r="D547" s="358"/>
      <c r="E547" s="358"/>
      <c r="F547" s="358"/>
      <c r="G547" s="358"/>
      <c r="H547" s="358"/>
      <c r="I547" s="358"/>
      <c r="J547" s="358"/>
      <c r="K547" s="358"/>
      <c r="L547" s="358"/>
      <c r="M547" s="358"/>
      <c r="N547" s="358"/>
      <c r="O547" s="358"/>
      <c r="P547" s="358"/>
      <c r="Q547" s="358"/>
      <c r="R547" s="358"/>
      <c r="S547" s="358"/>
      <c r="T547" s="358"/>
      <c r="U547" s="358"/>
      <c r="V547" s="358"/>
      <c r="W547" s="358"/>
      <c r="X547" s="358"/>
      <c r="Y547" s="358"/>
      <c r="Z547" s="358"/>
    </row>
    <row r="548" spans="1:26" ht="13.5" customHeight="1">
      <c r="A548" s="358"/>
      <c r="B548" s="358"/>
      <c r="C548" s="358"/>
      <c r="D548" s="358"/>
      <c r="E548" s="358"/>
      <c r="F548" s="358"/>
      <c r="G548" s="358"/>
      <c r="H548" s="358"/>
      <c r="I548" s="358"/>
      <c r="J548" s="358"/>
      <c r="K548" s="358"/>
      <c r="L548" s="358"/>
      <c r="M548" s="358"/>
      <c r="N548" s="358"/>
      <c r="O548" s="358"/>
      <c r="P548" s="358"/>
      <c r="Q548" s="358"/>
      <c r="R548" s="358"/>
      <c r="S548" s="358"/>
      <c r="T548" s="358"/>
      <c r="U548" s="358"/>
      <c r="V548" s="358"/>
      <c r="W548" s="358"/>
      <c r="X548" s="358"/>
      <c r="Y548" s="358"/>
      <c r="Z548" s="358"/>
    </row>
    <row r="549" spans="1:26" ht="13.5" customHeight="1">
      <c r="A549" s="358"/>
      <c r="B549" s="358"/>
      <c r="C549" s="358"/>
      <c r="D549" s="358"/>
      <c r="E549" s="358"/>
      <c r="F549" s="358"/>
      <c r="G549" s="358"/>
      <c r="H549" s="358"/>
      <c r="I549" s="358"/>
      <c r="J549" s="358"/>
      <c r="K549" s="358"/>
      <c r="L549" s="358"/>
      <c r="M549" s="358"/>
      <c r="N549" s="358"/>
      <c r="O549" s="358"/>
      <c r="P549" s="358"/>
      <c r="Q549" s="358"/>
      <c r="R549" s="358"/>
      <c r="S549" s="358"/>
      <c r="T549" s="358"/>
      <c r="U549" s="358"/>
      <c r="V549" s="358"/>
      <c r="W549" s="358"/>
      <c r="X549" s="358"/>
      <c r="Y549" s="358"/>
      <c r="Z549" s="358"/>
    </row>
    <row r="550" spans="1:26" ht="13.5" customHeight="1">
      <c r="A550" s="358"/>
      <c r="B550" s="358"/>
      <c r="C550" s="358"/>
      <c r="D550" s="358"/>
      <c r="E550" s="358"/>
      <c r="F550" s="358"/>
      <c r="G550" s="358"/>
      <c r="H550" s="358"/>
      <c r="I550" s="358"/>
      <c r="J550" s="358"/>
      <c r="K550" s="358"/>
      <c r="L550" s="358"/>
      <c r="M550" s="358"/>
      <c r="N550" s="358"/>
      <c r="O550" s="358"/>
      <c r="P550" s="358"/>
      <c r="Q550" s="358"/>
      <c r="R550" s="358"/>
      <c r="S550" s="358"/>
      <c r="T550" s="358"/>
      <c r="U550" s="358"/>
      <c r="V550" s="358"/>
      <c r="W550" s="358"/>
      <c r="X550" s="358"/>
      <c r="Y550" s="358"/>
      <c r="Z550" s="358"/>
    </row>
    <row r="551" spans="1:26" ht="13.5" customHeight="1">
      <c r="A551" s="358"/>
      <c r="B551" s="358"/>
      <c r="C551" s="358"/>
      <c r="D551" s="358"/>
      <c r="E551" s="358"/>
      <c r="F551" s="358"/>
      <c r="G551" s="358"/>
      <c r="H551" s="358"/>
      <c r="I551" s="358"/>
      <c r="J551" s="358"/>
      <c r="K551" s="358"/>
      <c r="L551" s="358"/>
      <c r="M551" s="358"/>
      <c r="N551" s="358"/>
      <c r="O551" s="358"/>
      <c r="P551" s="358"/>
      <c r="Q551" s="358"/>
      <c r="R551" s="358"/>
      <c r="S551" s="358"/>
      <c r="T551" s="358"/>
      <c r="U551" s="358"/>
      <c r="V551" s="358"/>
      <c r="W551" s="358"/>
      <c r="X551" s="358"/>
      <c r="Y551" s="358"/>
      <c r="Z551" s="358"/>
    </row>
    <row r="552" spans="1:26" ht="13.5" customHeight="1">
      <c r="A552" s="358"/>
      <c r="B552" s="358"/>
      <c r="C552" s="358"/>
      <c r="D552" s="358"/>
      <c r="E552" s="358"/>
      <c r="F552" s="358"/>
      <c r="G552" s="358"/>
      <c r="H552" s="358"/>
      <c r="I552" s="358"/>
      <c r="J552" s="358"/>
      <c r="K552" s="358"/>
      <c r="L552" s="358"/>
      <c r="M552" s="358"/>
      <c r="N552" s="358"/>
      <c r="O552" s="358"/>
      <c r="P552" s="358"/>
      <c r="Q552" s="358"/>
      <c r="R552" s="358"/>
      <c r="S552" s="358"/>
      <c r="T552" s="358"/>
      <c r="U552" s="358"/>
      <c r="V552" s="358"/>
      <c r="W552" s="358"/>
      <c r="X552" s="358"/>
      <c r="Y552" s="358"/>
      <c r="Z552" s="358"/>
    </row>
    <row r="553" spans="1:26" ht="13.5" customHeight="1">
      <c r="A553" s="358"/>
      <c r="B553" s="358"/>
      <c r="C553" s="358"/>
      <c r="D553" s="358"/>
      <c r="E553" s="358"/>
      <c r="F553" s="358"/>
      <c r="G553" s="358"/>
      <c r="H553" s="358"/>
      <c r="I553" s="358"/>
      <c r="J553" s="358"/>
      <c r="K553" s="358"/>
      <c r="L553" s="358"/>
      <c r="M553" s="358"/>
      <c r="N553" s="358"/>
      <c r="O553" s="358"/>
      <c r="P553" s="358"/>
      <c r="Q553" s="358"/>
      <c r="R553" s="358"/>
      <c r="S553" s="358"/>
      <c r="T553" s="358"/>
      <c r="U553" s="358"/>
      <c r="V553" s="358"/>
      <c r="W553" s="358"/>
      <c r="X553" s="358"/>
      <c r="Y553" s="358"/>
      <c r="Z553" s="358"/>
    </row>
    <row r="554" spans="1:26" ht="13.5" customHeight="1">
      <c r="A554" s="358"/>
      <c r="B554" s="358"/>
      <c r="C554" s="358"/>
      <c r="D554" s="358"/>
      <c r="E554" s="358"/>
      <c r="F554" s="358"/>
      <c r="G554" s="358"/>
      <c r="H554" s="358"/>
      <c r="I554" s="358"/>
      <c r="J554" s="358"/>
      <c r="K554" s="358"/>
      <c r="L554" s="358"/>
      <c r="M554" s="358"/>
      <c r="N554" s="358"/>
      <c r="O554" s="358"/>
      <c r="P554" s="358"/>
      <c r="Q554" s="358"/>
      <c r="R554" s="358"/>
      <c r="S554" s="358"/>
      <c r="T554" s="358"/>
      <c r="U554" s="358"/>
      <c r="V554" s="358"/>
      <c r="W554" s="358"/>
      <c r="X554" s="358"/>
      <c r="Y554" s="358"/>
      <c r="Z554" s="358"/>
    </row>
    <row r="555" spans="1:26" ht="13.5" customHeight="1">
      <c r="A555" s="358"/>
      <c r="B555" s="358"/>
      <c r="C555" s="358"/>
      <c r="D555" s="358"/>
      <c r="E555" s="358"/>
      <c r="F555" s="358"/>
      <c r="G555" s="358"/>
      <c r="H555" s="358"/>
      <c r="I555" s="358"/>
      <c r="J555" s="358"/>
      <c r="K555" s="358"/>
      <c r="L555" s="358"/>
      <c r="M555" s="358"/>
      <c r="N555" s="358"/>
      <c r="O555" s="358"/>
      <c r="P555" s="358"/>
      <c r="Q555" s="358"/>
      <c r="R555" s="358"/>
      <c r="S555" s="358"/>
      <c r="T555" s="358"/>
      <c r="U555" s="358"/>
      <c r="V555" s="358"/>
      <c r="W555" s="358"/>
      <c r="X555" s="358"/>
      <c r="Y555" s="358"/>
      <c r="Z555" s="358"/>
    </row>
    <row r="556" spans="1:26" ht="13.5" customHeight="1">
      <c r="A556" s="358"/>
      <c r="B556" s="358"/>
      <c r="C556" s="358"/>
      <c r="D556" s="358"/>
      <c r="E556" s="358"/>
      <c r="F556" s="358"/>
      <c r="G556" s="358"/>
      <c r="H556" s="358"/>
      <c r="I556" s="358"/>
      <c r="J556" s="358"/>
      <c r="K556" s="358"/>
      <c r="L556" s="358"/>
      <c r="M556" s="358"/>
      <c r="N556" s="358"/>
      <c r="O556" s="358"/>
      <c r="P556" s="358"/>
      <c r="Q556" s="358"/>
      <c r="R556" s="358"/>
      <c r="S556" s="358"/>
      <c r="T556" s="358"/>
      <c r="U556" s="358"/>
      <c r="V556" s="358"/>
      <c r="W556" s="358"/>
      <c r="X556" s="358"/>
      <c r="Y556" s="358"/>
      <c r="Z556" s="358"/>
    </row>
    <row r="557" spans="1:26" ht="13.5" customHeight="1">
      <c r="A557" s="358"/>
      <c r="B557" s="358"/>
      <c r="C557" s="358"/>
      <c r="D557" s="358"/>
      <c r="E557" s="358"/>
      <c r="F557" s="358"/>
      <c r="G557" s="358"/>
      <c r="H557" s="358"/>
      <c r="I557" s="358"/>
      <c r="J557" s="358"/>
      <c r="K557" s="358"/>
      <c r="L557" s="358"/>
      <c r="M557" s="358"/>
      <c r="N557" s="358"/>
      <c r="O557" s="358"/>
      <c r="P557" s="358"/>
      <c r="Q557" s="358"/>
      <c r="R557" s="358"/>
      <c r="S557" s="358"/>
      <c r="T557" s="358"/>
      <c r="U557" s="358"/>
      <c r="V557" s="358"/>
      <c r="W557" s="358"/>
      <c r="X557" s="358"/>
      <c r="Y557" s="358"/>
      <c r="Z557" s="358"/>
    </row>
    <row r="558" spans="1:26" ht="13.5" customHeight="1">
      <c r="A558" s="358"/>
      <c r="B558" s="358"/>
      <c r="C558" s="358"/>
      <c r="D558" s="358"/>
      <c r="E558" s="358"/>
      <c r="F558" s="358"/>
      <c r="G558" s="358"/>
      <c r="H558" s="358"/>
      <c r="I558" s="358"/>
      <c r="J558" s="358"/>
      <c r="K558" s="358"/>
      <c r="L558" s="358"/>
      <c r="M558" s="358"/>
      <c r="N558" s="358"/>
      <c r="O558" s="358"/>
      <c r="P558" s="358"/>
      <c r="Q558" s="358"/>
      <c r="R558" s="358"/>
      <c r="S558" s="358"/>
      <c r="T558" s="358"/>
      <c r="U558" s="358"/>
      <c r="V558" s="358"/>
      <c r="W558" s="358"/>
      <c r="X558" s="358"/>
      <c r="Y558" s="358"/>
      <c r="Z558" s="358"/>
    </row>
    <row r="559" spans="1:26" ht="13.5" customHeight="1">
      <c r="A559" s="358"/>
      <c r="B559" s="358"/>
      <c r="C559" s="358"/>
      <c r="D559" s="358"/>
      <c r="E559" s="358"/>
      <c r="F559" s="358"/>
      <c r="G559" s="358"/>
      <c r="H559" s="358"/>
      <c r="I559" s="358"/>
      <c r="J559" s="358"/>
      <c r="K559" s="358"/>
      <c r="L559" s="358"/>
      <c r="M559" s="358"/>
      <c r="N559" s="358"/>
      <c r="O559" s="358"/>
      <c r="P559" s="358"/>
      <c r="Q559" s="358"/>
      <c r="R559" s="358"/>
      <c r="S559" s="358"/>
      <c r="T559" s="358"/>
      <c r="U559" s="358"/>
      <c r="V559" s="358"/>
      <c r="W559" s="358"/>
      <c r="X559" s="358"/>
      <c r="Y559" s="358"/>
      <c r="Z559" s="358"/>
    </row>
    <row r="560" spans="1:26" ht="13.5" customHeight="1">
      <c r="A560" s="358"/>
      <c r="B560" s="358"/>
      <c r="C560" s="358"/>
      <c r="D560" s="358"/>
      <c r="E560" s="358"/>
      <c r="F560" s="358"/>
      <c r="G560" s="358"/>
      <c r="H560" s="358"/>
      <c r="I560" s="358"/>
      <c r="J560" s="358"/>
      <c r="K560" s="358"/>
      <c r="L560" s="358"/>
      <c r="M560" s="358"/>
      <c r="N560" s="358"/>
      <c r="O560" s="358"/>
      <c r="P560" s="358"/>
      <c r="Q560" s="358"/>
      <c r="R560" s="358"/>
      <c r="S560" s="358"/>
      <c r="T560" s="358"/>
      <c r="U560" s="358"/>
      <c r="V560" s="358"/>
      <c r="W560" s="358"/>
      <c r="X560" s="358"/>
      <c r="Y560" s="358"/>
      <c r="Z560" s="358"/>
    </row>
    <row r="561" spans="1:26" ht="13.5" customHeight="1">
      <c r="A561" s="358"/>
      <c r="B561" s="358"/>
      <c r="C561" s="358"/>
      <c r="D561" s="358"/>
      <c r="E561" s="358"/>
      <c r="F561" s="358"/>
      <c r="G561" s="358"/>
      <c r="H561" s="358"/>
      <c r="I561" s="358"/>
      <c r="J561" s="358"/>
      <c r="K561" s="358"/>
      <c r="L561" s="358"/>
      <c r="M561" s="358"/>
      <c r="N561" s="358"/>
      <c r="O561" s="358"/>
      <c r="P561" s="358"/>
      <c r="Q561" s="358"/>
      <c r="R561" s="358"/>
      <c r="S561" s="358"/>
      <c r="T561" s="358"/>
      <c r="U561" s="358"/>
      <c r="V561" s="358"/>
      <c r="W561" s="358"/>
      <c r="X561" s="358"/>
      <c r="Y561" s="358"/>
      <c r="Z561" s="358"/>
    </row>
    <row r="562" spans="1:26" ht="13.5" customHeight="1">
      <c r="A562" s="358"/>
      <c r="B562" s="358"/>
      <c r="C562" s="358"/>
      <c r="D562" s="358"/>
      <c r="E562" s="358"/>
      <c r="F562" s="358"/>
      <c r="G562" s="358"/>
      <c r="H562" s="358"/>
      <c r="I562" s="358"/>
      <c r="J562" s="358"/>
      <c r="K562" s="358"/>
      <c r="L562" s="358"/>
      <c r="M562" s="358"/>
      <c r="N562" s="358"/>
      <c r="O562" s="358"/>
      <c r="P562" s="358"/>
      <c r="Q562" s="358"/>
      <c r="R562" s="358"/>
      <c r="S562" s="358"/>
      <c r="T562" s="358"/>
      <c r="U562" s="358"/>
      <c r="V562" s="358"/>
      <c r="W562" s="358"/>
      <c r="X562" s="358"/>
      <c r="Y562" s="358"/>
      <c r="Z562" s="358"/>
    </row>
    <row r="563" spans="1:26" ht="13.5" customHeight="1">
      <c r="A563" s="358"/>
      <c r="B563" s="358"/>
      <c r="C563" s="358"/>
      <c r="D563" s="358"/>
      <c r="E563" s="358"/>
      <c r="F563" s="358"/>
      <c r="G563" s="358"/>
      <c r="H563" s="358"/>
      <c r="I563" s="358"/>
      <c r="J563" s="358"/>
      <c r="K563" s="358"/>
      <c r="L563" s="358"/>
      <c r="M563" s="358"/>
      <c r="N563" s="358"/>
      <c r="O563" s="358"/>
      <c r="P563" s="358"/>
      <c r="Q563" s="358"/>
      <c r="R563" s="358"/>
      <c r="S563" s="358"/>
      <c r="T563" s="358"/>
      <c r="U563" s="358"/>
      <c r="V563" s="358"/>
      <c r="W563" s="358"/>
      <c r="X563" s="358"/>
      <c r="Y563" s="358"/>
      <c r="Z563" s="358"/>
    </row>
    <row r="564" spans="1:26" ht="13.5" customHeight="1">
      <c r="A564" s="358"/>
      <c r="B564" s="358"/>
      <c r="C564" s="358"/>
      <c r="D564" s="358"/>
      <c r="E564" s="358"/>
      <c r="F564" s="358"/>
      <c r="G564" s="358"/>
      <c r="H564" s="358"/>
      <c r="I564" s="358"/>
      <c r="J564" s="358"/>
      <c r="K564" s="358"/>
      <c r="L564" s="358"/>
      <c r="M564" s="358"/>
      <c r="N564" s="358"/>
      <c r="O564" s="358"/>
      <c r="P564" s="358"/>
      <c r="Q564" s="358"/>
      <c r="R564" s="358"/>
      <c r="S564" s="358"/>
      <c r="T564" s="358"/>
      <c r="U564" s="358"/>
      <c r="V564" s="358"/>
      <c r="W564" s="358"/>
      <c r="X564" s="358"/>
      <c r="Y564" s="358"/>
      <c r="Z564" s="358"/>
    </row>
    <row r="565" spans="1:26" ht="13.5" customHeight="1">
      <c r="A565" s="358"/>
      <c r="B565" s="358"/>
      <c r="C565" s="358"/>
      <c r="D565" s="358"/>
      <c r="E565" s="358"/>
      <c r="F565" s="358"/>
      <c r="G565" s="358"/>
      <c r="H565" s="358"/>
      <c r="I565" s="358"/>
      <c r="J565" s="358"/>
      <c r="K565" s="358"/>
      <c r="L565" s="358"/>
      <c r="M565" s="358"/>
      <c r="N565" s="358"/>
      <c r="O565" s="358"/>
      <c r="P565" s="358"/>
      <c r="Q565" s="358"/>
      <c r="R565" s="358"/>
      <c r="S565" s="358"/>
      <c r="T565" s="358"/>
      <c r="U565" s="358"/>
      <c r="V565" s="358"/>
      <c r="W565" s="358"/>
      <c r="X565" s="358"/>
      <c r="Y565" s="358"/>
      <c r="Z565" s="358"/>
    </row>
    <row r="566" spans="1:26" ht="13.5" customHeight="1">
      <c r="A566" s="358"/>
      <c r="B566" s="358"/>
      <c r="C566" s="358"/>
      <c r="D566" s="358"/>
      <c r="E566" s="358"/>
      <c r="F566" s="358"/>
      <c r="G566" s="358"/>
      <c r="H566" s="358"/>
      <c r="I566" s="358"/>
      <c r="J566" s="358"/>
      <c r="K566" s="358"/>
      <c r="L566" s="358"/>
      <c r="M566" s="358"/>
      <c r="N566" s="358"/>
      <c r="O566" s="358"/>
      <c r="P566" s="358"/>
      <c r="Q566" s="358"/>
      <c r="R566" s="358"/>
      <c r="S566" s="358"/>
      <c r="T566" s="358"/>
      <c r="U566" s="358"/>
      <c r="V566" s="358"/>
      <c r="W566" s="358"/>
      <c r="X566" s="358"/>
      <c r="Y566" s="358"/>
      <c r="Z566" s="358"/>
    </row>
    <row r="567" spans="1:26" ht="13.5" customHeight="1">
      <c r="A567" s="358"/>
      <c r="B567" s="358"/>
      <c r="C567" s="358"/>
      <c r="D567" s="358"/>
      <c r="E567" s="358"/>
      <c r="F567" s="358"/>
      <c r="G567" s="358"/>
      <c r="H567" s="358"/>
      <c r="I567" s="358"/>
      <c r="J567" s="358"/>
      <c r="K567" s="358"/>
      <c r="L567" s="358"/>
      <c r="M567" s="358"/>
      <c r="N567" s="358"/>
      <c r="O567" s="358"/>
      <c r="P567" s="358"/>
      <c r="Q567" s="358"/>
      <c r="R567" s="358"/>
      <c r="S567" s="358"/>
      <c r="T567" s="358"/>
      <c r="U567" s="358"/>
      <c r="V567" s="358"/>
      <c r="W567" s="358"/>
      <c r="X567" s="358"/>
      <c r="Y567" s="358"/>
      <c r="Z567" s="358"/>
    </row>
    <row r="568" spans="1:26" ht="13.5" customHeight="1">
      <c r="A568" s="358"/>
      <c r="B568" s="358"/>
      <c r="C568" s="358"/>
      <c r="D568" s="358"/>
      <c r="E568" s="358"/>
      <c r="F568" s="358"/>
      <c r="G568" s="358"/>
      <c r="H568" s="358"/>
      <c r="I568" s="358"/>
      <c r="J568" s="358"/>
      <c r="K568" s="358"/>
      <c r="L568" s="358"/>
      <c r="M568" s="358"/>
      <c r="N568" s="358"/>
      <c r="O568" s="358"/>
      <c r="P568" s="358"/>
      <c r="Q568" s="358"/>
      <c r="R568" s="358"/>
      <c r="S568" s="358"/>
      <c r="T568" s="358"/>
      <c r="U568" s="358"/>
      <c r="V568" s="358"/>
      <c r="W568" s="358"/>
      <c r="X568" s="358"/>
      <c r="Y568" s="358"/>
      <c r="Z568" s="358"/>
    </row>
    <row r="569" spans="1:26" ht="13.5" customHeight="1">
      <c r="A569" s="358"/>
      <c r="B569" s="358"/>
      <c r="C569" s="358"/>
      <c r="D569" s="358"/>
      <c r="E569" s="358"/>
      <c r="F569" s="358"/>
      <c r="G569" s="358"/>
      <c r="H569" s="358"/>
      <c r="I569" s="358"/>
      <c r="J569" s="358"/>
      <c r="K569" s="358"/>
      <c r="L569" s="358"/>
      <c r="M569" s="358"/>
      <c r="N569" s="358"/>
      <c r="O569" s="358"/>
      <c r="P569" s="358"/>
      <c r="Q569" s="358"/>
      <c r="R569" s="358"/>
      <c r="S569" s="358"/>
      <c r="T569" s="358"/>
      <c r="U569" s="358"/>
      <c r="V569" s="358"/>
      <c r="W569" s="358"/>
      <c r="X569" s="358"/>
      <c r="Y569" s="358"/>
      <c r="Z569" s="358"/>
    </row>
    <row r="570" spans="1:26" ht="13.5" customHeight="1">
      <c r="A570" s="358"/>
      <c r="B570" s="358"/>
      <c r="C570" s="358"/>
      <c r="D570" s="358"/>
      <c r="E570" s="358"/>
      <c r="F570" s="358"/>
      <c r="G570" s="358"/>
      <c r="H570" s="358"/>
      <c r="I570" s="358"/>
      <c r="J570" s="358"/>
      <c r="K570" s="358"/>
      <c r="L570" s="358"/>
      <c r="M570" s="358"/>
      <c r="N570" s="358"/>
      <c r="O570" s="358"/>
      <c r="P570" s="358"/>
      <c r="Q570" s="358"/>
      <c r="R570" s="358"/>
      <c r="S570" s="358"/>
      <c r="T570" s="358"/>
      <c r="U570" s="358"/>
      <c r="V570" s="358"/>
      <c r="W570" s="358"/>
      <c r="X570" s="358"/>
      <c r="Y570" s="358"/>
      <c r="Z570" s="358"/>
    </row>
    <row r="571" spans="1:26" ht="13.5" customHeight="1">
      <c r="A571" s="358"/>
      <c r="B571" s="358"/>
      <c r="C571" s="358"/>
      <c r="D571" s="358"/>
      <c r="E571" s="358"/>
      <c r="F571" s="358"/>
      <c r="G571" s="358"/>
      <c r="H571" s="358"/>
      <c r="I571" s="358"/>
      <c r="J571" s="358"/>
      <c r="K571" s="358"/>
      <c r="L571" s="358"/>
      <c r="M571" s="358"/>
      <c r="N571" s="358"/>
      <c r="O571" s="358"/>
      <c r="P571" s="358"/>
      <c r="Q571" s="358"/>
      <c r="R571" s="358"/>
      <c r="S571" s="358"/>
      <c r="T571" s="358"/>
      <c r="U571" s="358"/>
      <c r="V571" s="358"/>
      <c r="W571" s="358"/>
      <c r="X571" s="358"/>
      <c r="Y571" s="358"/>
      <c r="Z571" s="358"/>
    </row>
    <row r="572" spans="1:26" ht="13.5" customHeight="1">
      <c r="A572" s="358"/>
      <c r="B572" s="358"/>
      <c r="C572" s="358"/>
      <c r="D572" s="358"/>
      <c r="E572" s="358"/>
      <c r="F572" s="358"/>
      <c r="G572" s="358"/>
      <c r="H572" s="358"/>
      <c r="I572" s="358"/>
      <c r="J572" s="358"/>
      <c r="K572" s="358"/>
      <c r="L572" s="358"/>
      <c r="M572" s="358"/>
      <c r="N572" s="358"/>
      <c r="O572" s="358"/>
      <c r="P572" s="358"/>
      <c r="Q572" s="358"/>
      <c r="R572" s="358"/>
      <c r="S572" s="358"/>
      <c r="T572" s="358"/>
      <c r="U572" s="358"/>
      <c r="V572" s="358"/>
      <c r="W572" s="358"/>
      <c r="X572" s="358"/>
      <c r="Y572" s="358"/>
      <c r="Z572" s="358"/>
    </row>
    <row r="573" spans="1:26" ht="13.5" customHeight="1">
      <c r="A573" s="358"/>
      <c r="B573" s="358"/>
      <c r="C573" s="358"/>
      <c r="D573" s="358"/>
      <c r="E573" s="358"/>
      <c r="F573" s="358"/>
      <c r="G573" s="358"/>
      <c r="H573" s="358"/>
      <c r="I573" s="358"/>
      <c r="J573" s="358"/>
      <c r="K573" s="358"/>
      <c r="L573" s="358"/>
      <c r="M573" s="358"/>
      <c r="N573" s="358"/>
      <c r="O573" s="358"/>
      <c r="P573" s="358"/>
      <c r="Q573" s="358"/>
      <c r="R573" s="358"/>
      <c r="S573" s="358"/>
      <c r="T573" s="358"/>
      <c r="U573" s="358"/>
      <c r="V573" s="358"/>
      <c r="W573" s="358"/>
      <c r="X573" s="358"/>
      <c r="Y573" s="358"/>
      <c r="Z573" s="358"/>
    </row>
    <row r="574" spans="1:26" ht="13.5" customHeight="1">
      <c r="A574" s="358"/>
      <c r="B574" s="358"/>
      <c r="C574" s="358"/>
      <c r="D574" s="358"/>
      <c r="E574" s="358"/>
      <c r="F574" s="358"/>
      <c r="G574" s="358"/>
      <c r="H574" s="358"/>
      <c r="I574" s="358"/>
      <c r="J574" s="358"/>
      <c r="K574" s="358"/>
      <c r="L574" s="358"/>
      <c r="M574" s="358"/>
      <c r="N574" s="358"/>
      <c r="O574" s="358"/>
      <c r="P574" s="358"/>
      <c r="Q574" s="358"/>
      <c r="R574" s="358"/>
      <c r="S574" s="358"/>
      <c r="T574" s="358"/>
      <c r="U574" s="358"/>
      <c r="V574" s="358"/>
      <c r="W574" s="358"/>
      <c r="X574" s="358"/>
      <c r="Y574" s="358"/>
      <c r="Z574" s="358"/>
    </row>
    <row r="575" spans="1:26" ht="13.5" customHeight="1">
      <c r="A575" s="358"/>
      <c r="B575" s="358"/>
      <c r="C575" s="358"/>
      <c r="D575" s="358"/>
      <c r="E575" s="358"/>
      <c r="F575" s="358"/>
      <c r="G575" s="358"/>
      <c r="H575" s="358"/>
      <c r="I575" s="358"/>
      <c r="J575" s="358"/>
      <c r="K575" s="358"/>
      <c r="L575" s="358"/>
      <c r="M575" s="358"/>
      <c r="N575" s="358"/>
      <c r="O575" s="358"/>
      <c r="P575" s="358"/>
      <c r="Q575" s="358"/>
      <c r="R575" s="358"/>
      <c r="S575" s="358"/>
      <c r="T575" s="358"/>
      <c r="U575" s="358"/>
      <c r="V575" s="358"/>
      <c r="W575" s="358"/>
      <c r="X575" s="358"/>
      <c r="Y575" s="358"/>
      <c r="Z575" s="358"/>
    </row>
    <row r="576" spans="1:26" ht="13.5" customHeight="1">
      <c r="A576" s="358"/>
      <c r="B576" s="358"/>
      <c r="C576" s="358"/>
      <c r="D576" s="358"/>
      <c r="E576" s="358"/>
      <c r="F576" s="358"/>
      <c r="G576" s="358"/>
      <c r="H576" s="358"/>
      <c r="I576" s="358"/>
      <c r="J576" s="358"/>
      <c r="K576" s="358"/>
      <c r="L576" s="358"/>
      <c r="M576" s="358"/>
      <c r="N576" s="358"/>
      <c r="O576" s="358"/>
      <c r="P576" s="358"/>
      <c r="Q576" s="358"/>
      <c r="R576" s="358"/>
      <c r="S576" s="358"/>
      <c r="T576" s="358"/>
      <c r="U576" s="358"/>
      <c r="V576" s="358"/>
      <c r="W576" s="358"/>
      <c r="X576" s="358"/>
      <c r="Y576" s="358"/>
      <c r="Z576" s="358"/>
    </row>
    <row r="577" spans="1:26" ht="13.5" customHeight="1">
      <c r="A577" s="358"/>
      <c r="B577" s="358"/>
      <c r="C577" s="358"/>
      <c r="D577" s="358"/>
      <c r="E577" s="358"/>
      <c r="F577" s="358"/>
      <c r="G577" s="358"/>
      <c r="H577" s="358"/>
      <c r="I577" s="358"/>
      <c r="J577" s="358"/>
      <c r="K577" s="358"/>
      <c r="L577" s="358"/>
      <c r="M577" s="358"/>
      <c r="N577" s="358"/>
      <c r="O577" s="358"/>
      <c r="P577" s="358"/>
      <c r="Q577" s="358"/>
      <c r="R577" s="358"/>
      <c r="S577" s="358"/>
      <c r="T577" s="358"/>
      <c r="U577" s="358"/>
      <c r="V577" s="358"/>
      <c r="W577" s="358"/>
      <c r="X577" s="358"/>
      <c r="Y577" s="358"/>
      <c r="Z577" s="358"/>
    </row>
    <row r="578" spans="1:26" ht="13.5" customHeight="1">
      <c r="A578" s="358"/>
      <c r="B578" s="358"/>
      <c r="C578" s="358"/>
      <c r="D578" s="358"/>
      <c r="E578" s="358"/>
      <c r="F578" s="358"/>
      <c r="G578" s="358"/>
      <c r="H578" s="358"/>
      <c r="I578" s="358"/>
      <c r="J578" s="358"/>
      <c r="K578" s="358"/>
      <c r="L578" s="358"/>
      <c r="M578" s="358"/>
      <c r="N578" s="358"/>
      <c r="O578" s="358"/>
      <c r="P578" s="358"/>
      <c r="Q578" s="358"/>
      <c r="R578" s="358"/>
      <c r="S578" s="358"/>
      <c r="T578" s="358"/>
      <c r="U578" s="358"/>
      <c r="V578" s="358"/>
      <c r="W578" s="358"/>
      <c r="X578" s="358"/>
      <c r="Y578" s="358"/>
      <c r="Z578" s="358"/>
    </row>
    <row r="579" spans="1:26" ht="13.5" customHeight="1">
      <c r="A579" s="358"/>
      <c r="B579" s="358"/>
      <c r="C579" s="358"/>
      <c r="D579" s="358"/>
      <c r="E579" s="358"/>
      <c r="F579" s="358"/>
      <c r="G579" s="358"/>
      <c r="H579" s="358"/>
      <c r="I579" s="358"/>
      <c r="J579" s="358"/>
      <c r="K579" s="358"/>
      <c r="L579" s="358"/>
      <c r="M579" s="358"/>
      <c r="N579" s="358"/>
      <c r="O579" s="358"/>
      <c r="P579" s="358"/>
      <c r="Q579" s="358"/>
      <c r="R579" s="358"/>
      <c r="S579" s="358"/>
      <c r="T579" s="358"/>
      <c r="U579" s="358"/>
      <c r="V579" s="358"/>
      <c r="W579" s="358"/>
      <c r="X579" s="358"/>
      <c r="Y579" s="358"/>
      <c r="Z579" s="358"/>
    </row>
    <row r="580" spans="1:26" ht="13.5" customHeight="1">
      <c r="A580" s="358"/>
      <c r="B580" s="358"/>
      <c r="C580" s="358"/>
      <c r="D580" s="358"/>
      <c r="E580" s="358"/>
      <c r="F580" s="358"/>
      <c r="G580" s="358"/>
      <c r="H580" s="358"/>
      <c r="I580" s="358"/>
      <c r="J580" s="358"/>
      <c r="K580" s="358"/>
      <c r="L580" s="358"/>
      <c r="M580" s="358"/>
      <c r="N580" s="358"/>
      <c r="O580" s="358"/>
      <c r="P580" s="358"/>
      <c r="Q580" s="358"/>
      <c r="R580" s="358"/>
      <c r="S580" s="358"/>
      <c r="T580" s="358"/>
      <c r="U580" s="358"/>
      <c r="V580" s="358"/>
      <c r="W580" s="358"/>
      <c r="X580" s="358"/>
      <c r="Y580" s="358"/>
      <c r="Z580" s="358"/>
    </row>
    <row r="581" spans="1:26" ht="13.5" customHeight="1">
      <c r="A581" s="358"/>
      <c r="B581" s="358"/>
      <c r="C581" s="358"/>
      <c r="D581" s="358"/>
      <c r="E581" s="358"/>
      <c r="F581" s="358"/>
      <c r="G581" s="358"/>
      <c r="H581" s="358"/>
      <c r="I581" s="358"/>
      <c r="J581" s="358"/>
      <c r="K581" s="358"/>
      <c r="L581" s="358"/>
      <c r="M581" s="358"/>
      <c r="N581" s="358"/>
      <c r="O581" s="358"/>
      <c r="P581" s="358"/>
      <c r="Q581" s="358"/>
      <c r="R581" s="358"/>
      <c r="S581" s="358"/>
      <c r="T581" s="358"/>
      <c r="U581" s="358"/>
      <c r="V581" s="358"/>
      <c r="W581" s="358"/>
      <c r="X581" s="358"/>
      <c r="Y581" s="358"/>
      <c r="Z581" s="358"/>
    </row>
    <row r="582" spans="1:26" ht="13.5" customHeight="1">
      <c r="A582" s="358"/>
      <c r="B582" s="358"/>
      <c r="C582" s="358"/>
      <c r="D582" s="358"/>
      <c r="E582" s="358"/>
      <c r="F582" s="358"/>
      <c r="G582" s="358"/>
      <c r="H582" s="358"/>
      <c r="I582" s="358"/>
      <c r="J582" s="358"/>
      <c r="K582" s="358"/>
      <c r="L582" s="358"/>
      <c r="M582" s="358"/>
      <c r="N582" s="358"/>
      <c r="O582" s="358"/>
      <c r="P582" s="358"/>
      <c r="Q582" s="358"/>
      <c r="R582" s="358"/>
      <c r="S582" s="358"/>
      <c r="T582" s="358"/>
      <c r="U582" s="358"/>
      <c r="V582" s="358"/>
      <c r="W582" s="358"/>
      <c r="X582" s="358"/>
      <c r="Y582" s="358"/>
      <c r="Z582" s="358"/>
    </row>
    <row r="583" spans="1:26" ht="13.5" customHeight="1">
      <c r="A583" s="358"/>
      <c r="B583" s="358"/>
      <c r="C583" s="358"/>
      <c r="D583" s="358"/>
      <c r="E583" s="358"/>
      <c r="F583" s="358"/>
      <c r="G583" s="358"/>
      <c r="H583" s="358"/>
      <c r="I583" s="358"/>
      <c r="J583" s="358"/>
      <c r="K583" s="358"/>
      <c r="L583" s="358"/>
      <c r="M583" s="358"/>
      <c r="N583" s="358"/>
      <c r="O583" s="358"/>
      <c r="P583" s="358"/>
      <c r="Q583" s="358"/>
      <c r="R583" s="358"/>
      <c r="S583" s="358"/>
      <c r="T583" s="358"/>
      <c r="U583" s="358"/>
      <c r="V583" s="358"/>
      <c r="W583" s="358"/>
      <c r="X583" s="358"/>
      <c r="Y583" s="358"/>
      <c r="Z583" s="358"/>
    </row>
    <row r="584" spans="1:26" ht="13.5" customHeight="1">
      <c r="A584" s="358"/>
      <c r="B584" s="358"/>
      <c r="C584" s="358"/>
      <c r="D584" s="358"/>
      <c r="E584" s="358"/>
      <c r="F584" s="358"/>
      <c r="G584" s="358"/>
      <c r="H584" s="358"/>
      <c r="I584" s="358"/>
      <c r="J584" s="358"/>
      <c r="K584" s="358"/>
      <c r="L584" s="358"/>
      <c r="M584" s="358"/>
      <c r="N584" s="358"/>
      <c r="O584" s="358"/>
      <c r="P584" s="358"/>
      <c r="Q584" s="358"/>
      <c r="R584" s="358"/>
      <c r="S584" s="358"/>
      <c r="T584" s="358"/>
      <c r="U584" s="358"/>
      <c r="V584" s="358"/>
      <c r="W584" s="358"/>
      <c r="X584" s="358"/>
      <c r="Y584" s="358"/>
      <c r="Z584" s="358"/>
    </row>
    <row r="585" spans="1:26" ht="13.5" customHeight="1">
      <c r="A585" s="358"/>
      <c r="B585" s="358"/>
      <c r="C585" s="358"/>
      <c r="D585" s="358"/>
      <c r="E585" s="358"/>
      <c r="F585" s="358"/>
      <c r="G585" s="358"/>
      <c r="H585" s="358"/>
      <c r="I585" s="358"/>
      <c r="J585" s="358"/>
      <c r="K585" s="358"/>
      <c r="L585" s="358"/>
      <c r="M585" s="358"/>
      <c r="N585" s="358"/>
      <c r="O585" s="358"/>
      <c r="P585" s="358"/>
      <c r="Q585" s="358"/>
      <c r="R585" s="358"/>
      <c r="S585" s="358"/>
      <c r="T585" s="358"/>
      <c r="U585" s="358"/>
      <c r="V585" s="358"/>
      <c r="W585" s="358"/>
      <c r="X585" s="358"/>
      <c r="Y585" s="358"/>
      <c r="Z585" s="358"/>
    </row>
    <row r="586" spans="1:26" ht="13.5" customHeight="1">
      <c r="A586" s="358"/>
      <c r="B586" s="358"/>
      <c r="C586" s="358"/>
      <c r="D586" s="358"/>
      <c r="E586" s="358"/>
      <c r="F586" s="358"/>
      <c r="G586" s="358"/>
      <c r="H586" s="358"/>
      <c r="I586" s="358"/>
      <c r="J586" s="358"/>
      <c r="K586" s="358"/>
      <c r="L586" s="358"/>
      <c r="M586" s="358"/>
      <c r="N586" s="358"/>
      <c r="O586" s="358"/>
      <c r="P586" s="358"/>
      <c r="Q586" s="358"/>
      <c r="R586" s="358"/>
      <c r="S586" s="358"/>
      <c r="T586" s="358"/>
      <c r="U586" s="358"/>
      <c r="V586" s="358"/>
      <c r="W586" s="358"/>
      <c r="X586" s="358"/>
      <c r="Y586" s="358"/>
      <c r="Z586" s="358"/>
    </row>
    <row r="587" spans="1:26" ht="13.5" customHeight="1">
      <c r="A587" s="358"/>
      <c r="B587" s="358"/>
      <c r="C587" s="358"/>
      <c r="D587" s="358"/>
      <c r="E587" s="358"/>
      <c r="F587" s="358"/>
      <c r="G587" s="358"/>
      <c r="H587" s="358"/>
      <c r="I587" s="358"/>
      <c r="J587" s="358"/>
      <c r="K587" s="358"/>
      <c r="L587" s="358"/>
      <c r="M587" s="358"/>
      <c r="N587" s="358"/>
      <c r="O587" s="358"/>
      <c r="P587" s="358"/>
      <c r="Q587" s="358"/>
      <c r="R587" s="358"/>
      <c r="S587" s="358"/>
      <c r="T587" s="358"/>
      <c r="U587" s="358"/>
      <c r="V587" s="358"/>
      <c r="W587" s="358"/>
      <c r="X587" s="358"/>
      <c r="Y587" s="358"/>
      <c r="Z587" s="358"/>
    </row>
    <row r="588" spans="1:26" ht="13.5" customHeight="1">
      <c r="A588" s="358"/>
      <c r="B588" s="358"/>
      <c r="C588" s="358"/>
      <c r="D588" s="358"/>
      <c r="E588" s="358"/>
      <c r="F588" s="358"/>
      <c r="G588" s="358"/>
      <c r="H588" s="358"/>
      <c r="I588" s="358"/>
      <c r="J588" s="358"/>
      <c r="K588" s="358"/>
      <c r="L588" s="358"/>
      <c r="M588" s="358"/>
      <c r="N588" s="358"/>
      <c r="O588" s="358"/>
      <c r="P588" s="358"/>
      <c r="Q588" s="358"/>
      <c r="R588" s="358"/>
      <c r="S588" s="358"/>
      <c r="T588" s="358"/>
      <c r="U588" s="358"/>
      <c r="V588" s="358"/>
      <c r="W588" s="358"/>
      <c r="X588" s="358"/>
      <c r="Y588" s="358"/>
      <c r="Z588" s="358"/>
    </row>
    <row r="589" spans="1:26" ht="13.5" customHeight="1">
      <c r="A589" s="358"/>
      <c r="B589" s="358"/>
      <c r="C589" s="358"/>
      <c r="D589" s="358"/>
      <c r="E589" s="358"/>
      <c r="F589" s="358"/>
      <c r="G589" s="358"/>
      <c r="H589" s="358"/>
      <c r="I589" s="358"/>
      <c r="J589" s="358"/>
      <c r="K589" s="358"/>
      <c r="L589" s="358"/>
      <c r="M589" s="358"/>
      <c r="N589" s="358"/>
      <c r="O589" s="358"/>
      <c r="P589" s="358"/>
      <c r="Q589" s="358"/>
      <c r="R589" s="358"/>
      <c r="S589" s="358"/>
      <c r="T589" s="358"/>
      <c r="U589" s="358"/>
      <c r="V589" s="358"/>
      <c r="W589" s="358"/>
      <c r="X589" s="358"/>
      <c r="Y589" s="358"/>
      <c r="Z589" s="358"/>
    </row>
    <row r="590" spans="1:26" ht="13.5" customHeight="1">
      <c r="A590" s="358"/>
      <c r="B590" s="358"/>
      <c r="C590" s="358"/>
      <c r="D590" s="358"/>
      <c r="E590" s="358"/>
      <c r="F590" s="358"/>
      <c r="G590" s="358"/>
      <c r="H590" s="358"/>
      <c r="I590" s="358"/>
      <c r="J590" s="358"/>
      <c r="K590" s="358"/>
      <c r="L590" s="358"/>
      <c r="M590" s="358"/>
      <c r="N590" s="358"/>
      <c r="O590" s="358"/>
      <c r="P590" s="358"/>
      <c r="Q590" s="358"/>
      <c r="R590" s="358"/>
      <c r="S590" s="358"/>
      <c r="T590" s="358"/>
      <c r="U590" s="358"/>
      <c r="V590" s="358"/>
      <c r="W590" s="358"/>
      <c r="X590" s="358"/>
      <c r="Y590" s="358"/>
      <c r="Z590" s="358"/>
    </row>
    <row r="591" spans="1:26" ht="13.5" customHeight="1">
      <c r="A591" s="358"/>
      <c r="B591" s="358"/>
      <c r="C591" s="358"/>
      <c r="D591" s="358"/>
      <c r="E591" s="358"/>
      <c r="F591" s="358"/>
      <c r="G591" s="358"/>
      <c r="H591" s="358"/>
      <c r="I591" s="358"/>
      <c r="J591" s="358"/>
      <c r="K591" s="358"/>
      <c r="L591" s="358"/>
      <c r="M591" s="358"/>
      <c r="N591" s="358"/>
      <c r="O591" s="358"/>
      <c r="P591" s="358"/>
      <c r="Q591" s="358"/>
      <c r="R591" s="358"/>
      <c r="S591" s="358"/>
      <c r="T591" s="358"/>
      <c r="U591" s="358"/>
      <c r="V591" s="358"/>
      <c r="W591" s="358"/>
      <c r="X591" s="358"/>
      <c r="Y591" s="358"/>
      <c r="Z591" s="358"/>
    </row>
    <row r="592" spans="1:26" ht="13.5" customHeight="1">
      <c r="A592" s="358"/>
      <c r="B592" s="358"/>
      <c r="C592" s="358"/>
      <c r="D592" s="358"/>
      <c r="E592" s="358"/>
      <c r="F592" s="358"/>
      <c r="G592" s="358"/>
      <c r="H592" s="358"/>
      <c r="I592" s="358"/>
      <c r="J592" s="358"/>
      <c r="K592" s="358"/>
      <c r="L592" s="358"/>
      <c r="M592" s="358"/>
      <c r="N592" s="358"/>
      <c r="O592" s="358"/>
      <c r="P592" s="358"/>
      <c r="Q592" s="358"/>
      <c r="R592" s="358"/>
      <c r="S592" s="358"/>
      <c r="T592" s="358"/>
      <c r="U592" s="358"/>
      <c r="V592" s="358"/>
      <c r="W592" s="358"/>
      <c r="X592" s="358"/>
      <c r="Y592" s="358"/>
      <c r="Z592" s="358"/>
    </row>
    <row r="593" spans="1:26" ht="13.5" customHeight="1">
      <c r="A593" s="358"/>
      <c r="B593" s="358"/>
      <c r="C593" s="358"/>
      <c r="D593" s="358"/>
      <c r="E593" s="358"/>
      <c r="F593" s="358"/>
      <c r="G593" s="358"/>
      <c r="H593" s="358"/>
      <c r="I593" s="358"/>
      <c r="J593" s="358"/>
      <c r="K593" s="358"/>
      <c r="L593" s="358"/>
      <c r="M593" s="358"/>
      <c r="N593" s="358"/>
      <c r="O593" s="358"/>
      <c r="P593" s="358"/>
      <c r="Q593" s="358"/>
      <c r="R593" s="358"/>
      <c r="S593" s="358"/>
      <c r="T593" s="358"/>
      <c r="U593" s="358"/>
      <c r="V593" s="358"/>
      <c r="W593" s="358"/>
      <c r="X593" s="358"/>
      <c r="Y593" s="358"/>
      <c r="Z593" s="358"/>
    </row>
    <row r="594" spans="1:26" ht="13.5" customHeight="1">
      <c r="A594" s="358"/>
      <c r="B594" s="358"/>
      <c r="C594" s="358"/>
      <c r="D594" s="358"/>
      <c r="E594" s="358"/>
      <c r="F594" s="358"/>
      <c r="G594" s="358"/>
      <c r="H594" s="358"/>
      <c r="I594" s="358"/>
      <c r="J594" s="358"/>
      <c r="K594" s="358"/>
      <c r="L594" s="358"/>
      <c r="M594" s="358"/>
      <c r="N594" s="358"/>
      <c r="O594" s="358"/>
      <c r="P594" s="358"/>
      <c r="Q594" s="358"/>
      <c r="R594" s="358"/>
      <c r="S594" s="358"/>
      <c r="T594" s="358"/>
      <c r="U594" s="358"/>
      <c r="V594" s="358"/>
      <c r="W594" s="358"/>
      <c r="X594" s="358"/>
      <c r="Y594" s="358"/>
      <c r="Z594" s="358"/>
    </row>
    <row r="595" spans="1:26" ht="13.5" customHeight="1">
      <c r="A595" s="358"/>
      <c r="B595" s="358"/>
      <c r="C595" s="358"/>
      <c r="D595" s="358"/>
      <c r="E595" s="358"/>
      <c r="F595" s="358"/>
      <c r="G595" s="358"/>
      <c r="H595" s="358"/>
      <c r="I595" s="358"/>
      <c r="J595" s="358"/>
      <c r="K595" s="358"/>
      <c r="L595" s="358"/>
      <c r="M595" s="358"/>
      <c r="N595" s="358"/>
      <c r="O595" s="358"/>
      <c r="P595" s="358"/>
      <c r="Q595" s="358"/>
      <c r="R595" s="358"/>
      <c r="S595" s="358"/>
      <c r="T595" s="358"/>
      <c r="U595" s="358"/>
      <c r="V595" s="358"/>
      <c r="W595" s="358"/>
      <c r="X595" s="358"/>
      <c r="Y595" s="358"/>
      <c r="Z595" s="358"/>
    </row>
    <row r="596" spans="1:26" ht="13.5" customHeight="1">
      <c r="A596" s="358"/>
      <c r="B596" s="358"/>
      <c r="C596" s="358"/>
      <c r="D596" s="358"/>
      <c r="E596" s="358"/>
      <c r="F596" s="358"/>
      <c r="G596" s="358"/>
      <c r="H596" s="358"/>
      <c r="I596" s="358"/>
      <c r="J596" s="358"/>
      <c r="K596" s="358"/>
      <c r="L596" s="358"/>
      <c r="M596" s="358"/>
      <c r="N596" s="358"/>
      <c r="O596" s="358"/>
      <c r="P596" s="358"/>
      <c r="Q596" s="358"/>
      <c r="R596" s="358"/>
      <c r="S596" s="358"/>
      <c r="T596" s="358"/>
      <c r="U596" s="358"/>
      <c r="V596" s="358"/>
      <c r="W596" s="358"/>
      <c r="X596" s="358"/>
      <c r="Y596" s="358"/>
      <c r="Z596" s="358"/>
    </row>
    <row r="597" spans="1:26" ht="13.5" customHeight="1">
      <c r="A597" s="358"/>
      <c r="B597" s="358"/>
      <c r="C597" s="358"/>
      <c r="D597" s="358"/>
      <c r="E597" s="358"/>
      <c r="F597" s="358"/>
      <c r="G597" s="358"/>
      <c r="H597" s="358"/>
      <c r="I597" s="358"/>
      <c r="J597" s="358"/>
      <c r="K597" s="358"/>
      <c r="L597" s="358"/>
      <c r="M597" s="358"/>
      <c r="N597" s="358"/>
      <c r="O597" s="358"/>
      <c r="P597" s="358"/>
      <c r="Q597" s="358"/>
      <c r="R597" s="358"/>
      <c r="S597" s="358"/>
      <c r="T597" s="358"/>
      <c r="U597" s="358"/>
      <c r="V597" s="358"/>
      <c r="W597" s="358"/>
      <c r="X597" s="358"/>
      <c r="Y597" s="358"/>
      <c r="Z597" s="358"/>
    </row>
    <row r="598" spans="1:26" ht="13.5" customHeight="1">
      <c r="A598" s="358"/>
      <c r="B598" s="358"/>
      <c r="C598" s="358"/>
      <c r="D598" s="358"/>
      <c r="E598" s="358"/>
      <c r="F598" s="358"/>
      <c r="G598" s="358"/>
      <c r="H598" s="358"/>
      <c r="I598" s="358"/>
      <c r="J598" s="358"/>
      <c r="K598" s="358"/>
      <c r="L598" s="358"/>
      <c r="M598" s="358"/>
      <c r="N598" s="358"/>
      <c r="O598" s="358"/>
      <c r="P598" s="358"/>
      <c r="Q598" s="358"/>
      <c r="R598" s="358"/>
      <c r="S598" s="358"/>
      <c r="T598" s="358"/>
      <c r="U598" s="358"/>
      <c r="V598" s="358"/>
      <c r="W598" s="358"/>
      <c r="X598" s="358"/>
      <c r="Y598" s="358"/>
      <c r="Z598" s="358"/>
    </row>
    <row r="599" spans="1:26" ht="13.5" customHeight="1">
      <c r="A599" s="358"/>
      <c r="B599" s="358"/>
      <c r="C599" s="358"/>
      <c r="D599" s="358"/>
      <c r="E599" s="358"/>
      <c r="F599" s="358"/>
      <c r="G599" s="358"/>
      <c r="H599" s="358"/>
      <c r="I599" s="358"/>
      <c r="J599" s="358"/>
      <c r="K599" s="358"/>
      <c r="L599" s="358"/>
      <c r="M599" s="358"/>
      <c r="N599" s="358"/>
      <c r="O599" s="358"/>
      <c r="P599" s="358"/>
      <c r="Q599" s="358"/>
      <c r="R599" s="358"/>
      <c r="S599" s="358"/>
      <c r="T599" s="358"/>
      <c r="U599" s="358"/>
      <c r="V599" s="358"/>
      <c r="W599" s="358"/>
      <c r="X599" s="358"/>
      <c r="Y599" s="358"/>
      <c r="Z599" s="358"/>
    </row>
    <row r="600" spans="1:26" ht="13.5" customHeight="1">
      <c r="A600" s="358"/>
      <c r="B600" s="358"/>
      <c r="C600" s="358"/>
      <c r="D600" s="358"/>
      <c r="E600" s="358"/>
      <c r="F600" s="358"/>
      <c r="G600" s="358"/>
      <c r="H600" s="358"/>
      <c r="I600" s="358"/>
      <c r="J600" s="358"/>
      <c r="K600" s="358"/>
      <c r="L600" s="358"/>
      <c r="M600" s="358"/>
      <c r="N600" s="358"/>
      <c r="O600" s="358"/>
      <c r="P600" s="358"/>
      <c r="Q600" s="358"/>
      <c r="R600" s="358"/>
      <c r="S600" s="358"/>
      <c r="T600" s="358"/>
      <c r="U600" s="358"/>
      <c r="V600" s="358"/>
      <c r="W600" s="358"/>
      <c r="X600" s="358"/>
      <c r="Y600" s="358"/>
      <c r="Z600" s="358"/>
    </row>
    <row r="601" spans="1:26" ht="13.5" customHeight="1">
      <c r="A601" s="358"/>
      <c r="B601" s="358"/>
      <c r="C601" s="358"/>
      <c r="D601" s="358"/>
      <c r="E601" s="358"/>
      <c r="F601" s="358"/>
      <c r="G601" s="358"/>
      <c r="H601" s="358"/>
      <c r="I601" s="358"/>
      <c r="J601" s="358"/>
      <c r="K601" s="358"/>
      <c r="L601" s="358"/>
      <c r="M601" s="358"/>
      <c r="N601" s="358"/>
      <c r="O601" s="358"/>
      <c r="P601" s="358"/>
      <c r="Q601" s="358"/>
      <c r="R601" s="358"/>
      <c r="S601" s="358"/>
      <c r="T601" s="358"/>
      <c r="U601" s="358"/>
      <c r="V601" s="358"/>
      <c r="W601" s="358"/>
      <c r="X601" s="358"/>
      <c r="Y601" s="358"/>
      <c r="Z601" s="358"/>
    </row>
    <row r="602" spans="1:26" ht="13.5" customHeight="1">
      <c r="A602" s="358"/>
      <c r="B602" s="358"/>
      <c r="C602" s="358"/>
      <c r="D602" s="358"/>
      <c r="E602" s="358"/>
      <c r="F602" s="358"/>
      <c r="G602" s="358"/>
      <c r="H602" s="358"/>
      <c r="I602" s="358"/>
      <c r="J602" s="358"/>
      <c r="K602" s="358"/>
      <c r="L602" s="358"/>
      <c r="M602" s="358"/>
      <c r="N602" s="358"/>
      <c r="O602" s="358"/>
      <c r="P602" s="358"/>
      <c r="Q602" s="358"/>
      <c r="R602" s="358"/>
      <c r="S602" s="358"/>
      <c r="T602" s="358"/>
      <c r="U602" s="358"/>
      <c r="V602" s="358"/>
      <c r="W602" s="358"/>
      <c r="X602" s="358"/>
      <c r="Y602" s="358"/>
      <c r="Z602" s="358"/>
    </row>
    <row r="603" spans="1:26" ht="13.5" customHeight="1">
      <c r="A603" s="358"/>
      <c r="B603" s="358"/>
      <c r="C603" s="358"/>
      <c r="D603" s="358"/>
      <c r="E603" s="358"/>
      <c r="F603" s="358"/>
      <c r="G603" s="358"/>
      <c r="H603" s="358"/>
      <c r="I603" s="358"/>
      <c r="J603" s="358"/>
      <c r="K603" s="358"/>
      <c r="L603" s="358"/>
      <c r="M603" s="358"/>
      <c r="N603" s="358"/>
      <c r="O603" s="358"/>
      <c r="P603" s="358"/>
      <c r="Q603" s="358"/>
      <c r="R603" s="358"/>
      <c r="S603" s="358"/>
      <c r="T603" s="358"/>
      <c r="U603" s="358"/>
      <c r="V603" s="358"/>
      <c r="W603" s="358"/>
      <c r="X603" s="358"/>
      <c r="Y603" s="358"/>
      <c r="Z603" s="358"/>
    </row>
    <row r="604" spans="1:26" ht="13.5" customHeight="1">
      <c r="A604" s="358"/>
      <c r="B604" s="358"/>
      <c r="C604" s="358"/>
      <c r="D604" s="358"/>
      <c r="E604" s="358"/>
      <c r="F604" s="358"/>
      <c r="G604" s="358"/>
      <c r="H604" s="358"/>
      <c r="I604" s="358"/>
      <c r="J604" s="358"/>
      <c r="K604" s="358"/>
      <c r="L604" s="358"/>
      <c r="M604" s="358"/>
      <c r="N604" s="358"/>
      <c r="O604" s="358"/>
      <c r="P604" s="358"/>
      <c r="Q604" s="358"/>
      <c r="R604" s="358"/>
      <c r="S604" s="358"/>
      <c r="T604" s="358"/>
      <c r="U604" s="358"/>
      <c r="V604" s="358"/>
      <c r="W604" s="358"/>
      <c r="X604" s="358"/>
      <c r="Y604" s="358"/>
      <c r="Z604" s="358"/>
    </row>
    <row r="605" spans="1:26" ht="13.5" customHeight="1">
      <c r="A605" s="358"/>
      <c r="B605" s="358"/>
      <c r="C605" s="358"/>
      <c r="D605" s="358"/>
      <c r="E605" s="358"/>
      <c r="F605" s="358"/>
      <c r="G605" s="358"/>
      <c r="H605" s="358"/>
      <c r="I605" s="358"/>
      <c r="J605" s="358"/>
      <c r="K605" s="358"/>
      <c r="L605" s="358"/>
      <c r="M605" s="358"/>
      <c r="N605" s="358"/>
      <c r="O605" s="358"/>
      <c r="P605" s="358"/>
      <c r="Q605" s="358"/>
      <c r="R605" s="358"/>
      <c r="S605" s="358"/>
      <c r="T605" s="358"/>
      <c r="U605" s="358"/>
      <c r="V605" s="358"/>
      <c r="W605" s="358"/>
      <c r="X605" s="358"/>
      <c r="Y605" s="358"/>
      <c r="Z605" s="358"/>
    </row>
    <row r="606" spans="1:26" ht="13.5" customHeight="1">
      <c r="A606" s="358"/>
      <c r="B606" s="358"/>
      <c r="C606" s="358"/>
      <c r="D606" s="358"/>
      <c r="E606" s="358"/>
      <c r="F606" s="358"/>
      <c r="G606" s="358"/>
      <c r="H606" s="358"/>
      <c r="I606" s="358"/>
      <c r="J606" s="358"/>
      <c r="K606" s="358"/>
      <c r="L606" s="358"/>
      <c r="M606" s="358"/>
      <c r="N606" s="358"/>
      <c r="O606" s="358"/>
      <c r="P606" s="358"/>
      <c r="Q606" s="358"/>
      <c r="R606" s="358"/>
      <c r="S606" s="358"/>
      <c r="T606" s="358"/>
      <c r="U606" s="358"/>
      <c r="V606" s="358"/>
      <c r="W606" s="358"/>
      <c r="X606" s="358"/>
      <c r="Y606" s="358"/>
      <c r="Z606" s="358"/>
    </row>
    <row r="607" spans="1:26" ht="13.5" customHeight="1">
      <c r="A607" s="358"/>
      <c r="B607" s="358"/>
      <c r="C607" s="358"/>
      <c r="D607" s="358"/>
      <c r="E607" s="358"/>
      <c r="F607" s="358"/>
      <c r="G607" s="358"/>
      <c r="H607" s="358"/>
      <c r="I607" s="358"/>
      <c r="J607" s="358"/>
      <c r="K607" s="358"/>
      <c r="L607" s="358"/>
      <c r="M607" s="358"/>
      <c r="N607" s="358"/>
      <c r="O607" s="358"/>
      <c r="P607" s="358"/>
      <c r="Q607" s="358"/>
      <c r="R607" s="358"/>
      <c r="S607" s="358"/>
      <c r="T607" s="358"/>
      <c r="U607" s="358"/>
      <c r="V607" s="358"/>
      <c r="W607" s="358"/>
      <c r="X607" s="358"/>
      <c r="Y607" s="358"/>
      <c r="Z607" s="358"/>
    </row>
    <row r="608" spans="1:26" ht="13.5" customHeight="1">
      <c r="A608" s="358"/>
      <c r="B608" s="358"/>
      <c r="C608" s="358"/>
      <c r="D608" s="358"/>
      <c r="E608" s="358"/>
      <c r="F608" s="358"/>
      <c r="G608" s="358"/>
      <c r="H608" s="358"/>
      <c r="I608" s="358"/>
      <c r="J608" s="358"/>
      <c r="K608" s="358"/>
      <c r="L608" s="358"/>
      <c r="M608" s="358"/>
      <c r="N608" s="358"/>
      <c r="O608" s="358"/>
      <c r="P608" s="358"/>
      <c r="Q608" s="358"/>
      <c r="R608" s="358"/>
      <c r="S608" s="358"/>
      <c r="T608" s="358"/>
      <c r="U608" s="358"/>
      <c r="V608" s="358"/>
      <c r="W608" s="358"/>
      <c r="X608" s="358"/>
      <c r="Y608" s="358"/>
      <c r="Z608" s="358"/>
    </row>
    <row r="609" spans="1:26" ht="13.5" customHeight="1">
      <c r="A609" s="358"/>
      <c r="B609" s="358"/>
      <c r="C609" s="358"/>
      <c r="D609" s="358"/>
      <c r="E609" s="358"/>
      <c r="F609" s="358"/>
      <c r="G609" s="358"/>
      <c r="H609" s="358"/>
      <c r="I609" s="358"/>
      <c r="J609" s="358"/>
      <c r="K609" s="358"/>
      <c r="L609" s="358"/>
      <c r="M609" s="358"/>
      <c r="N609" s="358"/>
      <c r="O609" s="358"/>
      <c r="P609" s="358"/>
      <c r="Q609" s="358"/>
      <c r="R609" s="358"/>
      <c r="S609" s="358"/>
      <c r="T609" s="358"/>
      <c r="U609" s="358"/>
      <c r="V609" s="358"/>
      <c r="W609" s="358"/>
      <c r="X609" s="358"/>
      <c r="Y609" s="358"/>
      <c r="Z609" s="358"/>
    </row>
    <row r="610" spans="1:26" ht="13.5" customHeight="1">
      <c r="A610" s="358"/>
      <c r="B610" s="358"/>
      <c r="C610" s="358"/>
      <c r="D610" s="358"/>
      <c r="E610" s="358"/>
      <c r="F610" s="358"/>
      <c r="G610" s="358"/>
      <c r="H610" s="358"/>
      <c r="I610" s="358"/>
      <c r="J610" s="358"/>
      <c r="K610" s="358"/>
      <c r="L610" s="358"/>
      <c r="M610" s="358"/>
      <c r="N610" s="358"/>
      <c r="O610" s="358"/>
      <c r="P610" s="358"/>
      <c r="Q610" s="358"/>
      <c r="R610" s="358"/>
      <c r="S610" s="358"/>
      <c r="T610" s="358"/>
      <c r="U610" s="358"/>
      <c r="V610" s="358"/>
      <c r="W610" s="358"/>
      <c r="X610" s="358"/>
      <c r="Y610" s="358"/>
      <c r="Z610" s="358"/>
    </row>
    <row r="611" spans="1:26" ht="13.5" customHeight="1">
      <c r="A611" s="358"/>
      <c r="B611" s="358"/>
      <c r="C611" s="358"/>
      <c r="D611" s="358"/>
      <c r="E611" s="358"/>
      <c r="F611" s="358"/>
      <c r="G611" s="358"/>
      <c r="H611" s="358"/>
      <c r="I611" s="358"/>
      <c r="J611" s="358"/>
      <c r="K611" s="358"/>
      <c r="L611" s="358"/>
      <c r="M611" s="358"/>
      <c r="N611" s="358"/>
      <c r="O611" s="358"/>
      <c r="P611" s="358"/>
      <c r="Q611" s="358"/>
      <c r="R611" s="358"/>
      <c r="S611" s="358"/>
      <c r="T611" s="358"/>
      <c r="U611" s="358"/>
      <c r="V611" s="358"/>
      <c r="W611" s="358"/>
      <c r="X611" s="358"/>
      <c r="Y611" s="358"/>
      <c r="Z611" s="358"/>
    </row>
    <row r="612" spans="1:26" ht="13.5" customHeight="1">
      <c r="A612" s="358"/>
      <c r="B612" s="358"/>
      <c r="C612" s="358"/>
      <c r="D612" s="358"/>
      <c r="E612" s="358"/>
      <c r="F612" s="358"/>
      <c r="G612" s="358"/>
      <c r="H612" s="358"/>
      <c r="I612" s="358"/>
      <c r="J612" s="358"/>
      <c r="K612" s="358"/>
      <c r="L612" s="358"/>
      <c r="M612" s="358"/>
      <c r="N612" s="358"/>
      <c r="O612" s="358"/>
      <c r="P612" s="358"/>
      <c r="Q612" s="358"/>
      <c r="R612" s="358"/>
      <c r="S612" s="358"/>
      <c r="T612" s="358"/>
      <c r="U612" s="358"/>
      <c r="V612" s="358"/>
      <c r="W612" s="358"/>
      <c r="X612" s="358"/>
      <c r="Y612" s="358"/>
      <c r="Z612" s="358"/>
    </row>
    <row r="613" spans="1:26" ht="13.5" customHeight="1">
      <c r="A613" s="358"/>
      <c r="B613" s="358"/>
      <c r="C613" s="358"/>
      <c r="D613" s="358"/>
      <c r="E613" s="358"/>
      <c r="F613" s="358"/>
      <c r="G613" s="358"/>
      <c r="H613" s="358"/>
      <c r="I613" s="358"/>
      <c r="J613" s="358"/>
      <c r="K613" s="358"/>
      <c r="L613" s="358"/>
      <c r="M613" s="358"/>
      <c r="N613" s="358"/>
      <c r="O613" s="358"/>
      <c r="P613" s="358"/>
      <c r="Q613" s="358"/>
      <c r="R613" s="358"/>
      <c r="S613" s="358"/>
      <c r="T613" s="358"/>
      <c r="U613" s="358"/>
      <c r="V613" s="358"/>
      <c r="W613" s="358"/>
      <c r="X613" s="358"/>
      <c r="Y613" s="358"/>
      <c r="Z613" s="358"/>
    </row>
    <row r="614" spans="1:26" ht="13.5" customHeight="1">
      <c r="A614" s="358"/>
      <c r="B614" s="358"/>
      <c r="C614" s="358"/>
      <c r="D614" s="358"/>
      <c r="E614" s="358"/>
      <c r="F614" s="358"/>
      <c r="G614" s="358"/>
      <c r="H614" s="358"/>
      <c r="I614" s="358"/>
      <c r="J614" s="358"/>
      <c r="K614" s="358"/>
      <c r="L614" s="358"/>
      <c r="M614" s="358"/>
      <c r="N614" s="358"/>
      <c r="O614" s="358"/>
      <c r="P614" s="358"/>
      <c r="Q614" s="358"/>
      <c r="R614" s="358"/>
      <c r="S614" s="358"/>
      <c r="T614" s="358"/>
      <c r="U614" s="358"/>
      <c r="V614" s="358"/>
      <c r="W614" s="358"/>
      <c r="X614" s="358"/>
      <c r="Y614" s="358"/>
      <c r="Z614" s="358"/>
    </row>
    <row r="615" spans="1:26" ht="13.5" customHeight="1">
      <c r="A615" s="358"/>
      <c r="B615" s="358"/>
      <c r="C615" s="358"/>
      <c r="D615" s="358"/>
      <c r="E615" s="358"/>
      <c r="F615" s="358"/>
      <c r="G615" s="358"/>
      <c r="H615" s="358"/>
      <c r="I615" s="358"/>
      <c r="J615" s="358"/>
      <c r="K615" s="358"/>
      <c r="L615" s="358"/>
      <c r="M615" s="358"/>
      <c r="N615" s="358"/>
      <c r="O615" s="358"/>
      <c r="P615" s="358"/>
      <c r="Q615" s="358"/>
      <c r="R615" s="358"/>
      <c r="S615" s="358"/>
      <c r="T615" s="358"/>
      <c r="U615" s="358"/>
      <c r="V615" s="358"/>
      <c r="W615" s="358"/>
      <c r="X615" s="358"/>
      <c r="Y615" s="358"/>
      <c r="Z615" s="358"/>
    </row>
    <row r="616" spans="1:26" ht="13.5" customHeight="1">
      <c r="A616" s="358"/>
      <c r="B616" s="358"/>
      <c r="C616" s="358"/>
      <c r="D616" s="358"/>
      <c r="E616" s="358"/>
      <c r="F616" s="358"/>
      <c r="G616" s="358"/>
      <c r="H616" s="358"/>
      <c r="I616" s="358"/>
      <c r="J616" s="358"/>
      <c r="K616" s="358"/>
      <c r="L616" s="358"/>
      <c r="M616" s="358"/>
      <c r="N616" s="358"/>
      <c r="O616" s="358"/>
      <c r="P616" s="358"/>
      <c r="Q616" s="358"/>
      <c r="R616" s="358"/>
      <c r="S616" s="358"/>
      <c r="T616" s="358"/>
      <c r="U616" s="358"/>
      <c r="V616" s="358"/>
      <c r="W616" s="358"/>
      <c r="X616" s="358"/>
      <c r="Y616" s="358"/>
      <c r="Z616" s="358"/>
    </row>
    <row r="617" spans="1:26" ht="13.5" customHeight="1">
      <c r="A617" s="358"/>
      <c r="B617" s="358"/>
      <c r="C617" s="358"/>
      <c r="D617" s="358"/>
      <c r="E617" s="358"/>
      <c r="F617" s="358"/>
      <c r="G617" s="358"/>
      <c r="H617" s="358"/>
      <c r="I617" s="358"/>
      <c r="J617" s="358"/>
      <c r="K617" s="358"/>
      <c r="L617" s="358"/>
      <c r="M617" s="358"/>
      <c r="N617" s="358"/>
      <c r="O617" s="358"/>
      <c r="P617" s="358"/>
      <c r="Q617" s="358"/>
      <c r="R617" s="358"/>
      <c r="S617" s="358"/>
      <c r="T617" s="358"/>
      <c r="U617" s="358"/>
      <c r="V617" s="358"/>
      <c r="W617" s="358"/>
      <c r="X617" s="358"/>
      <c r="Y617" s="358"/>
      <c r="Z617" s="358"/>
    </row>
    <row r="618" spans="1:26" ht="13.5" customHeight="1">
      <c r="A618" s="358"/>
      <c r="B618" s="358"/>
      <c r="C618" s="358"/>
      <c r="D618" s="358"/>
      <c r="E618" s="358"/>
      <c r="F618" s="358"/>
      <c r="G618" s="358"/>
      <c r="H618" s="358"/>
      <c r="I618" s="358"/>
      <c r="J618" s="358"/>
      <c r="K618" s="358"/>
      <c r="L618" s="358"/>
      <c r="M618" s="358"/>
      <c r="N618" s="358"/>
      <c r="O618" s="358"/>
      <c r="P618" s="358"/>
      <c r="Q618" s="358"/>
      <c r="R618" s="358"/>
      <c r="S618" s="358"/>
      <c r="T618" s="358"/>
      <c r="U618" s="358"/>
      <c r="V618" s="358"/>
      <c r="W618" s="358"/>
      <c r="X618" s="358"/>
      <c r="Y618" s="358"/>
      <c r="Z618" s="358"/>
    </row>
    <row r="619" spans="1:26" ht="13.5" customHeight="1">
      <c r="A619" s="358"/>
      <c r="B619" s="358"/>
      <c r="C619" s="358"/>
      <c r="D619" s="358"/>
      <c r="E619" s="358"/>
      <c r="F619" s="358"/>
      <c r="G619" s="358"/>
      <c r="H619" s="358"/>
      <c r="I619" s="358"/>
      <c r="J619" s="358"/>
      <c r="K619" s="358"/>
      <c r="L619" s="358"/>
      <c r="M619" s="358"/>
      <c r="N619" s="358"/>
      <c r="O619" s="358"/>
      <c r="P619" s="358"/>
      <c r="Q619" s="358"/>
      <c r="R619" s="358"/>
      <c r="S619" s="358"/>
      <c r="T619" s="358"/>
      <c r="U619" s="358"/>
      <c r="V619" s="358"/>
      <c r="W619" s="358"/>
      <c r="X619" s="358"/>
      <c r="Y619" s="358"/>
      <c r="Z619" s="358"/>
    </row>
    <row r="620" spans="1:26" ht="13.5" customHeight="1">
      <c r="A620" s="358"/>
      <c r="B620" s="358"/>
      <c r="C620" s="358"/>
      <c r="D620" s="358"/>
      <c r="E620" s="358"/>
      <c r="F620" s="358"/>
      <c r="G620" s="358"/>
      <c r="H620" s="358"/>
      <c r="I620" s="358"/>
      <c r="J620" s="358"/>
      <c r="K620" s="358"/>
      <c r="L620" s="358"/>
      <c r="M620" s="358"/>
      <c r="N620" s="358"/>
      <c r="O620" s="358"/>
      <c r="P620" s="358"/>
      <c r="Q620" s="358"/>
      <c r="R620" s="358"/>
      <c r="S620" s="358"/>
      <c r="T620" s="358"/>
      <c r="U620" s="358"/>
      <c r="V620" s="358"/>
      <c r="W620" s="358"/>
      <c r="X620" s="358"/>
      <c r="Y620" s="358"/>
      <c r="Z620" s="358"/>
    </row>
    <row r="621" spans="1:26" ht="13.5" customHeight="1">
      <c r="A621" s="358"/>
      <c r="B621" s="358"/>
      <c r="C621" s="358"/>
      <c r="D621" s="358"/>
      <c r="E621" s="358"/>
      <c r="F621" s="358"/>
      <c r="G621" s="358"/>
      <c r="H621" s="358"/>
      <c r="I621" s="358"/>
      <c r="J621" s="358"/>
      <c r="K621" s="358"/>
      <c r="L621" s="358"/>
      <c r="M621" s="358"/>
      <c r="N621" s="358"/>
      <c r="O621" s="358"/>
      <c r="P621" s="358"/>
      <c r="Q621" s="358"/>
      <c r="R621" s="358"/>
      <c r="S621" s="358"/>
      <c r="T621" s="358"/>
      <c r="U621" s="358"/>
      <c r="V621" s="358"/>
      <c r="W621" s="358"/>
      <c r="X621" s="358"/>
      <c r="Y621" s="358"/>
      <c r="Z621" s="358"/>
    </row>
    <row r="622" spans="1:26" ht="13.5" customHeight="1">
      <c r="A622" s="358"/>
      <c r="B622" s="358"/>
      <c r="C622" s="358"/>
      <c r="D622" s="358"/>
      <c r="E622" s="358"/>
      <c r="F622" s="358"/>
      <c r="G622" s="358"/>
      <c r="H622" s="358"/>
      <c r="I622" s="358"/>
      <c r="J622" s="358"/>
      <c r="K622" s="358"/>
      <c r="L622" s="358"/>
      <c r="M622" s="358"/>
      <c r="N622" s="358"/>
      <c r="O622" s="358"/>
      <c r="P622" s="358"/>
      <c r="Q622" s="358"/>
      <c r="R622" s="358"/>
      <c r="S622" s="358"/>
      <c r="T622" s="358"/>
      <c r="U622" s="358"/>
      <c r="V622" s="358"/>
      <c r="W622" s="358"/>
      <c r="X622" s="358"/>
      <c r="Y622" s="358"/>
      <c r="Z622" s="358"/>
    </row>
    <row r="623" spans="1:26" ht="13.5" customHeight="1">
      <c r="A623" s="358"/>
      <c r="B623" s="358"/>
      <c r="C623" s="358"/>
      <c r="D623" s="358"/>
      <c r="E623" s="358"/>
      <c r="F623" s="358"/>
      <c r="G623" s="358"/>
      <c r="H623" s="358"/>
      <c r="I623" s="358"/>
      <c r="J623" s="358"/>
      <c r="K623" s="358"/>
      <c r="L623" s="358"/>
      <c r="M623" s="358"/>
      <c r="N623" s="358"/>
      <c r="O623" s="358"/>
      <c r="P623" s="358"/>
      <c r="Q623" s="358"/>
      <c r="R623" s="358"/>
      <c r="S623" s="358"/>
      <c r="T623" s="358"/>
      <c r="U623" s="358"/>
      <c r="V623" s="358"/>
      <c r="W623" s="358"/>
      <c r="X623" s="358"/>
      <c r="Y623" s="358"/>
      <c r="Z623" s="358"/>
    </row>
    <row r="624" spans="1:26" ht="13.5" customHeight="1">
      <c r="A624" s="358"/>
      <c r="B624" s="358"/>
      <c r="C624" s="358"/>
      <c r="D624" s="358"/>
      <c r="E624" s="358"/>
      <c r="F624" s="358"/>
      <c r="G624" s="358"/>
      <c r="H624" s="358"/>
      <c r="I624" s="358"/>
      <c r="J624" s="358"/>
      <c r="K624" s="358"/>
      <c r="L624" s="358"/>
      <c r="M624" s="358"/>
      <c r="N624" s="358"/>
      <c r="O624" s="358"/>
      <c r="P624" s="358"/>
      <c r="Q624" s="358"/>
      <c r="R624" s="358"/>
      <c r="S624" s="358"/>
      <c r="T624" s="358"/>
      <c r="U624" s="358"/>
      <c r="V624" s="358"/>
      <c r="W624" s="358"/>
      <c r="X624" s="358"/>
      <c r="Y624" s="358"/>
      <c r="Z624" s="358"/>
    </row>
    <row r="625" spans="1:26" ht="13.5" customHeight="1">
      <c r="A625" s="358"/>
      <c r="B625" s="358"/>
      <c r="C625" s="358"/>
      <c r="D625" s="358"/>
      <c r="E625" s="358"/>
      <c r="F625" s="358"/>
      <c r="G625" s="358"/>
      <c r="H625" s="358"/>
      <c r="I625" s="358"/>
      <c r="J625" s="358"/>
      <c r="K625" s="358"/>
      <c r="L625" s="358"/>
      <c r="M625" s="358"/>
      <c r="N625" s="358"/>
      <c r="O625" s="358"/>
      <c r="P625" s="358"/>
      <c r="Q625" s="358"/>
      <c r="R625" s="358"/>
      <c r="S625" s="358"/>
      <c r="T625" s="358"/>
      <c r="U625" s="358"/>
      <c r="V625" s="358"/>
      <c r="W625" s="358"/>
      <c r="X625" s="358"/>
      <c r="Y625" s="358"/>
      <c r="Z625" s="358"/>
    </row>
    <row r="626" spans="1:26" ht="13.5" customHeight="1">
      <c r="A626" s="358"/>
      <c r="B626" s="358"/>
      <c r="C626" s="358"/>
      <c r="D626" s="358"/>
      <c r="E626" s="358"/>
      <c r="F626" s="358"/>
      <c r="G626" s="358"/>
      <c r="H626" s="358"/>
      <c r="I626" s="358"/>
      <c r="J626" s="358"/>
      <c r="K626" s="358"/>
      <c r="L626" s="358"/>
      <c r="M626" s="358"/>
      <c r="N626" s="358"/>
      <c r="O626" s="358"/>
      <c r="P626" s="358"/>
      <c r="Q626" s="358"/>
      <c r="R626" s="358"/>
      <c r="S626" s="358"/>
      <c r="T626" s="358"/>
      <c r="U626" s="358"/>
      <c r="V626" s="358"/>
      <c r="W626" s="358"/>
      <c r="X626" s="358"/>
      <c r="Y626" s="358"/>
      <c r="Z626" s="358"/>
    </row>
    <row r="627" spans="1:26" ht="13.5" customHeight="1">
      <c r="A627" s="358"/>
      <c r="B627" s="358"/>
      <c r="C627" s="358"/>
      <c r="D627" s="358"/>
      <c r="E627" s="358"/>
      <c r="F627" s="358"/>
      <c r="G627" s="358"/>
      <c r="H627" s="358"/>
      <c r="I627" s="358"/>
      <c r="J627" s="358"/>
      <c r="K627" s="358"/>
      <c r="L627" s="358"/>
      <c r="M627" s="358"/>
      <c r="N627" s="358"/>
      <c r="O627" s="358"/>
      <c r="P627" s="358"/>
      <c r="Q627" s="358"/>
      <c r="R627" s="358"/>
      <c r="S627" s="358"/>
      <c r="T627" s="358"/>
      <c r="U627" s="358"/>
      <c r="V627" s="358"/>
      <c r="W627" s="358"/>
      <c r="X627" s="358"/>
      <c r="Y627" s="358"/>
      <c r="Z627" s="358"/>
    </row>
    <row r="628" spans="1:26" ht="13.5" customHeight="1">
      <c r="A628" s="358"/>
      <c r="B628" s="358"/>
      <c r="C628" s="358"/>
      <c r="D628" s="358"/>
      <c r="E628" s="358"/>
      <c r="F628" s="358"/>
      <c r="G628" s="358"/>
      <c r="H628" s="358"/>
      <c r="I628" s="358"/>
      <c r="J628" s="358"/>
      <c r="K628" s="358"/>
      <c r="L628" s="358"/>
      <c r="M628" s="358"/>
      <c r="N628" s="358"/>
      <c r="O628" s="358"/>
      <c r="P628" s="358"/>
      <c r="Q628" s="358"/>
      <c r="R628" s="358"/>
      <c r="S628" s="358"/>
      <c r="T628" s="358"/>
      <c r="U628" s="358"/>
      <c r="V628" s="358"/>
      <c r="W628" s="358"/>
      <c r="X628" s="358"/>
      <c r="Y628" s="358"/>
      <c r="Z628" s="358"/>
    </row>
    <row r="629" spans="1:26" ht="13.5" customHeight="1">
      <c r="A629" s="358"/>
      <c r="B629" s="358"/>
      <c r="C629" s="358"/>
      <c r="D629" s="358"/>
      <c r="E629" s="358"/>
      <c r="F629" s="358"/>
      <c r="G629" s="358"/>
      <c r="H629" s="358"/>
      <c r="I629" s="358"/>
      <c r="J629" s="358"/>
      <c r="K629" s="358"/>
      <c r="L629" s="358"/>
      <c r="M629" s="358"/>
      <c r="N629" s="358"/>
      <c r="O629" s="358"/>
      <c r="P629" s="358"/>
      <c r="Q629" s="358"/>
      <c r="R629" s="358"/>
      <c r="S629" s="358"/>
      <c r="T629" s="358"/>
      <c r="U629" s="358"/>
      <c r="V629" s="358"/>
      <c r="W629" s="358"/>
      <c r="X629" s="358"/>
      <c r="Y629" s="358"/>
      <c r="Z629" s="358"/>
    </row>
    <row r="630" spans="1:26" ht="13.5" customHeight="1">
      <c r="A630" s="358"/>
      <c r="B630" s="358"/>
      <c r="C630" s="358"/>
      <c r="D630" s="358"/>
      <c r="E630" s="358"/>
      <c r="F630" s="358"/>
      <c r="G630" s="358"/>
      <c r="H630" s="358"/>
      <c r="I630" s="358"/>
      <c r="J630" s="358"/>
      <c r="K630" s="358"/>
      <c r="L630" s="358"/>
      <c r="M630" s="358"/>
      <c r="N630" s="358"/>
      <c r="O630" s="358"/>
      <c r="P630" s="358"/>
      <c r="Q630" s="358"/>
      <c r="R630" s="358"/>
      <c r="S630" s="358"/>
      <c r="T630" s="358"/>
      <c r="U630" s="358"/>
      <c r="V630" s="358"/>
      <c r="W630" s="358"/>
      <c r="X630" s="358"/>
      <c r="Y630" s="358"/>
      <c r="Z630" s="358"/>
    </row>
    <row r="631" spans="1:26" ht="13.5" customHeight="1">
      <c r="A631" s="358"/>
      <c r="B631" s="358"/>
      <c r="C631" s="358"/>
      <c r="D631" s="358"/>
      <c r="E631" s="358"/>
      <c r="F631" s="358"/>
      <c r="G631" s="358"/>
      <c r="H631" s="358"/>
      <c r="I631" s="358"/>
      <c r="J631" s="358"/>
      <c r="K631" s="358"/>
      <c r="L631" s="358"/>
      <c r="M631" s="358"/>
      <c r="N631" s="358"/>
      <c r="O631" s="358"/>
      <c r="P631" s="358"/>
      <c r="Q631" s="358"/>
      <c r="R631" s="358"/>
      <c r="S631" s="358"/>
      <c r="T631" s="358"/>
      <c r="U631" s="358"/>
      <c r="V631" s="358"/>
      <c r="W631" s="358"/>
      <c r="X631" s="358"/>
      <c r="Y631" s="358"/>
      <c r="Z631" s="358"/>
    </row>
    <row r="632" spans="1:26" ht="13.5" customHeight="1">
      <c r="A632" s="358"/>
      <c r="B632" s="358"/>
      <c r="C632" s="358"/>
      <c r="D632" s="358"/>
      <c r="E632" s="358"/>
      <c r="F632" s="358"/>
      <c r="G632" s="358"/>
      <c r="H632" s="358"/>
      <c r="I632" s="358"/>
      <c r="J632" s="358"/>
      <c r="K632" s="358"/>
      <c r="L632" s="358"/>
      <c r="M632" s="358"/>
      <c r="N632" s="358"/>
      <c r="O632" s="358"/>
      <c r="P632" s="358"/>
      <c r="Q632" s="358"/>
      <c r="R632" s="358"/>
      <c r="S632" s="358"/>
      <c r="T632" s="358"/>
      <c r="U632" s="358"/>
      <c r="V632" s="358"/>
      <c r="W632" s="358"/>
      <c r="X632" s="358"/>
      <c r="Y632" s="358"/>
      <c r="Z632" s="358"/>
    </row>
    <row r="633" spans="1:26" ht="13.5" customHeight="1">
      <c r="A633" s="358"/>
      <c r="B633" s="358"/>
      <c r="C633" s="358"/>
      <c r="D633" s="358"/>
      <c r="E633" s="358"/>
      <c r="F633" s="358"/>
      <c r="G633" s="358"/>
      <c r="H633" s="358"/>
      <c r="I633" s="358"/>
      <c r="J633" s="358"/>
      <c r="K633" s="358"/>
      <c r="L633" s="358"/>
      <c r="M633" s="358"/>
      <c r="N633" s="358"/>
      <c r="O633" s="358"/>
      <c r="P633" s="358"/>
      <c r="Q633" s="358"/>
      <c r="R633" s="358"/>
      <c r="S633" s="358"/>
      <c r="T633" s="358"/>
      <c r="U633" s="358"/>
      <c r="V633" s="358"/>
      <c r="W633" s="358"/>
      <c r="X633" s="358"/>
      <c r="Y633" s="358"/>
      <c r="Z633" s="358"/>
    </row>
    <row r="634" spans="1:26" ht="13.5" customHeight="1">
      <c r="A634" s="358"/>
      <c r="B634" s="358"/>
      <c r="C634" s="358"/>
      <c r="D634" s="358"/>
      <c r="E634" s="358"/>
      <c r="F634" s="358"/>
      <c r="G634" s="358"/>
      <c r="H634" s="358"/>
      <c r="I634" s="358"/>
      <c r="J634" s="358"/>
      <c r="K634" s="358"/>
      <c r="L634" s="358"/>
      <c r="M634" s="358"/>
      <c r="N634" s="358"/>
      <c r="O634" s="358"/>
      <c r="P634" s="358"/>
      <c r="Q634" s="358"/>
      <c r="R634" s="358"/>
      <c r="S634" s="358"/>
      <c r="T634" s="358"/>
      <c r="U634" s="358"/>
      <c r="V634" s="358"/>
      <c r="W634" s="358"/>
      <c r="X634" s="358"/>
      <c r="Y634" s="358"/>
      <c r="Z634" s="358"/>
    </row>
    <row r="635" spans="1:26" ht="13.5" customHeight="1">
      <c r="A635" s="358"/>
      <c r="B635" s="358"/>
      <c r="C635" s="358"/>
      <c r="D635" s="358"/>
      <c r="E635" s="358"/>
      <c r="F635" s="358"/>
      <c r="G635" s="358"/>
      <c r="H635" s="358"/>
      <c r="I635" s="358"/>
      <c r="J635" s="358"/>
      <c r="K635" s="358"/>
      <c r="L635" s="358"/>
      <c r="M635" s="358"/>
      <c r="N635" s="358"/>
      <c r="O635" s="358"/>
      <c r="P635" s="358"/>
      <c r="Q635" s="358"/>
      <c r="R635" s="358"/>
      <c r="S635" s="358"/>
      <c r="T635" s="358"/>
      <c r="U635" s="358"/>
      <c r="V635" s="358"/>
      <c r="W635" s="358"/>
      <c r="X635" s="358"/>
      <c r="Y635" s="358"/>
      <c r="Z635" s="358"/>
    </row>
    <row r="636" spans="1:26" ht="13.5" customHeight="1">
      <c r="A636" s="358"/>
      <c r="B636" s="358"/>
      <c r="C636" s="358"/>
      <c r="D636" s="358"/>
      <c r="E636" s="358"/>
      <c r="F636" s="358"/>
      <c r="G636" s="358"/>
      <c r="H636" s="358"/>
      <c r="I636" s="358"/>
      <c r="J636" s="358"/>
      <c r="K636" s="358"/>
      <c r="L636" s="358"/>
      <c r="M636" s="358"/>
      <c r="N636" s="358"/>
      <c r="O636" s="358"/>
      <c r="P636" s="358"/>
      <c r="Q636" s="358"/>
      <c r="R636" s="358"/>
      <c r="S636" s="358"/>
      <c r="T636" s="358"/>
      <c r="U636" s="358"/>
      <c r="V636" s="358"/>
      <c r="W636" s="358"/>
      <c r="X636" s="358"/>
      <c r="Y636" s="358"/>
      <c r="Z636" s="358"/>
    </row>
    <row r="637" spans="1:26" ht="13.5" customHeight="1">
      <c r="A637" s="358"/>
      <c r="B637" s="358"/>
      <c r="C637" s="358"/>
      <c r="D637" s="358"/>
      <c r="E637" s="358"/>
      <c r="F637" s="358"/>
      <c r="G637" s="358"/>
      <c r="H637" s="358"/>
      <c r="I637" s="358"/>
      <c r="J637" s="358"/>
      <c r="K637" s="358"/>
      <c r="L637" s="358"/>
      <c r="M637" s="358"/>
      <c r="N637" s="358"/>
      <c r="O637" s="358"/>
      <c r="P637" s="358"/>
      <c r="Q637" s="358"/>
      <c r="R637" s="358"/>
      <c r="S637" s="358"/>
      <c r="T637" s="358"/>
      <c r="U637" s="358"/>
      <c r="V637" s="358"/>
      <c r="W637" s="358"/>
      <c r="X637" s="358"/>
      <c r="Y637" s="358"/>
      <c r="Z637" s="358"/>
    </row>
    <row r="638" spans="1:26" ht="13.5" customHeight="1">
      <c r="A638" s="358"/>
      <c r="B638" s="358"/>
      <c r="C638" s="358"/>
      <c r="D638" s="358"/>
      <c r="E638" s="358"/>
      <c r="F638" s="358"/>
      <c r="G638" s="358"/>
      <c r="H638" s="358"/>
      <c r="I638" s="358"/>
      <c r="J638" s="358"/>
      <c r="K638" s="358"/>
      <c r="L638" s="358"/>
      <c r="M638" s="358"/>
      <c r="N638" s="358"/>
      <c r="O638" s="358"/>
      <c r="P638" s="358"/>
      <c r="Q638" s="358"/>
      <c r="R638" s="358"/>
      <c r="S638" s="358"/>
      <c r="T638" s="358"/>
      <c r="U638" s="358"/>
      <c r="V638" s="358"/>
      <c r="W638" s="358"/>
      <c r="X638" s="358"/>
      <c r="Y638" s="358"/>
      <c r="Z638" s="358"/>
    </row>
    <row r="639" spans="1:26" ht="13.5" customHeight="1">
      <c r="A639" s="358"/>
      <c r="B639" s="358"/>
      <c r="C639" s="358"/>
      <c r="D639" s="358"/>
      <c r="E639" s="358"/>
      <c r="F639" s="358"/>
      <c r="G639" s="358"/>
      <c r="H639" s="358"/>
      <c r="I639" s="358"/>
      <c r="J639" s="358"/>
      <c r="K639" s="358"/>
      <c r="L639" s="358"/>
      <c r="M639" s="358"/>
      <c r="N639" s="358"/>
      <c r="O639" s="358"/>
      <c r="P639" s="358"/>
      <c r="Q639" s="358"/>
      <c r="R639" s="358"/>
      <c r="S639" s="358"/>
      <c r="T639" s="358"/>
      <c r="U639" s="358"/>
      <c r="V639" s="358"/>
      <c r="W639" s="358"/>
      <c r="X639" s="358"/>
      <c r="Y639" s="358"/>
      <c r="Z639" s="358"/>
    </row>
    <row r="640" spans="1:26" ht="13.5" customHeight="1">
      <c r="A640" s="358"/>
      <c r="B640" s="358"/>
      <c r="C640" s="358"/>
      <c r="D640" s="358"/>
      <c r="E640" s="358"/>
      <c r="F640" s="358"/>
      <c r="G640" s="358"/>
      <c r="H640" s="358"/>
      <c r="I640" s="358"/>
      <c r="J640" s="358"/>
      <c r="K640" s="358"/>
      <c r="L640" s="358"/>
      <c r="M640" s="358"/>
      <c r="N640" s="358"/>
      <c r="O640" s="358"/>
      <c r="P640" s="358"/>
      <c r="Q640" s="358"/>
      <c r="R640" s="358"/>
      <c r="S640" s="358"/>
      <c r="T640" s="358"/>
      <c r="U640" s="358"/>
      <c r="V640" s="358"/>
      <c r="W640" s="358"/>
      <c r="X640" s="358"/>
      <c r="Y640" s="358"/>
      <c r="Z640" s="358"/>
    </row>
    <row r="641" spans="1:26" ht="13.5" customHeight="1">
      <c r="A641" s="358"/>
      <c r="B641" s="358"/>
      <c r="C641" s="358"/>
      <c r="D641" s="358"/>
      <c r="E641" s="358"/>
      <c r="F641" s="358"/>
      <c r="G641" s="358"/>
      <c r="H641" s="358"/>
      <c r="I641" s="358"/>
      <c r="J641" s="358"/>
      <c r="K641" s="358"/>
      <c r="L641" s="358"/>
      <c r="M641" s="358"/>
      <c r="N641" s="358"/>
      <c r="O641" s="358"/>
      <c r="P641" s="358"/>
      <c r="Q641" s="358"/>
      <c r="R641" s="358"/>
      <c r="S641" s="358"/>
      <c r="T641" s="358"/>
      <c r="U641" s="358"/>
      <c r="V641" s="358"/>
      <c r="W641" s="358"/>
      <c r="X641" s="358"/>
      <c r="Y641" s="358"/>
      <c r="Z641" s="358"/>
    </row>
    <row r="642" spans="1:26" ht="13.5" customHeight="1">
      <c r="A642" s="358"/>
      <c r="B642" s="358"/>
      <c r="C642" s="358"/>
      <c r="D642" s="358"/>
      <c r="E642" s="358"/>
      <c r="F642" s="358"/>
      <c r="G642" s="358"/>
      <c r="H642" s="358"/>
      <c r="I642" s="358"/>
      <c r="J642" s="358"/>
      <c r="K642" s="358"/>
      <c r="L642" s="358"/>
      <c r="M642" s="358"/>
      <c r="N642" s="358"/>
      <c r="O642" s="358"/>
      <c r="P642" s="358"/>
      <c r="Q642" s="358"/>
      <c r="R642" s="358"/>
      <c r="S642" s="358"/>
      <c r="T642" s="358"/>
      <c r="U642" s="358"/>
      <c r="V642" s="358"/>
      <c r="W642" s="358"/>
      <c r="X642" s="358"/>
      <c r="Y642" s="358"/>
      <c r="Z642" s="358"/>
    </row>
    <row r="643" spans="1:26" ht="13.5" customHeight="1">
      <c r="A643" s="358"/>
      <c r="B643" s="358"/>
      <c r="C643" s="358"/>
      <c r="D643" s="358"/>
      <c r="E643" s="358"/>
      <c r="F643" s="358"/>
      <c r="G643" s="358"/>
      <c r="H643" s="358"/>
      <c r="I643" s="358"/>
      <c r="J643" s="358"/>
      <c r="K643" s="358"/>
      <c r="L643" s="358"/>
      <c r="M643" s="358"/>
      <c r="N643" s="358"/>
      <c r="O643" s="358"/>
      <c r="P643" s="358"/>
      <c r="Q643" s="358"/>
      <c r="R643" s="358"/>
      <c r="S643" s="358"/>
      <c r="T643" s="358"/>
      <c r="U643" s="358"/>
      <c r="V643" s="358"/>
      <c r="W643" s="358"/>
      <c r="X643" s="358"/>
      <c r="Y643" s="358"/>
      <c r="Z643" s="358"/>
    </row>
    <row r="644" spans="1:26" ht="13.5" customHeight="1">
      <c r="A644" s="358"/>
      <c r="B644" s="358"/>
      <c r="C644" s="358"/>
      <c r="D644" s="358"/>
      <c r="E644" s="358"/>
      <c r="F644" s="358"/>
      <c r="G644" s="358"/>
      <c r="H644" s="358"/>
      <c r="I644" s="358"/>
      <c r="J644" s="358"/>
      <c r="K644" s="358"/>
      <c r="L644" s="358"/>
      <c r="M644" s="358"/>
      <c r="N644" s="358"/>
      <c r="O644" s="358"/>
      <c r="P644" s="358"/>
      <c r="Q644" s="358"/>
      <c r="R644" s="358"/>
      <c r="S644" s="358"/>
      <c r="T644" s="358"/>
      <c r="U644" s="358"/>
      <c r="V644" s="358"/>
      <c r="W644" s="358"/>
      <c r="X644" s="358"/>
      <c r="Y644" s="358"/>
      <c r="Z644" s="358"/>
    </row>
    <row r="645" spans="1:26" ht="13.5" customHeight="1">
      <c r="A645" s="358"/>
      <c r="B645" s="358"/>
      <c r="C645" s="358"/>
      <c r="D645" s="358"/>
      <c r="E645" s="358"/>
      <c r="F645" s="358"/>
      <c r="G645" s="358"/>
      <c r="H645" s="358"/>
      <c r="I645" s="358"/>
      <c r="J645" s="358"/>
      <c r="K645" s="358"/>
      <c r="L645" s="358"/>
      <c r="M645" s="358"/>
      <c r="N645" s="358"/>
      <c r="O645" s="358"/>
      <c r="P645" s="358"/>
      <c r="Q645" s="358"/>
      <c r="R645" s="358"/>
      <c r="S645" s="358"/>
      <c r="T645" s="358"/>
      <c r="U645" s="358"/>
      <c r="V645" s="358"/>
      <c r="W645" s="358"/>
      <c r="X645" s="358"/>
      <c r="Y645" s="358"/>
      <c r="Z645" s="358"/>
    </row>
    <row r="646" spans="1:26" ht="13.5" customHeight="1">
      <c r="A646" s="358"/>
      <c r="B646" s="358"/>
      <c r="C646" s="358"/>
      <c r="D646" s="358"/>
      <c r="E646" s="358"/>
      <c r="F646" s="358"/>
      <c r="G646" s="358"/>
      <c r="H646" s="358"/>
      <c r="I646" s="358"/>
      <c r="J646" s="358"/>
      <c r="K646" s="358"/>
      <c r="L646" s="358"/>
      <c r="M646" s="358"/>
      <c r="N646" s="358"/>
      <c r="O646" s="358"/>
      <c r="P646" s="358"/>
      <c r="Q646" s="358"/>
      <c r="R646" s="358"/>
      <c r="S646" s="358"/>
      <c r="T646" s="358"/>
      <c r="U646" s="358"/>
      <c r="V646" s="358"/>
      <c r="W646" s="358"/>
      <c r="X646" s="358"/>
      <c r="Y646" s="358"/>
      <c r="Z646" s="358"/>
    </row>
    <row r="647" spans="1:26" ht="13.5" customHeight="1">
      <c r="A647" s="358"/>
      <c r="B647" s="358"/>
      <c r="C647" s="358"/>
      <c r="D647" s="358"/>
      <c r="E647" s="358"/>
      <c r="F647" s="358"/>
      <c r="G647" s="358"/>
      <c r="H647" s="358"/>
      <c r="I647" s="358"/>
      <c r="J647" s="358"/>
      <c r="K647" s="358"/>
      <c r="L647" s="358"/>
      <c r="M647" s="358"/>
      <c r="N647" s="358"/>
      <c r="O647" s="358"/>
      <c r="P647" s="358"/>
      <c r="Q647" s="358"/>
      <c r="R647" s="358"/>
      <c r="S647" s="358"/>
      <c r="T647" s="358"/>
      <c r="U647" s="358"/>
      <c r="V647" s="358"/>
      <c r="W647" s="358"/>
      <c r="X647" s="358"/>
      <c r="Y647" s="358"/>
      <c r="Z647" s="358"/>
    </row>
    <row r="648" spans="1:26" ht="13.5" customHeight="1">
      <c r="A648" s="358"/>
      <c r="B648" s="358"/>
      <c r="C648" s="358"/>
      <c r="D648" s="358"/>
      <c r="E648" s="358"/>
      <c r="F648" s="358"/>
      <c r="G648" s="358"/>
      <c r="H648" s="358"/>
      <c r="I648" s="358"/>
      <c r="J648" s="358"/>
      <c r="K648" s="358"/>
      <c r="L648" s="358"/>
      <c r="M648" s="358"/>
      <c r="N648" s="358"/>
      <c r="O648" s="358"/>
      <c r="P648" s="358"/>
      <c r="Q648" s="358"/>
      <c r="R648" s="358"/>
      <c r="S648" s="358"/>
      <c r="T648" s="358"/>
      <c r="U648" s="358"/>
      <c r="V648" s="358"/>
      <c r="W648" s="358"/>
      <c r="X648" s="358"/>
      <c r="Y648" s="358"/>
      <c r="Z648" s="358"/>
    </row>
    <row r="649" spans="1:26" ht="13.5" customHeight="1">
      <c r="A649" s="358"/>
      <c r="B649" s="358"/>
      <c r="C649" s="358"/>
      <c r="D649" s="358"/>
      <c r="E649" s="358"/>
      <c r="F649" s="358"/>
      <c r="G649" s="358"/>
      <c r="H649" s="358"/>
      <c r="I649" s="358"/>
      <c r="J649" s="358"/>
      <c r="K649" s="358"/>
      <c r="L649" s="358"/>
      <c r="M649" s="358"/>
      <c r="N649" s="358"/>
      <c r="O649" s="358"/>
      <c r="P649" s="358"/>
      <c r="Q649" s="358"/>
      <c r="R649" s="358"/>
      <c r="S649" s="358"/>
      <c r="T649" s="358"/>
      <c r="U649" s="358"/>
      <c r="V649" s="358"/>
      <c r="W649" s="358"/>
      <c r="X649" s="358"/>
      <c r="Y649" s="358"/>
      <c r="Z649" s="358"/>
    </row>
    <row r="650" spans="1:26" ht="13.5" customHeight="1">
      <c r="A650" s="358"/>
      <c r="B650" s="358"/>
      <c r="C650" s="358"/>
      <c r="D650" s="358"/>
      <c r="E650" s="358"/>
      <c r="F650" s="358"/>
      <c r="G650" s="358"/>
      <c r="H650" s="358"/>
      <c r="I650" s="358"/>
      <c r="J650" s="358"/>
      <c r="K650" s="358"/>
      <c r="L650" s="358"/>
      <c r="M650" s="358"/>
      <c r="N650" s="358"/>
      <c r="O650" s="358"/>
      <c r="P650" s="358"/>
      <c r="Q650" s="358"/>
      <c r="R650" s="358"/>
      <c r="S650" s="358"/>
      <c r="T650" s="358"/>
      <c r="U650" s="358"/>
      <c r="V650" s="358"/>
      <c r="W650" s="358"/>
      <c r="X650" s="358"/>
      <c r="Y650" s="358"/>
      <c r="Z650" s="358"/>
    </row>
    <row r="651" spans="1:26" ht="13.5" customHeight="1">
      <c r="A651" s="358"/>
      <c r="B651" s="358"/>
      <c r="C651" s="358"/>
      <c r="D651" s="358"/>
      <c r="E651" s="358"/>
      <c r="F651" s="358"/>
      <c r="G651" s="358"/>
      <c r="H651" s="358"/>
      <c r="I651" s="358"/>
      <c r="J651" s="358"/>
      <c r="K651" s="358"/>
      <c r="L651" s="358"/>
      <c r="M651" s="358"/>
      <c r="N651" s="358"/>
      <c r="O651" s="358"/>
      <c r="P651" s="358"/>
      <c r="Q651" s="358"/>
      <c r="R651" s="358"/>
      <c r="S651" s="358"/>
      <c r="T651" s="358"/>
      <c r="U651" s="358"/>
      <c r="V651" s="358"/>
      <c r="W651" s="358"/>
      <c r="X651" s="358"/>
      <c r="Y651" s="358"/>
      <c r="Z651" s="358"/>
    </row>
    <row r="652" spans="1:26" ht="13.5" customHeight="1">
      <c r="A652" s="358"/>
      <c r="B652" s="358"/>
      <c r="C652" s="358"/>
      <c r="D652" s="358"/>
      <c r="E652" s="358"/>
      <c r="F652" s="358"/>
      <c r="G652" s="358"/>
      <c r="H652" s="358"/>
      <c r="I652" s="358"/>
      <c r="J652" s="358"/>
      <c r="K652" s="358"/>
      <c r="L652" s="358"/>
      <c r="M652" s="358"/>
      <c r="N652" s="358"/>
      <c r="O652" s="358"/>
      <c r="P652" s="358"/>
      <c r="Q652" s="358"/>
      <c r="R652" s="358"/>
      <c r="S652" s="358"/>
      <c r="T652" s="358"/>
      <c r="U652" s="358"/>
      <c r="V652" s="358"/>
      <c r="W652" s="358"/>
      <c r="X652" s="358"/>
      <c r="Y652" s="358"/>
      <c r="Z652" s="358"/>
    </row>
    <row r="653" spans="1:26" ht="13.5" customHeight="1">
      <c r="A653" s="358"/>
      <c r="B653" s="358"/>
      <c r="C653" s="358"/>
      <c r="D653" s="358"/>
      <c r="E653" s="358"/>
      <c r="F653" s="358"/>
      <c r="G653" s="358"/>
      <c r="H653" s="358"/>
      <c r="I653" s="358"/>
      <c r="J653" s="358"/>
      <c r="K653" s="358"/>
      <c r="L653" s="358"/>
      <c r="M653" s="358"/>
      <c r="N653" s="358"/>
      <c r="O653" s="358"/>
      <c r="P653" s="358"/>
      <c r="Q653" s="358"/>
      <c r="R653" s="358"/>
      <c r="S653" s="358"/>
      <c r="T653" s="358"/>
      <c r="U653" s="358"/>
      <c r="V653" s="358"/>
      <c r="W653" s="358"/>
      <c r="X653" s="358"/>
      <c r="Y653" s="358"/>
      <c r="Z653" s="358"/>
    </row>
    <row r="654" spans="1:26" ht="13.5" customHeight="1">
      <c r="A654" s="358"/>
      <c r="B654" s="358"/>
      <c r="C654" s="358"/>
      <c r="D654" s="358"/>
      <c r="E654" s="358"/>
      <c r="F654" s="358"/>
      <c r="G654" s="358"/>
      <c r="H654" s="358"/>
      <c r="I654" s="358"/>
      <c r="J654" s="358"/>
      <c r="K654" s="358"/>
      <c r="L654" s="358"/>
      <c r="M654" s="358"/>
      <c r="N654" s="358"/>
      <c r="O654" s="358"/>
      <c r="P654" s="358"/>
      <c r="Q654" s="358"/>
      <c r="R654" s="358"/>
      <c r="S654" s="358"/>
      <c r="T654" s="358"/>
      <c r="U654" s="358"/>
      <c r="V654" s="358"/>
      <c r="W654" s="358"/>
      <c r="X654" s="358"/>
      <c r="Y654" s="358"/>
      <c r="Z654" s="358"/>
    </row>
    <row r="655" spans="1:26" ht="13.5" customHeight="1">
      <c r="A655" s="358"/>
      <c r="B655" s="358"/>
      <c r="C655" s="358"/>
      <c r="D655" s="358"/>
      <c r="E655" s="358"/>
      <c r="F655" s="358"/>
      <c r="G655" s="358"/>
      <c r="H655" s="358"/>
      <c r="I655" s="358"/>
      <c r="J655" s="358"/>
      <c r="K655" s="358"/>
      <c r="L655" s="358"/>
      <c r="M655" s="358"/>
      <c r="N655" s="358"/>
      <c r="O655" s="358"/>
      <c r="P655" s="358"/>
      <c r="Q655" s="358"/>
      <c r="R655" s="358"/>
      <c r="S655" s="358"/>
      <c r="T655" s="358"/>
      <c r="U655" s="358"/>
      <c r="V655" s="358"/>
      <c r="W655" s="358"/>
      <c r="X655" s="358"/>
      <c r="Y655" s="358"/>
      <c r="Z655" s="358"/>
    </row>
    <row r="656" spans="1:26" ht="13.5" customHeight="1">
      <c r="A656" s="358"/>
      <c r="B656" s="358"/>
      <c r="C656" s="358"/>
      <c r="D656" s="358"/>
      <c r="E656" s="358"/>
      <c r="F656" s="358"/>
      <c r="G656" s="358"/>
      <c r="H656" s="358"/>
      <c r="I656" s="358"/>
      <c r="J656" s="358"/>
      <c r="K656" s="358"/>
      <c r="L656" s="358"/>
      <c r="M656" s="358"/>
      <c r="N656" s="358"/>
      <c r="O656" s="358"/>
      <c r="P656" s="358"/>
      <c r="Q656" s="358"/>
      <c r="R656" s="358"/>
      <c r="S656" s="358"/>
      <c r="T656" s="358"/>
      <c r="U656" s="358"/>
      <c r="V656" s="358"/>
      <c r="W656" s="358"/>
      <c r="X656" s="358"/>
      <c r="Y656" s="358"/>
      <c r="Z656" s="358"/>
    </row>
    <row r="657" spans="1:26" ht="13.5" customHeight="1">
      <c r="A657" s="358"/>
      <c r="B657" s="358"/>
      <c r="C657" s="358"/>
      <c r="D657" s="358"/>
      <c r="E657" s="358"/>
      <c r="F657" s="358"/>
      <c r="G657" s="358"/>
      <c r="H657" s="358"/>
      <c r="I657" s="358"/>
      <c r="J657" s="358"/>
      <c r="K657" s="358"/>
      <c r="L657" s="358"/>
      <c r="M657" s="358"/>
      <c r="N657" s="358"/>
      <c r="O657" s="358"/>
      <c r="P657" s="358"/>
      <c r="Q657" s="358"/>
      <c r="R657" s="358"/>
      <c r="S657" s="358"/>
      <c r="T657" s="358"/>
      <c r="U657" s="358"/>
      <c r="V657" s="358"/>
      <c r="W657" s="358"/>
      <c r="X657" s="358"/>
      <c r="Y657" s="358"/>
      <c r="Z657" s="358"/>
    </row>
    <row r="658" spans="1:26" ht="13.5" customHeight="1">
      <c r="A658" s="358"/>
      <c r="B658" s="358"/>
      <c r="C658" s="358"/>
      <c r="D658" s="358"/>
      <c r="E658" s="358"/>
      <c r="F658" s="358"/>
      <c r="G658" s="358"/>
      <c r="H658" s="358"/>
      <c r="I658" s="358"/>
      <c r="J658" s="358"/>
      <c r="K658" s="358"/>
      <c r="L658" s="358"/>
      <c r="M658" s="358"/>
      <c r="N658" s="358"/>
      <c r="O658" s="358"/>
      <c r="P658" s="358"/>
      <c r="Q658" s="358"/>
      <c r="R658" s="358"/>
      <c r="S658" s="358"/>
      <c r="T658" s="358"/>
      <c r="U658" s="358"/>
      <c r="V658" s="358"/>
      <c r="W658" s="358"/>
      <c r="X658" s="358"/>
      <c r="Y658" s="358"/>
      <c r="Z658" s="358"/>
    </row>
    <row r="659" spans="1:26" ht="13.5" customHeight="1">
      <c r="A659" s="358"/>
      <c r="B659" s="358"/>
      <c r="C659" s="358"/>
      <c r="D659" s="358"/>
      <c r="E659" s="358"/>
      <c r="F659" s="358"/>
      <c r="G659" s="358"/>
      <c r="H659" s="358"/>
      <c r="I659" s="358"/>
      <c r="J659" s="358"/>
      <c r="K659" s="358"/>
      <c r="L659" s="358"/>
      <c r="M659" s="358"/>
      <c r="N659" s="358"/>
      <c r="O659" s="358"/>
      <c r="P659" s="358"/>
      <c r="Q659" s="358"/>
      <c r="R659" s="358"/>
      <c r="S659" s="358"/>
      <c r="T659" s="358"/>
      <c r="U659" s="358"/>
      <c r="V659" s="358"/>
      <c r="W659" s="358"/>
      <c r="X659" s="358"/>
      <c r="Y659" s="358"/>
      <c r="Z659" s="358"/>
    </row>
    <row r="660" spans="1:26" ht="13.5" customHeight="1">
      <c r="A660" s="358"/>
      <c r="B660" s="358"/>
      <c r="C660" s="358"/>
      <c r="D660" s="358"/>
      <c r="E660" s="358"/>
      <c r="F660" s="358"/>
      <c r="G660" s="358"/>
      <c r="H660" s="358"/>
      <c r="I660" s="358"/>
      <c r="J660" s="358"/>
      <c r="K660" s="358"/>
      <c r="L660" s="358"/>
      <c r="M660" s="358"/>
      <c r="N660" s="358"/>
      <c r="O660" s="358"/>
      <c r="P660" s="358"/>
      <c r="Q660" s="358"/>
      <c r="R660" s="358"/>
      <c r="S660" s="358"/>
      <c r="T660" s="358"/>
      <c r="U660" s="358"/>
      <c r="V660" s="358"/>
      <c r="W660" s="358"/>
      <c r="X660" s="358"/>
      <c r="Y660" s="358"/>
      <c r="Z660" s="358"/>
    </row>
    <row r="661" spans="1:26" ht="13.5" customHeight="1">
      <c r="A661" s="358"/>
      <c r="B661" s="358"/>
      <c r="C661" s="358"/>
      <c r="D661" s="358"/>
      <c r="E661" s="358"/>
      <c r="F661" s="358"/>
      <c r="G661" s="358"/>
      <c r="H661" s="358"/>
      <c r="I661" s="358"/>
      <c r="J661" s="358"/>
      <c r="K661" s="358"/>
      <c r="L661" s="358"/>
      <c r="M661" s="358"/>
      <c r="N661" s="358"/>
      <c r="O661" s="358"/>
      <c r="P661" s="358"/>
      <c r="Q661" s="358"/>
      <c r="R661" s="358"/>
      <c r="S661" s="358"/>
      <c r="T661" s="358"/>
      <c r="U661" s="358"/>
      <c r="V661" s="358"/>
      <c r="W661" s="358"/>
      <c r="X661" s="358"/>
      <c r="Y661" s="358"/>
      <c r="Z661" s="358"/>
    </row>
    <row r="662" spans="1:26" ht="13.5" customHeight="1">
      <c r="A662" s="358"/>
      <c r="B662" s="358"/>
      <c r="C662" s="358"/>
      <c r="D662" s="358"/>
      <c r="E662" s="358"/>
      <c r="F662" s="358"/>
      <c r="G662" s="358"/>
      <c r="H662" s="358"/>
      <c r="I662" s="358"/>
      <c r="J662" s="358"/>
      <c r="K662" s="358"/>
      <c r="L662" s="358"/>
      <c r="M662" s="358"/>
      <c r="N662" s="358"/>
      <c r="O662" s="358"/>
      <c r="P662" s="358"/>
      <c r="Q662" s="358"/>
      <c r="R662" s="358"/>
      <c r="S662" s="358"/>
      <c r="T662" s="358"/>
      <c r="U662" s="358"/>
      <c r="V662" s="358"/>
      <c r="W662" s="358"/>
      <c r="X662" s="358"/>
      <c r="Y662" s="358"/>
      <c r="Z662" s="358"/>
    </row>
    <row r="663" spans="1:26" ht="13.5" customHeight="1">
      <c r="A663" s="358"/>
      <c r="B663" s="358"/>
      <c r="C663" s="358"/>
      <c r="D663" s="358"/>
      <c r="E663" s="358"/>
      <c r="F663" s="358"/>
      <c r="G663" s="358"/>
      <c r="H663" s="358"/>
      <c r="I663" s="358"/>
      <c r="J663" s="358"/>
      <c r="K663" s="358"/>
      <c r="L663" s="358"/>
      <c r="M663" s="358"/>
      <c r="N663" s="358"/>
      <c r="O663" s="358"/>
      <c r="P663" s="358"/>
      <c r="Q663" s="358"/>
      <c r="R663" s="358"/>
      <c r="S663" s="358"/>
      <c r="T663" s="358"/>
      <c r="U663" s="358"/>
      <c r="V663" s="358"/>
      <c r="W663" s="358"/>
      <c r="X663" s="358"/>
      <c r="Y663" s="358"/>
      <c r="Z663" s="358"/>
    </row>
    <row r="664" spans="1:26" ht="13.5" customHeight="1">
      <c r="A664" s="358"/>
      <c r="B664" s="358"/>
      <c r="C664" s="358"/>
      <c r="D664" s="358"/>
      <c r="E664" s="358"/>
      <c r="F664" s="358"/>
      <c r="G664" s="358"/>
      <c r="H664" s="358"/>
      <c r="I664" s="358"/>
      <c r="J664" s="358"/>
      <c r="K664" s="358"/>
      <c r="L664" s="358"/>
      <c r="M664" s="358"/>
      <c r="N664" s="358"/>
      <c r="O664" s="358"/>
      <c r="P664" s="358"/>
      <c r="Q664" s="358"/>
      <c r="R664" s="358"/>
      <c r="S664" s="358"/>
      <c r="T664" s="358"/>
      <c r="U664" s="358"/>
      <c r="V664" s="358"/>
      <c r="W664" s="358"/>
      <c r="X664" s="358"/>
      <c r="Y664" s="358"/>
      <c r="Z664" s="358"/>
    </row>
    <row r="665" spans="1:26" ht="13.5" customHeight="1">
      <c r="A665" s="358"/>
      <c r="B665" s="358"/>
      <c r="C665" s="358"/>
      <c r="D665" s="358"/>
      <c r="E665" s="358"/>
      <c r="F665" s="358"/>
      <c r="G665" s="358"/>
      <c r="H665" s="358"/>
      <c r="I665" s="358"/>
      <c r="J665" s="358"/>
      <c r="K665" s="358"/>
      <c r="L665" s="358"/>
      <c r="M665" s="358"/>
      <c r="N665" s="358"/>
      <c r="O665" s="358"/>
      <c r="P665" s="358"/>
      <c r="Q665" s="358"/>
      <c r="R665" s="358"/>
      <c r="S665" s="358"/>
      <c r="T665" s="358"/>
      <c r="U665" s="358"/>
      <c r="V665" s="358"/>
      <c r="W665" s="358"/>
      <c r="X665" s="358"/>
      <c r="Y665" s="358"/>
      <c r="Z665" s="358"/>
    </row>
    <row r="666" spans="1:26" ht="13.5" customHeight="1">
      <c r="A666" s="358"/>
      <c r="B666" s="358"/>
      <c r="C666" s="358"/>
      <c r="D666" s="358"/>
      <c r="E666" s="358"/>
      <c r="F666" s="358"/>
      <c r="G666" s="358"/>
      <c r="H666" s="358"/>
      <c r="I666" s="358"/>
      <c r="J666" s="358"/>
      <c r="K666" s="358"/>
      <c r="L666" s="358"/>
      <c r="M666" s="358"/>
      <c r="N666" s="358"/>
      <c r="O666" s="358"/>
      <c r="P666" s="358"/>
      <c r="Q666" s="358"/>
      <c r="R666" s="358"/>
      <c r="S666" s="358"/>
      <c r="T666" s="358"/>
      <c r="U666" s="358"/>
      <c r="V666" s="358"/>
      <c r="W666" s="358"/>
      <c r="X666" s="358"/>
      <c r="Y666" s="358"/>
      <c r="Z666" s="358"/>
    </row>
    <row r="667" spans="1:26" ht="13.5" customHeight="1">
      <c r="A667" s="358"/>
      <c r="B667" s="358"/>
      <c r="C667" s="358"/>
      <c r="D667" s="358"/>
      <c r="E667" s="358"/>
      <c r="F667" s="358"/>
      <c r="G667" s="358"/>
      <c r="H667" s="358"/>
      <c r="I667" s="358"/>
      <c r="J667" s="358"/>
      <c r="K667" s="358"/>
      <c r="L667" s="358"/>
      <c r="M667" s="358"/>
      <c r="N667" s="358"/>
      <c r="O667" s="358"/>
      <c r="P667" s="358"/>
      <c r="Q667" s="358"/>
      <c r="R667" s="358"/>
      <c r="S667" s="358"/>
      <c r="T667" s="358"/>
      <c r="U667" s="358"/>
      <c r="V667" s="358"/>
      <c r="W667" s="358"/>
      <c r="X667" s="358"/>
      <c r="Y667" s="358"/>
      <c r="Z667" s="358"/>
    </row>
    <row r="668" spans="1:26" ht="13.5" customHeight="1">
      <c r="A668" s="358"/>
      <c r="B668" s="358"/>
      <c r="C668" s="358"/>
      <c r="D668" s="358"/>
      <c r="E668" s="358"/>
      <c r="F668" s="358"/>
      <c r="G668" s="358"/>
      <c r="H668" s="358"/>
      <c r="I668" s="358"/>
      <c r="J668" s="358"/>
      <c r="K668" s="358"/>
      <c r="L668" s="358"/>
      <c r="M668" s="358"/>
      <c r="N668" s="358"/>
      <c r="O668" s="358"/>
      <c r="P668" s="358"/>
      <c r="Q668" s="358"/>
      <c r="R668" s="358"/>
      <c r="S668" s="358"/>
      <c r="T668" s="358"/>
      <c r="U668" s="358"/>
      <c r="V668" s="358"/>
      <c r="W668" s="358"/>
      <c r="X668" s="358"/>
      <c r="Y668" s="358"/>
      <c r="Z668" s="358"/>
    </row>
    <row r="669" spans="1:26" ht="13.5" customHeight="1">
      <c r="A669" s="358"/>
      <c r="B669" s="358"/>
      <c r="C669" s="358"/>
      <c r="D669" s="358"/>
      <c r="E669" s="358"/>
      <c r="F669" s="358"/>
      <c r="G669" s="358"/>
      <c r="H669" s="358"/>
      <c r="I669" s="358"/>
      <c r="J669" s="358"/>
      <c r="K669" s="358"/>
      <c r="L669" s="358"/>
      <c r="M669" s="358"/>
      <c r="N669" s="358"/>
      <c r="O669" s="358"/>
      <c r="P669" s="358"/>
      <c r="Q669" s="358"/>
      <c r="R669" s="358"/>
      <c r="S669" s="358"/>
      <c r="T669" s="358"/>
      <c r="U669" s="358"/>
      <c r="V669" s="358"/>
      <c r="W669" s="358"/>
      <c r="X669" s="358"/>
      <c r="Y669" s="358"/>
      <c r="Z669" s="358"/>
    </row>
    <row r="670" spans="1:26" ht="13.5" customHeight="1">
      <c r="A670" s="358"/>
      <c r="B670" s="358"/>
      <c r="C670" s="358"/>
      <c r="D670" s="358"/>
      <c r="E670" s="358"/>
      <c r="F670" s="358"/>
      <c r="G670" s="358"/>
      <c r="H670" s="358"/>
      <c r="I670" s="358"/>
      <c r="J670" s="358"/>
      <c r="K670" s="358"/>
      <c r="L670" s="358"/>
      <c r="M670" s="358"/>
      <c r="N670" s="358"/>
      <c r="O670" s="358"/>
      <c r="P670" s="358"/>
      <c r="Q670" s="358"/>
      <c r="R670" s="358"/>
      <c r="S670" s="358"/>
      <c r="T670" s="358"/>
      <c r="U670" s="358"/>
      <c r="V670" s="358"/>
      <c r="W670" s="358"/>
      <c r="X670" s="358"/>
      <c r="Y670" s="358"/>
      <c r="Z670" s="358"/>
    </row>
    <row r="671" spans="1:26" ht="13.5" customHeight="1">
      <c r="A671" s="358"/>
      <c r="B671" s="358"/>
      <c r="C671" s="358"/>
      <c r="D671" s="358"/>
      <c r="E671" s="358"/>
      <c r="F671" s="358"/>
      <c r="G671" s="358"/>
      <c r="H671" s="358"/>
      <c r="I671" s="358"/>
      <c r="J671" s="358"/>
      <c r="K671" s="358"/>
      <c r="L671" s="358"/>
      <c r="M671" s="358"/>
      <c r="N671" s="358"/>
      <c r="O671" s="358"/>
      <c r="P671" s="358"/>
      <c r="Q671" s="358"/>
      <c r="R671" s="358"/>
      <c r="S671" s="358"/>
      <c r="T671" s="358"/>
      <c r="U671" s="358"/>
      <c r="V671" s="358"/>
      <c r="W671" s="358"/>
      <c r="X671" s="358"/>
      <c r="Y671" s="358"/>
      <c r="Z671" s="358"/>
    </row>
    <row r="672" spans="1:26" ht="13.5" customHeight="1">
      <c r="A672" s="358"/>
      <c r="B672" s="358"/>
      <c r="C672" s="358"/>
      <c r="D672" s="358"/>
      <c r="E672" s="358"/>
      <c r="F672" s="358"/>
      <c r="G672" s="358"/>
      <c r="H672" s="358"/>
      <c r="I672" s="358"/>
      <c r="J672" s="358"/>
      <c r="K672" s="358"/>
      <c r="L672" s="358"/>
      <c r="M672" s="358"/>
      <c r="N672" s="358"/>
      <c r="O672" s="358"/>
      <c r="P672" s="358"/>
      <c r="Q672" s="358"/>
      <c r="R672" s="358"/>
      <c r="S672" s="358"/>
      <c r="T672" s="358"/>
      <c r="U672" s="358"/>
      <c r="V672" s="358"/>
      <c r="W672" s="358"/>
      <c r="X672" s="358"/>
      <c r="Y672" s="358"/>
      <c r="Z672" s="358"/>
    </row>
    <row r="673" spans="1:26" ht="13.5" customHeight="1">
      <c r="A673" s="358"/>
      <c r="B673" s="358"/>
      <c r="C673" s="358"/>
      <c r="D673" s="358"/>
      <c r="E673" s="358"/>
      <c r="F673" s="358"/>
      <c r="G673" s="358"/>
      <c r="H673" s="358"/>
      <c r="I673" s="358"/>
      <c r="J673" s="358"/>
      <c r="K673" s="358"/>
      <c r="L673" s="358"/>
      <c r="M673" s="358"/>
      <c r="N673" s="358"/>
      <c r="O673" s="358"/>
      <c r="P673" s="358"/>
      <c r="Q673" s="358"/>
      <c r="R673" s="358"/>
      <c r="S673" s="358"/>
      <c r="T673" s="358"/>
      <c r="U673" s="358"/>
      <c r="V673" s="358"/>
      <c r="W673" s="358"/>
      <c r="X673" s="358"/>
      <c r="Y673" s="358"/>
      <c r="Z673" s="358"/>
    </row>
    <row r="674" spans="1:26" ht="13.5" customHeight="1">
      <c r="A674" s="358"/>
      <c r="B674" s="358"/>
      <c r="C674" s="358"/>
      <c r="D674" s="358"/>
      <c r="E674" s="358"/>
      <c r="F674" s="358"/>
      <c r="G674" s="358"/>
      <c r="H674" s="358"/>
      <c r="I674" s="358"/>
      <c r="J674" s="358"/>
      <c r="K674" s="358"/>
      <c r="L674" s="358"/>
      <c r="M674" s="358"/>
      <c r="N674" s="358"/>
      <c r="O674" s="358"/>
      <c r="P674" s="358"/>
      <c r="Q674" s="358"/>
      <c r="R674" s="358"/>
      <c r="S674" s="358"/>
      <c r="T674" s="358"/>
      <c r="U674" s="358"/>
      <c r="V674" s="358"/>
      <c r="W674" s="358"/>
      <c r="X674" s="358"/>
      <c r="Y674" s="358"/>
      <c r="Z674" s="358"/>
    </row>
    <row r="675" spans="1:26" ht="13.5" customHeight="1">
      <c r="A675" s="358"/>
      <c r="B675" s="358"/>
      <c r="C675" s="358"/>
      <c r="D675" s="358"/>
      <c r="E675" s="358"/>
      <c r="F675" s="358"/>
      <c r="G675" s="358"/>
      <c r="H675" s="358"/>
      <c r="I675" s="358"/>
      <c r="J675" s="358"/>
      <c r="K675" s="358"/>
      <c r="L675" s="358"/>
      <c r="M675" s="358"/>
      <c r="N675" s="358"/>
      <c r="O675" s="358"/>
      <c r="P675" s="358"/>
      <c r="Q675" s="358"/>
      <c r="R675" s="358"/>
      <c r="S675" s="358"/>
      <c r="T675" s="358"/>
      <c r="U675" s="358"/>
      <c r="V675" s="358"/>
      <c r="W675" s="358"/>
      <c r="X675" s="358"/>
      <c r="Y675" s="358"/>
      <c r="Z675" s="358"/>
    </row>
    <row r="676" spans="1:26" ht="13.5" customHeight="1">
      <c r="A676" s="358"/>
      <c r="B676" s="358"/>
      <c r="C676" s="358"/>
      <c r="D676" s="358"/>
      <c r="E676" s="358"/>
      <c r="F676" s="358"/>
      <c r="G676" s="358"/>
      <c r="H676" s="358"/>
      <c r="I676" s="358"/>
      <c r="J676" s="358"/>
      <c r="K676" s="358"/>
      <c r="L676" s="358"/>
      <c r="M676" s="358"/>
      <c r="N676" s="358"/>
      <c r="O676" s="358"/>
      <c r="P676" s="358"/>
      <c r="Q676" s="358"/>
      <c r="R676" s="358"/>
      <c r="S676" s="358"/>
      <c r="T676" s="358"/>
      <c r="U676" s="358"/>
      <c r="V676" s="358"/>
      <c r="W676" s="358"/>
      <c r="X676" s="358"/>
      <c r="Y676" s="358"/>
      <c r="Z676" s="358"/>
    </row>
    <row r="677" spans="1:26" ht="13.5" customHeight="1">
      <c r="A677" s="358"/>
      <c r="B677" s="358"/>
      <c r="C677" s="358"/>
      <c r="D677" s="358"/>
      <c r="E677" s="358"/>
      <c r="F677" s="358"/>
      <c r="G677" s="358"/>
      <c r="H677" s="358"/>
      <c r="I677" s="358"/>
      <c r="J677" s="358"/>
      <c r="K677" s="358"/>
      <c r="L677" s="358"/>
      <c r="M677" s="358"/>
      <c r="N677" s="358"/>
      <c r="O677" s="358"/>
      <c r="P677" s="358"/>
      <c r="Q677" s="358"/>
      <c r="R677" s="358"/>
      <c r="S677" s="358"/>
      <c r="T677" s="358"/>
      <c r="U677" s="358"/>
      <c r="V677" s="358"/>
      <c r="W677" s="358"/>
      <c r="X677" s="358"/>
      <c r="Y677" s="358"/>
      <c r="Z677" s="358"/>
    </row>
    <row r="678" spans="1:26" ht="13.5" customHeight="1">
      <c r="A678" s="358"/>
      <c r="B678" s="358"/>
      <c r="C678" s="358"/>
      <c r="D678" s="358"/>
      <c r="E678" s="358"/>
      <c r="F678" s="358"/>
      <c r="G678" s="358"/>
      <c r="H678" s="358"/>
      <c r="I678" s="358"/>
      <c r="J678" s="358"/>
      <c r="K678" s="358"/>
      <c r="L678" s="358"/>
      <c r="M678" s="358"/>
      <c r="N678" s="358"/>
      <c r="O678" s="358"/>
      <c r="P678" s="358"/>
      <c r="Q678" s="358"/>
      <c r="R678" s="358"/>
      <c r="S678" s="358"/>
      <c r="T678" s="358"/>
      <c r="U678" s="358"/>
      <c r="V678" s="358"/>
      <c r="W678" s="358"/>
      <c r="X678" s="358"/>
      <c r="Y678" s="358"/>
      <c r="Z678" s="358"/>
    </row>
    <row r="679" spans="1:26" ht="13.5" customHeight="1">
      <c r="A679" s="358"/>
      <c r="B679" s="358"/>
      <c r="C679" s="358"/>
      <c r="D679" s="358"/>
      <c r="E679" s="358"/>
      <c r="F679" s="358"/>
      <c r="G679" s="358"/>
      <c r="H679" s="358"/>
      <c r="I679" s="358"/>
      <c r="J679" s="358"/>
      <c r="K679" s="358"/>
      <c r="L679" s="358"/>
      <c r="M679" s="358"/>
      <c r="N679" s="358"/>
      <c r="O679" s="358"/>
      <c r="P679" s="358"/>
      <c r="Q679" s="358"/>
      <c r="R679" s="358"/>
      <c r="S679" s="358"/>
      <c r="T679" s="358"/>
      <c r="U679" s="358"/>
      <c r="V679" s="358"/>
      <c r="W679" s="358"/>
      <c r="X679" s="358"/>
      <c r="Y679" s="358"/>
      <c r="Z679" s="358"/>
    </row>
    <row r="680" spans="1:26" ht="13.5" customHeight="1">
      <c r="A680" s="358"/>
      <c r="B680" s="358"/>
      <c r="C680" s="358"/>
      <c r="D680" s="358"/>
      <c r="E680" s="358"/>
      <c r="F680" s="358"/>
      <c r="G680" s="358"/>
      <c r="H680" s="358"/>
      <c r="I680" s="358"/>
      <c r="J680" s="358"/>
      <c r="K680" s="358"/>
      <c r="L680" s="358"/>
      <c r="M680" s="358"/>
      <c r="N680" s="358"/>
      <c r="O680" s="358"/>
      <c r="P680" s="358"/>
      <c r="Q680" s="358"/>
      <c r="R680" s="358"/>
      <c r="S680" s="358"/>
      <c r="T680" s="358"/>
      <c r="U680" s="358"/>
      <c r="V680" s="358"/>
      <c r="W680" s="358"/>
      <c r="X680" s="358"/>
      <c r="Y680" s="358"/>
      <c r="Z680" s="358"/>
    </row>
    <row r="681" spans="1:26" ht="13.5" customHeight="1">
      <c r="A681" s="358"/>
      <c r="B681" s="358"/>
      <c r="C681" s="358"/>
      <c r="D681" s="358"/>
      <c r="E681" s="358"/>
      <c r="F681" s="358"/>
      <c r="G681" s="358"/>
      <c r="H681" s="358"/>
      <c r="I681" s="358"/>
      <c r="J681" s="358"/>
      <c r="K681" s="358"/>
      <c r="L681" s="358"/>
      <c r="M681" s="358"/>
      <c r="N681" s="358"/>
      <c r="O681" s="358"/>
      <c r="P681" s="358"/>
      <c r="Q681" s="358"/>
      <c r="R681" s="358"/>
      <c r="S681" s="358"/>
      <c r="T681" s="358"/>
      <c r="U681" s="358"/>
      <c r="V681" s="358"/>
      <c r="W681" s="358"/>
      <c r="X681" s="358"/>
      <c r="Y681" s="358"/>
      <c r="Z681" s="358"/>
    </row>
    <row r="682" spans="1:26" ht="13.5" customHeight="1">
      <c r="A682" s="358"/>
      <c r="B682" s="358"/>
      <c r="C682" s="358"/>
      <c r="D682" s="358"/>
      <c r="E682" s="358"/>
      <c r="F682" s="358"/>
      <c r="G682" s="358"/>
      <c r="H682" s="358"/>
      <c r="I682" s="358"/>
      <c r="J682" s="358"/>
      <c r="K682" s="358"/>
      <c r="L682" s="358"/>
      <c r="M682" s="358"/>
      <c r="N682" s="358"/>
      <c r="O682" s="358"/>
      <c r="P682" s="358"/>
      <c r="Q682" s="358"/>
      <c r="R682" s="358"/>
      <c r="S682" s="358"/>
      <c r="T682" s="358"/>
      <c r="U682" s="358"/>
      <c r="V682" s="358"/>
      <c r="W682" s="358"/>
      <c r="X682" s="358"/>
      <c r="Y682" s="358"/>
      <c r="Z682" s="358"/>
    </row>
    <row r="683" spans="1:26" ht="13.5" customHeight="1">
      <c r="A683" s="358"/>
      <c r="B683" s="358"/>
      <c r="C683" s="358"/>
      <c r="D683" s="358"/>
      <c r="E683" s="358"/>
      <c r="F683" s="358"/>
      <c r="G683" s="358"/>
      <c r="H683" s="358"/>
      <c r="I683" s="358"/>
      <c r="J683" s="358"/>
      <c r="K683" s="358"/>
      <c r="L683" s="358"/>
      <c r="M683" s="358"/>
      <c r="N683" s="358"/>
      <c r="O683" s="358"/>
      <c r="P683" s="358"/>
      <c r="Q683" s="358"/>
      <c r="R683" s="358"/>
      <c r="S683" s="358"/>
      <c r="T683" s="358"/>
      <c r="U683" s="358"/>
      <c r="V683" s="358"/>
      <c r="W683" s="358"/>
      <c r="X683" s="358"/>
      <c r="Y683" s="358"/>
      <c r="Z683" s="358"/>
    </row>
    <row r="684" spans="1:26" ht="13.5" customHeight="1">
      <c r="A684" s="358"/>
      <c r="B684" s="358"/>
      <c r="C684" s="358"/>
      <c r="D684" s="358"/>
      <c r="E684" s="358"/>
      <c r="F684" s="358"/>
      <c r="G684" s="358"/>
      <c r="H684" s="358"/>
      <c r="I684" s="358"/>
      <c r="J684" s="358"/>
      <c r="K684" s="358"/>
      <c r="L684" s="358"/>
      <c r="M684" s="358"/>
      <c r="N684" s="358"/>
      <c r="O684" s="358"/>
      <c r="P684" s="358"/>
      <c r="Q684" s="358"/>
      <c r="R684" s="358"/>
      <c r="S684" s="358"/>
      <c r="T684" s="358"/>
      <c r="U684" s="358"/>
      <c r="V684" s="358"/>
      <c r="W684" s="358"/>
      <c r="X684" s="358"/>
      <c r="Y684" s="358"/>
      <c r="Z684" s="358"/>
    </row>
    <row r="685" spans="1:26" ht="13.5" customHeight="1">
      <c r="A685" s="358"/>
      <c r="B685" s="358"/>
      <c r="C685" s="358"/>
      <c r="D685" s="358"/>
      <c r="E685" s="358"/>
      <c r="F685" s="358"/>
      <c r="G685" s="358"/>
      <c r="H685" s="358"/>
      <c r="I685" s="358"/>
      <c r="J685" s="358"/>
      <c r="K685" s="358"/>
      <c r="L685" s="358"/>
      <c r="M685" s="358"/>
      <c r="N685" s="358"/>
      <c r="O685" s="358"/>
      <c r="P685" s="358"/>
      <c r="Q685" s="358"/>
      <c r="R685" s="358"/>
      <c r="S685" s="358"/>
      <c r="T685" s="358"/>
      <c r="U685" s="358"/>
      <c r="V685" s="358"/>
      <c r="W685" s="358"/>
      <c r="X685" s="358"/>
      <c r="Y685" s="358"/>
      <c r="Z685" s="358"/>
    </row>
    <row r="686" spans="1:26" ht="13.5" customHeight="1">
      <c r="A686" s="358"/>
      <c r="B686" s="358"/>
      <c r="C686" s="358"/>
      <c r="D686" s="358"/>
      <c r="E686" s="358"/>
      <c r="F686" s="358"/>
      <c r="G686" s="358"/>
      <c r="H686" s="358"/>
      <c r="I686" s="358"/>
      <c r="J686" s="358"/>
      <c r="K686" s="358"/>
      <c r="L686" s="358"/>
      <c r="M686" s="358"/>
      <c r="N686" s="358"/>
      <c r="O686" s="358"/>
      <c r="P686" s="358"/>
      <c r="Q686" s="358"/>
      <c r="R686" s="358"/>
      <c r="S686" s="358"/>
      <c r="T686" s="358"/>
      <c r="U686" s="358"/>
      <c r="V686" s="358"/>
      <c r="W686" s="358"/>
      <c r="X686" s="358"/>
      <c r="Y686" s="358"/>
      <c r="Z686" s="358"/>
    </row>
    <row r="687" spans="1:26" ht="13.5" customHeight="1">
      <c r="A687" s="358"/>
      <c r="B687" s="358"/>
      <c r="C687" s="358"/>
      <c r="D687" s="358"/>
      <c r="E687" s="358"/>
      <c r="F687" s="358"/>
      <c r="G687" s="358"/>
      <c r="H687" s="358"/>
      <c r="I687" s="358"/>
      <c r="J687" s="358"/>
      <c r="K687" s="358"/>
      <c r="L687" s="358"/>
      <c r="M687" s="358"/>
      <c r="N687" s="358"/>
      <c r="O687" s="358"/>
      <c r="P687" s="358"/>
      <c r="Q687" s="358"/>
      <c r="R687" s="358"/>
      <c r="S687" s="358"/>
      <c r="T687" s="358"/>
      <c r="U687" s="358"/>
      <c r="V687" s="358"/>
      <c r="W687" s="358"/>
      <c r="X687" s="358"/>
      <c r="Y687" s="358"/>
      <c r="Z687" s="358"/>
    </row>
    <row r="688" spans="1:26" ht="13.5" customHeight="1">
      <c r="A688" s="358"/>
      <c r="B688" s="358"/>
      <c r="C688" s="358"/>
      <c r="D688" s="358"/>
      <c r="E688" s="358"/>
      <c r="F688" s="358"/>
      <c r="G688" s="358"/>
      <c r="H688" s="358"/>
      <c r="I688" s="358"/>
      <c r="J688" s="358"/>
      <c r="K688" s="358"/>
      <c r="L688" s="358"/>
      <c r="M688" s="358"/>
      <c r="N688" s="358"/>
      <c r="O688" s="358"/>
      <c r="P688" s="358"/>
      <c r="Q688" s="358"/>
      <c r="R688" s="358"/>
      <c r="S688" s="358"/>
      <c r="T688" s="358"/>
      <c r="U688" s="358"/>
      <c r="V688" s="358"/>
      <c r="W688" s="358"/>
      <c r="X688" s="358"/>
      <c r="Y688" s="358"/>
      <c r="Z688" s="358"/>
    </row>
    <row r="689" spans="1:26" ht="13.5" customHeight="1">
      <c r="A689" s="358"/>
      <c r="B689" s="358"/>
      <c r="C689" s="358"/>
      <c r="D689" s="358"/>
      <c r="E689" s="358"/>
      <c r="F689" s="358"/>
      <c r="G689" s="358"/>
      <c r="H689" s="358"/>
      <c r="I689" s="358"/>
      <c r="J689" s="358"/>
      <c r="K689" s="358"/>
      <c r="L689" s="358"/>
      <c r="M689" s="358"/>
      <c r="N689" s="358"/>
      <c r="O689" s="358"/>
      <c r="P689" s="358"/>
      <c r="Q689" s="358"/>
      <c r="R689" s="358"/>
      <c r="S689" s="358"/>
      <c r="T689" s="358"/>
      <c r="U689" s="358"/>
      <c r="V689" s="358"/>
      <c r="W689" s="358"/>
      <c r="X689" s="358"/>
      <c r="Y689" s="358"/>
      <c r="Z689" s="358"/>
    </row>
    <row r="690" spans="1:26" ht="13.5" customHeight="1">
      <c r="A690" s="358"/>
      <c r="B690" s="358"/>
      <c r="C690" s="358"/>
      <c r="D690" s="358"/>
      <c r="E690" s="358"/>
      <c r="F690" s="358"/>
      <c r="G690" s="358"/>
      <c r="H690" s="358"/>
      <c r="I690" s="358"/>
      <c r="J690" s="358"/>
      <c r="K690" s="358"/>
      <c r="L690" s="358"/>
      <c r="M690" s="358"/>
      <c r="N690" s="358"/>
      <c r="O690" s="358"/>
      <c r="P690" s="358"/>
      <c r="Q690" s="358"/>
      <c r="R690" s="358"/>
      <c r="S690" s="358"/>
      <c r="T690" s="358"/>
      <c r="U690" s="358"/>
      <c r="V690" s="358"/>
      <c r="W690" s="358"/>
      <c r="X690" s="358"/>
      <c r="Y690" s="358"/>
      <c r="Z690" s="358"/>
    </row>
    <row r="691" spans="1:26" ht="13.5" customHeight="1">
      <c r="A691" s="358"/>
      <c r="B691" s="358"/>
      <c r="C691" s="358"/>
      <c r="D691" s="358"/>
      <c r="E691" s="358"/>
      <c r="F691" s="358"/>
      <c r="G691" s="358"/>
      <c r="H691" s="358"/>
      <c r="I691" s="358"/>
      <c r="J691" s="358"/>
      <c r="K691" s="358"/>
      <c r="L691" s="358"/>
      <c r="M691" s="358"/>
      <c r="N691" s="358"/>
      <c r="O691" s="358"/>
      <c r="P691" s="358"/>
      <c r="Q691" s="358"/>
      <c r="R691" s="358"/>
      <c r="S691" s="358"/>
      <c r="T691" s="358"/>
      <c r="U691" s="358"/>
      <c r="V691" s="358"/>
      <c r="W691" s="358"/>
      <c r="X691" s="358"/>
      <c r="Y691" s="358"/>
      <c r="Z691" s="358"/>
    </row>
    <row r="692" spans="1:26" ht="13.5" customHeight="1">
      <c r="A692" s="358"/>
      <c r="B692" s="358"/>
      <c r="C692" s="358"/>
      <c r="D692" s="358"/>
      <c r="E692" s="358"/>
      <c r="F692" s="358"/>
      <c r="G692" s="358"/>
      <c r="H692" s="358"/>
      <c r="I692" s="358"/>
      <c r="J692" s="358"/>
      <c r="K692" s="358"/>
      <c r="L692" s="358"/>
      <c r="M692" s="358"/>
      <c r="N692" s="358"/>
      <c r="O692" s="358"/>
      <c r="P692" s="358"/>
      <c r="Q692" s="358"/>
      <c r="R692" s="358"/>
      <c r="S692" s="358"/>
      <c r="T692" s="358"/>
      <c r="U692" s="358"/>
      <c r="V692" s="358"/>
      <c r="W692" s="358"/>
      <c r="X692" s="358"/>
      <c r="Y692" s="358"/>
      <c r="Z692" s="358"/>
    </row>
    <row r="693" spans="1:26" ht="13.5" customHeight="1">
      <c r="A693" s="358"/>
      <c r="B693" s="358"/>
      <c r="C693" s="358"/>
      <c r="D693" s="358"/>
      <c r="E693" s="358"/>
      <c r="F693" s="358"/>
      <c r="G693" s="358"/>
      <c r="H693" s="358"/>
      <c r="I693" s="358"/>
      <c r="J693" s="358"/>
      <c r="K693" s="358"/>
      <c r="L693" s="358"/>
      <c r="M693" s="358"/>
      <c r="N693" s="358"/>
      <c r="O693" s="358"/>
      <c r="P693" s="358"/>
      <c r="Q693" s="358"/>
      <c r="R693" s="358"/>
      <c r="S693" s="358"/>
      <c r="T693" s="358"/>
      <c r="U693" s="358"/>
      <c r="V693" s="358"/>
      <c r="W693" s="358"/>
      <c r="X693" s="358"/>
      <c r="Y693" s="358"/>
      <c r="Z693" s="358"/>
    </row>
    <row r="694" spans="1:26" ht="13.5" customHeight="1">
      <c r="A694" s="358"/>
      <c r="B694" s="358"/>
      <c r="C694" s="358"/>
      <c r="D694" s="358"/>
      <c r="E694" s="358"/>
      <c r="F694" s="358"/>
      <c r="G694" s="358"/>
      <c r="H694" s="358"/>
      <c r="I694" s="358"/>
      <c r="J694" s="358"/>
      <c r="K694" s="358"/>
      <c r="L694" s="358"/>
      <c r="M694" s="358"/>
      <c r="N694" s="358"/>
      <c r="O694" s="358"/>
      <c r="P694" s="358"/>
      <c r="Q694" s="358"/>
      <c r="R694" s="358"/>
      <c r="S694" s="358"/>
      <c r="T694" s="358"/>
      <c r="U694" s="358"/>
      <c r="V694" s="358"/>
      <c r="W694" s="358"/>
      <c r="X694" s="358"/>
      <c r="Y694" s="358"/>
      <c r="Z694" s="358"/>
    </row>
    <row r="695" spans="1:26" ht="13.5" customHeight="1">
      <c r="A695" s="358"/>
      <c r="B695" s="358"/>
      <c r="C695" s="358"/>
      <c r="D695" s="358"/>
      <c r="E695" s="358"/>
      <c r="F695" s="358"/>
      <c r="G695" s="358"/>
      <c r="H695" s="358"/>
      <c r="I695" s="358"/>
      <c r="J695" s="358"/>
      <c r="K695" s="358"/>
      <c r="L695" s="358"/>
      <c r="M695" s="358"/>
      <c r="N695" s="358"/>
      <c r="O695" s="358"/>
      <c r="P695" s="358"/>
      <c r="Q695" s="358"/>
      <c r="R695" s="358"/>
      <c r="S695" s="358"/>
      <c r="T695" s="358"/>
      <c r="U695" s="358"/>
      <c r="V695" s="358"/>
      <c r="W695" s="358"/>
      <c r="X695" s="358"/>
      <c r="Y695" s="358"/>
      <c r="Z695" s="358"/>
    </row>
    <row r="696" spans="1:26" ht="13.5" customHeight="1">
      <c r="A696" s="358"/>
      <c r="B696" s="358"/>
      <c r="C696" s="358"/>
      <c r="D696" s="358"/>
      <c r="E696" s="358"/>
      <c r="F696" s="358"/>
      <c r="G696" s="358"/>
      <c r="H696" s="358"/>
      <c r="I696" s="358"/>
      <c r="J696" s="358"/>
      <c r="K696" s="358"/>
      <c r="L696" s="358"/>
      <c r="M696" s="358"/>
      <c r="N696" s="358"/>
      <c r="O696" s="358"/>
      <c r="P696" s="358"/>
      <c r="Q696" s="358"/>
      <c r="R696" s="358"/>
      <c r="S696" s="358"/>
      <c r="T696" s="358"/>
      <c r="U696" s="358"/>
      <c r="V696" s="358"/>
      <c r="W696" s="358"/>
      <c r="X696" s="358"/>
      <c r="Y696" s="358"/>
      <c r="Z696" s="358"/>
    </row>
    <row r="697" spans="1:26" ht="13.5" customHeight="1">
      <c r="A697" s="358"/>
      <c r="B697" s="358"/>
      <c r="C697" s="358"/>
      <c r="D697" s="358"/>
      <c r="E697" s="358"/>
      <c r="F697" s="358"/>
      <c r="G697" s="358"/>
      <c r="H697" s="358"/>
      <c r="I697" s="358"/>
      <c r="J697" s="358"/>
      <c r="K697" s="358"/>
      <c r="L697" s="358"/>
      <c r="M697" s="358"/>
      <c r="N697" s="358"/>
      <c r="O697" s="358"/>
      <c r="P697" s="358"/>
      <c r="Q697" s="358"/>
      <c r="R697" s="358"/>
      <c r="S697" s="358"/>
      <c r="T697" s="358"/>
      <c r="U697" s="358"/>
      <c r="V697" s="358"/>
      <c r="W697" s="358"/>
      <c r="X697" s="358"/>
      <c r="Y697" s="358"/>
      <c r="Z697" s="358"/>
    </row>
    <row r="698" spans="1:26" ht="13.5" customHeight="1">
      <c r="A698" s="358"/>
      <c r="B698" s="358"/>
      <c r="C698" s="358"/>
      <c r="D698" s="358"/>
      <c r="E698" s="358"/>
      <c r="F698" s="358"/>
      <c r="G698" s="358"/>
      <c r="H698" s="358"/>
      <c r="I698" s="358"/>
      <c r="J698" s="358"/>
      <c r="K698" s="358"/>
      <c r="L698" s="358"/>
      <c r="M698" s="358"/>
      <c r="N698" s="358"/>
      <c r="O698" s="358"/>
      <c r="P698" s="358"/>
      <c r="Q698" s="358"/>
      <c r="R698" s="358"/>
      <c r="S698" s="358"/>
      <c r="T698" s="358"/>
      <c r="U698" s="358"/>
      <c r="V698" s="358"/>
      <c r="W698" s="358"/>
      <c r="X698" s="358"/>
      <c r="Y698" s="358"/>
      <c r="Z698" s="358"/>
    </row>
    <row r="699" spans="1:26" ht="13.5" customHeight="1">
      <c r="A699" s="358"/>
      <c r="B699" s="358"/>
      <c r="C699" s="358"/>
      <c r="D699" s="358"/>
      <c r="E699" s="358"/>
      <c r="F699" s="358"/>
      <c r="G699" s="358"/>
      <c r="H699" s="358"/>
      <c r="I699" s="358"/>
      <c r="J699" s="358"/>
      <c r="K699" s="358"/>
      <c r="L699" s="358"/>
      <c r="M699" s="358"/>
      <c r="N699" s="358"/>
      <c r="O699" s="358"/>
      <c r="P699" s="358"/>
      <c r="Q699" s="358"/>
      <c r="R699" s="358"/>
      <c r="S699" s="358"/>
      <c r="T699" s="358"/>
      <c r="U699" s="358"/>
      <c r="V699" s="358"/>
      <c r="W699" s="358"/>
      <c r="X699" s="358"/>
      <c r="Y699" s="358"/>
      <c r="Z699" s="358"/>
    </row>
    <row r="700" spans="1:26" ht="13.5" customHeight="1">
      <c r="A700" s="358"/>
      <c r="B700" s="358"/>
      <c r="C700" s="358"/>
      <c r="D700" s="358"/>
      <c r="E700" s="358"/>
      <c r="F700" s="358"/>
      <c r="G700" s="358"/>
      <c r="H700" s="358"/>
      <c r="I700" s="358"/>
      <c r="J700" s="358"/>
      <c r="K700" s="358"/>
      <c r="L700" s="358"/>
      <c r="M700" s="358"/>
      <c r="N700" s="358"/>
      <c r="O700" s="358"/>
      <c r="P700" s="358"/>
      <c r="Q700" s="358"/>
      <c r="R700" s="358"/>
      <c r="S700" s="358"/>
      <c r="T700" s="358"/>
      <c r="U700" s="358"/>
      <c r="V700" s="358"/>
      <c r="W700" s="358"/>
      <c r="X700" s="358"/>
      <c r="Y700" s="358"/>
      <c r="Z700" s="358"/>
    </row>
    <row r="701" spans="1:26" ht="13.5" customHeight="1">
      <c r="A701" s="358"/>
      <c r="B701" s="358"/>
      <c r="C701" s="358"/>
      <c r="D701" s="358"/>
      <c r="E701" s="358"/>
      <c r="F701" s="358"/>
      <c r="G701" s="358"/>
      <c r="H701" s="358"/>
      <c r="I701" s="358"/>
      <c r="J701" s="358"/>
      <c r="K701" s="358"/>
      <c r="L701" s="358"/>
      <c r="M701" s="358"/>
      <c r="N701" s="358"/>
      <c r="O701" s="358"/>
      <c r="P701" s="358"/>
      <c r="Q701" s="358"/>
      <c r="R701" s="358"/>
      <c r="S701" s="358"/>
      <c r="T701" s="358"/>
      <c r="U701" s="358"/>
      <c r="V701" s="358"/>
      <c r="W701" s="358"/>
      <c r="X701" s="358"/>
      <c r="Y701" s="358"/>
      <c r="Z701" s="358"/>
    </row>
    <row r="702" spans="1:26" ht="13.5" customHeight="1">
      <c r="A702" s="358"/>
      <c r="B702" s="358"/>
      <c r="C702" s="358"/>
      <c r="D702" s="358"/>
      <c r="E702" s="358"/>
      <c r="F702" s="358"/>
      <c r="G702" s="358"/>
      <c r="H702" s="358"/>
      <c r="I702" s="358"/>
      <c r="J702" s="358"/>
      <c r="K702" s="358"/>
      <c r="L702" s="358"/>
      <c r="M702" s="358"/>
      <c r="N702" s="358"/>
      <c r="O702" s="358"/>
      <c r="P702" s="358"/>
      <c r="Q702" s="358"/>
      <c r="R702" s="358"/>
      <c r="S702" s="358"/>
      <c r="T702" s="358"/>
      <c r="U702" s="358"/>
      <c r="V702" s="358"/>
      <c r="W702" s="358"/>
      <c r="X702" s="358"/>
      <c r="Y702" s="358"/>
      <c r="Z702" s="358"/>
    </row>
    <row r="703" spans="1:26" ht="13.5" customHeight="1">
      <c r="A703" s="358"/>
      <c r="B703" s="358"/>
      <c r="C703" s="358"/>
      <c r="D703" s="358"/>
      <c r="E703" s="358"/>
      <c r="F703" s="358"/>
      <c r="G703" s="358"/>
      <c r="H703" s="358"/>
      <c r="I703" s="358"/>
      <c r="J703" s="358"/>
      <c r="K703" s="358"/>
      <c r="L703" s="358"/>
      <c r="M703" s="358"/>
      <c r="N703" s="358"/>
      <c r="O703" s="358"/>
      <c r="P703" s="358"/>
      <c r="Q703" s="358"/>
      <c r="R703" s="358"/>
      <c r="S703" s="358"/>
      <c r="T703" s="358"/>
      <c r="U703" s="358"/>
      <c r="V703" s="358"/>
      <c r="W703" s="358"/>
      <c r="X703" s="358"/>
      <c r="Y703" s="358"/>
      <c r="Z703" s="358"/>
    </row>
    <row r="704" spans="1:26" ht="13.5" customHeight="1">
      <c r="A704" s="358"/>
      <c r="B704" s="358"/>
      <c r="C704" s="358"/>
      <c r="D704" s="358"/>
      <c r="E704" s="358"/>
      <c r="F704" s="358"/>
      <c r="G704" s="358"/>
      <c r="H704" s="358"/>
      <c r="I704" s="358"/>
      <c r="J704" s="358"/>
      <c r="K704" s="358"/>
      <c r="L704" s="358"/>
      <c r="M704" s="358"/>
      <c r="N704" s="358"/>
      <c r="O704" s="358"/>
      <c r="P704" s="358"/>
      <c r="Q704" s="358"/>
      <c r="R704" s="358"/>
      <c r="S704" s="358"/>
      <c r="T704" s="358"/>
      <c r="U704" s="358"/>
      <c r="V704" s="358"/>
      <c r="W704" s="358"/>
      <c r="X704" s="358"/>
      <c r="Y704" s="358"/>
      <c r="Z704" s="358"/>
    </row>
    <row r="705" spans="1:26" ht="13.5" customHeight="1">
      <c r="A705" s="358"/>
      <c r="B705" s="358"/>
      <c r="C705" s="358"/>
      <c r="D705" s="358"/>
      <c r="E705" s="358"/>
      <c r="F705" s="358"/>
      <c r="G705" s="358"/>
      <c r="H705" s="358"/>
      <c r="I705" s="358"/>
      <c r="J705" s="358"/>
      <c r="K705" s="358"/>
      <c r="L705" s="358"/>
      <c r="M705" s="358"/>
      <c r="N705" s="358"/>
      <c r="O705" s="358"/>
      <c r="P705" s="358"/>
      <c r="Q705" s="358"/>
      <c r="R705" s="358"/>
      <c r="S705" s="358"/>
      <c r="T705" s="358"/>
      <c r="U705" s="358"/>
      <c r="V705" s="358"/>
      <c r="W705" s="358"/>
      <c r="X705" s="358"/>
      <c r="Y705" s="358"/>
      <c r="Z705" s="358"/>
    </row>
    <row r="706" spans="1:26" ht="13.5" customHeight="1">
      <c r="A706" s="358"/>
      <c r="B706" s="358"/>
      <c r="C706" s="358"/>
      <c r="D706" s="358"/>
      <c r="E706" s="358"/>
      <c r="F706" s="358"/>
      <c r="G706" s="358"/>
      <c r="H706" s="358"/>
      <c r="I706" s="358"/>
      <c r="J706" s="358"/>
      <c r="K706" s="358"/>
      <c r="L706" s="358"/>
      <c r="M706" s="358"/>
      <c r="N706" s="358"/>
      <c r="O706" s="358"/>
      <c r="P706" s="358"/>
      <c r="Q706" s="358"/>
      <c r="R706" s="358"/>
      <c r="S706" s="358"/>
      <c r="T706" s="358"/>
      <c r="U706" s="358"/>
      <c r="V706" s="358"/>
      <c r="W706" s="358"/>
      <c r="X706" s="358"/>
      <c r="Y706" s="358"/>
      <c r="Z706" s="358"/>
    </row>
    <row r="707" spans="1:26" ht="13.5" customHeight="1">
      <c r="A707" s="358"/>
      <c r="B707" s="358"/>
      <c r="C707" s="358"/>
      <c r="D707" s="358"/>
      <c r="E707" s="358"/>
      <c r="F707" s="358"/>
      <c r="G707" s="358"/>
      <c r="H707" s="358"/>
      <c r="I707" s="358"/>
      <c r="J707" s="358"/>
      <c r="K707" s="358"/>
      <c r="L707" s="358"/>
      <c r="M707" s="358"/>
      <c r="N707" s="358"/>
      <c r="O707" s="358"/>
      <c r="P707" s="358"/>
      <c r="Q707" s="358"/>
      <c r="R707" s="358"/>
      <c r="S707" s="358"/>
      <c r="T707" s="358"/>
      <c r="U707" s="358"/>
      <c r="V707" s="358"/>
      <c r="W707" s="358"/>
      <c r="X707" s="358"/>
      <c r="Y707" s="358"/>
      <c r="Z707" s="358"/>
    </row>
    <row r="708" spans="1:26" ht="13.5" customHeight="1">
      <c r="A708" s="358"/>
      <c r="B708" s="358"/>
      <c r="C708" s="358"/>
      <c r="D708" s="358"/>
      <c r="E708" s="358"/>
      <c r="F708" s="358"/>
      <c r="G708" s="358"/>
      <c r="H708" s="358"/>
      <c r="I708" s="358"/>
      <c r="J708" s="358"/>
      <c r="K708" s="358"/>
      <c r="L708" s="358"/>
      <c r="M708" s="358"/>
      <c r="N708" s="358"/>
      <c r="O708" s="358"/>
      <c r="P708" s="358"/>
      <c r="Q708" s="358"/>
      <c r="R708" s="358"/>
      <c r="S708" s="358"/>
      <c r="T708" s="358"/>
      <c r="U708" s="358"/>
      <c r="V708" s="358"/>
      <c r="W708" s="358"/>
      <c r="X708" s="358"/>
      <c r="Y708" s="358"/>
      <c r="Z708" s="358"/>
    </row>
    <row r="709" spans="1:26" ht="13.5" customHeight="1">
      <c r="A709" s="358"/>
      <c r="B709" s="358"/>
      <c r="C709" s="358"/>
      <c r="D709" s="358"/>
      <c r="E709" s="358"/>
      <c r="F709" s="358"/>
      <c r="G709" s="358"/>
      <c r="H709" s="358"/>
      <c r="I709" s="358"/>
      <c r="J709" s="358"/>
      <c r="K709" s="358"/>
      <c r="L709" s="358"/>
      <c r="M709" s="358"/>
      <c r="N709" s="358"/>
      <c r="O709" s="358"/>
      <c r="P709" s="358"/>
      <c r="Q709" s="358"/>
      <c r="R709" s="358"/>
      <c r="S709" s="358"/>
      <c r="T709" s="358"/>
      <c r="U709" s="358"/>
      <c r="V709" s="358"/>
      <c r="W709" s="358"/>
      <c r="X709" s="358"/>
      <c r="Y709" s="358"/>
      <c r="Z709" s="358"/>
    </row>
    <row r="710" spans="1:26" ht="13.5" customHeight="1">
      <c r="A710" s="358"/>
      <c r="B710" s="358"/>
      <c r="C710" s="358"/>
      <c r="D710" s="358"/>
      <c r="E710" s="358"/>
      <c r="F710" s="358"/>
      <c r="G710" s="358"/>
      <c r="H710" s="358"/>
      <c r="I710" s="358"/>
      <c r="J710" s="358"/>
      <c r="K710" s="358"/>
      <c r="L710" s="358"/>
      <c r="M710" s="358"/>
      <c r="N710" s="358"/>
      <c r="O710" s="358"/>
      <c r="P710" s="358"/>
      <c r="Q710" s="358"/>
      <c r="R710" s="358"/>
      <c r="S710" s="358"/>
      <c r="T710" s="358"/>
      <c r="U710" s="358"/>
      <c r="V710" s="358"/>
      <c r="W710" s="358"/>
      <c r="X710" s="358"/>
      <c r="Y710" s="358"/>
      <c r="Z710" s="358"/>
    </row>
    <row r="711" spans="1:26" ht="13.5" customHeight="1">
      <c r="A711" s="358"/>
      <c r="B711" s="358"/>
      <c r="C711" s="358"/>
      <c r="D711" s="358"/>
      <c r="E711" s="358"/>
      <c r="F711" s="358"/>
      <c r="G711" s="358"/>
      <c r="H711" s="358"/>
      <c r="I711" s="358"/>
      <c r="J711" s="358"/>
      <c r="K711" s="358"/>
      <c r="L711" s="358"/>
      <c r="M711" s="358"/>
      <c r="N711" s="358"/>
      <c r="O711" s="358"/>
      <c r="P711" s="358"/>
      <c r="Q711" s="358"/>
      <c r="R711" s="358"/>
      <c r="S711" s="358"/>
      <c r="T711" s="358"/>
      <c r="U711" s="358"/>
      <c r="V711" s="358"/>
      <c r="W711" s="358"/>
      <c r="X711" s="358"/>
      <c r="Y711" s="358"/>
      <c r="Z711" s="358"/>
    </row>
    <row r="712" spans="1:26" ht="13.5" customHeight="1">
      <c r="A712" s="358"/>
      <c r="B712" s="358"/>
      <c r="C712" s="358"/>
      <c r="D712" s="358"/>
      <c r="E712" s="358"/>
      <c r="F712" s="358"/>
      <c r="G712" s="358"/>
      <c r="H712" s="358"/>
      <c r="I712" s="358"/>
      <c r="J712" s="358"/>
      <c r="K712" s="358"/>
      <c r="L712" s="358"/>
      <c r="M712" s="358"/>
      <c r="N712" s="358"/>
      <c r="O712" s="358"/>
      <c r="P712" s="358"/>
      <c r="Q712" s="358"/>
      <c r="R712" s="358"/>
      <c r="S712" s="358"/>
      <c r="T712" s="358"/>
      <c r="U712" s="358"/>
      <c r="V712" s="358"/>
      <c r="W712" s="358"/>
      <c r="X712" s="358"/>
      <c r="Y712" s="358"/>
      <c r="Z712" s="358"/>
    </row>
    <row r="713" spans="1:26" ht="13.5" customHeight="1">
      <c r="A713" s="358"/>
      <c r="B713" s="358"/>
      <c r="C713" s="358"/>
      <c r="D713" s="358"/>
      <c r="E713" s="358"/>
      <c r="F713" s="358"/>
      <c r="G713" s="358"/>
      <c r="H713" s="358"/>
      <c r="I713" s="358"/>
      <c r="J713" s="358"/>
      <c r="K713" s="358"/>
      <c r="L713" s="358"/>
      <c r="M713" s="358"/>
      <c r="N713" s="358"/>
      <c r="O713" s="358"/>
      <c r="P713" s="358"/>
      <c r="Q713" s="358"/>
      <c r="R713" s="358"/>
      <c r="S713" s="358"/>
      <c r="T713" s="358"/>
      <c r="U713" s="358"/>
      <c r="V713" s="358"/>
      <c r="W713" s="358"/>
      <c r="X713" s="358"/>
      <c r="Y713" s="358"/>
      <c r="Z713" s="358"/>
    </row>
    <row r="714" spans="1:26" ht="13.5" customHeight="1">
      <c r="A714" s="358"/>
      <c r="B714" s="358"/>
      <c r="C714" s="358"/>
      <c r="D714" s="358"/>
      <c r="E714" s="358"/>
      <c r="F714" s="358"/>
      <c r="G714" s="358"/>
      <c r="H714" s="358"/>
      <c r="I714" s="358"/>
      <c r="J714" s="358"/>
      <c r="K714" s="358"/>
      <c r="L714" s="358"/>
      <c r="M714" s="358"/>
      <c r="N714" s="358"/>
      <c r="O714" s="358"/>
      <c r="P714" s="358"/>
      <c r="Q714" s="358"/>
      <c r="R714" s="358"/>
      <c r="S714" s="358"/>
      <c r="T714" s="358"/>
      <c r="U714" s="358"/>
      <c r="V714" s="358"/>
      <c r="W714" s="358"/>
      <c r="X714" s="358"/>
      <c r="Y714" s="358"/>
      <c r="Z714" s="358"/>
    </row>
    <row r="715" spans="1:26" ht="13.5" customHeight="1">
      <c r="A715" s="358"/>
      <c r="B715" s="358"/>
      <c r="C715" s="358"/>
      <c r="D715" s="358"/>
      <c r="E715" s="358"/>
      <c r="F715" s="358"/>
      <c r="G715" s="358"/>
      <c r="H715" s="358"/>
      <c r="I715" s="358"/>
      <c r="J715" s="358"/>
      <c r="K715" s="358"/>
      <c r="L715" s="358"/>
      <c r="M715" s="358"/>
      <c r="N715" s="358"/>
      <c r="O715" s="358"/>
      <c r="P715" s="358"/>
      <c r="Q715" s="358"/>
      <c r="R715" s="358"/>
      <c r="S715" s="358"/>
      <c r="T715" s="358"/>
      <c r="U715" s="358"/>
      <c r="V715" s="358"/>
      <c r="W715" s="358"/>
      <c r="X715" s="358"/>
      <c r="Y715" s="358"/>
      <c r="Z715" s="358"/>
    </row>
    <row r="716" spans="1:26" ht="13.5" customHeight="1">
      <c r="A716" s="358"/>
      <c r="B716" s="358"/>
      <c r="C716" s="358"/>
      <c r="D716" s="358"/>
      <c r="E716" s="358"/>
      <c r="F716" s="358"/>
      <c r="G716" s="358"/>
      <c r="H716" s="358"/>
      <c r="I716" s="358"/>
      <c r="J716" s="358"/>
      <c r="K716" s="358"/>
      <c r="L716" s="358"/>
      <c r="M716" s="358"/>
      <c r="N716" s="358"/>
      <c r="O716" s="358"/>
      <c r="P716" s="358"/>
      <c r="Q716" s="358"/>
      <c r="R716" s="358"/>
      <c r="S716" s="358"/>
      <c r="T716" s="358"/>
      <c r="U716" s="358"/>
      <c r="V716" s="358"/>
      <c r="W716" s="358"/>
      <c r="X716" s="358"/>
      <c r="Y716" s="358"/>
      <c r="Z716" s="358"/>
    </row>
    <row r="717" spans="1:26" ht="13.5" customHeight="1">
      <c r="A717" s="358"/>
      <c r="B717" s="358"/>
      <c r="C717" s="358"/>
      <c r="D717" s="358"/>
      <c r="E717" s="358"/>
      <c r="F717" s="358"/>
      <c r="G717" s="358"/>
      <c r="H717" s="358"/>
      <c r="I717" s="358"/>
      <c r="J717" s="358"/>
      <c r="K717" s="358"/>
      <c r="L717" s="358"/>
      <c r="M717" s="358"/>
      <c r="N717" s="358"/>
      <c r="O717" s="358"/>
      <c r="P717" s="358"/>
      <c r="Q717" s="358"/>
      <c r="R717" s="358"/>
      <c r="S717" s="358"/>
      <c r="T717" s="358"/>
      <c r="U717" s="358"/>
      <c r="V717" s="358"/>
      <c r="W717" s="358"/>
      <c r="X717" s="358"/>
      <c r="Y717" s="358"/>
      <c r="Z717" s="358"/>
    </row>
    <row r="718" spans="1:26" ht="13.5" customHeight="1">
      <c r="A718" s="358"/>
      <c r="B718" s="358"/>
      <c r="C718" s="358"/>
      <c r="D718" s="358"/>
      <c r="E718" s="358"/>
      <c r="F718" s="358"/>
      <c r="G718" s="358"/>
      <c r="H718" s="358"/>
      <c r="I718" s="358"/>
      <c r="J718" s="358"/>
      <c r="K718" s="358"/>
      <c r="L718" s="358"/>
      <c r="M718" s="358"/>
      <c r="N718" s="358"/>
      <c r="O718" s="358"/>
      <c r="P718" s="358"/>
      <c r="Q718" s="358"/>
      <c r="R718" s="358"/>
      <c r="S718" s="358"/>
      <c r="T718" s="358"/>
      <c r="U718" s="358"/>
      <c r="V718" s="358"/>
      <c r="W718" s="358"/>
      <c r="X718" s="358"/>
      <c r="Y718" s="358"/>
      <c r="Z718" s="358"/>
    </row>
    <row r="719" spans="1:26" ht="13.5" customHeight="1">
      <c r="A719" s="358"/>
      <c r="B719" s="358"/>
      <c r="C719" s="358"/>
      <c r="D719" s="358"/>
      <c r="E719" s="358"/>
      <c r="F719" s="358"/>
      <c r="G719" s="358"/>
      <c r="H719" s="358"/>
      <c r="I719" s="358"/>
      <c r="J719" s="358"/>
      <c r="K719" s="358"/>
      <c r="L719" s="358"/>
      <c r="M719" s="358"/>
      <c r="N719" s="358"/>
      <c r="O719" s="358"/>
      <c r="P719" s="358"/>
      <c r="Q719" s="358"/>
      <c r="R719" s="358"/>
      <c r="S719" s="358"/>
      <c r="T719" s="358"/>
      <c r="U719" s="358"/>
      <c r="V719" s="358"/>
      <c r="W719" s="358"/>
      <c r="X719" s="358"/>
      <c r="Y719" s="358"/>
      <c r="Z719" s="358"/>
    </row>
    <row r="720" spans="1:26" ht="13.5" customHeight="1">
      <c r="A720" s="358"/>
      <c r="B720" s="358"/>
      <c r="C720" s="358"/>
      <c r="D720" s="358"/>
      <c r="E720" s="358"/>
      <c r="F720" s="358"/>
      <c r="G720" s="358"/>
      <c r="H720" s="358"/>
      <c r="I720" s="358"/>
      <c r="J720" s="358"/>
      <c r="K720" s="358"/>
      <c r="L720" s="358"/>
      <c r="M720" s="358"/>
      <c r="N720" s="358"/>
      <c r="O720" s="358"/>
      <c r="P720" s="358"/>
      <c r="Q720" s="358"/>
      <c r="R720" s="358"/>
      <c r="S720" s="358"/>
      <c r="T720" s="358"/>
      <c r="U720" s="358"/>
      <c r="V720" s="358"/>
      <c r="W720" s="358"/>
      <c r="X720" s="358"/>
      <c r="Y720" s="358"/>
      <c r="Z720" s="358"/>
    </row>
    <row r="721" spans="1:26" ht="13.5" customHeight="1">
      <c r="A721" s="358"/>
      <c r="B721" s="358"/>
      <c r="C721" s="358"/>
      <c r="D721" s="358"/>
      <c r="E721" s="358"/>
      <c r="F721" s="358"/>
      <c r="G721" s="358"/>
      <c r="H721" s="358"/>
      <c r="I721" s="358"/>
      <c r="J721" s="358"/>
      <c r="K721" s="358"/>
      <c r="L721" s="358"/>
      <c r="M721" s="358"/>
      <c r="N721" s="358"/>
      <c r="O721" s="358"/>
      <c r="P721" s="358"/>
      <c r="Q721" s="358"/>
      <c r="R721" s="358"/>
      <c r="S721" s="358"/>
      <c r="T721" s="358"/>
      <c r="U721" s="358"/>
      <c r="V721" s="358"/>
      <c r="W721" s="358"/>
      <c r="X721" s="358"/>
      <c r="Y721" s="358"/>
      <c r="Z721" s="358"/>
    </row>
    <row r="722" spans="1:26" ht="13.5" customHeight="1">
      <c r="A722" s="358"/>
      <c r="B722" s="358"/>
      <c r="C722" s="358"/>
      <c r="D722" s="358"/>
      <c r="E722" s="358"/>
      <c r="F722" s="358"/>
      <c r="G722" s="358"/>
      <c r="H722" s="358"/>
      <c r="I722" s="358"/>
      <c r="J722" s="358"/>
      <c r="K722" s="358"/>
      <c r="L722" s="358"/>
      <c r="M722" s="358"/>
      <c r="N722" s="358"/>
      <c r="O722" s="358"/>
      <c r="P722" s="358"/>
      <c r="Q722" s="358"/>
      <c r="R722" s="358"/>
      <c r="S722" s="358"/>
      <c r="T722" s="358"/>
      <c r="U722" s="358"/>
      <c r="V722" s="358"/>
      <c r="W722" s="358"/>
      <c r="X722" s="358"/>
      <c r="Y722" s="358"/>
      <c r="Z722" s="358"/>
    </row>
    <row r="723" spans="1:26" ht="13.5" customHeight="1">
      <c r="A723" s="358"/>
      <c r="B723" s="358"/>
      <c r="C723" s="358"/>
      <c r="D723" s="358"/>
      <c r="E723" s="358"/>
      <c r="F723" s="358"/>
      <c r="G723" s="358"/>
      <c r="H723" s="358"/>
      <c r="I723" s="358"/>
      <c r="J723" s="358"/>
      <c r="K723" s="358"/>
      <c r="L723" s="358"/>
      <c r="M723" s="358"/>
      <c r="N723" s="358"/>
      <c r="O723" s="358"/>
      <c r="P723" s="358"/>
      <c r="Q723" s="358"/>
      <c r="R723" s="358"/>
      <c r="S723" s="358"/>
      <c r="T723" s="358"/>
      <c r="U723" s="358"/>
      <c r="V723" s="358"/>
      <c r="W723" s="358"/>
      <c r="X723" s="358"/>
      <c r="Y723" s="358"/>
      <c r="Z723" s="358"/>
    </row>
    <row r="724" spans="1:26" ht="13.5" customHeight="1">
      <c r="A724" s="358"/>
      <c r="B724" s="358"/>
      <c r="C724" s="358"/>
      <c r="D724" s="358"/>
      <c r="E724" s="358"/>
      <c r="F724" s="358"/>
      <c r="G724" s="358"/>
      <c r="H724" s="358"/>
      <c r="I724" s="358"/>
      <c r="J724" s="358"/>
      <c r="K724" s="358"/>
      <c r="L724" s="358"/>
      <c r="M724" s="358"/>
      <c r="N724" s="358"/>
      <c r="O724" s="358"/>
      <c r="P724" s="358"/>
      <c r="Q724" s="358"/>
      <c r="R724" s="358"/>
      <c r="S724" s="358"/>
      <c r="T724" s="358"/>
      <c r="U724" s="358"/>
      <c r="V724" s="358"/>
      <c r="W724" s="358"/>
      <c r="X724" s="358"/>
      <c r="Y724" s="358"/>
      <c r="Z724" s="358"/>
    </row>
    <row r="725" spans="1:26" ht="13.5" customHeight="1">
      <c r="A725" s="358"/>
      <c r="B725" s="358"/>
      <c r="C725" s="358"/>
      <c r="D725" s="358"/>
      <c r="E725" s="358"/>
      <c r="F725" s="358"/>
      <c r="G725" s="358"/>
      <c r="H725" s="358"/>
      <c r="I725" s="358"/>
      <c r="J725" s="358"/>
      <c r="K725" s="358"/>
      <c r="L725" s="358"/>
      <c r="M725" s="358"/>
      <c r="N725" s="358"/>
      <c r="O725" s="358"/>
      <c r="P725" s="358"/>
      <c r="Q725" s="358"/>
      <c r="R725" s="358"/>
      <c r="S725" s="358"/>
      <c r="T725" s="358"/>
      <c r="U725" s="358"/>
      <c r="V725" s="358"/>
      <c r="W725" s="358"/>
      <c r="X725" s="358"/>
      <c r="Y725" s="358"/>
      <c r="Z725" s="358"/>
    </row>
    <row r="726" spans="1:26" ht="13.5" customHeight="1">
      <c r="A726" s="358"/>
      <c r="B726" s="358"/>
      <c r="C726" s="358"/>
      <c r="D726" s="358"/>
      <c r="E726" s="358"/>
      <c r="F726" s="358"/>
      <c r="G726" s="358"/>
      <c r="H726" s="358"/>
      <c r="I726" s="358"/>
      <c r="J726" s="358"/>
      <c r="K726" s="358"/>
      <c r="L726" s="358"/>
      <c r="M726" s="358"/>
      <c r="N726" s="358"/>
      <c r="O726" s="358"/>
      <c r="P726" s="358"/>
      <c r="Q726" s="358"/>
      <c r="R726" s="358"/>
      <c r="S726" s="358"/>
      <c r="T726" s="358"/>
      <c r="U726" s="358"/>
      <c r="V726" s="358"/>
      <c r="W726" s="358"/>
      <c r="X726" s="358"/>
      <c r="Y726" s="358"/>
      <c r="Z726" s="358"/>
    </row>
    <row r="727" spans="1:26" ht="13.5" customHeight="1">
      <c r="A727" s="358"/>
      <c r="B727" s="358"/>
      <c r="C727" s="358"/>
      <c r="D727" s="358"/>
      <c r="E727" s="358"/>
      <c r="F727" s="358"/>
      <c r="G727" s="358"/>
      <c r="H727" s="358"/>
      <c r="I727" s="358"/>
      <c r="J727" s="358"/>
      <c r="K727" s="358"/>
      <c r="L727" s="358"/>
      <c r="M727" s="358"/>
      <c r="N727" s="358"/>
      <c r="O727" s="358"/>
      <c r="P727" s="358"/>
      <c r="Q727" s="358"/>
      <c r="R727" s="358"/>
      <c r="S727" s="358"/>
      <c r="T727" s="358"/>
      <c r="U727" s="358"/>
      <c r="V727" s="358"/>
      <c r="W727" s="358"/>
      <c r="X727" s="358"/>
      <c r="Y727" s="358"/>
      <c r="Z727" s="358"/>
    </row>
    <row r="728" spans="1:26" ht="13.5" customHeight="1">
      <c r="A728" s="358"/>
      <c r="B728" s="358"/>
      <c r="C728" s="358"/>
      <c r="D728" s="358"/>
      <c r="E728" s="358"/>
      <c r="F728" s="358"/>
      <c r="G728" s="358"/>
      <c r="H728" s="358"/>
      <c r="I728" s="358"/>
      <c r="J728" s="358"/>
      <c r="K728" s="358"/>
      <c r="L728" s="358"/>
      <c r="M728" s="358"/>
      <c r="N728" s="358"/>
      <c r="O728" s="358"/>
      <c r="P728" s="358"/>
      <c r="Q728" s="358"/>
      <c r="R728" s="358"/>
      <c r="S728" s="358"/>
      <c r="T728" s="358"/>
      <c r="U728" s="358"/>
      <c r="V728" s="358"/>
      <c r="W728" s="358"/>
      <c r="X728" s="358"/>
      <c r="Y728" s="358"/>
      <c r="Z728" s="358"/>
    </row>
    <row r="729" spans="1:26" ht="13.5" customHeight="1">
      <c r="A729" s="358"/>
      <c r="B729" s="358"/>
      <c r="C729" s="358"/>
      <c r="D729" s="358"/>
      <c r="E729" s="358"/>
      <c r="F729" s="358"/>
      <c r="G729" s="358"/>
      <c r="H729" s="358"/>
      <c r="I729" s="358"/>
      <c r="J729" s="358"/>
      <c r="K729" s="358"/>
      <c r="L729" s="358"/>
      <c r="M729" s="358"/>
      <c r="N729" s="358"/>
      <c r="O729" s="358"/>
      <c r="P729" s="358"/>
      <c r="Q729" s="358"/>
      <c r="R729" s="358"/>
      <c r="S729" s="358"/>
      <c r="T729" s="358"/>
      <c r="U729" s="358"/>
      <c r="V729" s="358"/>
      <c r="W729" s="358"/>
      <c r="X729" s="358"/>
      <c r="Y729" s="358"/>
      <c r="Z729" s="358"/>
    </row>
    <row r="730" spans="1:26" ht="13.5" customHeight="1">
      <c r="A730" s="358"/>
      <c r="B730" s="358"/>
      <c r="C730" s="358"/>
      <c r="D730" s="358"/>
      <c r="E730" s="358"/>
      <c r="F730" s="358"/>
      <c r="G730" s="358"/>
      <c r="H730" s="358"/>
      <c r="I730" s="358"/>
      <c r="J730" s="358"/>
      <c r="K730" s="358"/>
      <c r="L730" s="358"/>
      <c r="M730" s="358"/>
      <c r="N730" s="358"/>
      <c r="O730" s="358"/>
      <c r="P730" s="358"/>
      <c r="Q730" s="358"/>
      <c r="R730" s="358"/>
      <c r="S730" s="358"/>
      <c r="T730" s="358"/>
      <c r="U730" s="358"/>
      <c r="V730" s="358"/>
      <c r="W730" s="358"/>
      <c r="X730" s="358"/>
      <c r="Y730" s="358"/>
      <c r="Z730" s="358"/>
    </row>
    <row r="731" spans="1:26" ht="13.5" customHeight="1">
      <c r="A731" s="358"/>
      <c r="B731" s="358"/>
      <c r="C731" s="358"/>
      <c r="D731" s="358"/>
      <c r="E731" s="358"/>
      <c r="F731" s="358"/>
      <c r="G731" s="358"/>
      <c r="H731" s="358"/>
      <c r="I731" s="358"/>
      <c r="J731" s="358"/>
      <c r="K731" s="358"/>
      <c r="L731" s="358"/>
      <c r="M731" s="358"/>
      <c r="N731" s="358"/>
      <c r="O731" s="358"/>
      <c r="P731" s="358"/>
      <c r="Q731" s="358"/>
      <c r="R731" s="358"/>
      <c r="S731" s="358"/>
      <c r="T731" s="358"/>
      <c r="U731" s="358"/>
      <c r="V731" s="358"/>
      <c r="W731" s="358"/>
      <c r="X731" s="358"/>
      <c r="Y731" s="358"/>
      <c r="Z731" s="358"/>
    </row>
    <row r="732" spans="1:26" ht="13.5" customHeight="1">
      <c r="A732" s="358"/>
      <c r="B732" s="358"/>
      <c r="C732" s="358"/>
      <c r="D732" s="358"/>
      <c r="E732" s="358"/>
      <c r="F732" s="358"/>
      <c r="G732" s="358"/>
      <c r="H732" s="358"/>
      <c r="I732" s="358"/>
      <c r="J732" s="358"/>
      <c r="K732" s="358"/>
      <c r="L732" s="358"/>
      <c r="M732" s="358"/>
      <c r="N732" s="358"/>
      <c r="O732" s="358"/>
      <c r="P732" s="358"/>
      <c r="Q732" s="358"/>
      <c r="R732" s="358"/>
      <c r="S732" s="358"/>
      <c r="T732" s="358"/>
      <c r="U732" s="358"/>
      <c r="V732" s="358"/>
      <c r="W732" s="358"/>
      <c r="X732" s="358"/>
      <c r="Y732" s="358"/>
      <c r="Z732" s="358"/>
    </row>
    <row r="733" spans="1:26" ht="13.5" customHeight="1">
      <c r="A733" s="358"/>
      <c r="B733" s="358"/>
      <c r="C733" s="358"/>
      <c r="D733" s="358"/>
      <c r="E733" s="358"/>
      <c r="F733" s="358"/>
      <c r="G733" s="358"/>
      <c r="H733" s="358"/>
      <c r="I733" s="358"/>
      <c r="J733" s="358"/>
      <c r="K733" s="358"/>
      <c r="L733" s="358"/>
      <c r="M733" s="358"/>
      <c r="N733" s="358"/>
      <c r="O733" s="358"/>
      <c r="P733" s="358"/>
      <c r="Q733" s="358"/>
      <c r="R733" s="358"/>
      <c r="S733" s="358"/>
      <c r="T733" s="358"/>
      <c r="U733" s="358"/>
      <c r="V733" s="358"/>
      <c r="W733" s="358"/>
      <c r="X733" s="358"/>
      <c r="Y733" s="358"/>
      <c r="Z733" s="358"/>
    </row>
    <row r="734" spans="1:26" ht="13.5" customHeight="1">
      <c r="A734" s="358"/>
      <c r="B734" s="358"/>
      <c r="C734" s="358"/>
      <c r="D734" s="358"/>
      <c r="E734" s="358"/>
      <c r="F734" s="358"/>
      <c r="G734" s="358"/>
      <c r="H734" s="358"/>
      <c r="I734" s="358"/>
      <c r="J734" s="358"/>
      <c r="K734" s="358"/>
      <c r="L734" s="358"/>
      <c r="M734" s="358"/>
      <c r="N734" s="358"/>
      <c r="O734" s="358"/>
      <c r="P734" s="358"/>
      <c r="Q734" s="358"/>
      <c r="R734" s="358"/>
      <c r="S734" s="358"/>
      <c r="T734" s="358"/>
      <c r="U734" s="358"/>
      <c r="V734" s="358"/>
      <c r="W734" s="358"/>
      <c r="X734" s="358"/>
      <c r="Y734" s="358"/>
      <c r="Z734" s="358"/>
    </row>
    <row r="735" spans="1:26" ht="13.5" customHeight="1">
      <c r="A735" s="358"/>
      <c r="B735" s="358"/>
      <c r="C735" s="358"/>
      <c r="D735" s="358"/>
      <c r="E735" s="358"/>
      <c r="F735" s="358"/>
      <c r="G735" s="358"/>
      <c r="H735" s="358"/>
      <c r="I735" s="358"/>
      <c r="J735" s="358"/>
      <c r="K735" s="358"/>
      <c r="L735" s="358"/>
      <c r="M735" s="358"/>
      <c r="N735" s="358"/>
      <c r="O735" s="358"/>
      <c r="P735" s="358"/>
      <c r="Q735" s="358"/>
      <c r="R735" s="358"/>
      <c r="S735" s="358"/>
      <c r="T735" s="358"/>
      <c r="U735" s="358"/>
      <c r="V735" s="358"/>
      <c r="W735" s="358"/>
      <c r="X735" s="358"/>
      <c r="Y735" s="358"/>
      <c r="Z735" s="358"/>
    </row>
    <row r="736" spans="1:26" ht="13.5" customHeight="1">
      <c r="A736" s="358"/>
      <c r="B736" s="358"/>
      <c r="C736" s="358"/>
      <c r="D736" s="358"/>
      <c r="E736" s="358"/>
      <c r="F736" s="358"/>
      <c r="G736" s="358"/>
      <c r="H736" s="358"/>
      <c r="I736" s="358"/>
      <c r="J736" s="358"/>
      <c r="K736" s="358"/>
      <c r="L736" s="358"/>
      <c r="M736" s="358"/>
      <c r="N736" s="358"/>
      <c r="O736" s="358"/>
      <c r="P736" s="358"/>
      <c r="Q736" s="358"/>
      <c r="R736" s="358"/>
      <c r="S736" s="358"/>
      <c r="T736" s="358"/>
      <c r="U736" s="358"/>
      <c r="V736" s="358"/>
      <c r="W736" s="358"/>
      <c r="X736" s="358"/>
      <c r="Y736" s="358"/>
      <c r="Z736" s="358"/>
    </row>
    <row r="737" spans="1:26" ht="13.5" customHeight="1">
      <c r="A737" s="358"/>
      <c r="B737" s="358"/>
      <c r="C737" s="358"/>
      <c r="D737" s="358"/>
      <c r="E737" s="358"/>
      <c r="F737" s="358"/>
      <c r="G737" s="358"/>
      <c r="H737" s="358"/>
      <c r="I737" s="358"/>
      <c r="J737" s="358"/>
      <c r="K737" s="358"/>
      <c r="L737" s="358"/>
      <c r="M737" s="358"/>
      <c r="N737" s="358"/>
      <c r="O737" s="358"/>
      <c r="P737" s="358"/>
      <c r="Q737" s="358"/>
      <c r="R737" s="358"/>
      <c r="S737" s="358"/>
      <c r="T737" s="358"/>
      <c r="U737" s="358"/>
      <c r="V737" s="358"/>
      <c r="W737" s="358"/>
      <c r="X737" s="358"/>
      <c r="Y737" s="358"/>
      <c r="Z737" s="358"/>
    </row>
    <row r="738" spans="1:26" ht="13.5" customHeight="1">
      <c r="A738" s="358"/>
      <c r="B738" s="358"/>
      <c r="C738" s="358"/>
      <c r="D738" s="358"/>
      <c r="E738" s="358"/>
      <c r="F738" s="358"/>
      <c r="G738" s="358"/>
      <c r="H738" s="358"/>
      <c r="I738" s="358"/>
      <c r="J738" s="358"/>
      <c r="K738" s="358"/>
      <c r="L738" s="358"/>
      <c r="M738" s="358"/>
      <c r="N738" s="358"/>
      <c r="O738" s="358"/>
      <c r="P738" s="358"/>
      <c r="Q738" s="358"/>
      <c r="R738" s="358"/>
      <c r="S738" s="358"/>
      <c r="T738" s="358"/>
      <c r="U738" s="358"/>
      <c r="V738" s="358"/>
      <c r="W738" s="358"/>
      <c r="X738" s="358"/>
      <c r="Y738" s="358"/>
      <c r="Z738" s="358"/>
    </row>
    <row r="739" spans="1:26" ht="13.5" customHeight="1">
      <c r="A739" s="358"/>
      <c r="B739" s="358"/>
      <c r="C739" s="358"/>
      <c r="D739" s="358"/>
      <c r="E739" s="358"/>
      <c r="F739" s="358"/>
      <c r="G739" s="358"/>
      <c r="H739" s="358"/>
      <c r="I739" s="358"/>
      <c r="J739" s="358"/>
      <c r="K739" s="358"/>
      <c r="L739" s="358"/>
      <c r="M739" s="358"/>
      <c r="N739" s="358"/>
      <c r="O739" s="358"/>
      <c r="P739" s="358"/>
      <c r="Q739" s="358"/>
      <c r="R739" s="358"/>
      <c r="S739" s="358"/>
      <c r="T739" s="358"/>
      <c r="U739" s="358"/>
      <c r="V739" s="358"/>
      <c r="W739" s="358"/>
      <c r="X739" s="358"/>
      <c r="Y739" s="358"/>
      <c r="Z739" s="358"/>
    </row>
    <row r="740" spans="1:26" ht="13.5" customHeight="1">
      <c r="A740" s="358"/>
      <c r="B740" s="358"/>
      <c r="C740" s="358"/>
      <c r="D740" s="358"/>
      <c r="E740" s="358"/>
      <c r="F740" s="358"/>
      <c r="G740" s="358"/>
      <c r="H740" s="358"/>
      <c r="I740" s="358"/>
      <c r="J740" s="358"/>
      <c r="K740" s="358"/>
      <c r="L740" s="358"/>
      <c r="M740" s="358"/>
      <c r="N740" s="358"/>
      <c r="O740" s="358"/>
      <c r="P740" s="358"/>
      <c r="Q740" s="358"/>
      <c r="R740" s="358"/>
      <c r="S740" s="358"/>
      <c r="T740" s="358"/>
      <c r="U740" s="358"/>
      <c r="V740" s="358"/>
      <c r="W740" s="358"/>
      <c r="X740" s="358"/>
      <c r="Y740" s="358"/>
      <c r="Z740" s="358"/>
    </row>
    <row r="741" spans="1:26" ht="13.5" customHeight="1">
      <c r="A741" s="358"/>
      <c r="B741" s="358"/>
      <c r="C741" s="358"/>
      <c r="D741" s="358"/>
      <c r="E741" s="358"/>
      <c r="F741" s="358"/>
      <c r="G741" s="358"/>
      <c r="H741" s="358"/>
      <c r="I741" s="358"/>
      <c r="J741" s="358"/>
      <c r="K741" s="358"/>
      <c r="L741" s="358"/>
      <c r="M741" s="358"/>
      <c r="N741" s="358"/>
      <c r="O741" s="358"/>
      <c r="P741" s="358"/>
      <c r="Q741" s="358"/>
      <c r="R741" s="358"/>
      <c r="S741" s="358"/>
      <c r="T741" s="358"/>
      <c r="U741" s="358"/>
      <c r="V741" s="358"/>
      <c r="W741" s="358"/>
      <c r="X741" s="358"/>
      <c r="Y741" s="358"/>
      <c r="Z741" s="358"/>
    </row>
    <row r="742" spans="1:26" ht="13.5" customHeight="1">
      <c r="A742" s="358"/>
      <c r="B742" s="358"/>
      <c r="C742" s="358"/>
      <c r="D742" s="358"/>
      <c r="E742" s="358"/>
      <c r="F742" s="358"/>
      <c r="G742" s="358"/>
      <c r="H742" s="358"/>
      <c r="I742" s="358"/>
      <c r="J742" s="358"/>
      <c r="K742" s="358"/>
      <c r="L742" s="358"/>
      <c r="M742" s="358"/>
      <c r="N742" s="358"/>
      <c r="O742" s="358"/>
      <c r="P742" s="358"/>
      <c r="Q742" s="358"/>
      <c r="R742" s="358"/>
      <c r="S742" s="358"/>
      <c r="T742" s="358"/>
      <c r="U742" s="358"/>
      <c r="V742" s="358"/>
      <c r="W742" s="358"/>
      <c r="X742" s="358"/>
      <c r="Y742" s="358"/>
      <c r="Z742" s="358"/>
    </row>
    <row r="743" spans="1:26" ht="13.5" customHeight="1">
      <c r="A743" s="358"/>
      <c r="B743" s="358"/>
      <c r="C743" s="358"/>
      <c r="D743" s="358"/>
      <c r="E743" s="358"/>
      <c r="F743" s="358"/>
      <c r="G743" s="358"/>
      <c r="H743" s="358"/>
      <c r="I743" s="358"/>
      <c r="J743" s="358"/>
      <c r="K743" s="358"/>
      <c r="L743" s="358"/>
      <c r="M743" s="358"/>
      <c r="N743" s="358"/>
      <c r="O743" s="358"/>
      <c r="P743" s="358"/>
      <c r="Q743" s="358"/>
      <c r="R743" s="358"/>
      <c r="S743" s="358"/>
      <c r="T743" s="358"/>
      <c r="U743" s="358"/>
      <c r="V743" s="358"/>
      <c r="W743" s="358"/>
      <c r="X743" s="358"/>
      <c r="Y743" s="358"/>
      <c r="Z743" s="358"/>
    </row>
    <row r="744" spans="1:26" ht="13.5" customHeight="1">
      <c r="A744" s="358"/>
      <c r="B744" s="358"/>
      <c r="C744" s="358"/>
      <c r="D744" s="358"/>
      <c r="E744" s="358"/>
      <c r="F744" s="358"/>
      <c r="G744" s="358"/>
      <c r="H744" s="358"/>
      <c r="I744" s="358"/>
      <c r="J744" s="358"/>
      <c r="K744" s="358"/>
      <c r="L744" s="358"/>
      <c r="M744" s="358"/>
      <c r="N744" s="358"/>
      <c r="O744" s="358"/>
      <c r="P744" s="358"/>
      <c r="Q744" s="358"/>
      <c r="R744" s="358"/>
      <c r="S744" s="358"/>
      <c r="T744" s="358"/>
      <c r="U744" s="358"/>
      <c r="V744" s="358"/>
      <c r="W744" s="358"/>
      <c r="X744" s="358"/>
      <c r="Y744" s="358"/>
      <c r="Z744" s="358"/>
    </row>
    <row r="745" spans="1:26" ht="13.5" customHeight="1">
      <c r="A745" s="358"/>
      <c r="B745" s="358"/>
      <c r="C745" s="358"/>
      <c r="D745" s="358"/>
      <c r="E745" s="358"/>
      <c r="F745" s="358"/>
      <c r="G745" s="358"/>
      <c r="H745" s="358"/>
      <c r="I745" s="358"/>
      <c r="J745" s="358"/>
      <c r="K745" s="358"/>
      <c r="L745" s="358"/>
      <c r="M745" s="358"/>
      <c r="N745" s="358"/>
      <c r="O745" s="358"/>
      <c r="P745" s="358"/>
      <c r="Q745" s="358"/>
      <c r="R745" s="358"/>
      <c r="S745" s="358"/>
      <c r="T745" s="358"/>
      <c r="U745" s="358"/>
      <c r="V745" s="358"/>
      <c r="W745" s="358"/>
      <c r="X745" s="358"/>
      <c r="Y745" s="358"/>
      <c r="Z745" s="358"/>
    </row>
    <row r="746" spans="1:26" ht="13.5" customHeight="1">
      <c r="A746" s="358"/>
      <c r="B746" s="358"/>
      <c r="C746" s="358"/>
      <c r="D746" s="358"/>
      <c r="E746" s="358"/>
      <c r="F746" s="358"/>
      <c r="G746" s="358"/>
      <c r="H746" s="358"/>
      <c r="I746" s="358"/>
      <c r="J746" s="358"/>
      <c r="K746" s="358"/>
      <c r="L746" s="358"/>
      <c r="M746" s="358"/>
      <c r="N746" s="358"/>
      <c r="O746" s="358"/>
      <c r="P746" s="358"/>
      <c r="Q746" s="358"/>
      <c r="R746" s="358"/>
      <c r="S746" s="358"/>
      <c r="T746" s="358"/>
      <c r="U746" s="358"/>
      <c r="V746" s="358"/>
      <c r="W746" s="358"/>
      <c r="X746" s="358"/>
      <c r="Y746" s="358"/>
      <c r="Z746" s="358"/>
    </row>
    <row r="747" spans="1:26" ht="13.5" customHeight="1">
      <c r="A747" s="358"/>
      <c r="B747" s="358"/>
      <c r="C747" s="358"/>
      <c r="D747" s="358"/>
      <c r="E747" s="358"/>
      <c r="F747" s="358"/>
      <c r="G747" s="358"/>
      <c r="H747" s="358"/>
      <c r="I747" s="358"/>
      <c r="J747" s="358"/>
      <c r="K747" s="358"/>
      <c r="L747" s="358"/>
      <c r="M747" s="358"/>
      <c r="N747" s="358"/>
      <c r="O747" s="358"/>
      <c r="P747" s="358"/>
      <c r="Q747" s="358"/>
      <c r="R747" s="358"/>
      <c r="S747" s="358"/>
      <c r="T747" s="358"/>
      <c r="U747" s="358"/>
      <c r="V747" s="358"/>
      <c r="W747" s="358"/>
      <c r="X747" s="358"/>
      <c r="Y747" s="358"/>
      <c r="Z747" s="358"/>
    </row>
    <row r="748" spans="1:26" ht="13.5" customHeight="1">
      <c r="A748" s="358"/>
      <c r="B748" s="358"/>
      <c r="C748" s="358"/>
      <c r="D748" s="358"/>
      <c r="E748" s="358"/>
      <c r="F748" s="358"/>
      <c r="G748" s="358"/>
      <c r="H748" s="358"/>
      <c r="I748" s="358"/>
      <c r="J748" s="358"/>
      <c r="K748" s="358"/>
      <c r="L748" s="358"/>
      <c r="M748" s="358"/>
      <c r="N748" s="358"/>
      <c r="O748" s="358"/>
      <c r="P748" s="358"/>
      <c r="Q748" s="358"/>
      <c r="R748" s="358"/>
      <c r="S748" s="358"/>
      <c r="T748" s="358"/>
      <c r="U748" s="358"/>
      <c r="V748" s="358"/>
      <c r="W748" s="358"/>
      <c r="X748" s="358"/>
      <c r="Y748" s="358"/>
      <c r="Z748" s="358"/>
    </row>
    <row r="749" spans="1:26" ht="13.5" customHeight="1">
      <c r="A749" s="358"/>
      <c r="B749" s="358"/>
      <c r="C749" s="358"/>
      <c r="D749" s="358"/>
      <c r="E749" s="358"/>
      <c r="F749" s="358"/>
      <c r="G749" s="358"/>
      <c r="H749" s="358"/>
      <c r="I749" s="358"/>
      <c r="J749" s="358"/>
      <c r="K749" s="358"/>
      <c r="L749" s="358"/>
      <c r="M749" s="358"/>
      <c r="N749" s="358"/>
      <c r="O749" s="358"/>
      <c r="P749" s="358"/>
      <c r="Q749" s="358"/>
      <c r="R749" s="358"/>
      <c r="S749" s="358"/>
      <c r="T749" s="358"/>
      <c r="U749" s="358"/>
      <c r="V749" s="358"/>
      <c r="W749" s="358"/>
      <c r="X749" s="358"/>
      <c r="Y749" s="358"/>
      <c r="Z749" s="358"/>
    </row>
    <row r="750" spans="1:26" ht="13.5" customHeight="1">
      <c r="A750" s="358"/>
      <c r="B750" s="358"/>
      <c r="C750" s="358"/>
      <c r="D750" s="358"/>
      <c r="E750" s="358"/>
      <c r="F750" s="358"/>
      <c r="G750" s="358"/>
      <c r="H750" s="358"/>
      <c r="I750" s="358"/>
      <c r="J750" s="358"/>
      <c r="K750" s="358"/>
      <c r="L750" s="358"/>
      <c r="M750" s="358"/>
      <c r="N750" s="358"/>
      <c r="O750" s="358"/>
      <c r="P750" s="358"/>
      <c r="Q750" s="358"/>
      <c r="R750" s="358"/>
      <c r="S750" s="358"/>
      <c r="T750" s="358"/>
      <c r="U750" s="358"/>
      <c r="V750" s="358"/>
      <c r="W750" s="358"/>
      <c r="X750" s="358"/>
      <c r="Y750" s="358"/>
      <c r="Z750" s="358"/>
    </row>
    <row r="751" spans="1:26" ht="13.5" customHeight="1">
      <c r="A751" s="358"/>
      <c r="B751" s="358"/>
      <c r="C751" s="358"/>
      <c r="D751" s="358"/>
      <c r="E751" s="358"/>
      <c r="F751" s="358"/>
      <c r="G751" s="358"/>
      <c r="H751" s="358"/>
      <c r="I751" s="358"/>
      <c r="J751" s="358"/>
      <c r="K751" s="358"/>
      <c r="L751" s="358"/>
      <c r="M751" s="358"/>
      <c r="N751" s="358"/>
      <c r="O751" s="358"/>
      <c r="P751" s="358"/>
      <c r="Q751" s="358"/>
      <c r="R751" s="358"/>
      <c r="S751" s="358"/>
      <c r="T751" s="358"/>
      <c r="U751" s="358"/>
      <c r="V751" s="358"/>
      <c r="W751" s="358"/>
      <c r="X751" s="358"/>
      <c r="Y751" s="358"/>
      <c r="Z751" s="358"/>
    </row>
    <row r="752" spans="1:26" ht="13.5" customHeight="1">
      <c r="A752" s="358"/>
      <c r="B752" s="358"/>
      <c r="C752" s="358"/>
      <c r="D752" s="358"/>
      <c r="E752" s="358"/>
      <c r="F752" s="358"/>
      <c r="G752" s="358"/>
      <c r="H752" s="358"/>
      <c r="I752" s="358"/>
      <c r="J752" s="358"/>
      <c r="K752" s="358"/>
      <c r="L752" s="358"/>
      <c r="M752" s="358"/>
      <c r="N752" s="358"/>
      <c r="O752" s="358"/>
      <c r="P752" s="358"/>
      <c r="Q752" s="358"/>
      <c r="R752" s="358"/>
      <c r="S752" s="358"/>
      <c r="T752" s="358"/>
      <c r="U752" s="358"/>
      <c r="V752" s="358"/>
      <c r="W752" s="358"/>
      <c r="X752" s="358"/>
      <c r="Y752" s="358"/>
      <c r="Z752" s="358"/>
    </row>
    <row r="753" spans="1:26" ht="13.5" customHeight="1">
      <c r="A753" s="358"/>
      <c r="B753" s="358"/>
      <c r="C753" s="358"/>
      <c r="D753" s="358"/>
      <c r="E753" s="358"/>
      <c r="F753" s="358"/>
      <c r="G753" s="358"/>
      <c r="H753" s="358"/>
      <c r="I753" s="358"/>
      <c r="J753" s="358"/>
      <c r="K753" s="358"/>
      <c r="L753" s="358"/>
      <c r="M753" s="358"/>
      <c r="N753" s="358"/>
      <c r="O753" s="358"/>
      <c r="P753" s="358"/>
      <c r="Q753" s="358"/>
      <c r="R753" s="358"/>
      <c r="S753" s="358"/>
      <c r="T753" s="358"/>
      <c r="U753" s="358"/>
      <c r="V753" s="358"/>
      <c r="W753" s="358"/>
      <c r="X753" s="358"/>
      <c r="Y753" s="358"/>
      <c r="Z753" s="358"/>
    </row>
    <row r="754" spans="1:26" ht="13.5" customHeight="1">
      <c r="A754" s="358"/>
      <c r="B754" s="358"/>
      <c r="C754" s="358"/>
      <c r="D754" s="358"/>
      <c r="E754" s="358"/>
      <c r="F754" s="358"/>
      <c r="G754" s="358"/>
      <c r="H754" s="358"/>
      <c r="I754" s="358"/>
      <c r="J754" s="358"/>
      <c r="K754" s="358"/>
      <c r="L754" s="358"/>
      <c r="M754" s="358"/>
      <c r="N754" s="358"/>
      <c r="O754" s="358"/>
      <c r="P754" s="358"/>
      <c r="Q754" s="358"/>
      <c r="R754" s="358"/>
      <c r="S754" s="358"/>
      <c r="T754" s="358"/>
      <c r="U754" s="358"/>
      <c r="V754" s="358"/>
      <c r="W754" s="358"/>
      <c r="X754" s="358"/>
      <c r="Y754" s="358"/>
      <c r="Z754" s="358"/>
    </row>
    <row r="755" spans="1:26" ht="13.5" customHeight="1">
      <c r="A755" s="358"/>
      <c r="B755" s="358"/>
      <c r="C755" s="358"/>
      <c r="D755" s="358"/>
      <c r="E755" s="358"/>
      <c r="F755" s="358"/>
      <c r="G755" s="358"/>
      <c r="H755" s="358"/>
      <c r="I755" s="358"/>
      <c r="J755" s="358"/>
      <c r="K755" s="358"/>
      <c r="L755" s="358"/>
      <c r="M755" s="358"/>
      <c r="N755" s="358"/>
      <c r="O755" s="358"/>
      <c r="P755" s="358"/>
      <c r="Q755" s="358"/>
      <c r="R755" s="358"/>
      <c r="S755" s="358"/>
      <c r="T755" s="358"/>
      <c r="U755" s="358"/>
      <c r="V755" s="358"/>
      <c r="W755" s="358"/>
      <c r="X755" s="358"/>
      <c r="Y755" s="358"/>
      <c r="Z755" s="358"/>
    </row>
    <row r="756" spans="1:26" ht="13.5" customHeight="1">
      <c r="A756" s="358"/>
      <c r="B756" s="358"/>
      <c r="C756" s="358"/>
      <c r="D756" s="358"/>
      <c r="E756" s="358"/>
      <c r="F756" s="358"/>
      <c r="G756" s="358"/>
      <c r="H756" s="358"/>
      <c r="I756" s="358"/>
      <c r="J756" s="358"/>
      <c r="K756" s="358"/>
      <c r="L756" s="358"/>
      <c r="M756" s="358"/>
      <c r="N756" s="358"/>
      <c r="O756" s="358"/>
      <c r="P756" s="358"/>
      <c r="Q756" s="358"/>
      <c r="R756" s="358"/>
      <c r="S756" s="358"/>
      <c r="T756" s="358"/>
      <c r="U756" s="358"/>
      <c r="V756" s="358"/>
      <c r="W756" s="358"/>
      <c r="X756" s="358"/>
      <c r="Y756" s="358"/>
      <c r="Z756" s="358"/>
    </row>
    <row r="757" spans="1:26" ht="13.5" customHeight="1">
      <c r="A757" s="358"/>
      <c r="B757" s="358"/>
      <c r="C757" s="358"/>
      <c r="D757" s="358"/>
      <c r="E757" s="358"/>
      <c r="F757" s="358"/>
      <c r="G757" s="358"/>
      <c r="H757" s="358"/>
      <c r="I757" s="358"/>
      <c r="J757" s="358"/>
      <c r="K757" s="358"/>
      <c r="L757" s="358"/>
      <c r="M757" s="358"/>
      <c r="N757" s="358"/>
      <c r="O757" s="358"/>
      <c r="P757" s="358"/>
      <c r="Q757" s="358"/>
      <c r="R757" s="358"/>
      <c r="S757" s="358"/>
      <c r="T757" s="358"/>
      <c r="U757" s="358"/>
      <c r="V757" s="358"/>
      <c r="W757" s="358"/>
      <c r="X757" s="358"/>
      <c r="Y757" s="358"/>
      <c r="Z757" s="358"/>
    </row>
    <row r="758" spans="1:26" ht="13.5" customHeight="1">
      <c r="A758" s="358"/>
      <c r="B758" s="358"/>
      <c r="C758" s="358"/>
      <c r="D758" s="358"/>
      <c r="E758" s="358"/>
      <c r="F758" s="358"/>
      <c r="G758" s="358"/>
      <c r="H758" s="358"/>
      <c r="I758" s="358"/>
      <c r="J758" s="358"/>
      <c r="K758" s="358"/>
      <c r="L758" s="358"/>
      <c r="M758" s="358"/>
      <c r="N758" s="358"/>
      <c r="O758" s="358"/>
      <c r="P758" s="358"/>
      <c r="Q758" s="358"/>
      <c r="R758" s="358"/>
      <c r="S758" s="358"/>
      <c r="T758" s="358"/>
      <c r="U758" s="358"/>
      <c r="V758" s="358"/>
      <c r="W758" s="358"/>
      <c r="X758" s="358"/>
      <c r="Y758" s="358"/>
      <c r="Z758" s="358"/>
    </row>
    <row r="759" spans="1:26" ht="13.5" customHeight="1">
      <c r="A759" s="358"/>
      <c r="B759" s="358"/>
      <c r="C759" s="358"/>
      <c r="D759" s="358"/>
      <c r="E759" s="358"/>
      <c r="F759" s="358"/>
      <c r="G759" s="358"/>
      <c r="H759" s="358"/>
      <c r="I759" s="358"/>
      <c r="J759" s="358"/>
      <c r="K759" s="358"/>
      <c r="L759" s="358"/>
      <c r="M759" s="358"/>
      <c r="N759" s="358"/>
      <c r="O759" s="358"/>
      <c r="P759" s="358"/>
      <c r="Q759" s="358"/>
      <c r="R759" s="358"/>
      <c r="S759" s="358"/>
      <c r="T759" s="358"/>
      <c r="U759" s="358"/>
      <c r="V759" s="358"/>
      <c r="W759" s="358"/>
      <c r="X759" s="358"/>
      <c r="Y759" s="358"/>
      <c r="Z759" s="358"/>
    </row>
    <row r="760" spans="1:26" ht="13.5" customHeight="1">
      <c r="A760" s="358"/>
      <c r="B760" s="358"/>
      <c r="C760" s="358"/>
      <c r="D760" s="358"/>
      <c r="E760" s="358"/>
      <c r="F760" s="358"/>
      <c r="G760" s="358"/>
      <c r="H760" s="358"/>
      <c r="I760" s="358"/>
      <c r="J760" s="358"/>
      <c r="K760" s="358"/>
      <c r="L760" s="358"/>
      <c r="M760" s="358"/>
      <c r="N760" s="358"/>
      <c r="O760" s="358"/>
      <c r="P760" s="358"/>
      <c r="Q760" s="358"/>
      <c r="R760" s="358"/>
      <c r="S760" s="358"/>
      <c r="T760" s="358"/>
      <c r="U760" s="358"/>
      <c r="V760" s="358"/>
      <c r="W760" s="358"/>
      <c r="X760" s="358"/>
      <c r="Y760" s="358"/>
      <c r="Z760" s="358"/>
    </row>
    <row r="761" spans="1:26" ht="13.5" customHeight="1">
      <c r="A761" s="358"/>
      <c r="B761" s="358"/>
      <c r="C761" s="358"/>
      <c r="D761" s="358"/>
      <c r="E761" s="358"/>
      <c r="F761" s="358"/>
      <c r="G761" s="358"/>
      <c r="H761" s="358"/>
      <c r="I761" s="358"/>
      <c r="J761" s="358"/>
      <c r="K761" s="358"/>
      <c r="L761" s="358"/>
      <c r="M761" s="358"/>
      <c r="N761" s="358"/>
      <c r="O761" s="358"/>
      <c r="P761" s="358"/>
      <c r="Q761" s="358"/>
      <c r="R761" s="358"/>
      <c r="S761" s="358"/>
      <c r="T761" s="358"/>
      <c r="U761" s="358"/>
      <c r="V761" s="358"/>
      <c r="W761" s="358"/>
      <c r="X761" s="358"/>
      <c r="Y761" s="358"/>
      <c r="Z761" s="358"/>
    </row>
    <row r="762" spans="1:26" ht="13.5" customHeight="1">
      <c r="A762" s="358"/>
      <c r="B762" s="358"/>
      <c r="C762" s="358"/>
      <c r="D762" s="358"/>
      <c r="E762" s="358"/>
      <c r="F762" s="358"/>
      <c r="G762" s="358"/>
      <c r="H762" s="358"/>
      <c r="I762" s="358"/>
      <c r="J762" s="358"/>
      <c r="K762" s="358"/>
      <c r="L762" s="358"/>
      <c r="M762" s="358"/>
      <c r="N762" s="358"/>
      <c r="O762" s="358"/>
      <c r="P762" s="358"/>
      <c r="Q762" s="358"/>
      <c r="R762" s="358"/>
      <c r="S762" s="358"/>
      <c r="T762" s="358"/>
      <c r="U762" s="358"/>
      <c r="V762" s="358"/>
      <c r="W762" s="358"/>
      <c r="X762" s="358"/>
      <c r="Y762" s="358"/>
      <c r="Z762" s="358"/>
    </row>
    <row r="763" spans="1:26" ht="13.5" customHeight="1">
      <c r="A763" s="358"/>
      <c r="B763" s="358"/>
      <c r="C763" s="358"/>
      <c r="D763" s="358"/>
      <c r="E763" s="358"/>
      <c r="F763" s="358"/>
      <c r="G763" s="358"/>
      <c r="H763" s="358"/>
      <c r="I763" s="358"/>
      <c r="J763" s="358"/>
      <c r="K763" s="358"/>
      <c r="L763" s="358"/>
      <c r="M763" s="358"/>
      <c r="N763" s="358"/>
      <c r="O763" s="358"/>
      <c r="P763" s="358"/>
      <c r="Q763" s="358"/>
      <c r="R763" s="358"/>
      <c r="S763" s="358"/>
      <c r="T763" s="358"/>
      <c r="U763" s="358"/>
      <c r="V763" s="358"/>
      <c r="W763" s="358"/>
      <c r="X763" s="358"/>
      <c r="Y763" s="358"/>
      <c r="Z763" s="358"/>
    </row>
    <row r="764" spans="1:26" ht="13.5" customHeight="1">
      <c r="A764" s="358"/>
      <c r="B764" s="358"/>
      <c r="C764" s="358"/>
      <c r="D764" s="358"/>
      <c r="E764" s="358"/>
      <c r="F764" s="358"/>
      <c r="G764" s="358"/>
      <c r="H764" s="358"/>
      <c r="I764" s="358"/>
      <c r="J764" s="358"/>
      <c r="K764" s="358"/>
      <c r="L764" s="358"/>
      <c r="M764" s="358"/>
      <c r="N764" s="358"/>
      <c r="O764" s="358"/>
      <c r="P764" s="358"/>
      <c r="Q764" s="358"/>
      <c r="R764" s="358"/>
      <c r="S764" s="358"/>
      <c r="T764" s="358"/>
      <c r="U764" s="358"/>
      <c r="V764" s="358"/>
      <c r="W764" s="358"/>
      <c r="X764" s="358"/>
      <c r="Y764" s="358"/>
      <c r="Z764" s="358"/>
    </row>
    <row r="765" spans="1:26" ht="13.5" customHeight="1">
      <c r="A765" s="358"/>
      <c r="B765" s="358"/>
      <c r="C765" s="358"/>
      <c r="D765" s="358"/>
      <c r="E765" s="358"/>
      <c r="F765" s="358"/>
      <c r="G765" s="358"/>
      <c r="H765" s="358"/>
      <c r="I765" s="358"/>
      <c r="J765" s="358"/>
      <c r="K765" s="358"/>
      <c r="L765" s="358"/>
      <c r="M765" s="358"/>
      <c r="N765" s="358"/>
      <c r="O765" s="358"/>
      <c r="P765" s="358"/>
      <c r="Q765" s="358"/>
      <c r="R765" s="358"/>
      <c r="S765" s="358"/>
      <c r="T765" s="358"/>
      <c r="U765" s="358"/>
      <c r="V765" s="358"/>
      <c r="W765" s="358"/>
      <c r="X765" s="358"/>
      <c r="Y765" s="358"/>
      <c r="Z765" s="358"/>
    </row>
    <row r="766" spans="1:26" ht="13.5" customHeight="1">
      <c r="A766" s="358"/>
      <c r="B766" s="358"/>
      <c r="C766" s="358"/>
      <c r="D766" s="358"/>
      <c r="E766" s="358"/>
      <c r="F766" s="358"/>
      <c r="G766" s="358"/>
      <c r="H766" s="358"/>
      <c r="I766" s="358"/>
      <c r="J766" s="358"/>
      <c r="K766" s="358"/>
      <c r="L766" s="358"/>
      <c r="M766" s="358"/>
      <c r="N766" s="358"/>
      <c r="O766" s="358"/>
      <c r="P766" s="358"/>
      <c r="Q766" s="358"/>
      <c r="R766" s="358"/>
      <c r="S766" s="358"/>
      <c r="T766" s="358"/>
      <c r="U766" s="358"/>
      <c r="V766" s="358"/>
      <c r="W766" s="358"/>
      <c r="X766" s="358"/>
      <c r="Y766" s="358"/>
      <c r="Z766" s="358"/>
    </row>
    <row r="767" spans="1:26" ht="13.5" customHeight="1">
      <c r="A767" s="358"/>
      <c r="B767" s="358"/>
      <c r="C767" s="358"/>
      <c r="D767" s="358"/>
      <c r="E767" s="358"/>
      <c r="F767" s="358"/>
      <c r="G767" s="358"/>
      <c r="H767" s="358"/>
      <c r="I767" s="358"/>
      <c r="J767" s="358"/>
      <c r="K767" s="358"/>
      <c r="L767" s="358"/>
      <c r="M767" s="358"/>
      <c r="N767" s="358"/>
      <c r="O767" s="358"/>
      <c r="P767" s="358"/>
      <c r="Q767" s="358"/>
      <c r="R767" s="358"/>
      <c r="S767" s="358"/>
      <c r="T767" s="358"/>
      <c r="U767" s="358"/>
      <c r="V767" s="358"/>
      <c r="W767" s="358"/>
      <c r="X767" s="358"/>
      <c r="Y767" s="358"/>
      <c r="Z767" s="358"/>
    </row>
    <row r="768" spans="1:26" ht="13.5" customHeight="1">
      <c r="A768" s="358"/>
      <c r="B768" s="358"/>
      <c r="C768" s="358"/>
      <c r="D768" s="358"/>
      <c r="E768" s="358"/>
      <c r="F768" s="358"/>
      <c r="G768" s="358"/>
      <c r="H768" s="358"/>
      <c r="I768" s="358"/>
      <c r="J768" s="358"/>
      <c r="K768" s="358"/>
      <c r="L768" s="358"/>
      <c r="M768" s="358"/>
      <c r="N768" s="358"/>
      <c r="O768" s="358"/>
      <c r="P768" s="358"/>
      <c r="Q768" s="358"/>
      <c r="R768" s="358"/>
      <c r="S768" s="358"/>
      <c r="T768" s="358"/>
      <c r="U768" s="358"/>
      <c r="V768" s="358"/>
      <c r="W768" s="358"/>
      <c r="X768" s="358"/>
      <c r="Y768" s="358"/>
      <c r="Z768" s="358"/>
    </row>
    <row r="769" spans="1:26" ht="13.5" customHeight="1">
      <c r="A769" s="358"/>
      <c r="B769" s="358"/>
      <c r="C769" s="358"/>
      <c r="D769" s="358"/>
      <c r="E769" s="358"/>
      <c r="F769" s="358"/>
      <c r="G769" s="358"/>
      <c r="H769" s="358"/>
      <c r="I769" s="358"/>
      <c r="J769" s="358"/>
      <c r="K769" s="358"/>
      <c r="L769" s="358"/>
      <c r="M769" s="358"/>
      <c r="N769" s="358"/>
      <c r="O769" s="358"/>
      <c r="P769" s="358"/>
      <c r="Q769" s="358"/>
      <c r="R769" s="358"/>
      <c r="S769" s="358"/>
      <c r="T769" s="358"/>
      <c r="U769" s="358"/>
      <c r="V769" s="358"/>
      <c r="W769" s="358"/>
      <c r="X769" s="358"/>
      <c r="Y769" s="358"/>
      <c r="Z769" s="358"/>
    </row>
    <row r="770" spans="1:26" ht="13.5" customHeight="1">
      <c r="A770" s="358"/>
      <c r="B770" s="358"/>
      <c r="C770" s="358"/>
      <c r="D770" s="358"/>
      <c r="E770" s="358"/>
      <c r="F770" s="358"/>
      <c r="G770" s="358"/>
      <c r="H770" s="358"/>
      <c r="I770" s="358"/>
      <c r="J770" s="358"/>
      <c r="K770" s="358"/>
      <c r="L770" s="358"/>
      <c r="M770" s="358"/>
      <c r="N770" s="358"/>
      <c r="O770" s="358"/>
      <c r="P770" s="358"/>
      <c r="Q770" s="358"/>
      <c r="R770" s="358"/>
      <c r="S770" s="358"/>
      <c r="T770" s="358"/>
      <c r="U770" s="358"/>
      <c r="V770" s="358"/>
      <c r="W770" s="358"/>
      <c r="X770" s="358"/>
      <c r="Y770" s="358"/>
      <c r="Z770" s="358"/>
    </row>
    <row r="771" spans="1:26" ht="13.5" customHeight="1">
      <c r="A771" s="358"/>
      <c r="B771" s="358"/>
      <c r="C771" s="358"/>
      <c r="D771" s="358"/>
      <c r="E771" s="358"/>
      <c r="F771" s="358"/>
      <c r="G771" s="358"/>
      <c r="H771" s="358"/>
      <c r="I771" s="358"/>
      <c r="J771" s="358"/>
      <c r="K771" s="358"/>
      <c r="L771" s="358"/>
      <c r="M771" s="358"/>
      <c r="N771" s="358"/>
      <c r="O771" s="358"/>
      <c r="P771" s="358"/>
      <c r="Q771" s="358"/>
      <c r="R771" s="358"/>
      <c r="S771" s="358"/>
      <c r="T771" s="358"/>
      <c r="U771" s="358"/>
      <c r="V771" s="358"/>
      <c r="W771" s="358"/>
      <c r="X771" s="358"/>
      <c r="Y771" s="358"/>
      <c r="Z771" s="358"/>
    </row>
    <row r="772" spans="1:26" ht="13.5" customHeight="1">
      <c r="A772" s="358"/>
      <c r="B772" s="358"/>
      <c r="C772" s="358"/>
      <c r="D772" s="358"/>
      <c r="E772" s="358"/>
      <c r="F772" s="358"/>
      <c r="G772" s="358"/>
      <c r="H772" s="358"/>
      <c r="I772" s="358"/>
      <c r="J772" s="358"/>
      <c r="K772" s="358"/>
      <c r="L772" s="358"/>
      <c r="M772" s="358"/>
      <c r="N772" s="358"/>
      <c r="O772" s="358"/>
      <c r="P772" s="358"/>
      <c r="Q772" s="358"/>
      <c r="R772" s="358"/>
      <c r="S772" s="358"/>
      <c r="T772" s="358"/>
      <c r="U772" s="358"/>
      <c r="V772" s="358"/>
      <c r="W772" s="358"/>
      <c r="X772" s="358"/>
      <c r="Y772" s="358"/>
      <c r="Z772" s="358"/>
    </row>
    <row r="773" spans="1:26" ht="13.5" customHeight="1">
      <c r="A773" s="358"/>
      <c r="B773" s="358"/>
      <c r="C773" s="358"/>
      <c r="D773" s="358"/>
      <c r="E773" s="358"/>
      <c r="F773" s="358"/>
      <c r="G773" s="358"/>
      <c r="H773" s="358"/>
      <c r="I773" s="358"/>
      <c r="J773" s="358"/>
      <c r="K773" s="358"/>
      <c r="L773" s="358"/>
      <c r="M773" s="358"/>
      <c r="N773" s="358"/>
      <c r="O773" s="358"/>
      <c r="P773" s="358"/>
      <c r="Q773" s="358"/>
      <c r="R773" s="358"/>
      <c r="S773" s="358"/>
      <c r="T773" s="358"/>
      <c r="U773" s="358"/>
      <c r="V773" s="358"/>
      <c r="W773" s="358"/>
      <c r="X773" s="358"/>
      <c r="Y773" s="358"/>
      <c r="Z773" s="358"/>
    </row>
    <row r="774" spans="1:26" ht="13.5" customHeight="1">
      <c r="A774" s="358"/>
      <c r="B774" s="358"/>
      <c r="C774" s="358"/>
      <c r="D774" s="358"/>
      <c r="E774" s="358"/>
      <c r="F774" s="358"/>
      <c r="G774" s="358"/>
      <c r="H774" s="358"/>
      <c r="I774" s="358"/>
      <c r="J774" s="358"/>
      <c r="K774" s="358"/>
      <c r="L774" s="358"/>
      <c r="M774" s="358"/>
      <c r="N774" s="358"/>
      <c r="O774" s="358"/>
      <c r="P774" s="358"/>
      <c r="Q774" s="358"/>
      <c r="R774" s="358"/>
      <c r="S774" s="358"/>
      <c r="T774" s="358"/>
      <c r="U774" s="358"/>
      <c r="V774" s="358"/>
      <c r="W774" s="358"/>
      <c r="X774" s="358"/>
      <c r="Y774" s="358"/>
      <c r="Z774" s="358"/>
    </row>
    <row r="775" spans="1:26" ht="13.5" customHeight="1">
      <c r="A775" s="358"/>
      <c r="B775" s="358"/>
      <c r="C775" s="358"/>
      <c r="D775" s="358"/>
      <c r="E775" s="358"/>
      <c r="F775" s="358"/>
      <c r="G775" s="358"/>
      <c r="H775" s="358"/>
      <c r="I775" s="358"/>
      <c r="J775" s="358"/>
      <c r="K775" s="358"/>
      <c r="L775" s="358"/>
      <c r="M775" s="358"/>
      <c r="N775" s="358"/>
      <c r="O775" s="358"/>
      <c r="P775" s="358"/>
      <c r="Q775" s="358"/>
      <c r="R775" s="358"/>
      <c r="S775" s="358"/>
      <c r="T775" s="358"/>
      <c r="U775" s="358"/>
      <c r="V775" s="358"/>
      <c r="W775" s="358"/>
      <c r="X775" s="358"/>
      <c r="Y775" s="358"/>
      <c r="Z775" s="358"/>
    </row>
    <row r="776" spans="1:26" ht="13.5" customHeight="1">
      <c r="A776" s="358"/>
      <c r="B776" s="358"/>
      <c r="C776" s="358"/>
      <c r="D776" s="358"/>
      <c r="E776" s="358"/>
      <c r="F776" s="358"/>
      <c r="G776" s="358"/>
      <c r="H776" s="358"/>
      <c r="I776" s="358"/>
      <c r="J776" s="358"/>
      <c r="K776" s="358"/>
      <c r="L776" s="358"/>
      <c r="M776" s="358"/>
      <c r="N776" s="358"/>
      <c r="O776" s="358"/>
      <c r="P776" s="358"/>
      <c r="Q776" s="358"/>
      <c r="R776" s="358"/>
      <c r="S776" s="358"/>
      <c r="T776" s="358"/>
      <c r="U776" s="358"/>
      <c r="V776" s="358"/>
      <c r="W776" s="358"/>
      <c r="X776" s="358"/>
      <c r="Y776" s="358"/>
      <c r="Z776" s="358"/>
    </row>
    <row r="777" spans="1:26" ht="13.5" customHeight="1">
      <c r="A777" s="358"/>
      <c r="B777" s="358"/>
      <c r="C777" s="358"/>
      <c r="D777" s="358"/>
      <c r="E777" s="358"/>
      <c r="F777" s="358"/>
      <c r="G777" s="358"/>
      <c r="H777" s="358"/>
      <c r="I777" s="358"/>
      <c r="J777" s="358"/>
      <c r="K777" s="358"/>
      <c r="L777" s="358"/>
      <c r="M777" s="358"/>
      <c r="N777" s="358"/>
      <c r="O777" s="358"/>
      <c r="P777" s="358"/>
      <c r="Q777" s="358"/>
      <c r="R777" s="358"/>
      <c r="S777" s="358"/>
      <c r="T777" s="358"/>
      <c r="U777" s="358"/>
      <c r="V777" s="358"/>
      <c r="W777" s="358"/>
      <c r="X777" s="358"/>
      <c r="Y777" s="358"/>
      <c r="Z777" s="358"/>
    </row>
    <row r="778" spans="1:26" ht="13.5" customHeight="1">
      <c r="A778" s="358"/>
      <c r="B778" s="358"/>
      <c r="C778" s="358"/>
      <c r="D778" s="358"/>
      <c r="E778" s="358"/>
      <c r="F778" s="358"/>
      <c r="G778" s="358"/>
      <c r="H778" s="358"/>
      <c r="I778" s="358"/>
      <c r="J778" s="358"/>
      <c r="K778" s="358"/>
      <c r="L778" s="358"/>
      <c r="M778" s="358"/>
      <c r="N778" s="358"/>
      <c r="O778" s="358"/>
      <c r="P778" s="358"/>
      <c r="Q778" s="358"/>
      <c r="R778" s="358"/>
      <c r="S778" s="358"/>
      <c r="T778" s="358"/>
      <c r="U778" s="358"/>
      <c r="V778" s="358"/>
      <c r="W778" s="358"/>
      <c r="X778" s="358"/>
      <c r="Y778" s="358"/>
      <c r="Z778" s="358"/>
    </row>
    <row r="779" spans="1:26" ht="13.5" customHeight="1">
      <c r="A779" s="358"/>
      <c r="B779" s="358"/>
      <c r="C779" s="358"/>
      <c r="D779" s="358"/>
      <c r="E779" s="358"/>
      <c r="F779" s="358"/>
      <c r="G779" s="358"/>
      <c r="H779" s="358"/>
      <c r="I779" s="358"/>
      <c r="J779" s="358"/>
      <c r="K779" s="358"/>
      <c r="L779" s="358"/>
      <c r="M779" s="358"/>
      <c r="N779" s="358"/>
      <c r="O779" s="358"/>
      <c r="P779" s="358"/>
      <c r="Q779" s="358"/>
      <c r="R779" s="358"/>
      <c r="S779" s="358"/>
      <c r="T779" s="358"/>
      <c r="U779" s="358"/>
      <c r="V779" s="358"/>
      <c r="W779" s="358"/>
      <c r="X779" s="358"/>
      <c r="Y779" s="358"/>
      <c r="Z779" s="358"/>
    </row>
    <row r="780" spans="1:26" ht="13.5" customHeight="1">
      <c r="A780" s="358"/>
      <c r="B780" s="358"/>
      <c r="C780" s="358"/>
      <c r="D780" s="358"/>
      <c r="E780" s="358"/>
      <c r="F780" s="358"/>
      <c r="G780" s="358"/>
      <c r="H780" s="358"/>
      <c r="I780" s="358"/>
      <c r="J780" s="358"/>
      <c r="K780" s="358"/>
      <c r="L780" s="358"/>
      <c r="M780" s="358"/>
      <c r="N780" s="358"/>
      <c r="O780" s="358"/>
      <c r="P780" s="358"/>
      <c r="Q780" s="358"/>
      <c r="R780" s="358"/>
      <c r="S780" s="358"/>
      <c r="T780" s="358"/>
      <c r="U780" s="358"/>
      <c r="V780" s="358"/>
      <c r="W780" s="358"/>
      <c r="X780" s="358"/>
      <c r="Y780" s="358"/>
      <c r="Z780" s="358"/>
    </row>
    <row r="781" spans="1:26" ht="13.5" customHeight="1">
      <c r="A781" s="358"/>
      <c r="B781" s="358"/>
      <c r="C781" s="358"/>
      <c r="D781" s="358"/>
      <c r="E781" s="358"/>
      <c r="F781" s="358"/>
      <c r="G781" s="358"/>
      <c r="H781" s="358"/>
      <c r="I781" s="358"/>
      <c r="J781" s="358"/>
      <c r="K781" s="358"/>
      <c r="L781" s="358"/>
      <c r="M781" s="358"/>
      <c r="N781" s="358"/>
      <c r="O781" s="358"/>
      <c r="P781" s="358"/>
      <c r="Q781" s="358"/>
      <c r="R781" s="358"/>
      <c r="S781" s="358"/>
      <c r="T781" s="358"/>
      <c r="U781" s="358"/>
      <c r="V781" s="358"/>
      <c r="W781" s="358"/>
      <c r="X781" s="358"/>
      <c r="Y781" s="358"/>
      <c r="Z781" s="358"/>
    </row>
    <row r="782" spans="1:26" ht="13.5" customHeight="1">
      <c r="A782" s="358"/>
      <c r="B782" s="358"/>
      <c r="C782" s="358"/>
      <c r="D782" s="358"/>
      <c r="E782" s="358"/>
      <c r="F782" s="358"/>
      <c r="G782" s="358"/>
      <c r="H782" s="358"/>
      <c r="I782" s="358"/>
      <c r="J782" s="358"/>
      <c r="K782" s="358"/>
      <c r="L782" s="358"/>
      <c r="M782" s="358"/>
      <c r="N782" s="358"/>
      <c r="O782" s="358"/>
      <c r="P782" s="358"/>
      <c r="Q782" s="358"/>
      <c r="R782" s="358"/>
      <c r="S782" s="358"/>
      <c r="T782" s="358"/>
      <c r="U782" s="358"/>
      <c r="V782" s="358"/>
      <c r="W782" s="358"/>
      <c r="X782" s="358"/>
      <c r="Y782" s="358"/>
      <c r="Z782" s="358"/>
    </row>
    <row r="783" spans="1:26" ht="13.5" customHeight="1">
      <c r="A783" s="358"/>
      <c r="B783" s="358"/>
      <c r="C783" s="358"/>
      <c r="D783" s="358"/>
      <c r="E783" s="358"/>
      <c r="F783" s="358"/>
      <c r="G783" s="358"/>
      <c r="H783" s="358"/>
      <c r="I783" s="358"/>
      <c r="J783" s="358"/>
      <c r="K783" s="358"/>
      <c r="L783" s="358"/>
      <c r="M783" s="358"/>
      <c r="N783" s="358"/>
      <c r="O783" s="358"/>
      <c r="P783" s="358"/>
      <c r="Q783" s="358"/>
      <c r="R783" s="358"/>
      <c r="S783" s="358"/>
      <c r="T783" s="358"/>
      <c r="U783" s="358"/>
      <c r="V783" s="358"/>
      <c r="W783" s="358"/>
      <c r="X783" s="358"/>
      <c r="Y783" s="358"/>
      <c r="Z783" s="358"/>
    </row>
    <row r="784" spans="1:26" ht="13.5" customHeight="1">
      <c r="A784" s="358"/>
      <c r="B784" s="358"/>
      <c r="C784" s="358"/>
      <c r="D784" s="358"/>
      <c r="E784" s="358"/>
      <c r="F784" s="358"/>
      <c r="G784" s="358"/>
      <c r="H784" s="358"/>
      <c r="I784" s="358"/>
      <c r="J784" s="358"/>
      <c r="K784" s="358"/>
      <c r="L784" s="358"/>
      <c r="M784" s="358"/>
      <c r="N784" s="358"/>
      <c r="O784" s="358"/>
      <c r="P784" s="358"/>
      <c r="Q784" s="358"/>
      <c r="R784" s="358"/>
      <c r="S784" s="358"/>
      <c r="T784" s="358"/>
      <c r="U784" s="358"/>
      <c r="V784" s="358"/>
      <c r="W784" s="358"/>
      <c r="X784" s="358"/>
      <c r="Y784" s="358"/>
      <c r="Z784" s="358"/>
    </row>
    <row r="785" spans="1:26" ht="13.5" customHeight="1">
      <c r="A785" s="358"/>
      <c r="B785" s="358"/>
      <c r="C785" s="358"/>
      <c r="D785" s="358"/>
      <c r="E785" s="358"/>
      <c r="F785" s="358"/>
      <c r="G785" s="358"/>
      <c r="H785" s="358"/>
      <c r="I785" s="358"/>
      <c r="J785" s="358"/>
      <c r="K785" s="358"/>
      <c r="L785" s="358"/>
      <c r="M785" s="358"/>
      <c r="N785" s="358"/>
      <c r="O785" s="358"/>
      <c r="P785" s="358"/>
      <c r="Q785" s="358"/>
      <c r="R785" s="358"/>
      <c r="S785" s="358"/>
      <c r="T785" s="358"/>
      <c r="U785" s="358"/>
      <c r="V785" s="358"/>
      <c r="W785" s="358"/>
      <c r="X785" s="358"/>
      <c r="Y785" s="358"/>
      <c r="Z785" s="358"/>
    </row>
    <row r="786" spans="1:26" ht="13.5" customHeight="1">
      <c r="A786" s="358"/>
      <c r="B786" s="358"/>
      <c r="C786" s="358"/>
      <c r="D786" s="358"/>
      <c r="E786" s="358"/>
      <c r="F786" s="358"/>
      <c r="G786" s="358"/>
      <c r="H786" s="358"/>
      <c r="I786" s="358"/>
      <c r="J786" s="358"/>
      <c r="K786" s="358"/>
      <c r="L786" s="358"/>
      <c r="M786" s="358"/>
      <c r="N786" s="358"/>
      <c r="O786" s="358"/>
      <c r="P786" s="358"/>
      <c r="Q786" s="358"/>
      <c r="R786" s="358"/>
      <c r="S786" s="358"/>
      <c r="T786" s="358"/>
      <c r="U786" s="358"/>
      <c r="V786" s="358"/>
      <c r="W786" s="358"/>
      <c r="X786" s="358"/>
      <c r="Y786" s="358"/>
      <c r="Z786" s="358"/>
    </row>
    <row r="787" spans="1:26" ht="13.5" customHeight="1">
      <c r="A787" s="358"/>
      <c r="B787" s="358"/>
      <c r="C787" s="358"/>
      <c r="D787" s="358"/>
      <c r="E787" s="358"/>
      <c r="F787" s="358"/>
      <c r="G787" s="358"/>
      <c r="H787" s="358"/>
      <c r="I787" s="358"/>
      <c r="J787" s="358"/>
      <c r="K787" s="358"/>
      <c r="L787" s="358"/>
      <c r="M787" s="358"/>
      <c r="N787" s="358"/>
      <c r="O787" s="358"/>
      <c r="P787" s="358"/>
      <c r="Q787" s="358"/>
      <c r="R787" s="358"/>
      <c r="S787" s="358"/>
      <c r="T787" s="358"/>
      <c r="U787" s="358"/>
      <c r="V787" s="358"/>
      <c r="W787" s="358"/>
      <c r="X787" s="358"/>
      <c r="Y787" s="358"/>
      <c r="Z787" s="358"/>
    </row>
    <row r="788" spans="1:26" ht="13.5" customHeight="1">
      <c r="A788" s="358"/>
      <c r="B788" s="358"/>
      <c r="C788" s="358"/>
      <c r="D788" s="358"/>
      <c r="E788" s="358"/>
      <c r="F788" s="358"/>
      <c r="G788" s="358"/>
      <c r="H788" s="358"/>
      <c r="I788" s="358"/>
      <c r="J788" s="358"/>
      <c r="K788" s="358"/>
      <c r="L788" s="358"/>
      <c r="M788" s="358"/>
      <c r="N788" s="358"/>
      <c r="O788" s="358"/>
      <c r="P788" s="358"/>
      <c r="Q788" s="358"/>
      <c r="R788" s="358"/>
      <c r="S788" s="358"/>
      <c r="T788" s="358"/>
      <c r="U788" s="358"/>
      <c r="V788" s="358"/>
      <c r="W788" s="358"/>
      <c r="X788" s="358"/>
      <c r="Y788" s="358"/>
      <c r="Z788" s="358"/>
    </row>
    <row r="789" spans="1:26" ht="13.5" customHeight="1">
      <c r="A789" s="358"/>
      <c r="B789" s="358"/>
      <c r="C789" s="358"/>
      <c r="D789" s="358"/>
      <c r="E789" s="358"/>
      <c r="F789" s="358"/>
      <c r="G789" s="358"/>
      <c r="H789" s="358"/>
      <c r="I789" s="358"/>
      <c r="J789" s="358"/>
      <c r="K789" s="358"/>
      <c r="L789" s="358"/>
      <c r="M789" s="358"/>
      <c r="N789" s="358"/>
      <c r="O789" s="358"/>
      <c r="P789" s="358"/>
      <c r="Q789" s="358"/>
      <c r="R789" s="358"/>
      <c r="S789" s="358"/>
      <c r="T789" s="358"/>
      <c r="U789" s="358"/>
      <c r="V789" s="358"/>
      <c r="W789" s="358"/>
      <c r="X789" s="358"/>
      <c r="Y789" s="358"/>
      <c r="Z789" s="358"/>
    </row>
    <row r="790" spans="1:26" ht="13.5" customHeight="1">
      <c r="A790" s="358"/>
      <c r="B790" s="358"/>
      <c r="C790" s="358"/>
      <c r="D790" s="358"/>
      <c r="E790" s="358"/>
      <c r="F790" s="358"/>
      <c r="G790" s="358"/>
      <c r="H790" s="358"/>
      <c r="I790" s="358"/>
      <c r="J790" s="358"/>
      <c r="K790" s="358"/>
      <c r="L790" s="358"/>
      <c r="M790" s="358"/>
      <c r="N790" s="358"/>
      <c r="O790" s="358"/>
      <c r="P790" s="358"/>
      <c r="Q790" s="358"/>
      <c r="R790" s="358"/>
      <c r="S790" s="358"/>
      <c r="T790" s="358"/>
      <c r="U790" s="358"/>
      <c r="V790" s="358"/>
      <c r="W790" s="358"/>
      <c r="X790" s="358"/>
      <c r="Y790" s="358"/>
      <c r="Z790" s="358"/>
    </row>
    <row r="791" spans="1:26" ht="13.5" customHeight="1">
      <c r="A791" s="358"/>
      <c r="B791" s="358"/>
      <c r="C791" s="358"/>
      <c r="D791" s="358"/>
      <c r="E791" s="358"/>
      <c r="F791" s="358"/>
      <c r="G791" s="358"/>
      <c r="H791" s="358"/>
      <c r="I791" s="358"/>
      <c r="J791" s="358"/>
      <c r="K791" s="358"/>
      <c r="L791" s="358"/>
      <c r="M791" s="358"/>
      <c r="N791" s="358"/>
      <c r="O791" s="358"/>
      <c r="P791" s="358"/>
      <c r="Q791" s="358"/>
      <c r="R791" s="358"/>
      <c r="S791" s="358"/>
      <c r="T791" s="358"/>
      <c r="U791" s="358"/>
      <c r="V791" s="358"/>
      <c r="W791" s="358"/>
      <c r="X791" s="358"/>
      <c r="Y791" s="358"/>
      <c r="Z791" s="358"/>
    </row>
    <row r="792" spans="1:26" ht="13.5" customHeight="1">
      <c r="A792" s="358"/>
      <c r="B792" s="358"/>
      <c r="C792" s="358"/>
      <c r="D792" s="358"/>
      <c r="E792" s="358"/>
      <c r="F792" s="358"/>
      <c r="G792" s="358"/>
      <c r="H792" s="358"/>
      <c r="I792" s="358"/>
      <c r="J792" s="358"/>
      <c r="K792" s="358"/>
      <c r="L792" s="358"/>
      <c r="M792" s="358"/>
      <c r="N792" s="358"/>
      <c r="O792" s="358"/>
      <c r="P792" s="358"/>
      <c r="Q792" s="358"/>
      <c r="R792" s="358"/>
      <c r="S792" s="358"/>
      <c r="T792" s="358"/>
      <c r="U792" s="358"/>
      <c r="V792" s="358"/>
      <c r="W792" s="358"/>
      <c r="X792" s="358"/>
      <c r="Y792" s="358"/>
      <c r="Z792" s="358"/>
    </row>
    <row r="793" spans="1:26" ht="13.5" customHeight="1">
      <c r="A793" s="358"/>
      <c r="B793" s="358"/>
      <c r="C793" s="358"/>
      <c r="D793" s="358"/>
      <c r="E793" s="358"/>
      <c r="F793" s="358"/>
      <c r="G793" s="358"/>
      <c r="H793" s="358"/>
      <c r="I793" s="358"/>
      <c r="J793" s="358"/>
      <c r="K793" s="358"/>
      <c r="L793" s="358"/>
      <c r="M793" s="358"/>
      <c r="N793" s="358"/>
      <c r="O793" s="358"/>
      <c r="P793" s="358"/>
      <c r="Q793" s="358"/>
      <c r="R793" s="358"/>
      <c r="S793" s="358"/>
      <c r="T793" s="358"/>
      <c r="U793" s="358"/>
      <c r="V793" s="358"/>
      <c r="W793" s="358"/>
      <c r="X793" s="358"/>
      <c r="Y793" s="358"/>
      <c r="Z793" s="358"/>
    </row>
    <row r="794" spans="1:26" ht="13.5" customHeight="1">
      <c r="A794" s="358"/>
      <c r="B794" s="358"/>
      <c r="C794" s="358"/>
      <c r="D794" s="358"/>
      <c r="E794" s="358"/>
      <c r="F794" s="358"/>
      <c r="G794" s="358"/>
      <c r="H794" s="358"/>
      <c r="I794" s="358"/>
      <c r="J794" s="358"/>
      <c r="K794" s="358"/>
      <c r="L794" s="358"/>
      <c r="M794" s="358"/>
      <c r="N794" s="358"/>
      <c r="O794" s="358"/>
      <c r="P794" s="358"/>
      <c r="Q794" s="358"/>
      <c r="R794" s="358"/>
      <c r="S794" s="358"/>
      <c r="T794" s="358"/>
      <c r="U794" s="358"/>
      <c r="V794" s="358"/>
      <c r="W794" s="358"/>
      <c r="X794" s="358"/>
      <c r="Y794" s="358"/>
      <c r="Z794" s="358"/>
    </row>
    <row r="795" spans="1:26" ht="13.5" customHeight="1">
      <c r="A795" s="358"/>
      <c r="B795" s="358"/>
      <c r="C795" s="358"/>
      <c r="D795" s="358"/>
      <c r="E795" s="358"/>
      <c r="F795" s="358"/>
      <c r="G795" s="358"/>
      <c r="H795" s="358"/>
      <c r="I795" s="358"/>
      <c r="J795" s="358"/>
      <c r="K795" s="358"/>
      <c r="L795" s="358"/>
      <c r="M795" s="358"/>
      <c r="N795" s="358"/>
      <c r="O795" s="358"/>
      <c r="P795" s="358"/>
      <c r="Q795" s="358"/>
      <c r="R795" s="358"/>
      <c r="S795" s="358"/>
      <c r="T795" s="358"/>
      <c r="U795" s="358"/>
      <c r="V795" s="358"/>
      <c r="W795" s="358"/>
      <c r="X795" s="358"/>
      <c r="Y795" s="358"/>
      <c r="Z795" s="358"/>
    </row>
    <row r="796" spans="1:26" ht="13.5" customHeight="1">
      <c r="A796" s="358"/>
      <c r="B796" s="358"/>
      <c r="C796" s="358"/>
      <c r="D796" s="358"/>
      <c r="E796" s="358"/>
      <c r="F796" s="358"/>
      <c r="G796" s="358"/>
      <c r="H796" s="358"/>
      <c r="I796" s="358"/>
      <c r="J796" s="358"/>
      <c r="K796" s="358"/>
      <c r="L796" s="358"/>
      <c r="M796" s="358"/>
      <c r="N796" s="358"/>
      <c r="O796" s="358"/>
      <c r="P796" s="358"/>
      <c r="Q796" s="358"/>
      <c r="R796" s="358"/>
      <c r="S796" s="358"/>
      <c r="T796" s="358"/>
      <c r="U796" s="358"/>
      <c r="V796" s="358"/>
      <c r="W796" s="358"/>
      <c r="X796" s="358"/>
      <c r="Y796" s="358"/>
      <c r="Z796" s="358"/>
    </row>
    <row r="797" spans="1:26" ht="13.5" customHeight="1">
      <c r="A797" s="358"/>
      <c r="B797" s="358"/>
      <c r="C797" s="358"/>
      <c r="D797" s="358"/>
      <c r="E797" s="358"/>
      <c r="F797" s="358"/>
      <c r="G797" s="358"/>
      <c r="H797" s="358"/>
      <c r="I797" s="358"/>
      <c r="J797" s="358"/>
      <c r="K797" s="358"/>
      <c r="L797" s="358"/>
      <c r="M797" s="358"/>
      <c r="N797" s="358"/>
      <c r="O797" s="358"/>
      <c r="P797" s="358"/>
      <c r="Q797" s="358"/>
      <c r="R797" s="358"/>
      <c r="S797" s="358"/>
      <c r="T797" s="358"/>
      <c r="U797" s="358"/>
      <c r="V797" s="358"/>
      <c r="W797" s="358"/>
      <c r="X797" s="358"/>
      <c r="Y797" s="358"/>
      <c r="Z797" s="358"/>
    </row>
    <row r="798" spans="1:26" ht="13.5" customHeight="1">
      <c r="A798" s="358"/>
      <c r="B798" s="358"/>
      <c r="C798" s="358"/>
      <c r="D798" s="358"/>
      <c r="E798" s="358"/>
      <c r="F798" s="358"/>
      <c r="G798" s="358"/>
      <c r="H798" s="358"/>
      <c r="I798" s="358"/>
      <c r="J798" s="358"/>
      <c r="K798" s="358"/>
      <c r="L798" s="358"/>
      <c r="M798" s="358"/>
      <c r="N798" s="358"/>
      <c r="O798" s="358"/>
      <c r="P798" s="358"/>
      <c r="Q798" s="358"/>
      <c r="R798" s="358"/>
      <c r="S798" s="358"/>
      <c r="T798" s="358"/>
      <c r="U798" s="358"/>
      <c r="V798" s="358"/>
      <c r="W798" s="358"/>
      <c r="X798" s="358"/>
      <c r="Y798" s="358"/>
      <c r="Z798" s="358"/>
    </row>
    <row r="799" spans="1:26" ht="13.5" customHeight="1">
      <c r="A799" s="358"/>
      <c r="B799" s="358"/>
      <c r="C799" s="358"/>
      <c r="D799" s="358"/>
      <c r="E799" s="358"/>
      <c r="F799" s="358"/>
      <c r="G799" s="358"/>
      <c r="H799" s="358"/>
      <c r="I799" s="358"/>
      <c r="J799" s="358"/>
      <c r="K799" s="358"/>
      <c r="L799" s="358"/>
      <c r="M799" s="358"/>
      <c r="N799" s="358"/>
      <c r="O799" s="358"/>
      <c r="P799" s="358"/>
      <c r="Q799" s="358"/>
      <c r="R799" s="358"/>
      <c r="S799" s="358"/>
      <c r="T799" s="358"/>
      <c r="U799" s="358"/>
      <c r="V799" s="358"/>
      <c r="W799" s="358"/>
      <c r="X799" s="358"/>
      <c r="Y799" s="358"/>
      <c r="Z799" s="358"/>
    </row>
    <row r="800" spans="1:26" ht="13.5" customHeight="1">
      <c r="A800" s="358"/>
      <c r="B800" s="358"/>
      <c r="C800" s="358"/>
      <c r="D800" s="358"/>
      <c r="E800" s="358"/>
      <c r="F800" s="358"/>
      <c r="G800" s="358"/>
      <c r="H800" s="358"/>
      <c r="I800" s="358"/>
      <c r="J800" s="358"/>
      <c r="K800" s="358"/>
      <c r="L800" s="358"/>
      <c r="M800" s="358"/>
      <c r="N800" s="358"/>
      <c r="O800" s="358"/>
      <c r="P800" s="358"/>
      <c r="Q800" s="358"/>
      <c r="R800" s="358"/>
      <c r="S800" s="358"/>
      <c r="T800" s="358"/>
      <c r="U800" s="358"/>
      <c r="V800" s="358"/>
      <c r="W800" s="358"/>
      <c r="X800" s="358"/>
      <c r="Y800" s="358"/>
      <c r="Z800" s="358"/>
    </row>
    <row r="801" spans="1:26" ht="13.5" customHeight="1">
      <c r="A801" s="358"/>
      <c r="B801" s="358"/>
      <c r="C801" s="358"/>
      <c r="D801" s="358"/>
      <c r="E801" s="358"/>
      <c r="F801" s="358"/>
      <c r="G801" s="358"/>
      <c r="H801" s="358"/>
      <c r="I801" s="358"/>
      <c r="J801" s="358"/>
      <c r="K801" s="358"/>
      <c r="L801" s="358"/>
      <c r="M801" s="358"/>
      <c r="N801" s="358"/>
      <c r="O801" s="358"/>
      <c r="P801" s="358"/>
      <c r="Q801" s="358"/>
      <c r="R801" s="358"/>
      <c r="S801" s="358"/>
      <c r="T801" s="358"/>
      <c r="U801" s="358"/>
      <c r="V801" s="358"/>
      <c r="W801" s="358"/>
      <c r="X801" s="358"/>
      <c r="Y801" s="358"/>
      <c r="Z801" s="358"/>
    </row>
    <row r="802" spans="1:26" ht="13.5" customHeight="1">
      <c r="A802" s="358"/>
      <c r="B802" s="358"/>
      <c r="C802" s="358"/>
      <c r="D802" s="358"/>
      <c r="E802" s="358"/>
      <c r="F802" s="358"/>
      <c r="G802" s="358"/>
      <c r="H802" s="358"/>
      <c r="I802" s="358"/>
      <c r="J802" s="358"/>
      <c r="K802" s="358"/>
      <c r="L802" s="358"/>
      <c r="M802" s="358"/>
      <c r="N802" s="358"/>
      <c r="O802" s="358"/>
      <c r="P802" s="358"/>
      <c r="Q802" s="358"/>
      <c r="R802" s="358"/>
      <c r="S802" s="358"/>
      <c r="T802" s="358"/>
      <c r="U802" s="358"/>
      <c r="V802" s="358"/>
      <c r="W802" s="358"/>
      <c r="X802" s="358"/>
      <c r="Y802" s="358"/>
      <c r="Z802" s="358"/>
    </row>
    <row r="803" spans="1:26" ht="13.5" customHeight="1">
      <c r="A803" s="358"/>
      <c r="B803" s="358"/>
      <c r="C803" s="358"/>
      <c r="D803" s="358"/>
      <c r="E803" s="358"/>
      <c r="F803" s="358"/>
      <c r="G803" s="358"/>
      <c r="H803" s="358"/>
      <c r="I803" s="358"/>
      <c r="J803" s="358"/>
      <c r="K803" s="358"/>
      <c r="L803" s="358"/>
      <c r="M803" s="358"/>
      <c r="N803" s="358"/>
      <c r="O803" s="358"/>
      <c r="P803" s="358"/>
      <c r="Q803" s="358"/>
      <c r="R803" s="358"/>
      <c r="S803" s="358"/>
      <c r="T803" s="358"/>
      <c r="U803" s="358"/>
      <c r="V803" s="358"/>
      <c r="W803" s="358"/>
      <c r="X803" s="358"/>
      <c r="Y803" s="358"/>
      <c r="Z803" s="358"/>
    </row>
    <row r="804" spans="1:26" ht="13.5" customHeight="1">
      <c r="A804" s="358"/>
      <c r="B804" s="358"/>
      <c r="C804" s="358"/>
      <c r="D804" s="358"/>
      <c r="E804" s="358"/>
      <c r="F804" s="358"/>
      <c r="G804" s="358"/>
      <c r="H804" s="358"/>
      <c r="I804" s="358"/>
      <c r="J804" s="358"/>
      <c r="K804" s="358"/>
      <c r="L804" s="358"/>
      <c r="M804" s="358"/>
      <c r="N804" s="358"/>
      <c r="O804" s="358"/>
      <c r="P804" s="358"/>
      <c r="Q804" s="358"/>
      <c r="R804" s="358"/>
      <c r="S804" s="358"/>
      <c r="T804" s="358"/>
      <c r="U804" s="358"/>
      <c r="V804" s="358"/>
      <c r="W804" s="358"/>
      <c r="X804" s="358"/>
      <c r="Y804" s="358"/>
      <c r="Z804" s="358"/>
    </row>
    <row r="805" spans="1:26" ht="13.5" customHeight="1">
      <c r="A805" s="358"/>
      <c r="B805" s="358"/>
      <c r="C805" s="358"/>
      <c r="D805" s="358"/>
      <c r="E805" s="358"/>
      <c r="F805" s="358"/>
      <c r="G805" s="358"/>
      <c r="H805" s="358"/>
      <c r="I805" s="358"/>
      <c r="J805" s="358"/>
      <c r="K805" s="358"/>
      <c r="L805" s="358"/>
      <c r="M805" s="358"/>
      <c r="N805" s="358"/>
      <c r="O805" s="358"/>
      <c r="P805" s="358"/>
      <c r="Q805" s="358"/>
      <c r="R805" s="358"/>
      <c r="S805" s="358"/>
      <c r="T805" s="358"/>
      <c r="U805" s="358"/>
      <c r="V805" s="358"/>
      <c r="W805" s="358"/>
      <c r="X805" s="358"/>
      <c r="Y805" s="358"/>
      <c r="Z805" s="358"/>
    </row>
    <row r="806" spans="1:26" ht="13.5" customHeight="1">
      <c r="A806" s="358"/>
      <c r="B806" s="358"/>
      <c r="C806" s="358"/>
      <c r="D806" s="358"/>
      <c r="E806" s="358"/>
      <c r="F806" s="358"/>
      <c r="G806" s="358"/>
      <c r="H806" s="358"/>
      <c r="I806" s="358"/>
      <c r="J806" s="358"/>
      <c r="K806" s="358"/>
      <c r="L806" s="358"/>
      <c r="M806" s="358"/>
      <c r="N806" s="358"/>
      <c r="O806" s="358"/>
      <c r="P806" s="358"/>
      <c r="Q806" s="358"/>
      <c r="R806" s="358"/>
      <c r="S806" s="358"/>
      <c r="T806" s="358"/>
      <c r="U806" s="358"/>
      <c r="V806" s="358"/>
      <c r="W806" s="358"/>
      <c r="X806" s="358"/>
      <c r="Y806" s="358"/>
      <c r="Z806" s="358"/>
    </row>
    <row r="807" spans="1:26" ht="13.5" customHeight="1">
      <c r="A807" s="358"/>
      <c r="B807" s="358"/>
      <c r="C807" s="358"/>
      <c r="D807" s="358"/>
      <c r="E807" s="358"/>
      <c r="F807" s="358"/>
      <c r="G807" s="358"/>
      <c r="H807" s="358"/>
      <c r="I807" s="358"/>
      <c r="J807" s="358"/>
      <c r="K807" s="358"/>
      <c r="L807" s="358"/>
      <c r="M807" s="358"/>
      <c r="N807" s="358"/>
      <c r="O807" s="358"/>
      <c r="P807" s="358"/>
      <c r="Q807" s="358"/>
      <c r="R807" s="358"/>
      <c r="S807" s="358"/>
      <c r="T807" s="358"/>
      <c r="U807" s="358"/>
      <c r="V807" s="358"/>
      <c r="W807" s="358"/>
      <c r="X807" s="358"/>
      <c r="Y807" s="358"/>
      <c r="Z807" s="358"/>
    </row>
    <row r="808" spans="1:26" ht="13.5" customHeight="1">
      <c r="A808" s="358"/>
      <c r="B808" s="358"/>
      <c r="C808" s="358"/>
      <c r="D808" s="358"/>
      <c r="E808" s="358"/>
      <c r="F808" s="358"/>
      <c r="G808" s="358"/>
      <c r="H808" s="358"/>
      <c r="I808" s="358"/>
      <c r="J808" s="358"/>
      <c r="K808" s="358"/>
      <c r="L808" s="358"/>
      <c r="M808" s="358"/>
      <c r="N808" s="358"/>
      <c r="O808" s="358"/>
      <c r="P808" s="358"/>
      <c r="Q808" s="358"/>
      <c r="R808" s="358"/>
      <c r="S808" s="358"/>
      <c r="T808" s="358"/>
      <c r="U808" s="358"/>
      <c r="V808" s="358"/>
      <c r="W808" s="358"/>
      <c r="X808" s="358"/>
      <c r="Y808" s="358"/>
      <c r="Z808" s="358"/>
    </row>
    <row r="809" spans="1:26" ht="13.5" customHeight="1">
      <c r="A809" s="358"/>
      <c r="B809" s="358"/>
      <c r="C809" s="358"/>
      <c r="D809" s="358"/>
      <c r="E809" s="358"/>
      <c r="F809" s="358"/>
      <c r="G809" s="358"/>
      <c r="H809" s="358"/>
      <c r="I809" s="358"/>
      <c r="J809" s="358"/>
      <c r="K809" s="358"/>
      <c r="L809" s="358"/>
      <c r="M809" s="358"/>
      <c r="N809" s="358"/>
      <c r="O809" s="358"/>
      <c r="P809" s="358"/>
      <c r="Q809" s="358"/>
      <c r="R809" s="358"/>
      <c r="S809" s="358"/>
      <c r="T809" s="358"/>
      <c r="U809" s="358"/>
      <c r="V809" s="358"/>
      <c r="W809" s="358"/>
      <c r="X809" s="358"/>
      <c r="Y809" s="358"/>
      <c r="Z809" s="358"/>
    </row>
    <row r="810" spans="1:26" ht="13.5" customHeight="1">
      <c r="A810" s="358"/>
      <c r="B810" s="358"/>
      <c r="C810" s="358"/>
      <c r="D810" s="358"/>
      <c r="E810" s="358"/>
      <c r="F810" s="358"/>
      <c r="G810" s="358"/>
      <c r="H810" s="358"/>
      <c r="I810" s="358"/>
      <c r="J810" s="358"/>
      <c r="K810" s="358"/>
      <c r="L810" s="358"/>
      <c r="M810" s="358"/>
      <c r="N810" s="358"/>
      <c r="O810" s="358"/>
      <c r="P810" s="358"/>
      <c r="Q810" s="358"/>
      <c r="R810" s="358"/>
      <c r="S810" s="358"/>
      <c r="T810" s="358"/>
      <c r="U810" s="358"/>
      <c r="V810" s="358"/>
      <c r="W810" s="358"/>
      <c r="X810" s="358"/>
      <c r="Y810" s="358"/>
      <c r="Z810" s="358"/>
    </row>
    <row r="811" spans="1:26" ht="13.5" customHeight="1">
      <c r="A811" s="358"/>
      <c r="B811" s="358"/>
      <c r="C811" s="358"/>
      <c r="D811" s="358"/>
      <c r="E811" s="358"/>
      <c r="F811" s="358"/>
      <c r="G811" s="358"/>
      <c r="H811" s="358"/>
      <c r="I811" s="358"/>
      <c r="J811" s="358"/>
      <c r="K811" s="358"/>
      <c r="L811" s="358"/>
      <c r="M811" s="358"/>
      <c r="N811" s="358"/>
      <c r="O811" s="358"/>
      <c r="P811" s="358"/>
      <c r="Q811" s="358"/>
      <c r="R811" s="358"/>
      <c r="S811" s="358"/>
      <c r="T811" s="358"/>
      <c r="U811" s="358"/>
      <c r="V811" s="358"/>
      <c r="W811" s="358"/>
      <c r="X811" s="358"/>
      <c r="Y811" s="358"/>
      <c r="Z811" s="358"/>
    </row>
    <row r="812" spans="1:26" ht="13.5" customHeight="1">
      <c r="A812" s="358"/>
      <c r="B812" s="358"/>
      <c r="C812" s="358"/>
      <c r="D812" s="358"/>
      <c r="E812" s="358"/>
      <c r="F812" s="358"/>
      <c r="G812" s="358"/>
      <c r="H812" s="358"/>
      <c r="I812" s="358"/>
      <c r="J812" s="358"/>
      <c r="K812" s="358"/>
      <c r="L812" s="358"/>
      <c r="M812" s="358"/>
      <c r="N812" s="358"/>
      <c r="O812" s="358"/>
      <c r="P812" s="358"/>
      <c r="Q812" s="358"/>
      <c r="R812" s="358"/>
      <c r="S812" s="358"/>
      <c r="T812" s="358"/>
      <c r="U812" s="358"/>
      <c r="V812" s="358"/>
      <c r="W812" s="358"/>
      <c r="X812" s="358"/>
      <c r="Y812" s="358"/>
      <c r="Z812" s="358"/>
    </row>
    <row r="813" spans="1:26" ht="13.5" customHeight="1">
      <c r="A813" s="358"/>
      <c r="B813" s="358"/>
      <c r="C813" s="358"/>
      <c r="D813" s="358"/>
      <c r="E813" s="358"/>
      <c r="F813" s="358"/>
      <c r="G813" s="358"/>
      <c r="H813" s="358"/>
      <c r="I813" s="358"/>
      <c r="J813" s="358"/>
      <c r="K813" s="358"/>
      <c r="L813" s="358"/>
      <c r="M813" s="358"/>
      <c r="N813" s="358"/>
      <c r="O813" s="358"/>
      <c r="P813" s="358"/>
      <c r="Q813" s="358"/>
      <c r="R813" s="358"/>
      <c r="S813" s="358"/>
      <c r="T813" s="358"/>
      <c r="U813" s="358"/>
      <c r="V813" s="358"/>
      <c r="W813" s="358"/>
      <c r="X813" s="358"/>
      <c r="Y813" s="358"/>
      <c r="Z813" s="358"/>
    </row>
    <row r="814" spans="1:26" ht="13.5" customHeight="1">
      <c r="A814" s="358"/>
      <c r="B814" s="358"/>
      <c r="C814" s="358"/>
      <c r="D814" s="358"/>
      <c r="E814" s="358"/>
      <c r="F814" s="358"/>
      <c r="G814" s="358"/>
      <c r="H814" s="358"/>
      <c r="I814" s="358"/>
      <c r="J814" s="358"/>
      <c r="K814" s="358"/>
      <c r="L814" s="358"/>
      <c r="M814" s="358"/>
      <c r="N814" s="358"/>
      <c r="O814" s="358"/>
      <c r="P814" s="358"/>
      <c r="Q814" s="358"/>
      <c r="R814" s="358"/>
      <c r="S814" s="358"/>
      <c r="T814" s="358"/>
      <c r="U814" s="358"/>
      <c r="V814" s="358"/>
      <c r="W814" s="358"/>
      <c r="X814" s="358"/>
      <c r="Y814" s="358"/>
      <c r="Z814" s="358"/>
    </row>
    <row r="815" spans="1:26" ht="13.5" customHeight="1">
      <c r="A815" s="358"/>
      <c r="B815" s="358"/>
      <c r="C815" s="358"/>
      <c r="D815" s="358"/>
      <c r="E815" s="358"/>
      <c r="F815" s="358"/>
      <c r="G815" s="358"/>
      <c r="H815" s="358"/>
      <c r="I815" s="358"/>
      <c r="J815" s="358"/>
      <c r="K815" s="358"/>
      <c r="L815" s="358"/>
      <c r="M815" s="358"/>
      <c r="N815" s="358"/>
      <c r="O815" s="358"/>
      <c r="P815" s="358"/>
      <c r="Q815" s="358"/>
      <c r="R815" s="358"/>
      <c r="S815" s="358"/>
      <c r="T815" s="358"/>
      <c r="U815" s="358"/>
      <c r="V815" s="358"/>
      <c r="W815" s="358"/>
      <c r="X815" s="358"/>
      <c r="Y815" s="358"/>
      <c r="Z815" s="358"/>
    </row>
    <row r="816" spans="1:26" ht="13.5" customHeight="1">
      <c r="A816" s="358"/>
      <c r="B816" s="358"/>
      <c r="C816" s="358"/>
      <c r="D816" s="358"/>
      <c r="E816" s="358"/>
      <c r="F816" s="358"/>
      <c r="G816" s="358"/>
      <c r="H816" s="358"/>
      <c r="I816" s="358"/>
      <c r="J816" s="358"/>
      <c r="K816" s="358"/>
      <c r="L816" s="358"/>
      <c r="M816" s="358"/>
      <c r="N816" s="358"/>
      <c r="O816" s="358"/>
      <c r="P816" s="358"/>
      <c r="Q816" s="358"/>
      <c r="R816" s="358"/>
      <c r="S816" s="358"/>
      <c r="T816" s="358"/>
      <c r="U816" s="358"/>
      <c r="V816" s="358"/>
      <c r="W816" s="358"/>
      <c r="X816" s="358"/>
      <c r="Y816" s="358"/>
      <c r="Z816" s="358"/>
    </row>
    <row r="817" spans="1:26" ht="13.5" customHeight="1">
      <c r="A817" s="358"/>
      <c r="B817" s="358"/>
      <c r="C817" s="358"/>
      <c r="D817" s="358"/>
      <c r="E817" s="358"/>
      <c r="F817" s="358"/>
      <c r="G817" s="358"/>
      <c r="H817" s="358"/>
      <c r="I817" s="358"/>
      <c r="J817" s="358"/>
      <c r="K817" s="358"/>
      <c r="L817" s="358"/>
      <c r="M817" s="358"/>
      <c r="N817" s="358"/>
      <c r="O817" s="358"/>
      <c r="P817" s="358"/>
      <c r="Q817" s="358"/>
      <c r="R817" s="358"/>
      <c r="S817" s="358"/>
      <c r="T817" s="358"/>
      <c r="U817" s="358"/>
      <c r="V817" s="358"/>
      <c r="W817" s="358"/>
      <c r="X817" s="358"/>
      <c r="Y817" s="358"/>
      <c r="Z817" s="358"/>
    </row>
    <row r="818" spans="1:26" ht="13.5" customHeight="1">
      <c r="A818" s="358"/>
      <c r="B818" s="358"/>
      <c r="C818" s="358"/>
      <c r="D818" s="358"/>
      <c r="E818" s="358"/>
      <c r="F818" s="358"/>
      <c r="G818" s="358"/>
      <c r="H818" s="358"/>
      <c r="I818" s="358"/>
      <c r="J818" s="358"/>
      <c r="K818" s="358"/>
      <c r="L818" s="358"/>
      <c r="M818" s="358"/>
      <c r="N818" s="358"/>
      <c r="O818" s="358"/>
      <c r="P818" s="358"/>
      <c r="Q818" s="358"/>
      <c r="R818" s="358"/>
      <c r="S818" s="358"/>
      <c r="T818" s="358"/>
      <c r="U818" s="358"/>
      <c r="V818" s="358"/>
      <c r="W818" s="358"/>
      <c r="X818" s="358"/>
      <c r="Y818" s="358"/>
      <c r="Z818" s="358"/>
    </row>
    <row r="819" spans="1:26" ht="13.5" customHeight="1">
      <c r="A819" s="358"/>
      <c r="B819" s="358"/>
      <c r="C819" s="358"/>
      <c r="D819" s="358"/>
      <c r="E819" s="358"/>
      <c r="F819" s="358"/>
      <c r="G819" s="358"/>
      <c r="H819" s="358"/>
      <c r="I819" s="358"/>
      <c r="J819" s="358"/>
      <c r="K819" s="358"/>
      <c r="L819" s="358"/>
      <c r="M819" s="358"/>
      <c r="N819" s="358"/>
      <c r="O819" s="358"/>
      <c r="P819" s="358"/>
      <c r="Q819" s="358"/>
      <c r="R819" s="358"/>
      <c r="S819" s="358"/>
      <c r="T819" s="358"/>
      <c r="U819" s="358"/>
      <c r="V819" s="358"/>
      <c r="W819" s="358"/>
      <c r="X819" s="358"/>
      <c r="Y819" s="358"/>
      <c r="Z819" s="358"/>
    </row>
    <row r="820" spans="1:26" ht="13.5" customHeight="1">
      <c r="A820" s="358"/>
      <c r="B820" s="358"/>
      <c r="C820" s="358"/>
      <c r="D820" s="358"/>
      <c r="E820" s="358"/>
      <c r="F820" s="358"/>
      <c r="G820" s="358"/>
      <c r="H820" s="358"/>
      <c r="I820" s="358"/>
      <c r="J820" s="358"/>
      <c r="K820" s="358"/>
      <c r="L820" s="358"/>
      <c r="M820" s="358"/>
      <c r="N820" s="358"/>
      <c r="O820" s="358"/>
      <c r="P820" s="358"/>
      <c r="Q820" s="358"/>
      <c r="R820" s="358"/>
      <c r="S820" s="358"/>
      <c r="T820" s="358"/>
      <c r="U820" s="358"/>
      <c r="V820" s="358"/>
      <c r="W820" s="358"/>
      <c r="X820" s="358"/>
      <c r="Y820" s="358"/>
      <c r="Z820" s="358"/>
    </row>
    <row r="821" spans="1:26" ht="13.5" customHeight="1">
      <c r="A821" s="358"/>
      <c r="B821" s="358"/>
      <c r="C821" s="358"/>
      <c r="D821" s="358"/>
      <c r="E821" s="358"/>
      <c r="F821" s="358"/>
      <c r="G821" s="358"/>
      <c r="H821" s="358"/>
      <c r="I821" s="358"/>
      <c r="J821" s="358"/>
      <c r="K821" s="358"/>
      <c r="L821" s="358"/>
      <c r="M821" s="358"/>
      <c r="N821" s="358"/>
      <c r="O821" s="358"/>
      <c r="P821" s="358"/>
      <c r="Q821" s="358"/>
      <c r="R821" s="358"/>
      <c r="S821" s="358"/>
      <c r="T821" s="358"/>
      <c r="U821" s="358"/>
      <c r="V821" s="358"/>
      <c r="W821" s="358"/>
      <c r="X821" s="358"/>
      <c r="Y821" s="358"/>
      <c r="Z821" s="358"/>
    </row>
    <row r="822" spans="1:26" ht="13.5" customHeight="1">
      <c r="A822" s="358"/>
      <c r="B822" s="358"/>
      <c r="C822" s="358"/>
      <c r="D822" s="358"/>
      <c r="E822" s="358"/>
      <c r="F822" s="358"/>
      <c r="G822" s="358"/>
      <c r="H822" s="358"/>
      <c r="I822" s="358"/>
      <c r="J822" s="358"/>
      <c r="K822" s="358"/>
      <c r="L822" s="358"/>
      <c r="M822" s="358"/>
      <c r="N822" s="358"/>
      <c r="O822" s="358"/>
      <c r="P822" s="358"/>
      <c r="Q822" s="358"/>
      <c r="R822" s="358"/>
      <c r="S822" s="358"/>
      <c r="T822" s="358"/>
      <c r="U822" s="358"/>
      <c r="V822" s="358"/>
      <c r="W822" s="358"/>
      <c r="X822" s="358"/>
      <c r="Y822" s="358"/>
      <c r="Z822" s="358"/>
    </row>
    <row r="823" spans="1:26" ht="13.5" customHeight="1">
      <c r="A823" s="358"/>
      <c r="B823" s="358"/>
      <c r="C823" s="358"/>
      <c r="D823" s="358"/>
      <c r="E823" s="358"/>
      <c r="F823" s="358"/>
      <c r="G823" s="358"/>
      <c r="H823" s="358"/>
      <c r="I823" s="358"/>
      <c r="J823" s="358"/>
      <c r="K823" s="358"/>
      <c r="L823" s="358"/>
      <c r="M823" s="358"/>
      <c r="N823" s="358"/>
      <c r="O823" s="358"/>
      <c r="P823" s="358"/>
      <c r="Q823" s="358"/>
      <c r="R823" s="358"/>
      <c r="S823" s="358"/>
      <c r="T823" s="358"/>
      <c r="U823" s="358"/>
      <c r="V823" s="358"/>
      <c r="W823" s="358"/>
      <c r="X823" s="358"/>
      <c r="Y823" s="358"/>
      <c r="Z823" s="358"/>
    </row>
    <row r="824" spans="1:26" ht="13.5" customHeight="1">
      <c r="A824" s="358"/>
      <c r="B824" s="358"/>
      <c r="C824" s="358"/>
      <c r="D824" s="358"/>
      <c r="E824" s="358"/>
      <c r="F824" s="358"/>
      <c r="G824" s="358"/>
      <c r="H824" s="358"/>
      <c r="I824" s="358"/>
      <c r="J824" s="358"/>
      <c r="K824" s="358"/>
      <c r="L824" s="358"/>
      <c r="M824" s="358"/>
      <c r="N824" s="358"/>
      <c r="O824" s="358"/>
      <c r="P824" s="358"/>
      <c r="Q824" s="358"/>
      <c r="R824" s="358"/>
      <c r="S824" s="358"/>
      <c r="T824" s="358"/>
      <c r="U824" s="358"/>
      <c r="V824" s="358"/>
      <c r="W824" s="358"/>
      <c r="X824" s="358"/>
      <c r="Y824" s="358"/>
      <c r="Z824" s="358"/>
    </row>
    <row r="825" spans="1:26" ht="13.5" customHeight="1">
      <c r="A825" s="358"/>
      <c r="B825" s="358"/>
      <c r="C825" s="358"/>
      <c r="D825" s="358"/>
      <c r="E825" s="358"/>
      <c r="F825" s="358"/>
      <c r="G825" s="358"/>
      <c r="H825" s="358"/>
      <c r="I825" s="358"/>
      <c r="J825" s="358"/>
      <c r="K825" s="358"/>
      <c r="L825" s="358"/>
      <c r="M825" s="358"/>
      <c r="N825" s="358"/>
      <c r="O825" s="358"/>
      <c r="P825" s="358"/>
      <c r="Q825" s="358"/>
      <c r="R825" s="358"/>
      <c r="S825" s="358"/>
      <c r="T825" s="358"/>
      <c r="U825" s="358"/>
      <c r="V825" s="358"/>
      <c r="W825" s="358"/>
      <c r="X825" s="358"/>
      <c r="Y825" s="358"/>
      <c r="Z825" s="358"/>
    </row>
    <row r="826" spans="1:26" ht="13.5" customHeight="1">
      <c r="A826" s="358"/>
      <c r="B826" s="358"/>
      <c r="C826" s="358"/>
      <c r="D826" s="358"/>
      <c r="E826" s="358"/>
      <c r="F826" s="358"/>
      <c r="G826" s="358"/>
      <c r="H826" s="358"/>
      <c r="I826" s="358"/>
      <c r="J826" s="358"/>
      <c r="K826" s="358"/>
      <c r="L826" s="358"/>
      <c r="M826" s="358"/>
      <c r="N826" s="358"/>
      <c r="O826" s="358"/>
      <c r="P826" s="358"/>
      <c r="Q826" s="358"/>
      <c r="R826" s="358"/>
      <c r="S826" s="358"/>
      <c r="T826" s="358"/>
      <c r="U826" s="358"/>
      <c r="V826" s="358"/>
      <c r="W826" s="358"/>
      <c r="X826" s="358"/>
      <c r="Y826" s="358"/>
      <c r="Z826" s="358"/>
    </row>
    <row r="827" spans="1:26" ht="13.5" customHeight="1">
      <c r="A827" s="358"/>
      <c r="B827" s="358"/>
      <c r="C827" s="358"/>
      <c r="D827" s="358"/>
      <c r="E827" s="358"/>
      <c r="F827" s="358"/>
      <c r="G827" s="358"/>
      <c r="H827" s="358"/>
      <c r="I827" s="358"/>
      <c r="J827" s="358"/>
      <c r="K827" s="358"/>
      <c r="L827" s="358"/>
      <c r="M827" s="358"/>
      <c r="N827" s="358"/>
      <c r="O827" s="358"/>
      <c r="P827" s="358"/>
      <c r="Q827" s="358"/>
      <c r="R827" s="358"/>
      <c r="S827" s="358"/>
      <c r="T827" s="358"/>
      <c r="U827" s="358"/>
      <c r="V827" s="358"/>
      <c r="W827" s="358"/>
      <c r="X827" s="358"/>
      <c r="Y827" s="358"/>
      <c r="Z827" s="358"/>
    </row>
    <row r="828" spans="1:26" ht="13.5" customHeight="1">
      <c r="A828" s="358"/>
      <c r="B828" s="358"/>
      <c r="C828" s="358"/>
      <c r="D828" s="358"/>
      <c r="E828" s="358"/>
      <c r="F828" s="358"/>
      <c r="G828" s="358"/>
      <c r="H828" s="358"/>
      <c r="I828" s="358"/>
      <c r="J828" s="358"/>
      <c r="K828" s="358"/>
      <c r="L828" s="358"/>
      <c r="M828" s="358"/>
      <c r="N828" s="358"/>
      <c r="O828" s="358"/>
      <c r="P828" s="358"/>
      <c r="Q828" s="358"/>
      <c r="R828" s="358"/>
      <c r="S828" s="358"/>
      <c r="T828" s="358"/>
      <c r="U828" s="358"/>
      <c r="V828" s="358"/>
      <c r="W828" s="358"/>
      <c r="X828" s="358"/>
      <c r="Y828" s="358"/>
      <c r="Z828" s="358"/>
    </row>
    <row r="829" spans="1:26" ht="13.5" customHeight="1">
      <c r="A829" s="358"/>
      <c r="B829" s="358"/>
      <c r="C829" s="358"/>
      <c r="D829" s="358"/>
      <c r="E829" s="358"/>
      <c r="F829" s="358"/>
      <c r="G829" s="358"/>
      <c r="H829" s="358"/>
      <c r="I829" s="358"/>
      <c r="J829" s="358"/>
      <c r="K829" s="358"/>
      <c r="L829" s="358"/>
      <c r="M829" s="358"/>
      <c r="N829" s="358"/>
      <c r="O829" s="358"/>
      <c r="P829" s="358"/>
      <c r="Q829" s="358"/>
      <c r="R829" s="358"/>
      <c r="S829" s="358"/>
      <c r="T829" s="358"/>
      <c r="U829" s="358"/>
      <c r="V829" s="358"/>
      <c r="W829" s="358"/>
      <c r="X829" s="358"/>
      <c r="Y829" s="358"/>
      <c r="Z829" s="358"/>
    </row>
    <row r="830" spans="1:26" ht="13.5" customHeight="1">
      <c r="A830" s="358"/>
      <c r="B830" s="358"/>
      <c r="C830" s="358"/>
      <c r="D830" s="358"/>
      <c r="E830" s="358"/>
      <c r="F830" s="358"/>
      <c r="G830" s="358"/>
      <c r="H830" s="358"/>
      <c r="I830" s="358"/>
      <c r="J830" s="358"/>
      <c r="K830" s="358"/>
      <c r="L830" s="358"/>
      <c r="M830" s="358"/>
      <c r="N830" s="358"/>
      <c r="O830" s="358"/>
      <c r="P830" s="358"/>
      <c r="Q830" s="358"/>
      <c r="R830" s="358"/>
      <c r="S830" s="358"/>
      <c r="T830" s="358"/>
      <c r="U830" s="358"/>
      <c r="V830" s="358"/>
      <c r="W830" s="358"/>
      <c r="X830" s="358"/>
      <c r="Y830" s="358"/>
      <c r="Z830" s="358"/>
    </row>
    <row r="831" spans="1:26" ht="13.5" customHeight="1">
      <c r="A831" s="358"/>
      <c r="B831" s="358"/>
      <c r="C831" s="358"/>
      <c r="D831" s="358"/>
      <c r="E831" s="358"/>
      <c r="F831" s="358"/>
      <c r="G831" s="358"/>
      <c r="H831" s="358"/>
      <c r="I831" s="358"/>
      <c r="J831" s="358"/>
      <c r="K831" s="358"/>
      <c r="L831" s="358"/>
      <c r="M831" s="358"/>
      <c r="N831" s="358"/>
      <c r="O831" s="358"/>
      <c r="P831" s="358"/>
      <c r="Q831" s="358"/>
      <c r="R831" s="358"/>
      <c r="S831" s="358"/>
      <c r="T831" s="358"/>
      <c r="U831" s="358"/>
      <c r="V831" s="358"/>
      <c r="W831" s="358"/>
      <c r="X831" s="358"/>
      <c r="Y831" s="358"/>
      <c r="Z831" s="358"/>
    </row>
    <row r="832" spans="1:26" ht="13.5" customHeight="1">
      <c r="A832" s="358"/>
      <c r="B832" s="358"/>
      <c r="C832" s="358"/>
      <c r="D832" s="358"/>
      <c r="E832" s="358"/>
      <c r="F832" s="358"/>
      <c r="G832" s="358"/>
      <c r="H832" s="358"/>
      <c r="I832" s="358"/>
      <c r="J832" s="358"/>
      <c r="K832" s="358"/>
      <c r="L832" s="358"/>
      <c r="M832" s="358"/>
      <c r="N832" s="358"/>
      <c r="O832" s="358"/>
      <c r="P832" s="358"/>
      <c r="Q832" s="358"/>
      <c r="R832" s="358"/>
      <c r="S832" s="358"/>
      <c r="T832" s="358"/>
      <c r="U832" s="358"/>
      <c r="V832" s="358"/>
      <c r="W832" s="358"/>
      <c r="X832" s="358"/>
      <c r="Y832" s="358"/>
      <c r="Z832" s="358"/>
    </row>
    <row r="833" spans="1:26" ht="13.5" customHeight="1">
      <c r="A833" s="358"/>
      <c r="B833" s="358"/>
      <c r="C833" s="358"/>
      <c r="D833" s="358"/>
      <c r="E833" s="358"/>
      <c r="F833" s="358"/>
      <c r="G833" s="358"/>
      <c r="H833" s="358"/>
      <c r="I833" s="358"/>
      <c r="J833" s="358"/>
      <c r="K833" s="358"/>
      <c r="L833" s="358"/>
      <c r="M833" s="358"/>
      <c r="N833" s="358"/>
      <c r="O833" s="358"/>
      <c r="P833" s="358"/>
      <c r="Q833" s="358"/>
      <c r="R833" s="358"/>
      <c r="S833" s="358"/>
      <c r="T833" s="358"/>
      <c r="U833" s="358"/>
      <c r="V833" s="358"/>
      <c r="W833" s="358"/>
      <c r="X833" s="358"/>
      <c r="Y833" s="358"/>
      <c r="Z833" s="358"/>
    </row>
    <row r="834" spans="1:26" ht="13.5" customHeight="1">
      <c r="A834" s="358"/>
      <c r="B834" s="358"/>
      <c r="C834" s="358"/>
      <c r="D834" s="358"/>
      <c r="E834" s="358"/>
      <c r="F834" s="358"/>
      <c r="G834" s="358"/>
      <c r="H834" s="358"/>
      <c r="I834" s="358"/>
      <c r="J834" s="358"/>
      <c r="K834" s="358"/>
      <c r="L834" s="358"/>
      <c r="M834" s="358"/>
      <c r="N834" s="358"/>
      <c r="O834" s="358"/>
      <c r="P834" s="358"/>
      <c r="Q834" s="358"/>
      <c r="R834" s="358"/>
      <c r="S834" s="358"/>
      <c r="T834" s="358"/>
      <c r="U834" s="358"/>
      <c r="V834" s="358"/>
      <c r="W834" s="358"/>
      <c r="X834" s="358"/>
      <c r="Y834" s="358"/>
      <c r="Z834" s="358"/>
    </row>
    <row r="835" spans="1:26" ht="13.5" customHeight="1">
      <c r="A835" s="358"/>
      <c r="B835" s="358"/>
      <c r="C835" s="358"/>
      <c r="D835" s="358"/>
      <c r="E835" s="358"/>
      <c r="F835" s="358"/>
      <c r="G835" s="358"/>
      <c r="H835" s="358"/>
      <c r="I835" s="358"/>
      <c r="J835" s="358"/>
      <c r="K835" s="358"/>
      <c r="L835" s="358"/>
      <c r="M835" s="358"/>
      <c r="N835" s="358"/>
      <c r="O835" s="358"/>
      <c r="P835" s="358"/>
      <c r="Q835" s="358"/>
      <c r="R835" s="358"/>
      <c r="S835" s="358"/>
      <c r="T835" s="358"/>
      <c r="U835" s="358"/>
      <c r="V835" s="358"/>
      <c r="W835" s="358"/>
      <c r="X835" s="358"/>
      <c r="Y835" s="358"/>
      <c r="Z835" s="358"/>
    </row>
    <row r="836" spans="1:26" ht="13.5" customHeight="1">
      <c r="A836" s="358"/>
      <c r="B836" s="358"/>
      <c r="C836" s="358"/>
      <c r="D836" s="358"/>
      <c r="E836" s="358"/>
      <c r="F836" s="358"/>
      <c r="G836" s="358"/>
      <c r="H836" s="358"/>
      <c r="I836" s="358"/>
      <c r="J836" s="358"/>
      <c r="K836" s="358"/>
      <c r="L836" s="358"/>
      <c r="M836" s="358"/>
      <c r="N836" s="358"/>
      <c r="O836" s="358"/>
      <c r="P836" s="358"/>
      <c r="Q836" s="358"/>
      <c r="R836" s="358"/>
      <c r="S836" s="358"/>
      <c r="T836" s="358"/>
      <c r="U836" s="358"/>
      <c r="V836" s="358"/>
      <c r="W836" s="358"/>
      <c r="X836" s="358"/>
      <c r="Y836" s="358"/>
      <c r="Z836" s="358"/>
    </row>
    <row r="837" spans="1:26" ht="13.5" customHeight="1">
      <c r="A837" s="358"/>
      <c r="B837" s="358"/>
      <c r="C837" s="358"/>
      <c r="D837" s="358"/>
      <c r="E837" s="358"/>
      <c r="F837" s="358"/>
      <c r="G837" s="358"/>
      <c r="H837" s="358"/>
      <c r="I837" s="358"/>
      <c r="J837" s="358"/>
      <c r="K837" s="358"/>
      <c r="L837" s="358"/>
      <c r="M837" s="358"/>
      <c r="N837" s="358"/>
      <c r="O837" s="358"/>
      <c r="P837" s="358"/>
      <c r="Q837" s="358"/>
      <c r="R837" s="358"/>
      <c r="S837" s="358"/>
      <c r="T837" s="358"/>
      <c r="U837" s="358"/>
      <c r="V837" s="358"/>
      <c r="W837" s="358"/>
      <c r="X837" s="358"/>
      <c r="Y837" s="358"/>
      <c r="Z837" s="358"/>
    </row>
    <row r="838" spans="1:26" ht="13.5" customHeight="1">
      <c r="A838" s="358"/>
      <c r="B838" s="358"/>
      <c r="C838" s="358"/>
      <c r="D838" s="358"/>
      <c r="E838" s="358"/>
      <c r="F838" s="358"/>
      <c r="G838" s="358"/>
      <c r="H838" s="358"/>
      <c r="I838" s="358"/>
      <c r="J838" s="358"/>
      <c r="K838" s="358"/>
      <c r="L838" s="358"/>
      <c r="M838" s="358"/>
      <c r="N838" s="358"/>
      <c r="O838" s="358"/>
      <c r="P838" s="358"/>
      <c r="Q838" s="358"/>
      <c r="R838" s="358"/>
      <c r="S838" s="358"/>
      <c r="T838" s="358"/>
      <c r="U838" s="358"/>
      <c r="V838" s="358"/>
      <c r="W838" s="358"/>
      <c r="X838" s="358"/>
      <c r="Y838" s="358"/>
      <c r="Z838" s="358"/>
    </row>
    <row r="839" spans="1:26" ht="13.5" customHeight="1">
      <c r="A839" s="358"/>
      <c r="B839" s="358"/>
      <c r="C839" s="358"/>
      <c r="D839" s="358"/>
      <c r="E839" s="358"/>
      <c r="F839" s="358"/>
      <c r="G839" s="358"/>
      <c r="H839" s="358"/>
      <c r="I839" s="358"/>
      <c r="J839" s="358"/>
      <c r="K839" s="358"/>
      <c r="L839" s="358"/>
      <c r="M839" s="358"/>
      <c r="N839" s="358"/>
      <c r="O839" s="358"/>
      <c r="P839" s="358"/>
      <c r="Q839" s="358"/>
      <c r="R839" s="358"/>
      <c r="S839" s="358"/>
      <c r="T839" s="358"/>
      <c r="U839" s="358"/>
      <c r="V839" s="358"/>
      <c r="W839" s="358"/>
      <c r="X839" s="358"/>
      <c r="Y839" s="358"/>
      <c r="Z839" s="358"/>
    </row>
    <row r="840" spans="1:26" ht="13.5" customHeight="1">
      <c r="A840" s="358"/>
      <c r="B840" s="358"/>
      <c r="C840" s="358"/>
      <c r="D840" s="358"/>
      <c r="E840" s="358"/>
      <c r="F840" s="358"/>
      <c r="G840" s="358"/>
      <c r="H840" s="358"/>
      <c r="I840" s="358"/>
      <c r="J840" s="358"/>
      <c r="K840" s="358"/>
      <c r="L840" s="358"/>
      <c r="M840" s="358"/>
      <c r="N840" s="358"/>
      <c r="O840" s="358"/>
      <c r="P840" s="358"/>
      <c r="Q840" s="358"/>
      <c r="R840" s="358"/>
      <c r="S840" s="358"/>
      <c r="T840" s="358"/>
      <c r="U840" s="358"/>
      <c r="V840" s="358"/>
      <c r="W840" s="358"/>
      <c r="X840" s="358"/>
      <c r="Y840" s="358"/>
      <c r="Z840" s="358"/>
    </row>
    <row r="841" spans="1:26" ht="13.5" customHeight="1">
      <c r="A841" s="358"/>
      <c r="B841" s="358"/>
      <c r="C841" s="358"/>
      <c r="D841" s="358"/>
      <c r="E841" s="358"/>
      <c r="F841" s="358"/>
      <c r="G841" s="358"/>
      <c r="H841" s="358"/>
      <c r="I841" s="358"/>
      <c r="J841" s="358"/>
      <c r="K841" s="358"/>
      <c r="L841" s="358"/>
      <c r="M841" s="358"/>
      <c r="N841" s="358"/>
      <c r="O841" s="358"/>
      <c r="P841" s="358"/>
      <c r="Q841" s="358"/>
      <c r="R841" s="358"/>
      <c r="S841" s="358"/>
      <c r="T841" s="358"/>
      <c r="U841" s="358"/>
      <c r="V841" s="358"/>
      <c r="W841" s="358"/>
      <c r="X841" s="358"/>
      <c r="Y841" s="358"/>
      <c r="Z841" s="358"/>
    </row>
    <row r="842" spans="1:26" ht="13.5" customHeight="1">
      <c r="A842" s="358"/>
      <c r="B842" s="358"/>
      <c r="C842" s="358"/>
      <c r="D842" s="358"/>
      <c r="E842" s="358"/>
      <c r="F842" s="358"/>
      <c r="G842" s="358"/>
      <c r="H842" s="358"/>
      <c r="I842" s="358"/>
      <c r="J842" s="358"/>
      <c r="K842" s="358"/>
      <c r="L842" s="358"/>
      <c r="M842" s="358"/>
      <c r="N842" s="358"/>
      <c r="O842" s="358"/>
      <c r="P842" s="358"/>
      <c r="Q842" s="358"/>
      <c r="R842" s="358"/>
      <c r="S842" s="358"/>
      <c r="T842" s="358"/>
      <c r="U842" s="358"/>
      <c r="V842" s="358"/>
      <c r="W842" s="358"/>
      <c r="X842" s="358"/>
      <c r="Y842" s="358"/>
      <c r="Z842" s="358"/>
    </row>
    <row r="843" spans="1:26" ht="13.5" customHeight="1">
      <c r="A843" s="358"/>
      <c r="B843" s="358"/>
      <c r="C843" s="358"/>
      <c r="D843" s="358"/>
      <c r="E843" s="358"/>
      <c r="F843" s="358"/>
      <c r="G843" s="358"/>
      <c r="H843" s="358"/>
      <c r="I843" s="358"/>
      <c r="J843" s="358"/>
      <c r="K843" s="358"/>
      <c r="L843" s="358"/>
      <c r="M843" s="358"/>
      <c r="N843" s="358"/>
      <c r="O843" s="358"/>
      <c r="P843" s="358"/>
      <c r="Q843" s="358"/>
      <c r="R843" s="358"/>
      <c r="S843" s="358"/>
      <c r="T843" s="358"/>
      <c r="U843" s="358"/>
      <c r="V843" s="358"/>
      <c r="W843" s="358"/>
      <c r="X843" s="358"/>
      <c r="Y843" s="358"/>
      <c r="Z843" s="358"/>
    </row>
    <row r="844" spans="1:26" ht="13.5" customHeight="1">
      <c r="A844" s="358"/>
      <c r="B844" s="358"/>
      <c r="C844" s="358"/>
      <c r="D844" s="358"/>
      <c r="E844" s="358"/>
      <c r="F844" s="358"/>
      <c r="G844" s="358"/>
      <c r="H844" s="358"/>
      <c r="I844" s="358"/>
      <c r="J844" s="358"/>
      <c r="K844" s="358"/>
      <c r="L844" s="358"/>
      <c r="M844" s="358"/>
      <c r="N844" s="358"/>
      <c r="O844" s="358"/>
      <c r="P844" s="358"/>
      <c r="Q844" s="358"/>
      <c r="R844" s="358"/>
      <c r="S844" s="358"/>
      <c r="T844" s="358"/>
      <c r="U844" s="358"/>
      <c r="V844" s="358"/>
      <c r="W844" s="358"/>
      <c r="X844" s="358"/>
      <c r="Y844" s="358"/>
      <c r="Z844" s="358"/>
    </row>
    <row r="845" spans="1:26" ht="13.5" customHeight="1">
      <c r="A845" s="358"/>
      <c r="B845" s="358"/>
      <c r="C845" s="358"/>
      <c r="D845" s="358"/>
      <c r="E845" s="358"/>
      <c r="F845" s="358"/>
      <c r="G845" s="358"/>
      <c r="H845" s="358"/>
      <c r="I845" s="358"/>
      <c r="J845" s="358"/>
      <c r="K845" s="358"/>
      <c r="L845" s="358"/>
      <c r="M845" s="358"/>
      <c r="N845" s="358"/>
      <c r="O845" s="358"/>
      <c r="P845" s="358"/>
      <c r="Q845" s="358"/>
      <c r="R845" s="358"/>
      <c r="S845" s="358"/>
      <c r="T845" s="358"/>
      <c r="U845" s="358"/>
      <c r="V845" s="358"/>
      <c r="W845" s="358"/>
      <c r="X845" s="358"/>
      <c r="Y845" s="358"/>
      <c r="Z845" s="358"/>
    </row>
    <row r="846" spans="1:26" ht="13.5" customHeight="1">
      <c r="A846" s="358"/>
      <c r="B846" s="358"/>
      <c r="C846" s="358"/>
      <c r="D846" s="358"/>
      <c r="E846" s="358"/>
      <c r="F846" s="358"/>
      <c r="G846" s="358"/>
      <c r="H846" s="358"/>
      <c r="I846" s="358"/>
      <c r="J846" s="358"/>
      <c r="K846" s="358"/>
      <c r="L846" s="358"/>
      <c r="M846" s="358"/>
      <c r="N846" s="358"/>
      <c r="O846" s="358"/>
      <c r="P846" s="358"/>
      <c r="Q846" s="358"/>
      <c r="R846" s="358"/>
      <c r="S846" s="358"/>
      <c r="T846" s="358"/>
      <c r="U846" s="358"/>
      <c r="V846" s="358"/>
      <c r="W846" s="358"/>
      <c r="X846" s="358"/>
      <c r="Y846" s="358"/>
      <c r="Z846" s="358"/>
    </row>
    <row r="847" spans="1:26" ht="13.5" customHeight="1">
      <c r="A847" s="358"/>
      <c r="B847" s="358"/>
      <c r="C847" s="358"/>
      <c r="D847" s="358"/>
      <c r="E847" s="358"/>
      <c r="F847" s="358"/>
      <c r="G847" s="358"/>
      <c r="H847" s="358"/>
      <c r="I847" s="358"/>
      <c r="J847" s="358"/>
      <c r="K847" s="358"/>
      <c r="L847" s="358"/>
      <c r="M847" s="358"/>
      <c r="N847" s="358"/>
      <c r="O847" s="358"/>
      <c r="P847" s="358"/>
      <c r="Q847" s="358"/>
      <c r="R847" s="358"/>
      <c r="S847" s="358"/>
      <c r="T847" s="358"/>
      <c r="U847" s="358"/>
      <c r="V847" s="358"/>
      <c r="W847" s="358"/>
      <c r="X847" s="358"/>
      <c r="Y847" s="358"/>
      <c r="Z847" s="358"/>
    </row>
    <row r="848" spans="1:26" ht="13.5" customHeight="1">
      <c r="A848" s="358"/>
      <c r="B848" s="358"/>
      <c r="C848" s="358"/>
      <c r="D848" s="358"/>
      <c r="E848" s="358"/>
      <c r="F848" s="358"/>
      <c r="G848" s="358"/>
      <c r="H848" s="358"/>
      <c r="I848" s="358"/>
      <c r="J848" s="358"/>
      <c r="K848" s="358"/>
      <c r="L848" s="358"/>
      <c r="M848" s="358"/>
      <c r="N848" s="358"/>
      <c r="O848" s="358"/>
      <c r="P848" s="358"/>
      <c r="Q848" s="358"/>
      <c r="R848" s="358"/>
      <c r="S848" s="358"/>
      <c r="T848" s="358"/>
      <c r="U848" s="358"/>
      <c r="V848" s="358"/>
      <c r="W848" s="358"/>
      <c r="X848" s="358"/>
      <c r="Y848" s="358"/>
      <c r="Z848" s="358"/>
    </row>
    <row r="849" spans="1:26" ht="13.5" customHeight="1">
      <c r="A849" s="358"/>
      <c r="B849" s="358"/>
      <c r="C849" s="358"/>
      <c r="D849" s="358"/>
      <c r="E849" s="358"/>
      <c r="F849" s="358"/>
      <c r="G849" s="358"/>
      <c r="H849" s="358"/>
      <c r="I849" s="358"/>
      <c r="J849" s="358"/>
      <c r="K849" s="358"/>
      <c r="L849" s="358"/>
      <c r="M849" s="358"/>
      <c r="N849" s="358"/>
      <c r="O849" s="358"/>
      <c r="P849" s="358"/>
      <c r="Q849" s="358"/>
      <c r="R849" s="358"/>
      <c r="S849" s="358"/>
      <c r="T849" s="358"/>
      <c r="U849" s="358"/>
      <c r="V849" s="358"/>
      <c r="W849" s="358"/>
      <c r="X849" s="358"/>
      <c r="Y849" s="358"/>
      <c r="Z849" s="358"/>
    </row>
    <row r="850" spans="1:26" ht="13.5" customHeight="1">
      <c r="A850" s="358"/>
      <c r="B850" s="358"/>
      <c r="C850" s="358"/>
      <c r="D850" s="358"/>
      <c r="E850" s="358"/>
      <c r="F850" s="358"/>
      <c r="G850" s="358"/>
      <c r="H850" s="358"/>
      <c r="I850" s="358"/>
      <c r="J850" s="358"/>
      <c r="K850" s="358"/>
      <c r="L850" s="358"/>
      <c r="M850" s="358"/>
      <c r="N850" s="358"/>
      <c r="O850" s="358"/>
      <c r="P850" s="358"/>
      <c r="Q850" s="358"/>
      <c r="R850" s="358"/>
      <c r="S850" s="358"/>
      <c r="T850" s="358"/>
      <c r="U850" s="358"/>
      <c r="V850" s="358"/>
      <c r="W850" s="358"/>
      <c r="X850" s="358"/>
      <c r="Y850" s="358"/>
      <c r="Z850" s="358"/>
    </row>
    <row r="851" spans="1:26" ht="13.5" customHeight="1">
      <c r="A851" s="358"/>
      <c r="B851" s="358"/>
      <c r="C851" s="358"/>
      <c r="D851" s="358"/>
      <c r="E851" s="358"/>
      <c r="F851" s="358"/>
      <c r="G851" s="358"/>
      <c r="H851" s="358"/>
      <c r="I851" s="358"/>
      <c r="J851" s="358"/>
      <c r="K851" s="358"/>
      <c r="L851" s="358"/>
      <c r="M851" s="358"/>
      <c r="N851" s="358"/>
      <c r="O851" s="358"/>
      <c r="P851" s="358"/>
      <c r="Q851" s="358"/>
      <c r="R851" s="358"/>
      <c r="S851" s="358"/>
      <c r="T851" s="358"/>
      <c r="U851" s="358"/>
      <c r="V851" s="358"/>
      <c r="W851" s="358"/>
      <c r="X851" s="358"/>
      <c r="Y851" s="358"/>
      <c r="Z851" s="358"/>
    </row>
    <row r="852" spans="1:26" ht="13.5" customHeight="1">
      <c r="A852" s="358"/>
      <c r="B852" s="358"/>
      <c r="C852" s="358"/>
      <c r="D852" s="358"/>
      <c r="E852" s="358"/>
      <c r="F852" s="358"/>
      <c r="G852" s="358"/>
      <c r="H852" s="358"/>
      <c r="I852" s="358"/>
      <c r="J852" s="358"/>
      <c r="K852" s="358"/>
      <c r="L852" s="358"/>
      <c r="M852" s="358"/>
      <c r="N852" s="358"/>
      <c r="O852" s="358"/>
      <c r="P852" s="358"/>
      <c r="Q852" s="358"/>
      <c r="R852" s="358"/>
      <c r="S852" s="358"/>
      <c r="T852" s="358"/>
      <c r="U852" s="358"/>
      <c r="V852" s="358"/>
      <c r="W852" s="358"/>
      <c r="X852" s="358"/>
      <c r="Y852" s="358"/>
      <c r="Z852" s="358"/>
    </row>
    <row r="853" spans="1:26" ht="13.5" customHeight="1">
      <c r="A853" s="358"/>
      <c r="B853" s="358"/>
      <c r="C853" s="358"/>
      <c r="D853" s="358"/>
      <c r="E853" s="358"/>
      <c r="F853" s="358"/>
      <c r="G853" s="358"/>
      <c r="H853" s="358"/>
      <c r="I853" s="358"/>
      <c r="J853" s="358"/>
      <c r="K853" s="358"/>
      <c r="L853" s="358"/>
      <c r="M853" s="358"/>
      <c r="N853" s="358"/>
      <c r="O853" s="358"/>
      <c r="P853" s="358"/>
      <c r="Q853" s="358"/>
      <c r="R853" s="358"/>
      <c r="S853" s="358"/>
      <c r="T853" s="358"/>
      <c r="U853" s="358"/>
      <c r="V853" s="358"/>
      <c r="W853" s="358"/>
      <c r="X853" s="358"/>
      <c r="Y853" s="358"/>
      <c r="Z853" s="358"/>
    </row>
    <row r="854" spans="1:26" ht="13.5" customHeight="1">
      <c r="A854" s="358"/>
      <c r="B854" s="358"/>
      <c r="C854" s="358"/>
      <c r="D854" s="358"/>
      <c r="E854" s="358"/>
      <c r="F854" s="358"/>
      <c r="G854" s="358"/>
      <c r="H854" s="358"/>
      <c r="I854" s="358"/>
      <c r="J854" s="358"/>
      <c r="K854" s="358"/>
      <c r="L854" s="358"/>
      <c r="M854" s="358"/>
      <c r="N854" s="358"/>
      <c r="O854" s="358"/>
      <c r="P854" s="358"/>
      <c r="Q854" s="358"/>
      <c r="R854" s="358"/>
      <c r="S854" s="358"/>
      <c r="T854" s="358"/>
      <c r="U854" s="358"/>
      <c r="V854" s="358"/>
      <c r="W854" s="358"/>
      <c r="X854" s="358"/>
      <c r="Y854" s="358"/>
      <c r="Z854" s="358"/>
    </row>
    <row r="855" spans="1:26" ht="13.5" customHeight="1">
      <c r="A855" s="358"/>
      <c r="B855" s="358"/>
      <c r="C855" s="358"/>
      <c r="D855" s="358"/>
      <c r="E855" s="358"/>
      <c r="F855" s="358"/>
      <c r="G855" s="358"/>
      <c r="H855" s="358"/>
      <c r="I855" s="358"/>
      <c r="J855" s="358"/>
      <c r="K855" s="358"/>
      <c r="L855" s="358"/>
      <c r="M855" s="358"/>
      <c r="N855" s="358"/>
      <c r="O855" s="358"/>
      <c r="P855" s="358"/>
      <c r="Q855" s="358"/>
      <c r="R855" s="358"/>
      <c r="S855" s="358"/>
      <c r="T855" s="358"/>
      <c r="U855" s="358"/>
      <c r="V855" s="358"/>
      <c r="W855" s="358"/>
      <c r="X855" s="358"/>
      <c r="Y855" s="358"/>
      <c r="Z855" s="358"/>
    </row>
    <row r="856" spans="1:26" ht="13.5" customHeight="1">
      <c r="A856" s="358"/>
      <c r="B856" s="358"/>
      <c r="C856" s="358"/>
      <c r="D856" s="358"/>
      <c r="E856" s="358"/>
      <c r="F856" s="358"/>
      <c r="G856" s="358"/>
      <c r="H856" s="358"/>
      <c r="I856" s="358"/>
      <c r="J856" s="358"/>
      <c r="K856" s="358"/>
      <c r="L856" s="358"/>
      <c r="M856" s="358"/>
      <c r="N856" s="358"/>
      <c r="O856" s="358"/>
      <c r="P856" s="358"/>
      <c r="Q856" s="358"/>
      <c r="R856" s="358"/>
      <c r="S856" s="358"/>
      <c r="T856" s="358"/>
      <c r="U856" s="358"/>
      <c r="V856" s="358"/>
      <c r="W856" s="358"/>
      <c r="X856" s="358"/>
      <c r="Y856" s="358"/>
      <c r="Z856" s="358"/>
    </row>
    <row r="857" spans="1:26" ht="13.5" customHeight="1">
      <c r="A857" s="358"/>
      <c r="B857" s="358"/>
      <c r="C857" s="358"/>
      <c r="D857" s="358"/>
      <c r="E857" s="358"/>
      <c r="F857" s="358"/>
      <c r="G857" s="358"/>
      <c r="H857" s="358"/>
      <c r="I857" s="358"/>
      <c r="J857" s="358"/>
      <c r="K857" s="358"/>
      <c r="L857" s="358"/>
      <c r="M857" s="358"/>
      <c r="N857" s="358"/>
      <c r="O857" s="358"/>
      <c r="P857" s="358"/>
      <c r="Q857" s="358"/>
      <c r="R857" s="358"/>
      <c r="S857" s="358"/>
      <c r="T857" s="358"/>
      <c r="U857" s="358"/>
      <c r="V857" s="358"/>
      <c r="W857" s="358"/>
      <c r="X857" s="358"/>
      <c r="Y857" s="358"/>
      <c r="Z857" s="358"/>
    </row>
    <row r="858" spans="1:26" ht="13.5" customHeight="1">
      <c r="A858" s="358"/>
      <c r="B858" s="358"/>
      <c r="C858" s="358"/>
      <c r="D858" s="358"/>
      <c r="E858" s="358"/>
      <c r="F858" s="358"/>
      <c r="G858" s="358"/>
      <c r="H858" s="358"/>
      <c r="I858" s="358"/>
      <c r="J858" s="358"/>
      <c r="K858" s="358"/>
      <c r="L858" s="358"/>
      <c r="M858" s="358"/>
      <c r="N858" s="358"/>
      <c r="O858" s="358"/>
      <c r="P858" s="358"/>
      <c r="Q858" s="358"/>
      <c r="R858" s="358"/>
      <c r="S858" s="358"/>
      <c r="T858" s="358"/>
      <c r="U858" s="358"/>
      <c r="V858" s="358"/>
      <c r="W858" s="358"/>
      <c r="X858" s="358"/>
      <c r="Y858" s="358"/>
      <c r="Z858" s="358"/>
    </row>
    <row r="859" spans="1:26" ht="13.5" customHeight="1">
      <c r="A859" s="358"/>
      <c r="B859" s="358"/>
      <c r="C859" s="358"/>
      <c r="D859" s="358"/>
      <c r="E859" s="358"/>
      <c r="F859" s="358"/>
      <c r="G859" s="358"/>
      <c r="H859" s="358"/>
      <c r="I859" s="358"/>
      <c r="J859" s="358"/>
      <c r="K859" s="358"/>
      <c r="L859" s="358"/>
      <c r="M859" s="358"/>
      <c r="N859" s="358"/>
      <c r="O859" s="358"/>
      <c r="P859" s="358"/>
      <c r="Q859" s="358"/>
      <c r="R859" s="358"/>
      <c r="S859" s="358"/>
      <c r="T859" s="358"/>
      <c r="U859" s="358"/>
      <c r="V859" s="358"/>
      <c r="W859" s="358"/>
      <c r="X859" s="358"/>
      <c r="Y859" s="358"/>
      <c r="Z859" s="358"/>
    </row>
    <row r="860" spans="1:26" ht="13.5" customHeight="1">
      <c r="A860" s="358"/>
      <c r="B860" s="358"/>
      <c r="C860" s="358"/>
      <c r="D860" s="358"/>
      <c r="E860" s="358"/>
      <c r="F860" s="358"/>
      <c r="G860" s="358"/>
      <c r="H860" s="358"/>
      <c r="I860" s="358"/>
      <c r="J860" s="358"/>
      <c r="K860" s="358"/>
      <c r="L860" s="358"/>
      <c r="M860" s="358"/>
      <c r="N860" s="358"/>
      <c r="O860" s="358"/>
      <c r="P860" s="358"/>
      <c r="Q860" s="358"/>
      <c r="R860" s="358"/>
      <c r="S860" s="358"/>
      <c r="T860" s="358"/>
      <c r="U860" s="358"/>
      <c r="V860" s="358"/>
      <c r="W860" s="358"/>
      <c r="X860" s="358"/>
      <c r="Y860" s="358"/>
      <c r="Z860" s="358"/>
    </row>
    <row r="861" spans="1:26" ht="13.5" customHeight="1">
      <c r="A861" s="358"/>
      <c r="B861" s="358"/>
      <c r="C861" s="358"/>
      <c r="D861" s="358"/>
      <c r="E861" s="358"/>
      <c r="F861" s="358"/>
      <c r="G861" s="358"/>
      <c r="H861" s="358"/>
      <c r="I861" s="358"/>
      <c r="J861" s="358"/>
      <c r="K861" s="358"/>
      <c r="L861" s="358"/>
      <c r="M861" s="358"/>
      <c r="N861" s="358"/>
      <c r="O861" s="358"/>
      <c r="P861" s="358"/>
      <c r="Q861" s="358"/>
      <c r="R861" s="358"/>
      <c r="S861" s="358"/>
      <c r="T861" s="358"/>
      <c r="U861" s="358"/>
      <c r="V861" s="358"/>
      <c r="W861" s="358"/>
      <c r="X861" s="358"/>
      <c r="Y861" s="358"/>
      <c r="Z861" s="358"/>
    </row>
    <row r="862" spans="1:26" ht="13.5" customHeight="1">
      <c r="A862" s="358"/>
      <c r="B862" s="358"/>
      <c r="C862" s="358"/>
      <c r="D862" s="358"/>
      <c r="E862" s="358"/>
      <c r="F862" s="358"/>
      <c r="G862" s="358"/>
      <c r="H862" s="358"/>
      <c r="I862" s="358"/>
      <c r="J862" s="358"/>
      <c r="K862" s="358"/>
      <c r="L862" s="358"/>
      <c r="M862" s="358"/>
      <c r="N862" s="358"/>
      <c r="O862" s="358"/>
      <c r="P862" s="358"/>
      <c r="Q862" s="358"/>
      <c r="R862" s="358"/>
      <c r="S862" s="358"/>
      <c r="T862" s="358"/>
      <c r="U862" s="358"/>
      <c r="V862" s="358"/>
      <c r="W862" s="358"/>
      <c r="X862" s="358"/>
      <c r="Y862" s="358"/>
      <c r="Z862" s="358"/>
    </row>
    <row r="863" spans="1:26" ht="13.5" customHeight="1">
      <c r="A863" s="358"/>
      <c r="B863" s="358"/>
      <c r="C863" s="358"/>
      <c r="D863" s="358"/>
      <c r="E863" s="358"/>
      <c r="F863" s="358"/>
      <c r="G863" s="358"/>
      <c r="H863" s="358"/>
      <c r="I863" s="358"/>
      <c r="J863" s="358"/>
      <c r="K863" s="358"/>
      <c r="L863" s="358"/>
      <c r="M863" s="358"/>
      <c r="N863" s="358"/>
      <c r="O863" s="358"/>
      <c r="P863" s="358"/>
      <c r="Q863" s="358"/>
      <c r="R863" s="358"/>
      <c r="S863" s="358"/>
      <c r="T863" s="358"/>
      <c r="U863" s="358"/>
      <c r="V863" s="358"/>
      <c r="W863" s="358"/>
      <c r="X863" s="358"/>
      <c r="Y863" s="358"/>
      <c r="Z863" s="358"/>
    </row>
    <row r="864" spans="1:26" ht="13.5" customHeight="1">
      <c r="A864" s="358"/>
      <c r="B864" s="358"/>
      <c r="C864" s="358"/>
      <c r="D864" s="358"/>
      <c r="E864" s="358"/>
      <c r="F864" s="358"/>
      <c r="G864" s="358"/>
      <c r="H864" s="358"/>
      <c r="I864" s="358"/>
      <c r="J864" s="358"/>
      <c r="K864" s="358"/>
      <c r="L864" s="358"/>
      <c r="M864" s="358"/>
      <c r="N864" s="358"/>
      <c r="O864" s="358"/>
      <c r="P864" s="358"/>
      <c r="Q864" s="358"/>
      <c r="R864" s="358"/>
      <c r="S864" s="358"/>
      <c r="T864" s="358"/>
      <c r="U864" s="358"/>
      <c r="V864" s="358"/>
      <c r="W864" s="358"/>
      <c r="X864" s="358"/>
      <c r="Y864" s="358"/>
      <c r="Z864" s="358"/>
    </row>
    <row r="865" spans="1:26" ht="13.5" customHeight="1">
      <c r="A865" s="358"/>
      <c r="B865" s="358"/>
      <c r="C865" s="358"/>
      <c r="D865" s="358"/>
      <c r="E865" s="358"/>
      <c r="F865" s="358"/>
      <c r="G865" s="358"/>
      <c r="H865" s="358"/>
      <c r="I865" s="358"/>
      <c r="J865" s="358"/>
      <c r="K865" s="358"/>
      <c r="L865" s="358"/>
      <c r="M865" s="358"/>
      <c r="N865" s="358"/>
      <c r="O865" s="358"/>
      <c r="P865" s="358"/>
      <c r="Q865" s="358"/>
      <c r="R865" s="358"/>
      <c r="S865" s="358"/>
      <c r="T865" s="358"/>
      <c r="U865" s="358"/>
      <c r="V865" s="358"/>
      <c r="W865" s="358"/>
      <c r="X865" s="358"/>
      <c r="Y865" s="358"/>
      <c r="Z865" s="358"/>
    </row>
    <row r="866" spans="1:26" ht="13.5" customHeight="1">
      <c r="A866" s="358"/>
      <c r="B866" s="358"/>
      <c r="C866" s="358"/>
      <c r="D866" s="358"/>
      <c r="E866" s="358"/>
      <c r="F866" s="358"/>
      <c r="G866" s="358"/>
      <c r="H866" s="358"/>
      <c r="I866" s="358"/>
      <c r="J866" s="358"/>
      <c r="K866" s="358"/>
      <c r="L866" s="358"/>
      <c r="M866" s="358"/>
      <c r="N866" s="358"/>
      <c r="O866" s="358"/>
      <c r="P866" s="358"/>
      <c r="Q866" s="358"/>
      <c r="R866" s="358"/>
      <c r="S866" s="358"/>
      <c r="T866" s="358"/>
      <c r="U866" s="358"/>
      <c r="V866" s="358"/>
      <c r="W866" s="358"/>
      <c r="X866" s="358"/>
      <c r="Y866" s="358"/>
      <c r="Z866" s="358"/>
    </row>
    <row r="867" spans="1:26" ht="13.5" customHeight="1">
      <c r="A867" s="358"/>
      <c r="B867" s="358"/>
      <c r="C867" s="358"/>
      <c r="D867" s="358"/>
      <c r="E867" s="358"/>
      <c r="F867" s="358"/>
      <c r="G867" s="358"/>
      <c r="H867" s="358"/>
      <c r="I867" s="358"/>
      <c r="J867" s="358"/>
      <c r="K867" s="358"/>
      <c r="L867" s="358"/>
      <c r="M867" s="358"/>
      <c r="N867" s="358"/>
      <c r="O867" s="358"/>
      <c r="P867" s="358"/>
      <c r="Q867" s="358"/>
      <c r="R867" s="358"/>
      <c r="S867" s="358"/>
      <c r="T867" s="358"/>
      <c r="U867" s="358"/>
      <c r="V867" s="358"/>
      <c r="W867" s="358"/>
      <c r="X867" s="358"/>
      <c r="Y867" s="358"/>
      <c r="Z867" s="358"/>
    </row>
    <row r="868" spans="1:26" ht="13.5" customHeight="1">
      <c r="A868" s="358"/>
      <c r="B868" s="358"/>
      <c r="C868" s="358"/>
      <c r="D868" s="358"/>
      <c r="E868" s="358"/>
      <c r="F868" s="358"/>
      <c r="G868" s="358"/>
      <c r="H868" s="358"/>
      <c r="I868" s="358"/>
      <c r="J868" s="358"/>
      <c r="K868" s="358"/>
      <c r="L868" s="358"/>
      <c r="M868" s="358"/>
      <c r="N868" s="358"/>
      <c r="O868" s="358"/>
      <c r="P868" s="358"/>
      <c r="Q868" s="358"/>
      <c r="R868" s="358"/>
      <c r="S868" s="358"/>
      <c r="T868" s="358"/>
      <c r="U868" s="358"/>
      <c r="V868" s="358"/>
      <c r="W868" s="358"/>
      <c r="X868" s="358"/>
      <c r="Y868" s="358"/>
      <c r="Z868" s="358"/>
    </row>
    <row r="869" spans="1:26" ht="13.5" customHeight="1">
      <c r="A869" s="358"/>
      <c r="B869" s="358"/>
      <c r="C869" s="358"/>
      <c r="D869" s="358"/>
      <c r="E869" s="358"/>
      <c r="F869" s="358"/>
      <c r="G869" s="358"/>
      <c r="H869" s="358"/>
      <c r="I869" s="358"/>
      <c r="J869" s="358"/>
      <c r="K869" s="358"/>
      <c r="L869" s="358"/>
      <c r="M869" s="358"/>
      <c r="N869" s="358"/>
      <c r="O869" s="358"/>
      <c r="P869" s="358"/>
      <c r="Q869" s="358"/>
      <c r="R869" s="358"/>
      <c r="S869" s="358"/>
      <c r="T869" s="358"/>
      <c r="U869" s="358"/>
      <c r="V869" s="358"/>
      <c r="W869" s="358"/>
      <c r="X869" s="358"/>
      <c r="Y869" s="358"/>
      <c r="Z869" s="358"/>
    </row>
    <row r="870" spans="1:26" ht="13.5" customHeight="1">
      <c r="A870" s="358"/>
      <c r="B870" s="358"/>
      <c r="C870" s="358"/>
      <c r="D870" s="358"/>
      <c r="E870" s="358"/>
      <c r="F870" s="358"/>
      <c r="G870" s="358"/>
      <c r="H870" s="358"/>
      <c r="I870" s="358"/>
      <c r="J870" s="358"/>
      <c r="K870" s="358"/>
      <c r="L870" s="358"/>
      <c r="M870" s="358"/>
      <c r="N870" s="358"/>
      <c r="O870" s="358"/>
      <c r="P870" s="358"/>
      <c r="Q870" s="358"/>
      <c r="R870" s="358"/>
      <c r="S870" s="358"/>
      <c r="T870" s="358"/>
      <c r="U870" s="358"/>
      <c r="V870" s="358"/>
      <c r="W870" s="358"/>
      <c r="X870" s="358"/>
      <c r="Y870" s="358"/>
      <c r="Z870" s="358"/>
    </row>
    <row r="871" spans="1:26" ht="13.5" customHeight="1">
      <c r="A871" s="358"/>
      <c r="B871" s="358"/>
      <c r="C871" s="358"/>
      <c r="D871" s="358"/>
      <c r="E871" s="358"/>
      <c r="F871" s="358"/>
      <c r="G871" s="358"/>
      <c r="H871" s="358"/>
      <c r="I871" s="358"/>
      <c r="J871" s="358"/>
      <c r="K871" s="358"/>
      <c r="L871" s="358"/>
      <c r="M871" s="358"/>
      <c r="N871" s="358"/>
      <c r="O871" s="358"/>
      <c r="P871" s="358"/>
      <c r="Q871" s="358"/>
      <c r="R871" s="358"/>
      <c r="S871" s="358"/>
      <c r="T871" s="358"/>
      <c r="U871" s="358"/>
      <c r="V871" s="358"/>
      <c r="W871" s="358"/>
      <c r="X871" s="358"/>
      <c r="Y871" s="358"/>
      <c r="Z871" s="358"/>
    </row>
    <row r="872" spans="1:26" ht="13.5" customHeight="1">
      <c r="A872" s="358"/>
      <c r="B872" s="358"/>
      <c r="C872" s="358"/>
      <c r="D872" s="358"/>
      <c r="E872" s="358"/>
      <c r="F872" s="358"/>
      <c r="G872" s="358"/>
      <c r="H872" s="358"/>
      <c r="I872" s="358"/>
      <c r="J872" s="358"/>
      <c r="K872" s="358"/>
      <c r="L872" s="358"/>
      <c r="M872" s="358"/>
      <c r="N872" s="358"/>
      <c r="O872" s="358"/>
      <c r="P872" s="358"/>
      <c r="Q872" s="358"/>
      <c r="R872" s="358"/>
      <c r="S872" s="358"/>
      <c r="T872" s="358"/>
      <c r="U872" s="358"/>
      <c r="V872" s="358"/>
      <c r="W872" s="358"/>
      <c r="X872" s="358"/>
      <c r="Y872" s="358"/>
      <c r="Z872" s="358"/>
    </row>
    <row r="873" spans="1:26" ht="13.5" customHeight="1">
      <c r="A873" s="358"/>
      <c r="B873" s="358"/>
      <c r="C873" s="358"/>
      <c r="D873" s="358"/>
      <c r="E873" s="358"/>
      <c r="F873" s="358"/>
      <c r="G873" s="358"/>
      <c r="H873" s="358"/>
      <c r="I873" s="358"/>
      <c r="J873" s="358"/>
      <c r="K873" s="358"/>
      <c r="L873" s="358"/>
      <c r="M873" s="358"/>
      <c r="N873" s="358"/>
      <c r="O873" s="358"/>
      <c r="P873" s="358"/>
      <c r="Q873" s="358"/>
      <c r="R873" s="358"/>
      <c r="S873" s="358"/>
      <c r="T873" s="358"/>
      <c r="U873" s="358"/>
      <c r="V873" s="358"/>
      <c r="W873" s="358"/>
      <c r="X873" s="358"/>
      <c r="Y873" s="358"/>
      <c r="Z873" s="358"/>
    </row>
    <row r="874" spans="1:26" ht="13.5" customHeight="1">
      <c r="A874" s="358"/>
      <c r="B874" s="358"/>
      <c r="C874" s="358"/>
      <c r="D874" s="358"/>
      <c r="E874" s="358"/>
      <c r="F874" s="358"/>
      <c r="G874" s="358"/>
      <c r="H874" s="358"/>
      <c r="I874" s="358"/>
      <c r="J874" s="358"/>
      <c r="K874" s="358"/>
      <c r="L874" s="358"/>
      <c r="M874" s="358"/>
      <c r="N874" s="358"/>
      <c r="O874" s="358"/>
      <c r="P874" s="358"/>
      <c r="Q874" s="358"/>
      <c r="R874" s="358"/>
      <c r="S874" s="358"/>
      <c r="T874" s="358"/>
      <c r="U874" s="358"/>
      <c r="V874" s="358"/>
      <c r="W874" s="358"/>
      <c r="X874" s="358"/>
      <c r="Y874" s="358"/>
      <c r="Z874" s="358"/>
    </row>
    <row r="875" spans="1:26" ht="13.5" customHeight="1">
      <c r="A875" s="358"/>
      <c r="B875" s="358"/>
      <c r="C875" s="358"/>
      <c r="D875" s="358"/>
      <c r="E875" s="358"/>
      <c r="F875" s="358"/>
      <c r="G875" s="358"/>
      <c r="H875" s="358"/>
      <c r="I875" s="358"/>
      <c r="J875" s="358"/>
      <c r="K875" s="358"/>
      <c r="L875" s="358"/>
      <c r="M875" s="358"/>
      <c r="N875" s="358"/>
      <c r="O875" s="358"/>
      <c r="P875" s="358"/>
      <c r="Q875" s="358"/>
      <c r="R875" s="358"/>
      <c r="S875" s="358"/>
      <c r="T875" s="358"/>
      <c r="U875" s="358"/>
      <c r="V875" s="358"/>
      <c r="W875" s="358"/>
      <c r="X875" s="358"/>
      <c r="Y875" s="358"/>
      <c r="Z875" s="358"/>
    </row>
    <row r="876" spans="1:26" ht="13.5" customHeight="1">
      <c r="A876" s="358"/>
      <c r="B876" s="358"/>
      <c r="C876" s="358"/>
      <c r="D876" s="358"/>
      <c r="E876" s="358"/>
      <c r="F876" s="358"/>
      <c r="G876" s="358"/>
      <c r="H876" s="358"/>
      <c r="I876" s="358"/>
      <c r="J876" s="358"/>
      <c r="K876" s="358"/>
      <c r="L876" s="358"/>
      <c r="M876" s="358"/>
      <c r="N876" s="358"/>
      <c r="O876" s="358"/>
      <c r="P876" s="358"/>
      <c r="Q876" s="358"/>
      <c r="R876" s="358"/>
      <c r="S876" s="358"/>
      <c r="T876" s="358"/>
      <c r="U876" s="358"/>
      <c r="V876" s="358"/>
      <c r="W876" s="358"/>
      <c r="X876" s="358"/>
      <c r="Y876" s="358"/>
      <c r="Z876" s="358"/>
    </row>
    <row r="877" spans="1:26" ht="13.5" customHeight="1">
      <c r="A877" s="358"/>
      <c r="B877" s="358"/>
      <c r="C877" s="358"/>
      <c r="D877" s="358"/>
      <c r="E877" s="358"/>
      <c r="F877" s="358"/>
      <c r="G877" s="358"/>
      <c r="H877" s="358"/>
      <c r="I877" s="358"/>
      <c r="J877" s="358"/>
      <c r="K877" s="358"/>
      <c r="L877" s="358"/>
      <c r="M877" s="358"/>
      <c r="N877" s="358"/>
      <c r="O877" s="358"/>
      <c r="P877" s="358"/>
      <c r="Q877" s="358"/>
      <c r="R877" s="358"/>
      <c r="S877" s="358"/>
      <c r="T877" s="358"/>
      <c r="U877" s="358"/>
      <c r="V877" s="358"/>
      <c r="W877" s="358"/>
      <c r="X877" s="358"/>
      <c r="Y877" s="358"/>
      <c r="Z877" s="358"/>
    </row>
    <row r="878" spans="1:26" ht="13.5" customHeight="1">
      <c r="A878" s="358"/>
      <c r="B878" s="358"/>
      <c r="C878" s="358"/>
      <c r="D878" s="358"/>
      <c r="E878" s="358"/>
      <c r="F878" s="358"/>
      <c r="G878" s="358"/>
      <c r="H878" s="358"/>
      <c r="I878" s="358"/>
      <c r="J878" s="358"/>
      <c r="K878" s="358"/>
      <c r="L878" s="358"/>
      <c r="M878" s="358"/>
      <c r="N878" s="358"/>
      <c r="O878" s="358"/>
      <c r="P878" s="358"/>
      <c r="Q878" s="358"/>
      <c r="R878" s="358"/>
      <c r="S878" s="358"/>
      <c r="T878" s="358"/>
      <c r="U878" s="358"/>
      <c r="V878" s="358"/>
      <c r="W878" s="358"/>
      <c r="X878" s="358"/>
      <c r="Y878" s="358"/>
      <c r="Z878" s="358"/>
    </row>
    <row r="879" spans="1:26" ht="13.5" customHeight="1">
      <c r="A879" s="358"/>
      <c r="B879" s="358"/>
      <c r="C879" s="358"/>
      <c r="D879" s="358"/>
      <c r="E879" s="358"/>
      <c r="F879" s="358"/>
      <c r="G879" s="358"/>
      <c r="H879" s="358"/>
      <c r="I879" s="358"/>
      <c r="J879" s="358"/>
      <c r="K879" s="358"/>
      <c r="L879" s="358"/>
      <c r="M879" s="358"/>
      <c r="N879" s="358"/>
      <c r="O879" s="358"/>
      <c r="P879" s="358"/>
      <c r="Q879" s="358"/>
      <c r="R879" s="358"/>
      <c r="S879" s="358"/>
      <c r="T879" s="358"/>
      <c r="U879" s="358"/>
      <c r="V879" s="358"/>
      <c r="W879" s="358"/>
      <c r="X879" s="358"/>
      <c r="Y879" s="358"/>
      <c r="Z879" s="358"/>
    </row>
    <row r="880" spans="1:26" ht="13.5" customHeight="1">
      <c r="A880" s="358"/>
      <c r="B880" s="358"/>
      <c r="C880" s="358"/>
      <c r="D880" s="358"/>
      <c r="E880" s="358"/>
      <c r="F880" s="358"/>
      <c r="G880" s="358"/>
      <c r="H880" s="358"/>
      <c r="I880" s="358"/>
      <c r="J880" s="358"/>
      <c r="K880" s="358"/>
      <c r="L880" s="358"/>
      <c r="M880" s="358"/>
      <c r="N880" s="358"/>
      <c r="O880" s="358"/>
      <c r="P880" s="358"/>
      <c r="Q880" s="358"/>
      <c r="R880" s="358"/>
      <c r="S880" s="358"/>
      <c r="T880" s="358"/>
      <c r="U880" s="358"/>
      <c r="V880" s="358"/>
      <c r="W880" s="358"/>
      <c r="X880" s="358"/>
      <c r="Y880" s="358"/>
      <c r="Z880" s="358"/>
    </row>
    <row r="881" spans="1:26" ht="13.5" customHeight="1">
      <c r="A881" s="358"/>
      <c r="B881" s="358"/>
      <c r="C881" s="358"/>
      <c r="D881" s="358"/>
      <c r="E881" s="358"/>
      <c r="F881" s="358"/>
      <c r="G881" s="358"/>
      <c r="H881" s="358"/>
      <c r="I881" s="358"/>
      <c r="J881" s="358"/>
      <c r="K881" s="358"/>
      <c r="L881" s="358"/>
      <c r="M881" s="358"/>
      <c r="N881" s="358"/>
      <c r="O881" s="358"/>
      <c r="P881" s="358"/>
      <c r="Q881" s="358"/>
      <c r="R881" s="358"/>
      <c r="S881" s="358"/>
      <c r="T881" s="358"/>
      <c r="U881" s="358"/>
      <c r="V881" s="358"/>
      <c r="W881" s="358"/>
      <c r="X881" s="358"/>
      <c r="Y881" s="358"/>
      <c r="Z881" s="358"/>
    </row>
    <row r="882" spans="1:26" ht="13.5" customHeight="1">
      <c r="A882" s="358"/>
      <c r="B882" s="358"/>
      <c r="C882" s="358"/>
      <c r="D882" s="358"/>
      <c r="E882" s="358"/>
      <c r="F882" s="358"/>
      <c r="G882" s="358"/>
      <c r="H882" s="358"/>
      <c r="I882" s="358"/>
      <c r="J882" s="358"/>
      <c r="K882" s="358"/>
      <c r="L882" s="358"/>
      <c r="M882" s="358"/>
      <c r="N882" s="358"/>
      <c r="O882" s="358"/>
      <c r="P882" s="358"/>
      <c r="Q882" s="358"/>
      <c r="R882" s="358"/>
      <c r="S882" s="358"/>
      <c r="T882" s="358"/>
      <c r="U882" s="358"/>
      <c r="V882" s="358"/>
      <c r="W882" s="358"/>
      <c r="X882" s="358"/>
      <c r="Y882" s="358"/>
      <c r="Z882" s="358"/>
    </row>
    <row r="883" spans="1:26" ht="13.5" customHeight="1">
      <c r="A883" s="358"/>
      <c r="B883" s="358"/>
      <c r="C883" s="358"/>
      <c r="D883" s="358"/>
      <c r="E883" s="358"/>
      <c r="F883" s="358"/>
      <c r="G883" s="358"/>
      <c r="H883" s="358"/>
      <c r="I883" s="358"/>
      <c r="J883" s="358"/>
      <c r="K883" s="358"/>
      <c r="L883" s="358"/>
      <c r="M883" s="358"/>
      <c r="N883" s="358"/>
      <c r="O883" s="358"/>
      <c r="P883" s="358"/>
      <c r="Q883" s="358"/>
      <c r="R883" s="358"/>
      <c r="S883" s="358"/>
      <c r="T883" s="358"/>
      <c r="U883" s="358"/>
      <c r="V883" s="358"/>
      <c r="W883" s="358"/>
      <c r="X883" s="358"/>
      <c r="Y883" s="358"/>
      <c r="Z883" s="358"/>
    </row>
    <row r="884" spans="1:26" ht="13.5" customHeight="1">
      <c r="A884" s="358"/>
      <c r="B884" s="358"/>
      <c r="C884" s="358"/>
      <c r="D884" s="358"/>
      <c r="E884" s="358"/>
      <c r="F884" s="358"/>
      <c r="G884" s="358"/>
      <c r="H884" s="358"/>
      <c r="I884" s="358"/>
      <c r="J884" s="358"/>
      <c r="K884" s="358"/>
      <c r="L884" s="358"/>
      <c r="M884" s="358"/>
      <c r="N884" s="358"/>
      <c r="O884" s="358"/>
      <c r="P884" s="358"/>
      <c r="Q884" s="358"/>
      <c r="R884" s="358"/>
      <c r="S884" s="358"/>
      <c r="T884" s="358"/>
      <c r="U884" s="358"/>
      <c r="V884" s="358"/>
      <c r="W884" s="358"/>
      <c r="X884" s="358"/>
      <c r="Y884" s="358"/>
      <c r="Z884" s="358"/>
    </row>
    <row r="885" spans="1:26" ht="13.5" customHeight="1">
      <c r="A885" s="358"/>
      <c r="B885" s="358"/>
      <c r="C885" s="358"/>
      <c r="D885" s="358"/>
      <c r="E885" s="358"/>
      <c r="F885" s="358"/>
      <c r="G885" s="358"/>
      <c r="H885" s="358"/>
      <c r="I885" s="358"/>
      <c r="J885" s="358"/>
      <c r="K885" s="358"/>
      <c r="L885" s="358"/>
      <c r="M885" s="358"/>
      <c r="N885" s="358"/>
      <c r="O885" s="358"/>
      <c r="P885" s="358"/>
      <c r="Q885" s="358"/>
      <c r="R885" s="358"/>
      <c r="S885" s="358"/>
      <c r="T885" s="358"/>
      <c r="U885" s="358"/>
      <c r="V885" s="358"/>
      <c r="W885" s="358"/>
      <c r="X885" s="358"/>
      <c r="Y885" s="358"/>
      <c r="Z885" s="358"/>
    </row>
    <row r="886" spans="1:26" ht="13.5" customHeight="1">
      <c r="A886" s="358"/>
      <c r="B886" s="358"/>
      <c r="C886" s="358"/>
      <c r="D886" s="358"/>
      <c r="E886" s="358"/>
      <c r="F886" s="358"/>
      <c r="G886" s="358"/>
      <c r="H886" s="358"/>
      <c r="I886" s="358"/>
      <c r="J886" s="358"/>
      <c r="K886" s="358"/>
      <c r="L886" s="358"/>
      <c r="M886" s="358"/>
      <c r="N886" s="358"/>
      <c r="O886" s="358"/>
      <c r="P886" s="358"/>
      <c r="Q886" s="358"/>
      <c r="R886" s="358"/>
      <c r="S886" s="358"/>
      <c r="T886" s="358"/>
      <c r="U886" s="358"/>
      <c r="V886" s="358"/>
      <c r="W886" s="358"/>
      <c r="X886" s="358"/>
      <c r="Y886" s="358"/>
      <c r="Z886" s="358"/>
    </row>
    <row r="887" spans="1:26" ht="13.5" customHeight="1">
      <c r="A887" s="358"/>
      <c r="B887" s="358"/>
      <c r="C887" s="358"/>
      <c r="D887" s="358"/>
      <c r="E887" s="358"/>
      <c r="F887" s="358"/>
      <c r="G887" s="358"/>
      <c r="H887" s="358"/>
      <c r="I887" s="358"/>
      <c r="J887" s="358"/>
      <c r="K887" s="358"/>
      <c r="L887" s="358"/>
      <c r="M887" s="358"/>
      <c r="N887" s="358"/>
      <c r="O887" s="358"/>
      <c r="P887" s="358"/>
      <c r="Q887" s="358"/>
      <c r="R887" s="358"/>
      <c r="S887" s="358"/>
      <c r="T887" s="358"/>
      <c r="U887" s="358"/>
      <c r="V887" s="358"/>
      <c r="W887" s="358"/>
      <c r="X887" s="358"/>
      <c r="Y887" s="358"/>
      <c r="Z887" s="358"/>
    </row>
    <row r="888" spans="1:26" ht="13.5" customHeight="1">
      <c r="A888" s="358"/>
      <c r="B888" s="358"/>
      <c r="C888" s="358"/>
      <c r="D888" s="358"/>
      <c r="E888" s="358"/>
      <c r="F888" s="358"/>
      <c r="G888" s="358"/>
      <c r="H888" s="358"/>
      <c r="I888" s="358"/>
      <c r="J888" s="358"/>
      <c r="K888" s="358"/>
      <c r="L888" s="358"/>
      <c r="M888" s="358"/>
      <c r="N888" s="358"/>
      <c r="O888" s="358"/>
      <c r="P888" s="358"/>
      <c r="Q888" s="358"/>
      <c r="R888" s="358"/>
      <c r="S888" s="358"/>
      <c r="T888" s="358"/>
      <c r="U888" s="358"/>
      <c r="V888" s="358"/>
      <c r="W888" s="358"/>
      <c r="X888" s="358"/>
      <c r="Y888" s="358"/>
      <c r="Z888" s="358"/>
    </row>
    <row r="889" spans="1:26" ht="13.5" customHeight="1">
      <c r="A889" s="358"/>
      <c r="B889" s="358"/>
      <c r="C889" s="358"/>
      <c r="D889" s="358"/>
      <c r="E889" s="358"/>
      <c r="F889" s="358"/>
      <c r="G889" s="358"/>
      <c r="H889" s="358"/>
      <c r="I889" s="358"/>
      <c r="J889" s="358"/>
      <c r="K889" s="358"/>
      <c r="L889" s="358"/>
      <c r="M889" s="358"/>
      <c r="N889" s="358"/>
      <c r="O889" s="358"/>
      <c r="P889" s="358"/>
      <c r="Q889" s="358"/>
      <c r="R889" s="358"/>
      <c r="S889" s="358"/>
      <c r="T889" s="358"/>
      <c r="U889" s="358"/>
      <c r="V889" s="358"/>
      <c r="W889" s="358"/>
      <c r="X889" s="358"/>
      <c r="Y889" s="358"/>
      <c r="Z889" s="358"/>
    </row>
    <row r="890" spans="1:26" ht="13.5" customHeight="1">
      <c r="A890" s="358"/>
      <c r="B890" s="358"/>
      <c r="C890" s="358"/>
      <c r="D890" s="358"/>
      <c r="E890" s="358"/>
      <c r="F890" s="358"/>
      <c r="G890" s="358"/>
      <c r="H890" s="358"/>
      <c r="I890" s="358"/>
      <c r="J890" s="358"/>
      <c r="K890" s="358"/>
      <c r="L890" s="358"/>
      <c r="M890" s="358"/>
      <c r="N890" s="358"/>
      <c r="O890" s="358"/>
      <c r="P890" s="358"/>
      <c r="Q890" s="358"/>
      <c r="R890" s="358"/>
      <c r="S890" s="358"/>
      <c r="T890" s="358"/>
      <c r="U890" s="358"/>
      <c r="V890" s="358"/>
      <c r="W890" s="358"/>
      <c r="X890" s="358"/>
      <c r="Y890" s="358"/>
      <c r="Z890" s="358"/>
    </row>
    <row r="891" spans="1:26" ht="13.5" customHeight="1">
      <c r="A891" s="358"/>
      <c r="B891" s="358"/>
      <c r="C891" s="358"/>
      <c r="D891" s="358"/>
      <c r="E891" s="358"/>
      <c r="F891" s="358"/>
      <c r="G891" s="358"/>
      <c r="H891" s="358"/>
      <c r="I891" s="358"/>
      <c r="J891" s="358"/>
      <c r="K891" s="358"/>
      <c r="L891" s="358"/>
      <c r="M891" s="358"/>
      <c r="N891" s="358"/>
      <c r="O891" s="358"/>
      <c r="P891" s="358"/>
      <c r="Q891" s="358"/>
      <c r="R891" s="358"/>
      <c r="S891" s="358"/>
      <c r="T891" s="358"/>
      <c r="U891" s="358"/>
      <c r="V891" s="358"/>
      <c r="W891" s="358"/>
      <c r="X891" s="358"/>
      <c r="Y891" s="358"/>
      <c r="Z891" s="358"/>
    </row>
    <row r="892" spans="1:26" ht="13.5" customHeight="1">
      <c r="A892" s="358"/>
      <c r="B892" s="358"/>
      <c r="C892" s="358"/>
      <c r="D892" s="358"/>
      <c r="E892" s="358"/>
      <c r="F892" s="358"/>
      <c r="G892" s="358"/>
      <c r="H892" s="358"/>
      <c r="I892" s="358"/>
      <c r="J892" s="358"/>
      <c r="K892" s="358"/>
      <c r="L892" s="358"/>
      <c r="M892" s="358"/>
      <c r="N892" s="358"/>
      <c r="O892" s="358"/>
      <c r="P892" s="358"/>
      <c r="Q892" s="358"/>
      <c r="R892" s="358"/>
      <c r="S892" s="358"/>
      <c r="T892" s="358"/>
      <c r="U892" s="358"/>
      <c r="V892" s="358"/>
      <c r="W892" s="358"/>
      <c r="X892" s="358"/>
      <c r="Y892" s="358"/>
      <c r="Z892" s="358"/>
    </row>
    <row r="893" spans="1:26" ht="13.5" customHeight="1">
      <c r="A893" s="358"/>
      <c r="B893" s="358"/>
      <c r="C893" s="358"/>
      <c r="D893" s="358"/>
      <c r="E893" s="358"/>
      <c r="F893" s="358"/>
      <c r="G893" s="358"/>
      <c r="H893" s="358"/>
      <c r="I893" s="358"/>
      <c r="J893" s="358"/>
      <c r="K893" s="358"/>
      <c r="L893" s="358"/>
      <c r="M893" s="358"/>
      <c r="N893" s="358"/>
      <c r="O893" s="358"/>
      <c r="P893" s="358"/>
      <c r="Q893" s="358"/>
      <c r="R893" s="358"/>
      <c r="S893" s="358"/>
      <c r="T893" s="358"/>
      <c r="U893" s="358"/>
      <c r="V893" s="358"/>
      <c r="W893" s="358"/>
      <c r="X893" s="358"/>
      <c r="Y893" s="358"/>
      <c r="Z893" s="358"/>
    </row>
    <row r="894" spans="1:26" ht="13.5" customHeight="1">
      <c r="A894" s="358"/>
      <c r="B894" s="358"/>
      <c r="C894" s="358"/>
      <c r="D894" s="358"/>
      <c r="E894" s="358"/>
      <c r="F894" s="358"/>
      <c r="G894" s="358"/>
      <c r="H894" s="358"/>
      <c r="I894" s="358"/>
      <c r="J894" s="358"/>
      <c r="K894" s="358"/>
      <c r="L894" s="358"/>
      <c r="M894" s="358"/>
      <c r="N894" s="358"/>
      <c r="O894" s="358"/>
      <c r="P894" s="358"/>
      <c r="Q894" s="358"/>
      <c r="R894" s="358"/>
      <c r="S894" s="358"/>
      <c r="T894" s="358"/>
      <c r="U894" s="358"/>
      <c r="V894" s="358"/>
      <c r="W894" s="358"/>
      <c r="X894" s="358"/>
      <c r="Y894" s="358"/>
      <c r="Z894" s="358"/>
    </row>
    <row r="895" spans="1:26" ht="13.5" customHeight="1">
      <c r="A895" s="358"/>
      <c r="B895" s="358"/>
      <c r="C895" s="358"/>
      <c r="D895" s="358"/>
      <c r="E895" s="358"/>
      <c r="F895" s="358"/>
      <c r="G895" s="358"/>
      <c r="H895" s="358"/>
      <c r="I895" s="358"/>
      <c r="J895" s="358"/>
      <c r="K895" s="358"/>
      <c r="L895" s="358"/>
      <c r="M895" s="358"/>
      <c r="N895" s="358"/>
      <c r="O895" s="358"/>
      <c r="P895" s="358"/>
      <c r="Q895" s="358"/>
      <c r="R895" s="358"/>
      <c r="S895" s="358"/>
      <c r="T895" s="358"/>
      <c r="U895" s="358"/>
      <c r="V895" s="358"/>
      <c r="W895" s="358"/>
      <c r="X895" s="358"/>
      <c r="Y895" s="358"/>
      <c r="Z895" s="358"/>
    </row>
    <row r="896" spans="1:26" ht="13.5" customHeight="1">
      <c r="A896" s="358"/>
      <c r="B896" s="358"/>
      <c r="C896" s="358"/>
      <c r="D896" s="358"/>
      <c r="E896" s="358"/>
      <c r="F896" s="358"/>
      <c r="G896" s="358"/>
      <c r="H896" s="358"/>
      <c r="I896" s="358"/>
      <c r="J896" s="358"/>
      <c r="K896" s="358"/>
      <c r="L896" s="358"/>
      <c r="M896" s="358"/>
      <c r="N896" s="358"/>
      <c r="O896" s="358"/>
      <c r="P896" s="358"/>
      <c r="Q896" s="358"/>
      <c r="R896" s="358"/>
      <c r="S896" s="358"/>
      <c r="T896" s="358"/>
      <c r="U896" s="358"/>
      <c r="V896" s="358"/>
      <c r="W896" s="358"/>
      <c r="X896" s="358"/>
      <c r="Y896" s="358"/>
      <c r="Z896" s="358"/>
    </row>
    <row r="897" spans="1:26" ht="13.5" customHeight="1">
      <c r="A897" s="358"/>
      <c r="B897" s="358"/>
      <c r="C897" s="358"/>
      <c r="D897" s="358"/>
      <c r="E897" s="358"/>
      <c r="F897" s="358"/>
      <c r="G897" s="358"/>
      <c r="H897" s="358"/>
      <c r="I897" s="358"/>
      <c r="J897" s="358"/>
      <c r="K897" s="358"/>
      <c r="L897" s="358"/>
      <c r="M897" s="358"/>
      <c r="N897" s="358"/>
      <c r="O897" s="358"/>
      <c r="P897" s="358"/>
      <c r="Q897" s="358"/>
      <c r="R897" s="358"/>
      <c r="S897" s="358"/>
      <c r="T897" s="358"/>
      <c r="U897" s="358"/>
      <c r="V897" s="358"/>
      <c r="W897" s="358"/>
      <c r="X897" s="358"/>
      <c r="Y897" s="358"/>
      <c r="Z897" s="358"/>
    </row>
    <row r="898" spans="1:26" ht="13.5" customHeight="1">
      <c r="A898" s="358"/>
      <c r="B898" s="358"/>
      <c r="C898" s="358"/>
      <c r="D898" s="358"/>
      <c r="E898" s="358"/>
      <c r="F898" s="358"/>
      <c r="G898" s="358"/>
      <c r="H898" s="358"/>
      <c r="I898" s="358"/>
      <c r="J898" s="358"/>
      <c r="K898" s="358"/>
      <c r="L898" s="358"/>
      <c r="M898" s="358"/>
      <c r="N898" s="358"/>
      <c r="O898" s="358"/>
      <c r="P898" s="358"/>
      <c r="Q898" s="358"/>
      <c r="R898" s="358"/>
      <c r="S898" s="358"/>
      <c r="T898" s="358"/>
      <c r="U898" s="358"/>
      <c r="V898" s="358"/>
      <c r="W898" s="358"/>
      <c r="X898" s="358"/>
      <c r="Y898" s="358"/>
      <c r="Z898" s="358"/>
    </row>
    <row r="899" spans="1:26" ht="13.5" customHeight="1">
      <c r="A899" s="358"/>
      <c r="B899" s="358"/>
      <c r="C899" s="358"/>
      <c r="D899" s="358"/>
      <c r="E899" s="358"/>
      <c r="F899" s="358"/>
      <c r="G899" s="358"/>
      <c r="H899" s="358"/>
      <c r="I899" s="358"/>
      <c r="J899" s="358"/>
      <c r="K899" s="358"/>
      <c r="L899" s="358"/>
      <c r="M899" s="358"/>
      <c r="N899" s="358"/>
      <c r="O899" s="358"/>
      <c r="P899" s="358"/>
      <c r="Q899" s="358"/>
      <c r="R899" s="358"/>
      <c r="S899" s="358"/>
      <c r="T899" s="358"/>
      <c r="U899" s="358"/>
      <c r="V899" s="358"/>
      <c r="W899" s="358"/>
      <c r="X899" s="358"/>
      <c r="Y899" s="358"/>
      <c r="Z899" s="358"/>
    </row>
    <row r="900" spans="1:26" ht="13.5" customHeight="1">
      <c r="A900" s="358"/>
      <c r="B900" s="358"/>
      <c r="C900" s="358"/>
      <c r="D900" s="358"/>
      <c r="E900" s="358"/>
      <c r="F900" s="358"/>
      <c r="G900" s="358"/>
      <c r="H900" s="358"/>
      <c r="I900" s="358"/>
      <c r="J900" s="358"/>
      <c r="K900" s="358"/>
      <c r="L900" s="358"/>
      <c r="M900" s="358"/>
      <c r="N900" s="358"/>
      <c r="O900" s="358"/>
      <c r="P900" s="358"/>
      <c r="Q900" s="358"/>
      <c r="R900" s="358"/>
      <c r="S900" s="358"/>
      <c r="T900" s="358"/>
      <c r="U900" s="358"/>
      <c r="V900" s="358"/>
      <c r="W900" s="358"/>
      <c r="X900" s="358"/>
      <c r="Y900" s="358"/>
      <c r="Z900" s="358"/>
    </row>
    <row r="901" spans="1:26" ht="13.5" customHeight="1">
      <c r="A901" s="358"/>
      <c r="B901" s="358"/>
      <c r="C901" s="358"/>
      <c r="D901" s="358"/>
      <c r="E901" s="358"/>
      <c r="F901" s="358"/>
      <c r="G901" s="358"/>
      <c r="H901" s="358"/>
      <c r="I901" s="358"/>
      <c r="J901" s="358"/>
      <c r="K901" s="358"/>
      <c r="L901" s="358"/>
      <c r="M901" s="358"/>
      <c r="N901" s="358"/>
      <c r="O901" s="358"/>
      <c r="P901" s="358"/>
      <c r="Q901" s="358"/>
      <c r="R901" s="358"/>
      <c r="S901" s="358"/>
      <c r="T901" s="358"/>
      <c r="U901" s="358"/>
      <c r="V901" s="358"/>
      <c r="W901" s="358"/>
      <c r="X901" s="358"/>
      <c r="Y901" s="358"/>
      <c r="Z901" s="358"/>
    </row>
    <row r="902" spans="1:26" ht="13.5" customHeight="1">
      <c r="A902" s="358"/>
      <c r="B902" s="358"/>
      <c r="C902" s="358"/>
      <c r="D902" s="358"/>
      <c r="E902" s="358"/>
      <c r="F902" s="358"/>
      <c r="G902" s="358"/>
      <c r="H902" s="358"/>
      <c r="I902" s="358"/>
      <c r="J902" s="358"/>
      <c r="K902" s="358"/>
      <c r="L902" s="358"/>
      <c r="M902" s="358"/>
      <c r="N902" s="358"/>
      <c r="O902" s="358"/>
      <c r="P902" s="358"/>
      <c r="Q902" s="358"/>
      <c r="R902" s="358"/>
      <c r="S902" s="358"/>
      <c r="T902" s="358"/>
      <c r="U902" s="358"/>
      <c r="V902" s="358"/>
      <c r="W902" s="358"/>
      <c r="X902" s="358"/>
      <c r="Y902" s="358"/>
      <c r="Z902" s="358"/>
    </row>
    <row r="903" spans="1:26" ht="13.5" customHeight="1">
      <c r="A903" s="358"/>
      <c r="B903" s="358"/>
      <c r="C903" s="358"/>
      <c r="D903" s="358"/>
      <c r="E903" s="358"/>
      <c r="F903" s="358"/>
      <c r="G903" s="358"/>
      <c r="H903" s="358"/>
      <c r="I903" s="358"/>
      <c r="J903" s="358"/>
      <c r="K903" s="358"/>
      <c r="L903" s="358"/>
      <c r="M903" s="358"/>
      <c r="N903" s="358"/>
      <c r="O903" s="358"/>
      <c r="P903" s="358"/>
      <c r="Q903" s="358"/>
      <c r="R903" s="358"/>
      <c r="S903" s="358"/>
      <c r="T903" s="358"/>
      <c r="U903" s="358"/>
      <c r="V903" s="358"/>
      <c r="W903" s="358"/>
      <c r="X903" s="358"/>
      <c r="Y903" s="358"/>
      <c r="Z903" s="358"/>
    </row>
    <row r="904" spans="1:26" ht="13.5" customHeight="1">
      <c r="A904" s="358"/>
      <c r="B904" s="358"/>
      <c r="C904" s="358"/>
      <c r="D904" s="358"/>
      <c r="E904" s="358"/>
      <c r="F904" s="358"/>
      <c r="G904" s="358"/>
      <c r="H904" s="358"/>
      <c r="I904" s="358"/>
      <c r="J904" s="358"/>
      <c r="K904" s="358"/>
      <c r="L904" s="358"/>
      <c r="M904" s="358"/>
      <c r="N904" s="358"/>
      <c r="O904" s="358"/>
      <c r="P904" s="358"/>
      <c r="Q904" s="358"/>
      <c r="R904" s="358"/>
      <c r="S904" s="358"/>
      <c r="T904" s="358"/>
      <c r="U904" s="358"/>
      <c r="V904" s="358"/>
      <c r="W904" s="358"/>
      <c r="X904" s="358"/>
      <c r="Y904" s="358"/>
      <c r="Z904" s="358"/>
    </row>
    <row r="905" spans="1:26" ht="13.5" customHeight="1">
      <c r="A905" s="358"/>
      <c r="B905" s="358"/>
      <c r="C905" s="358"/>
      <c r="D905" s="358"/>
      <c r="E905" s="358"/>
      <c r="F905" s="358"/>
      <c r="G905" s="358"/>
      <c r="H905" s="358"/>
      <c r="I905" s="358"/>
      <c r="J905" s="358"/>
      <c r="K905" s="358"/>
      <c r="L905" s="358"/>
      <c r="M905" s="358"/>
      <c r="N905" s="358"/>
      <c r="O905" s="358"/>
      <c r="P905" s="358"/>
      <c r="Q905" s="358"/>
      <c r="R905" s="358"/>
      <c r="S905" s="358"/>
      <c r="T905" s="358"/>
      <c r="U905" s="358"/>
      <c r="V905" s="358"/>
      <c r="W905" s="358"/>
      <c r="X905" s="358"/>
      <c r="Y905" s="358"/>
      <c r="Z905" s="358"/>
    </row>
    <row r="906" spans="1:26" ht="13.5" customHeight="1">
      <c r="A906" s="358"/>
      <c r="B906" s="358"/>
      <c r="C906" s="358"/>
      <c r="D906" s="358"/>
      <c r="E906" s="358"/>
      <c r="F906" s="358"/>
      <c r="G906" s="358"/>
      <c r="H906" s="358"/>
      <c r="I906" s="358"/>
      <c r="J906" s="358"/>
      <c r="K906" s="358"/>
      <c r="L906" s="358"/>
      <c r="M906" s="358"/>
      <c r="N906" s="358"/>
      <c r="O906" s="358"/>
      <c r="P906" s="358"/>
      <c r="Q906" s="358"/>
      <c r="R906" s="358"/>
      <c r="S906" s="358"/>
      <c r="T906" s="358"/>
      <c r="U906" s="358"/>
      <c r="V906" s="358"/>
      <c r="W906" s="358"/>
      <c r="X906" s="358"/>
      <c r="Y906" s="358"/>
      <c r="Z906" s="358"/>
    </row>
    <row r="907" spans="1:26" ht="13.5" customHeight="1">
      <c r="A907" s="358"/>
      <c r="B907" s="358"/>
      <c r="C907" s="358"/>
      <c r="D907" s="358"/>
      <c r="E907" s="358"/>
      <c r="F907" s="358"/>
      <c r="G907" s="358"/>
      <c r="H907" s="358"/>
      <c r="I907" s="358"/>
      <c r="J907" s="358"/>
      <c r="K907" s="358"/>
      <c r="L907" s="358"/>
      <c r="M907" s="358"/>
      <c r="N907" s="358"/>
      <c r="O907" s="358"/>
      <c r="P907" s="358"/>
      <c r="Q907" s="358"/>
      <c r="R907" s="358"/>
      <c r="S907" s="358"/>
      <c r="T907" s="358"/>
      <c r="U907" s="358"/>
      <c r="V907" s="358"/>
      <c r="W907" s="358"/>
      <c r="X907" s="358"/>
      <c r="Y907" s="358"/>
      <c r="Z907" s="358"/>
    </row>
    <row r="908" spans="1:26" ht="13.5" customHeight="1">
      <c r="A908" s="358"/>
      <c r="B908" s="358"/>
      <c r="C908" s="358"/>
      <c r="D908" s="358"/>
      <c r="E908" s="358"/>
      <c r="F908" s="358"/>
      <c r="G908" s="358"/>
      <c r="H908" s="358"/>
      <c r="I908" s="358"/>
      <c r="J908" s="358"/>
      <c r="K908" s="358"/>
      <c r="L908" s="358"/>
      <c r="M908" s="358"/>
      <c r="N908" s="358"/>
      <c r="O908" s="358"/>
      <c r="P908" s="358"/>
      <c r="Q908" s="358"/>
      <c r="R908" s="358"/>
      <c r="S908" s="358"/>
      <c r="T908" s="358"/>
      <c r="U908" s="358"/>
      <c r="V908" s="358"/>
      <c r="W908" s="358"/>
      <c r="X908" s="358"/>
      <c r="Y908" s="358"/>
      <c r="Z908" s="358"/>
    </row>
    <row r="909" spans="1:26" ht="13.5" customHeight="1">
      <c r="A909" s="358"/>
      <c r="B909" s="358"/>
      <c r="C909" s="358"/>
      <c r="D909" s="358"/>
      <c r="E909" s="358"/>
      <c r="F909" s="358"/>
      <c r="G909" s="358"/>
      <c r="H909" s="358"/>
      <c r="I909" s="358"/>
      <c r="J909" s="358"/>
      <c r="K909" s="358"/>
      <c r="L909" s="358"/>
      <c r="M909" s="358"/>
      <c r="N909" s="358"/>
      <c r="O909" s="358"/>
      <c r="P909" s="358"/>
      <c r="Q909" s="358"/>
      <c r="R909" s="358"/>
      <c r="S909" s="358"/>
      <c r="T909" s="358"/>
      <c r="U909" s="358"/>
      <c r="V909" s="358"/>
      <c r="W909" s="358"/>
      <c r="X909" s="358"/>
      <c r="Y909" s="358"/>
      <c r="Z909" s="358"/>
    </row>
    <row r="910" spans="1:26" ht="13.5" customHeight="1">
      <c r="A910" s="358"/>
      <c r="B910" s="358"/>
      <c r="C910" s="358"/>
      <c r="D910" s="358"/>
      <c r="E910" s="358"/>
      <c r="F910" s="358"/>
      <c r="G910" s="358"/>
      <c r="H910" s="358"/>
      <c r="I910" s="358"/>
      <c r="J910" s="358"/>
      <c r="K910" s="358"/>
      <c r="L910" s="358"/>
      <c r="M910" s="358"/>
      <c r="N910" s="358"/>
      <c r="O910" s="358"/>
      <c r="P910" s="358"/>
      <c r="Q910" s="358"/>
      <c r="R910" s="358"/>
      <c r="S910" s="358"/>
      <c r="T910" s="358"/>
      <c r="U910" s="358"/>
      <c r="V910" s="358"/>
      <c r="W910" s="358"/>
      <c r="X910" s="358"/>
      <c r="Y910" s="358"/>
      <c r="Z910" s="358"/>
    </row>
    <row r="911" spans="1:26" ht="13.5" customHeight="1">
      <c r="A911" s="358"/>
      <c r="B911" s="358"/>
      <c r="C911" s="358"/>
      <c r="D911" s="358"/>
      <c r="E911" s="358"/>
      <c r="F911" s="358"/>
      <c r="G911" s="358"/>
      <c r="H911" s="358"/>
      <c r="I911" s="358"/>
      <c r="J911" s="358"/>
      <c r="K911" s="358"/>
      <c r="L911" s="358"/>
      <c r="M911" s="358"/>
      <c r="N911" s="358"/>
      <c r="O911" s="358"/>
      <c r="P911" s="358"/>
      <c r="Q911" s="358"/>
      <c r="R911" s="358"/>
      <c r="S911" s="358"/>
      <c r="T911" s="358"/>
      <c r="U911" s="358"/>
      <c r="V911" s="358"/>
      <c r="W911" s="358"/>
      <c r="X911" s="358"/>
      <c r="Y911" s="358"/>
      <c r="Z911" s="358"/>
    </row>
    <row r="912" spans="1:26" ht="13.5" customHeight="1">
      <c r="A912" s="358"/>
      <c r="B912" s="358"/>
      <c r="C912" s="358"/>
      <c r="D912" s="358"/>
      <c r="E912" s="358"/>
      <c r="F912" s="358"/>
      <c r="G912" s="358"/>
      <c r="H912" s="358"/>
      <c r="I912" s="358"/>
      <c r="J912" s="358"/>
      <c r="K912" s="358"/>
      <c r="L912" s="358"/>
      <c r="M912" s="358"/>
      <c r="N912" s="358"/>
      <c r="O912" s="358"/>
      <c r="P912" s="358"/>
      <c r="Q912" s="358"/>
      <c r="R912" s="358"/>
      <c r="S912" s="358"/>
      <c r="T912" s="358"/>
      <c r="U912" s="358"/>
      <c r="V912" s="358"/>
      <c r="W912" s="358"/>
      <c r="X912" s="358"/>
      <c r="Y912" s="358"/>
      <c r="Z912" s="358"/>
    </row>
    <row r="913" spans="1:26" ht="13.5" customHeight="1">
      <c r="A913" s="358"/>
      <c r="B913" s="358"/>
      <c r="C913" s="358"/>
      <c r="D913" s="358"/>
      <c r="E913" s="358"/>
      <c r="F913" s="358"/>
      <c r="G913" s="358"/>
      <c r="H913" s="358"/>
      <c r="I913" s="358"/>
      <c r="J913" s="358"/>
      <c r="K913" s="358"/>
      <c r="L913" s="358"/>
      <c r="M913" s="358"/>
      <c r="N913" s="358"/>
      <c r="O913" s="358"/>
      <c r="P913" s="358"/>
      <c r="Q913" s="358"/>
      <c r="R913" s="358"/>
      <c r="S913" s="358"/>
      <c r="T913" s="358"/>
      <c r="U913" s="358"/>
      <c r="V913" s="358"/>
      <c r="W913" s="358"/>
      <c r="X913" s="358"/>
      <c r="Y913" s="358"/>
      <c r="Z913" s="358"/>
    </row>
    <row r="914" spans="1:26" ht="13.5" customHeight="1">
      <c r="A914" s="358"/>
      <c r="B914" s="358"/>
      <c r="C914" s="358"/>
      <c r="D914" s="358"/>
      <c r="E914" s="358"/>
      <c r="F914" s="358"/>
      <c r="G914" s="358"/>
      <c r="H914" s="358"/>
      <c r="I914" s="358"/>
      <c r="J914" s="358"/>
      <c r="K914" s="358"/>
      <c r="L914" s="358"/>
      <c r="M914" s="358"/>
      <c r="N914" s="358"/>
      <c r="O914" s="358"/>
      <c r="P914" s="358"/>
      <c r="Q914" s="358"/>
      <c r="R914" s="358"/>
      <c r="S914" s="358"/>
      <c r="T914" s="358"/>
      <c r="U914" s="358"/>
      <c r="V914" s="358"/>
      <c r="W914" s="358"/>
      <c r="X914" s="358"/>
      <c r="Y914" s="358"/>
      <c r="Z914" s="358"/>
    </row>
    <row r="915" spans="1:26" ht="13.5" customHeight="1">
      <c r="A915" s="358"/>
      <c r="B915" s="358"/>
      <c r="C915" s="358"/>
      <c r="D915" s="358"/>
      <c r="E915" s="358"/>
      <c r="F915" s="358"/>
      <c r="G915" s="358"/>
      <c r="H915" s="358"/>
      <c r="I915" s="358"/>
      <c r="J915" s="358"/>
      <c r="K915" s="358"/>
      <c r="L915" s="358"/>
      <c r="M915" s="358"/>
      <c r="N915" s="358"/>
      <c r="O915" s="358"/>
      <c r="P915" s="358"/>
      <c r="Q915" s="358"/>
      <c r="R915" s="358"/>
      <c r="S915" s="358"/>
      <c r="T915" s="358"/>
      <c r="U915" s="358"/>
      <c r="V915" s="358"/>
      <c r="W915" s="358"/>
      <c r="X915" s="358"/>
      <c r="Y915" s="358"/>
      <c r="Z915" s="358"/>
    </row>
    <row r="916" spans="1:26" ht="13.5" customHeight="1">
      <c r="A916" s="358"/>
      <c r="B916" s="358"/>
      <c r="C916" s="358"/>
      <c r="D916" s="358"/>
      <c r="E916" s="358"/>
      <c r="F916" s="358"/>
      <c r="G916" s="358"/>
      <c r="H916" s="358"/>
      <c r="I916" s="358"/>
      <c r="J916" s="358"/>
      <c r="K916" s="358"/>
      <c r="L916" s="358"/>
      <c r="M916" s="358"/>
      <c r="N916" s="358"/>
      <c r="O916" s="358"/>
      <c r="P916" s="358"/>
      <c r="Q916" s="358"/>
      <c r="R916" s="358"/>
      <c r="S916" s="358"/>
      <c r="T916" s="358"/>
      <c r="U916" s="358"/>
      <c r="V916" s="358"/>
      <c r="W916" s="358"/>
      <c r="X916" s="358"/>
      <c r="Y916" s="358"/>
      <c r="Z916" s="358"/>
    </row>
    <row r="917" spans="1:26" ht="13.5" customHeight="1">
      <c r="A917" s="358"/>
      <c r="B917" s="358"/>
      <c r="C917" s="358"/>
      <c r="D917" s="358"/>
      <c r="E917" s="358"/>
      <c r="F917" s="358"/>
      <c r="G917" s="358"/>
      <c r="H917" s="358"/>
      <c r="I917" s="358"/>
      <c r="J917" s="358"/>
      <c r="K917" s="358"/>
      <c r="L917" s="358"/>
      <c r="M917" s="358"/>
      <c r="N917" s="358"/>
      <c r="O917" s="358"/>
      <c r="P917" s="358"/>
      <c r="Q917" s="358"/>
      <c r="R917" s="358"/>
      <c r="S917" s="358"/>
      <c r="T917" s="358"/>
      <c r="U917" s="358"/>
      <c r="V917" s="358"/>
      <c r="W917" s="358"/>
      <c r="X917" s="358"/>
      <c r="Y917" s="358"/>
      <c r="Z917" s="358"/>
    </row>
    <row r="918" spans="1:26" ht="13.5" customHeight="1">
      <c r="A918" s="358"/>
      <c r="B918" s="358"/>
      <c r="C918" s="358"/>
      <c r="D918" s="358"/>
      <c r="E918" s="358"/>
      <c r="F918" s="358"/>
      <c r="G918" s="358"/>
      <c r="H918" s="358"/>
      <c r="I918" s="358"/>
      <c r="J918" s="358"/>
      <c r="K918" s="358"/>
      <c r="L918" s="358"/>
      <c r="M918" s="358"/>
      <c r="N918" s="358"/>
      <c r="O918" s="358"/>
      <c r="P918" s="358"/>
      <c r="Q918" s="358"/>
      <c r="R918" s="358"/>
      <c r="S918" s="358"/>
      <c r="T918" s="358"/>
      <c r="U918" s="358"/>
      <c r="V918" s="358"/>
      <c r="W918" s="358"/>
      <c r="X918" s="358"/>
      <c r="Y918" s="358"/>
      <c r="Z918" s="358"/>
    </row>
    <row r="919" spans="1:26" ht="13.5" customHeight="1">
      <c r="A919" s="358"/>
      <c r="B919" s="358"/>
      <c r="C919" s="358"/>
      <c r="D919" s="358"/>
      <c r="E919" s="358"/>
      <c r="F919" s="358"/>
      <c r="G919" s="358"/>
      <c r="H919" s="358"/>
      <c r="I919" s="358"/>
      <c r="J919" s="358"/>
      <c r="K919" s="358"/>
      <c r="L919" s="358"/>
      <c r="M919" s="358"/>
      <c r="N919" s="358"/>
      <c r="O919" s="358"/>
      <c r="P919" s="358"/>
      <c r="Q919" s="358"/>
      <c r="R919" s="358"/>
      <c r="S919" s="358"/>
      <c r="T919" s="358"/>
      <c r="U919" s="358"/>
      <c r="V919" s="358"/>
      <c r="W919" s="358"/>
      <c r="X919" s="358"/>
      <c r="Y919" s="358"/>
      <c r="Z919" s="358"/>
    </row>
    <row r="920" spans="1:26" ht="13.5" customHeight="1">
      <c r="A920" s="358"/>
      <c r="B920" s="358"/>
      <c r="C920" s="358"/>
      <c r="D920" s="358"/>
      <c r="E920" s="358"/>
      <c r="F920" s="358"/>
      <c r="G920" s="358"/>
      <c r="H920" s="358"/>
      <c r="I920" s="358"/>
      <c r="J920" s="358"/>
      <c r="K920" s="358"/>
      <c r="L920" s="358"/>
      <c r="M920" s="358"/>
      <c r="N920" s="358"/>
      <c r="O920" s="358"/>
      <c r="P920" s="358"/>
      <c r="Q920" s="358"/>
      <c r="R920" s="358"/>
      <c r="S920" s="358"/>
      <c r="T920" s="358"/>
      <c r="U920" s="358"/>
      <c r="V920" s="358"/>
      <c r="W920" s="358"/>
      <c r="X920" s="358"/>
      <c r="Y920" s="358"/>
      <c r="Z920" s="358"/>
    </row>
    <row r="921" spans="1:26" ht="13.5" customHeight="1">
      <c r="A921" s="358"/>
      <c r="B921" s="358"/>
      <c r="C921" s="358"/>
      <c r="D921" s="358"/>
      <c r="E921" s="358"/>
      <c r="F921" s="358"/>
      <c r="G921" s="358"/>
      <c r="H921" s="358"/>
      <c r="I921" s="358"/>
      <c r="J921" s="358"/>
      <c r="K921" s="358"/>
      <c r="L921" s="358"/>
      <c r="M921" s="358"/>
      <c r="N921" s="358"/>
      <c r="O921" s="358"/>
      <c r="P921" s="358"/>
      <c r="Q921" s="358"/>
      <c r="R921" s="358"/>
      <c r="S921" s="358"/>
      <c r="T921" s="358"/>
      <c r="U921" s="358"/>
      <c r="V921" s="358"/>
      <c r="W921" s="358"/>
      <c r="X921" s="358"/>
      <c r="Y921" s="358"/>
      <c r="Z921" s="358"/>
    </row>
    <row r="922" spans="1:26" ht="13.5" customHeight="1">
      <c r="A922" s="358"/>
      <c r="B922" s="358"/>
      <c r="C922" s="358"/>
      <c r="D922" s="358"/>
      <c r="E922" s="358"/>
      <c r="F922" s="358"/>
      <c r="G922" s="358"/>
      <c r="H922" s="358"/>
      <c r="I922" s="358"/>
      <c r="J922" s="358"/>
      <c r="K922" s="358"/>
      <c r="L922" s="358"/>
      <c r="M922" s="358"/>
      <c r="N922" s="358"/>
      <c r="O922" s="358"/>
      <c r="P922" s="358"/>
      <c r="Q922" s="358"/>
      <c r="R922" s="358"/>
      <c r="S922" s="358"/>
      <c r="T922" s="358"/>
      <c r="U922" s="358"/>
      <c r="V922" s="358"/>
      <c r="W922" s="358"/>
      <c r="X922" s="358"/>
      <c r="Y922" s="358"/>
      <c r="Z922" s="358"/>
    </row>
    <row r="923" spans="1:26" ht="13.5" customHeight="1">
      <c r="A923" s="358"/>
      <c r="B923" s="358"/>
      <c r="C923" s="358"/>
      <c r="D923" s="358"/>
      <c r="E923" s="358"/>
      <c r="F923" s="358"/>
      <c r="G923" s="358"/>
      <c r="H923" s="358"/>
      <c r="I923" s="358"/>
      <c r="J923" s="358"/>
      <c r="K923" s="358"/>
      <c r="L923" s="358"/>
      <c r="M923" s="358"/>
      <c r="N923" s="358"/>
      <c r="O923" s="358"/>
      <c r="P923" s="358"/>
      <c r="Q923" s="358"/>
      <c r="R923" s="358"/>
      <c r="S923" s="358"/>
      <c r="T923" s="358"/>
      <c r="U923" s="358"/>
      <c r="V923" s="358"/>
      <c r="W923" s="358"/>
      <c r="X923" s="358"/>
      <c r="Y923" s="358"/>
      <c r="Z923" s="358"/>
    </row>
    <row r="924" spans="1:26" ht="13.5" customHeight="1">
      <c r="A924" s="358"/>
      <c r="B924" s="358"/>
      <c r="C924" s="358"/>
      <c r="D924" s="358"/>
      <c r="E924" s="358"/>
      <c r="F924" s="358"/>
      <c r="G924" s="358"/>
      <c r="H924" s="358"/>
      <c r="I924" s="358"/>
      <c r="J924" s="358"/>
      <c r="K924" s="358"/>
      <c r="L924" s="358"/>
      <c r="M924" s="358"/>
      <c r="N924" s="358"/>
      <c r="O924" s="358"/>
      <c r="P924" s="358"/>
      <c r="Q924" s="358"/>
      <c r="R924" s="358"/>
      <c r="S924" s="358"/>
      <c r="T924" s="358"/>
      <c r="U924" s="358"/>
      <c r="V924" s="358"/>
      <c r="W924" s="358"/>
      <c r="X924" s="358"/>
      <c r="Y924" s="358"/>
      <c r="Z924" s="358"/>
    </row>
    <row r="925" spans="1:26" ht="13.5" customHeight="1">
      <c r="A925" s="358"/>
      <c r="B925" s="358"/>
      <c r="C925" s="358"/>
      <c r="D925" s="358"/>
      <c r="E925" s="358"/>
      <c r="F925" s="358"/>
      <c r="G925" s="358"/>
      <c r="H925" s="358"/>
      <c r="I925" s="358"/>
      <c r="J925" s="358"/>
      <c r="K925" s="358"/>
      <c r="L925" s="358"/>
      <c r="M925" s="358"/>
      <c r="N925" s="358"/>
      <c r="O925" s="358"/>
      <c r="P925" s="358"/>
      <c r="Q925" s="358"/>
      <c r="R925" s="358"/>
      <c r="S925" s="358"/>
      <c r="T925" s="358"/>
      <c r="U925" s="358"/>
      <c r="V925" s="358"/>
      <c r="W925" s="358"/>
      <c r="X925" s="358"/>
      <c r="Y925" s="358"/>
      <c r="Z925" s="358"/>
    </row>
    <row r="926" spans="1:26" ht="13.5" customHeight="1">
      <c r="A926" s="358"/>
      <c r="B926" s="358"/>
      <c r="C926" s="358"/>
      <c r="D926" s="358"/>
      <c r="E926" s="358"/>
      <c r="F926" s="358"/>
      <c r="G926" s="358"/>
      <c r="H926" s="358"/>
      <c r="I926" s="358"/>
      <c r="J926" s="358"/>
      <c r="K926" s="358"/>
      <c r="L926" s="358"/>
      <c r="M926" s="358"/>
      <c r="N926" s="358"/>
      <c r="O926" s="358"/>
      <c r="P926" s="358"/>
      <c r="Q926" s="358"/>
      <c r="R926" s="358"/>
      <c r="S926" s="358"/>
      <c r="T926" s="358"/>
      <c r="U926" s="358"/>
      <c r="V926" s="358"/>
      <c r="W926" s="358"/>
      <c r="X926" s="358"/>
      <c r="Y926" s="358"/>
      <c r="Z926" s="358"/>
    </row>
    <row r="927" spans="1:26" ht="13.5" customHeight="1">
      <c r="A927" s="358"/>
      <c r="B927" s="358"/>
      <c r="C927" s="358"/>
      <c r="D927" s="358"/>
      <c r="E927" s="358"/>
      <c r="F927" s="358"/>
      <c r="G927" s="358"/>
      <c r="H927" s="358"/>
      <c r="I927" s="358"/>
      <c r="J927" s="358"/>
      <c r="K927" s="358"/>
      <c r="L927" s="358"/>
      <c r="M927" s="358"/>
      <c r="N927" s="358"/>
      <c r="O927" s="358"/>
      <c r="P927" s="358"/>
      <c r="Q927" s="358"/>
      <c r="R927" s="358"/>
      <c r="S927" s="358"/>
      <c r="T927" s="358"/>
      <c r="U927" s="358"/>
      <c r="V927" s="358"/>
      <c r="W927" s="358"/>
      <c r="X927" s="358"/>
      <c r="Y927" s="358"/>
      <c r="Z927" s="358"/>
    </row>
    <row r="928" spans="1:26" ht="13.5" customHeight="1">
      <c r="A928" s="358"/>
      <c r="B928" s="358"/>
      <c r="C928" s="358"/>
      <c r="D928" s="358"/>
      <c r="E928" s="358"/>
      <c r="F928" s="358"/>
      <c r="G928" s="358"/>
      <c r="H928" s="358"/>
      <c r="I928" s="358"/>
      <c r="J928" s="358"/>
      <c r="K928" s="358"/>
      <c r="L928" s="358"/>
      <c r="M928" s="358"/>
      <c r="N928" s="358"/>
      <c r="O928" s="358"/>
      <c r="P928" s="358"/>
      <c r="Q928" s="358"/>
      <c r="R928" s="358"/>
      <c r="S928" s="358"/>
      <c r="T928" s="358"/>
      <c r="U928" s="358"/>
      <c r="V928" s="358"/>
      <c r="W928" s="358"/>
      <c r="X928" s="358"/>
      <c r="Y928" s="358"/>
      <c r="Z928" s="358"/>
    </row>
    <row r="929" spans="1:26" ht="13.5" customHeight="1">
      <c r="A929" s="358"/>
      <c r="B929" s="358"/>
      <c r="C929" s="358"/>
      <c r="D929" s="358"/>
      <c r="E929" s="358"/>
      <c r="F929" s="358"/>
      <c r="G929" s="358"/>
      <c r="H929" s="358"/>
      <c r="I929" s="358"/>
      <c r="J929" s="358"/>
      <c r="K929" s="358"/>
      <c r="L929" s="358"/>
      <c r="M929" s="358"/>
      <c r="N929" s="358"/>
      <c r="O929" s="358"/>
      <c r="P929" s="358"/>
      <c r="Q929" s="358"/>
      <c r="R929" s="358"/>
      <c r="S929" s="358"/>
      <c r="T929" s="358"/>
      <c r="U929" s="358"/>
      <c r="V929" s="358"/>
      <c r="W929" s="358"/>
      <c r="X929" s="358"/>
      <c r="Y929" s="358"/>
      <c r="Z929" s="358"/>
    </row>
    <row r="930" spans="1:26" ht="13.5" customHeight="1">
      <c r="A930" s="358"/>
      <c r="B930" s="358"/>
      <c r="C930" s="358"/>
      <c r="D930" s="358"/>
      <c r="E930" s="358"/>
      <c r="F930" s="358"/>
      <c r="G930" s="358"/>
      <c r="H930" s="358"/>
      <c r="I930" s="358"/>
      <c r="J930" s="358"/>
      <c r="K930" s="358"/>
      <c r="L930" s="358"/>
      <c r="M930" s="358"/>
      <c r="N930" s="358"/>
      <c r="O930" s="358"/>
      <c r="P930" s="358"/>
      <c r="Q930" s="358"/>
      <c r="R930" s="358"/>
      <c r="S930" s="358"/>
      <c r="T930" s="358"/>
      <c r="U930" s="358"/>
      <c r="V930" s="358"/>
      <c r="W930" s="358"/>
      <c r="X930" s="358"/>
      <c r="Y930" s="358"/>
      <c r="Z930" s="358"/>
    </row>
    <row r="931" spans="1:26" ht="13.5" customHeight="1">
      <c r="A931" s="358"/>
      <c r="B931" s="358"/>
      <c r="C931" s="358"/>
      <c r="D931" s="358"/>
      <c r="E931" s="358"/>
      <c r="F931" s="358"/>
      <c r="G931" s="358"/>
      <c r="H931" s="358"/>
      <c r="I931" s="358"/>
      <c r="J931" s="358"/>
      <c r="K931" s="358"/>
      <c r="L931" s="358"/>
      <c r="M931" s="358"/>
      <c r="N931" s="358"/>
      <c r="O931" s="358"/>
      <c r="P931" s="358"/>
      <c r="Q931" s="358"/>
      <c r="R931" s="358"/>
      <c r="S931" s="358"/>
      <c r="T931" s="358"/>
      <c r="U931" s="358"/>
      <c r="V931" s="358"/>
      <c r="W931" s="358"/>
      <c r="X931" s="358"/>
      <c r="Y931" s="358"/>
      <c r="Z931" s="358"/>
    </row>
    <row r="932" spans="1:26" ht="13.5" customHeight="1">
      <c r="A932" s="358"/>
      <c r="B932" s="358"/>
      <c r="C932" s="358"/>
      <c r="D932" s="358"/>
      <c r="E932" s="358"/>
      <c r="F932" s="358"/>
      <c r="G932" s="358"/>
      <c r="H932" s="358"/>
      <c r="I932" s="358"/>
      <c r="J932" s="358"/>
      <c r="K932" s="358"/>
      <c r="L932" s="358"/>
      <c r="M932" s="358"/>
      <c r="N932" s="358"/>
      <c r="O932" s="358"/>
      <c r="P932" s="358"/>
      <c r="Q932" s="358"/>
      <c r="R932" s="358"/>
      <c r="S932" s="358"/>
      <c r="T932" s="358"/>
      <c r="U932" s="358"/>
      <c r="V932" s="358"/>
      <c r="W932" s="358"/>
      <c r="X932" s="358"/>
      <c r="Y932" s="358"/>
      <c r="Z932" s="358"/>
    </row>
    <row r="933" spans="1:26" ht="13.5" customHeight="1">
      <c r="A933" s="358"/>
      <c r="B933" s="358"/>
      <c r="C933" s="358"/>
      <c r="D933" s="358"/>
      <c r="E933" s="358"/>
      <c r="F933" s="358"/>
      <c r="G933" s="358"/>
      <c r="H933" s="358"/>
      <c r="I933" s="358"/>
      <c r="J933" s="358"/>
      <c r="K933" s="358"/>
      <c r="L933" s="358"/>
      <c r="M933" s="358"/>
      <c r="N933" s="358"/>
      <c r="O933" s="358"/>
      <c r="P933" s="358"/>
      <c r="Q933" s="358"/>
      <c r="R933" s="358"/>
      <c r="S933" s="358"/>
      <c r="T933" s="358"/>
      <c r="U933" s="358"/>
      <c r="V933" s="358"/>
      <c r="W933" s="358"/>
      <c r="X933" s="358"/>
      <c r="Y933" s="358"/>
      <c r="Z933" s="358"/>
    </row>
    <row r="934" spans="1:26" ht="13.5" customHeight="1">
      <c r="A934" s="358"/>
      <c r="B934" s="358"/>
      <c r="C934" s="358"/>
      <c r="D934" s="358"/>
      <c r="E934" s="358"/>
      <c r="F934" s="358"/>
      <c r="G934" s="358"/>
      <c r="H934" s="358"/>
      <c r="I934" s="358"/>
      <c r="J934" s="358"/>
      <c r="K934" s="358"/>
      <c r="L934" s="358"/>
      <c r="M934" s="358"/>
      <c r="N934" s="358"/>
      <c r="O934" s="358"/>
      <c r="P934" s="358"/>
      <c r="Q934" s="358"/>
      <c r="R934" s="358"/>
      <c r="S934" s="358"/>
      <c r="T934" s="358"/>
      <c r="U934" s="358"/>
      <c r="V934" s="358"/>
      <c r="W934" s="358"/>
      <c r="X934" s="358"/>
      <c r="Y934" s="358"/>
      <c r="Z934" s="358"/>
    </row>
    <row r="935" spans="1:26" ht="13.5" customHeight="1">
      <c r="A935" s="358"/>
      <c r="B935" s="358"/>
      <c r="C935" s="358"/>
      <c r="D935" s="358"/>
      <c r="E935" s="358"/>
      <c r="F935" s="358"/>
      <c r="G935" s="358"/>
      <c r="H935" s="358"/>
      <c r="I935" s="358"/>
      <c r="J935" s="358"/>
      <c r="K935" s="358"/>
      <c r="L935" s="358"/>
      <c r="M935" s="358"/>
      <c r="N935" s="358"/>
      <c r="O935" s="358"/>
      <c r="P935" s="358"/>
      <c r="Q935" s="358"/>
      <c r="R935" s="358"/>
      <c r="S935" s="358"/>
      <c r="T935" s="358"/>
      <c r="U935" s="358"/>
      <c r="V935" s="358"/>
      <c r="W935" s="358"/>
      <c r="X935" s="358"/>
      <c r="Y935" s="358"/>
      <c r="Z935" s="358"/>
    </row>
    <row r="936" spans="1:26" ht="13.5" customHeight="1">
      <c r="A936" s="358"/>
      <c r="B936" s="358"/>
      <c r="C936" s="358"/>
      <c r="D936" s="358"/>
      <c r="E936" s="358"/>
      <c r="F936" s="358"/>
      <c r="G936" s="358"/>
      <c r="H936" s="358"/>
      <c r="I936" s="358"/>
      <c r="J936" s="358"/>
      <c r="K936" s="358"/>
      <c r="L936" s="358"/>
      <c r="M936" s="358"/>
      <c r="N936" s="358"/>
      <c r="O936" s="358"/>
      <c r="P936" s="358"/>
      <c r="Q936" s="358"/>
      <c r="R936" s="358"/>
      <c r="S936" s="358"/>
      <c r="T936" s="358"/>
      <c r="U936" s="358"/>
      <c r="V936" s="358"/>
      <c r="W936" s="358"/>
      <c r="X936" s="358"/>
      <c r="Y936" s="358"/>
      <c r="Z936" s="358"/>
    </row>
    <row r="937" spans="1:26" ht="13.5" customHeight="1">
      <c r="A937" s="358"/>
      <c r="B937" s="358"/>
      <c r="C937" s="358"/>
      <c r="D937" s="358"/>
      <c r="E937" s="358"/>
      <c r="F937" s="358"/>
      <c r="G937" s="358"/>
      <c r="H937" s="358"/>
      <c r="I937" s="358"/>
      <c r="J937" s="358"/>
      <c r="K937" s="358"/>
      <c r="L937" s="358"/>
      <c r="M937" s="358"/>
      <c r="N937" s="358"/>
      <c r="O937" s="358"/>
      <c r="P937" s="358"/>
      <c r="Q937" s="358"/>
      <c r="R937" s="358"/>
      <c r="S937" s="358"/>
      <c r="T937" s="358"/>
      <c r="U937" s="358"/>
      <c r="V937" s="358"/>
      <c r="W937" s="358"/>
      <c r="X937" s="358"/>
      <c r="Y937" s="358"/>
      <c r="Z937" s="358"/>
    </row>
    <row r="938" spans="1:26" ht="13.5" customHeight="1">
      <c r="A938" s="358"/>
      <c r="B938" s="358"/>
      <c r="C938" s="358"/>
      <c r="D938" s="358"/>
      <c r="E938" s="358"/>
      <c r="F938" s="358"/>
      <c r="G938" s="358"/>
      <c r="H938" s="358"/>
      <c r="I938" s="358"/>
      <c r="J938" s="358"/>
      <c r="K938" s="358"/>
      <c r="L938" s="358"/>
      <c r="M938" s="358"/>
      <c r="N938" s="358"/>
      <c r="O938" s="358"/>
      <c r="P938" s="358"/>
      <c r="Q938" s="358"/>
      <c r="R938" s="358"/>
      <c r="S938" s="358"/>
      <c r="T938" s="358"/>
      <c r="U938" s="358"/>
      <c r="V938" s="358"/>
      <c r="W938" s="358"/>
      <c r="X938" s="358"/>
      <c r="Y938" s="358"/>
      <c r="Z938" s="358"/>
    </row>
    <row r="939" spans="1:26" ht="13.5" customHeight="1">
      <c r="A939" s="358"/>
      <c r="B939" s="358"/>
      <c r="C939" s="358"/>
      <c r="D939" s="358"/>
      <c r="E939" s="358"/>
      <c r="F939" s="358"/>
      <c r="G939" s="358"/>
      <c r="H939" s="358"/>
      <c r="I939" s="358"/>
      <c r="J939" s="358"/>
      <c r="K939" s="358"/>
      <c r="L939" s="358"/>
      <c r="M939" s="358"/>
      <c r="N939" s="358"/>
      <c r="O939" s="358"/>
      <c r="P939" s="358"/>
      <c r="Q939" s="358"/>
      <c r="R939" s="358"/>
      <c r="S939" s="358"/>
      <c r="T939" s="358"/>
      <c r="U939" s="358"/>
      <c r="V939" s="358"/>
      <c r="W939" s="358"/>
      <c r="X939" s="358"/>
      <c r="Y939" s="358"/>
      <c r="Z939" s="358"/>
    </row>
    <row r="940" spans="1:26" ht="13.5" customHeight="1">
      <c r="A940" s="358"/>
      <c r="B940" s="358"/>
      <c r="C940" s="358"/>
      <c r="D940" s="358"/>
      <c r="E940" s="358"/>
      <c r="F940" s="358"/>
      <c r="G940" s="358"/>
      <c r="H940" s="358"/>
      <c r="I940" s="358"/>
      <c r="J940" s="358"/>
      <c r="K940" s="358"/>
      <c r="L940" s="358"/>
      <c r="M940" s="358"/>
      <c r="N940" s="358"/>
      <c r="O940" s="358"/>
      <c r="P940" s="358"/>
      <c r="Q940" s="358"/>
      <c r="R940" s="358"/>
      <c r="S940" s="358"/>
      <c r="T940" s="358"/>
      <c r="U940" s="358"/>
      <c r="V940" s="358"/>
      <c r="W940" s="358"/>
      <c r="X940" s="358"/>
      <c r="Y940" s="358"/>
      <c r="Z940" s="358"/>
    </row>
    <row r="941" spans="1:26" ht="13.5" customHeight="1">
      <c r="A941" s="358"/>
      <c r="B941" s="358"/>
      <c r="C941" s="358"/>
      <c r="D941" s="358"/>
      <c r="E941" s="358"/>
      <c r="F941" s="358"/>
      <c r="G941" s="358"/>
      <c r="H941" s="358"/>
      <c r="I941" s="358"/>
      <c r="J941" s="358"/>
      <c r="K941" s="358"/>
      <c r="L941" s="358"/>
      <c r="M941" s="358"/>
      <c r="N941" s="358"/>
      <c r="O941" s="358"/>
      <c r="P941" s="358"/>
      <c r="Q941" s="358"/>
      <c r="R941" s="358"/>
      <c r="S941" s="358"/>
      <c r="T941" s="358"/>
      <c r="U941" s="358"/>
      <c r="V941" s="358"/>
      <c r="W941" s="358"/>
      <c r="X941" s="358"/>
      <c r="Y941" s="358"/>
      <c r="Z941" s="358"/>
    </row>
    <row r="942" spans="1:26" ht="13.5" customHeight="1">
      <c r="A942" s="358"/>
      <c r="B942" s="358"/>
      <c r="C942" s="358"/>
      <c r="D942" s="358"/>
      <c r="E942" s="358"/>
      <c r="F942" s="358"/>
      <c r="G942" s="358"/>
      <c r="H942" s="358"/>
      <c r="I942" s="358"/>
      <c r="J942" s="358"/>
      <c r="K942" s="358"/>
      <c r="L942" s="358"/>
      <c r="M942" s="358"/>
      <c r="N942" s="358"/>
      <c r="O942" s="358"/>
      <c r="P942" s="358"/>
      <c r="Q942" s="358"/>
      <c r="R942" s="358"/>
      <c r="S942" s="358"/>
      <c r="T942" s="358"/>
      <c r="U942" s="358"/>
      <c r="V942" s="358"/>
      <c r="W942" s="358"/>
      <c r="X942" s="358"/>
      <c r="Y942" s="358"/>
      <c r="Z942" s="358"/>
    </row>
    <row r="943" spans="1:26" ht="13.5" customHeight="1">
      <c r="A943" s="358"/>
      <c r="B943" s="358"/>
      <c r="C943" s="358"/>
      <c r="D943" s="358"/>
      <c r="E943" s="358"/>
      <c r="F943" s="358"/>
      <c r="G943" s="358"/>
      <c r="H943" s="358"/>
      <c r="I943" s="358"/>
      <c r="J943" s="358"/>
      <c r="K943" s="358"/>
      <c r="L943" s="358"/>
      <c r="M943" s="358"/>
      <c r="N943" s="358"/>
      <c r="O943" s="358"/>
      <c r="P943" s="358"/>
      <c r="Q943" s="358"/>
      <c r="R943" s="358"/>
      <c r="S943" s="358"/>
      <c r="T943" s="358"/>
      <c r="U943" s="358"/>
      <c r="V943" s="358"/>
      <c r="W943" s="358"/>
      <c r="X943" s="358"/>
      <c r="Y943" s="358"/>
      <c r="Z943" s="358"/>
    </row>
    <row r="944" spans="1:26" ht="13.5" customHeight="1">
      <c r="A944" s="358"/>
      <c r="B944" s="358"/>
      <c r="C944" s="358"/>
      <c r="D944" s="358"/>
      <c r="E944" s="358"/>
      <c r="F944" s="358"/>
      <c r="G944" s="358"/>
      <c r="H944" s="358"/>
      <c r="I944" s="358"/>
      <c r="J944" s="358"/>
      <c r="K944" s="358"/>
      <c r="L944" s="358"/>
      <c r="M944" s="358"/>
      <c r="N944" s="358"/>
      <c r="O944" s="358"/>
      <c r="P944" s="358"/>
      <c r="Q944" s="358"/>
      <c r="R944" s="358"/>
      <c r="S944" s="358"/>
      <c r="T944" s="358"/>
      <c r="U944" s="358"/>
      <c r="V944" s="358"/>
      <c r="W944" s="358"/>
      <c r="X944" s="358"/>
      <c r="Y944" s="358"/>
      <c r="Z944" s="358"/>
    </row>
    <row r="945" spans="1:26" ht="13.5" customHeight="1">
      <c r="A945" s="358"/>
      <c r="B945" s="358"/>
      <c r="C945" s="358"/>
      <c r="D945" s="358"/>
      <c r="E945" s="358"/>
      <c r="F945" s="358"/>
      <c r="G945" s="358"/>
      <c r="H945" s="358"/>
      <c r="I945" s="358"/>
      <c r="J945" s="358"/>
      <c r="K945" s="358"/>
      <c r="L945" s="358"/>
      <c r="M945" s="358"/>
      <c r="N945" s="358"/>
      <c r="O945" s="358"/>
      <c r="P945" s="358"/>
      <c r="Q945" s="358"/>
      <c r="R945" s="358"/>
      <c r="S945" s="358"/>
      <c r="T945" s="358"/>
      <c r="U945" s="358"/>
      <c r="V945" s="358"/>
      <c r="W945" s="358"/>
      <c r="X945" s="358"/>
      <c r="Y945" s="358"/>
      <c r="Z945" s="358"/>
    </row>
    <row r="946" spans="1:26" ht="13.5" customHeight="1">
      <c r="A946" s="358"/>
      <c r="B946" s="358"/>
      <c r="C946" s="358"/>
      <c r="D946" s="358"/>
      <c r="E946" s="358"/>
      <c r="F946" s="358"/>
      <c r="G946" s="358"/>
      <c r="H946" s="358"/>
      <c r="I946" s="358"/>
      <c r="J946" s="358"/>
      <c r="K946" s="358"/>
      <c r="L946" s="358"/>
      <c r="M946" s="358"/>
      <c r="N946" s="358"/>
      <c r="O946" s="358"/>
      <c r="P946" s="358"/>
      <c r="Q946" s="358"/>
      <c r="R946" s="358"/>
      <c r="S946" s="358"/>
      <c r="T946" s="358"/>
      <c r="U946" s="358"/>
      <c r="V946" s="358"/>
      <c r="W946" s="358"/>
      <c r="X946" s="358"/>
      <c r="Y946" s="358"/>
      <c r="Z946" s="358"/>
    </row>
    <row r="947" spans="1:26" ht="13.5" customHeight="1">
      <c r="A947" s="358"/>
      <c r="B947" s="358"/>
      <c r="C947" s="358"/>
      <c r="D947" s="358"/>
      <c r="E947" s="358"/>
      <c r="F947" s="358"/>
      <c r="G947" s="358"/>
      <c r="H947" s="358"/>
      <c r="I947" s="358"/>
      <c r="J947" s="358"/>
      <c r="K947" s="358"/>
      <c r="L947" s="358"/>
      <c r="M947" s="358"/>
      <c r="N947" s="358"/>
      <c r="O947" s="358"/>
      <c r="P947" s="358"/>
      <c r="Q947" s="358"/>
      <c r="R947" s="358"/>
      <c r="S947" s="358"/>
      <c r="T947" s="358"/>
      <c r="U947" s="358"/>
      <c r="V947" s="358"/>
      <c r="W947" s="358"/>
      <c r="X947" s="358"/>
      <c r="Y947" s="358"/>
      <c r="Z947" s="358"/>
    </row>
    <row r="948" spans="1:26" ht="13.5" customHeight="1">
      <c r="A948" s="358"/>
      <c r="B948" s="358"/>
      <c r="C948" s="358"/>
      <c r="D948" s="358"/>
      <c r="E948" s="358"/>
      <c r="F948" s="358"/>
      <c r="G948" s="358"/>
      <c r="H948" s="358"/>
      <c r="I948" s="358"/>
      <c r="J948" s="358"/>
      <c r="K948" s="358"/>
      <c r="L948" s="358"/>
      <c r="M948" s="358"/>
      <c r="N948" s="358"/>
      <c r="O948" s="358"/>
      <c r="P948" s="358"/>
      <c r="Q948" s="358"/>
      <c r="R948" s="358"/>
      <c r="S948" s="358"/>
      <c r="T948" s="358"/>
      <c r="U948" s="358"/>
      <c r="V948" s="358"/>
      <c r="W948" s="358"/>
      <c r="X948" s="358"/>
      <c r="Y948" s="358"/>
      <c r="Z948" s="358"/>
    </row>
    <row r="949" spans="1:26" ht="13.5" customHeight="1">
      <c r="A949" s="358"/>
      <c r="B949" s="358"/>
      <c r="C949" s="358"/>
      <c r="D949" s="358"/>
      <c r="E949" s="358"/>
      <c r="F949" s="358"/>
      <c r="G949" s="358"/>
      <c r="H949" s="358"/>
      <c r="I949" s="358"/>
      <c r="J949" s="358"/>
      <c r="K949" s="358"/>
      <c r="L949" s="358"/>
      <c r="M949" s="358"/>
      <c r="N949" s="358"/>
      <c r="O949" s="358"/>
      <c r="P949" s="358"/>
      <c r="Q949" s="358"/>
      <c r="R949" s="358"/>
      <c r="S949" s="358"/>
      <c r="T949" s="358"/>
      <c r="U949" s="358"/>
      <c r="V949" s="358"/>
      <c r="W949" s="358"/>
      <c r="X949" s="358"/>
      <c r="Y949" s="358"/>
      <c r="Z949" s="358"/>
    </row>
    <row r="950" spans="1:26" ht="13.5" customHeight="1">
      <c r="A950" s="358"/>
      <c r="B950" s="358"/>
      <c r="C950" s="358"/>
      <c r="D950" s="358"/>
      <c r="E950" s="358"/>
      <c r="F950" s="358"/>
      <c r="G950" s="358"/>
      <c r="H950" s="358"/>
      <c r="I950" s="358"/>
      <c r="J950" s="358"/>
      <c r="K950" s="358"/>
      <c r="L950" s="358"/>
      <c r="M950" s="358"/>
      <c r="N950" s="358"/>
      <c r="O950" s="358"/>
      <c r="P950" s="358"/>
      <c r="Q950" s="358"/>
      <c r="R950" s="358"/>
      <c r="S950" s="358"/>
      <c r="T950" s="358"/>
      <c r="U950" s="358"/>
      <c r="V950" s="358"/>
      <c r="W950" s="358"/>
      <c r="X950" s="358"/>
      <c r="Y950" s="358"/>
      <c r="Z950" s="358"/>
    </row>
    <row r="951" spans="1:26" ht="13.5" customHeight="1">
      <c r="A951" s="358"/>
      <c r="B951" s="358"/>
      <c r="C951" s="358"/>
      <c r="D951" s="358"/>
      <c r="E951" s="358"/>
      <c r="F951" s="358"/>
      <c r="G951" s="358"/>
      <c r="H951" s="358"/>
      <c r="I951" s="358"/>
      <c r="J951" s="358"/>
      <c r="K951" s="358"/>
      <c r="L951" s="358"/>
      <c r="M951" s="358"/>
      <c r="N951" s="358"/>
      <c r="O951" s="358"/>
      <c r="P951" s="358"/>
      <c r="Q951" s="358"/>
      <c r="R951" s="358"/>
      <c r="S951" s="358"/>
      <c r="T951" s="358"/>
      <c r="U951" s="358"/>
      <c r="V951" s="358"/>
      <c r="W951" s="358"/>
      <c r="X951" s="358"/>
      <c r="Y951" s="358"/>
      <c r="Z951" s="358"/>
    </row>
    <row r="952" spans="1:26" ht="13.5" customHeight="1">
      <c r="A952" s="358"/>
      <c r="B952" s="358"/>
      <c r="C952" s="358"/>
      <c r="D952" s="358"/>
      <c r="E952" s="358"/>
      <c r="F952" s="358"/>
      <c r="G952" s="358"/>
      <c r="H952" s="358"/>
      <c r="I952" s="358"/>
      <c r="J952" s="358"/>
      <c r="K952" s="358"/>
      <c r="L952" s="358"/>
      <c r="M952" s="358"/>
      <c r="N952" s="358"/>
      <c r="O952" s="358"/>
      <c r="P952" s="358"/>
      <c r="Q952" s="358"/>
      <c r="R952" s="358"/>
      <c r="S952" s="358"/>
      <c r="T952" s="358"/>
      <c r="U952" s="358"/>
      <c r="V952" s="358"/>
      <c r="W952" s="358"/>
      <c r="X952" s="358"/>
      <c r="Y952" s="358"/>
      <c r="Z952" s="358"/>
    </row>
    <row r="953" spans="1:26" ht="13.5" customHeight="1">
      <c r="A953" s="358"/>
      <c r="B953" s="358"/>
      <c r="C953" s="358"/>
      <c r="D953" s="358"/>
      <c r="E953" s="358"/>
      <c r="F953" s="358"/>
      <c r="G953" s="358"/>
      <c r="H953" s="358"/>
      <c r="I953" s="358"/>
      <c r="J953" s="358"/>
      <c r="K953" s="358"/>
      <c r="L953" s="358"/>
      <c r="M953" s="358"/>
      <c r="N953" s="358"/>
      <c r="O953" s="358"/>
      <c r="P953" s="358"/>
      <c r="Q953" s="358"/>
      <c r="R953" s="358"/>
      <c r="S953" s="358"/>
      <c r="T953" s="358"/>
      <c r="U953" s="358"/>
      <c r="V953" s="358"/>
      <c r="W953" s="358"/>
      <c r="X953" s="358"/>
      <c r="Y953" s="358"/>
      <c r="Z953" s="358"/>
    </row>
    <row r="954" spans="1:26" ht="13.5" customHeight="1">
      <c r="A954" s="358"/>
      <c r="B954" s="358"/>
      <c r="C954" s="358"/>
      <c r="D954" s="358"/>
      <c r="E954" s="358"/>
      <c r="F954" s="358"/>
      <c r="G954" s="358"/>
      <c r="H954" s="358"/>
      <c r="I954" s="358"/>
      <c r="J954" s="358"/>
      <c r="K954" s="358"/>
      <c r="L954" s="358"/>
      <c r="M954" s="358"/>
      <c r="N954" s="358"/>
      <c r="O954" s="358"/>
      <c r="P954" s="358"/>
      <c r="Q954" s="358"/>
      <c r="R954" s="358"/>
      <c r="S954" s="358"/>
      <c r="T954" s="358"/>
      <c r="U954" s="358"/>
      <c r="V954" s="358"/>
      <c r="W954" s="358"/>
      <c r="X954" s="358"/>
      <c r="Y954" s="358"/>
      <c r="Z954" s="358"/>
    </row>
    <row r="955" spans="1:26" ht="13.5" customHeight="1">
      <c r="A955" s="358"/>
      <c r="B955" s="358"/>
      <c r="C955" s="358"/>
      <c r="D955" s="358"/>
      <c r="E955" s="358"/>
      <c r="F955" s="358"/>
      <c r="G955" s="358"/>
      <c r="H955" s="358"/>
      <c r="I955" s="358"/>
      <c r="J955" s="358"/>
      <c r="K955" s="358"/>
      <c r="L955" s="358"/>
      <c r="M955" s="358"/>
      <c r="N955" s="358"/>
      <c r="O955" s="358"/>
      <c r="P955" s="358"/>
      <c r="Q955" s="358"/>
      <c r="R955" s="358"/>
      <c r="S955" s="358"/>
      <c r="T955" s="358"/>
      <c r="U955" s="358"/>
      <c r="V955" s="358"/>
      <c r="W955" s="358"/>
      <c r="X955" s="358"/>
      <c r="Y955" s="358"/>
      <c r="Z955" s="358"/>
    </row>
    <row r="956" spans="1:26" ht="13.5" customHeight="1">
      <c r="A956" s="358"/>
      <c r="B956" s="358"/>
      <c r="C956" s="358"/>
      <c r="D956" s="358"/>
      <c r="E956" s="358"/>
      <c r="F956" s="358"/>
      <c r="G956" s="358"/>
      <c r="H956" s="358"/>
      <c r="I956" s="358"/>
      <c r="J956" s="358"/>
      <c r="K956" s="358"/>
      <c r="L956" s="358"/>
      <c r="M956" s="358"/>
      <c r="N956" s="358"/>
      <c r="O956" s="358"/>
      <c r="P956" s="358"/>
      <c r="Q956" s="358"/>
      <c r="R956" s="358"/>
      <c r="S956" s="358"/>
      <c r="T956" s="358"/>
      <c r="U956" s="358"/>
      <c r="V956" s="358"/>
      <c r="W956" s="358"/>
      <c r="X956" s="358"/>
      <c r="Y956" s="358"/>
      <c r="Z956" s="358"/>
    </row>
    <row r="957" spans="1:26" ht="13.5" customHeight="1">
      <c r="A957" s="358"/>
      <c r="B957" s="358"/>
      <c r="C957" s="358"/>
      <c r="D957" s="358"/>
      <c r="E957" s="358"/>
      <c r="F957" s="358"/>
      <c r="G957" s="358"/>
      <c r="H957" s="358"/>
      <c r="I957" s="358"/>
      <c r="J957" s="358"/>
      <c r="K957" s="358"/>
      <c r="L957" s="358"/>
      <c r="M957" s="358"/>
      <c r="N957" s="358"/>
      <c r="O957" s="358"/>
      <c r="P957" s="358"/>
      <c r="Q957" s="358"/>
      <c r="R957" s="358"/>
      <c r="S957" s="358"/>
      <c r="T957" s="358"/>
      <c r="U957" s="358"/>
      <c r="V957" s="358"/>
      <c r="W957" s="358"/>
      <c r="X957" s="358"/>
      <c r="Y957" s="358"/>
      <c r="Z957" s="358"/>
    </row>
    <row r="958" spans="1:26" ht="13.5" customHeight="1">
      <c r="A958" s="358"/>
      <c r="B958" s="358"/>
      <c r="C958" s="358"/>
      <c r="D958" s="358"/>
      <c r="E958" s="358"/>
      <c r="F958" s="358"/>
      <c r="G958" s="358"/>
      <c r="H958" s="358"/>
      <c r="I958" s="358"/>
      <c r="J958" s="358"/>
      <c r="K958" s="358"/>
      <c r="L958" s="358"/>
      <c r="M958" s="358"/>
      <c r="N958" s="358"/>
      <c r="O958" s="358"/>
      <c r="P958" s="358"/>
      <c r="Q958" s="358"/>
      <c r="R958" s="358"/>
      <c r="S958" s="358"/>
      <c r="T958" s="358"/>
      <c r="U958" s="358"/>
      <c r="V958" s="358"/>
      <c r="W958" s="358"/>
      <c r="X958" s="358"/>
      <c r="Y958" s="358"/>
      <c r="Z958" s="358"/>
    </row>
    <row r="959" spans="1:26" ht="13.5" customHeight="1">
      <c r="A959" s="358"/>
      <c r="B959" s="358"/>
      <c r="C959" s="358"/>
      <c r="D959" s="358"/>
      <c r="E959" s="358"/>
      <c r="F959" s="358"/>
      <c r="G959" s="358"/>
      <c r="H959" s="358"/>
      <c r="I959" s="358"/>
      <c r="J959" s="358"/>
      <c r="K959" s="358"/>
      <c r="L959" s="358"/>
      <c r="M959" s="358"/>
      <c r="N959" s="358"/>
      <c r="O959" s="358"/>
      <c r="P959" s="358"/>
      <c r="Q959" s="358"/>
      <c r="R959" s="358"/>
      <c r="S959" s="358"/>
      <c r="T959" s="358"/>
      <c r="U959" s="358"/>
      <c r="V959" s="358"/>
      <c r="W959" s="358"/>
      <c r="X959" s="358"/>
      <c r="Y959" s="358"/>
      <c r="Z959" s="358"/>
    </row>
    <row r="960" spans="1:26" ht="13.5" customHeight="1">
      <c r="A960" s="358"/>
      <c r="B960" s="358"/>
      <c r="C960" s="358"/>
      <c r="D960" s="358"/>
      <c r="E960" s="358"/>
      <c r="F960" s="358"/>
      <c r="G960" s="358"/>
      <c r="H960" s="358"/>
      <c r="I960" s="358"/>
      <c r="J960" s="358"/>
      <c r="K960" s="358"/>
      <c r="L960" s="358"/>
      <c r="M960" s="358"/>
      <c r="N960" s="358"/>
      <c r="O960" s="358"/>
      <c r="P960" s="358"/>
      <c r="Q960" s="358"/>
      <c r="R960" s="358"/>
      <c r="S960" s="358"/>
      <c r="T960" s="358"/>
      <c r="U960" s="358"/>
      <c r="V960" s="358"/>
      <c r="W960" s="358"/>
      <c r="X960" s="358"/>
      <c r="Y960" s="358"/>
      <c r="Z960" s="358"/>
    </row>
    <row r="961" spans="1:26" ht="13.5" customHeight="1">
      <c r="A961" s="358"/>
      <c r="B961" s="358"/>
      <c r="C961" s="358"/>
      <c r="D961" s="358"/>
      <c r="E961" s="358"/>
      <c r="F961" s="358"/>
      <c r="G961" s="358"/>
      <c r="H961" s="358"/>
      <c r="I961" s="358"/>
      <c r="J961" s="358"/>
      <c r="K961" s="358"/>
      <c r="L961" s="358"/>
      <c r="M961" s="358"/>
      <c r="N961" s="358"/>
      <c r="O961" s="358"/>
      <c r="P961" s="358"/>
      <c r="Q961" s="358"/>
      <c r="R961" s="358"/>
      <c r="S961" s="358"/>
      <c r="T961" s="358"/>
      <c r="U961" s="358"/>
      <c r="V961" s="358"/>
      <c r="W961" s="358"/>
      <c r="X961" s="358"/>
      <c r="Y961" s="358"/>
      <c r="Z961" s="358"/>
    </row>
    <row r="962" spans="1:26" ht="13.5" customHeight="1">
      <c r="A962" s="358"/>
      <c r="B962" s="358"/>
      <c r="C962" s="358"/>
      <c r="D962" s="358"/>
      <c r="E962" s="358"/>
      <c r="F962" s="358"/>
      <c r="G962" s="358"/>
      <c r="H962" s="358"/>
      <c r="I962" s="358"/>
      <c r="J962" s="358"/>
      <c r="K962" s="358"/>
      <c r="L962" s="358"/>
      <c r="M962" s="358"/>
      <c r="N962" s="358"/>
      <c r="O962" s="358"/>
      <c r="P962" s="358"/>
      <c r="Q962" s="358"/>
      <c r="R962" s="358"/>
      <c r="S962" s="358"/>
      <c r="T962" s="358"/>
      <c r="U962" s="358"/>
      <c r="V962" s="358"/>
      <c r="W962" s="358"/>
      <c r="X962" s="358"/>
      <c r="Y962" s="358"/>
      <c r="Z962" s="358"/>
    </row>
    <row r="963" spans="1:26" ht="13.5" customHeight="1">
      <c r="A963" s="358"/>
      <c r="B963" s="358"/>
      <c r="C963" s="358"/>
      <c r="D963" s="358"/>
      <c r="E963" s="358"/>
      <c r="F963" s="358"/>
      <c r="G963" s="358"/>
      <c r="H963" s="358"/>
      <c r="I963" s="358"/>
      <c r="J963" s="358"/>
      <c r="K963" s="358"/>
      <c r="L963" s="358"/>
      <c r="M963" s="358"/>
      <c r="N963" s="358"/>
      <c r="O963" s="358"/>
      <c r="P963" s="358"/>
      <c r="Q963" s="358"/>
      <c r="R963" s="358"/>
      <c r="S963" s="358"/>
      <c r="T963" s="358"/>
      <c r="U963" s="358"/>
      <c r="V963" s="358"/>
      <c r="W963" s="358"/>
      <c r="X963" s="358"/>
      <c r="Y963" s="358"/>
      <c r="Z963" s="358"/>
    </row>
    <row r="964" spans="1:26" ht="13.5" customHeight="1">
      <c r="A964" s="358"/>
      <c r="B964" s="358"/>
      <c r="C964" s="358"/>
      <c r="D964" s="358"/>
      <c r="E964" s="358"/>
      <c r="F964" s="358"/>
      <c r="G964" s="358"/>
      <c r="H964" s="358"/>
      <c r="I964" s="358"/>
      <c r="J964" s="358"/>
      <c r="K964" s="358"/>
      <c r="L964" s="358"/>
      <c r="M964" s="358"/>
      <c r="N964" s="358"/>
      <c r="O964" s="358"/>
      <c r="P964" s="358"/>
      <c r="Q964" s="358"/>
      <c r="R964" s="358"/>
      <c r="S964" s="358"/>
      <c r="T964" s="358"/>
      <c r="U964" s="358"/>
      <c r="V964" s="358"/>
      <c r="W964" s="358"/>
      <c r="X964" s="358"/>
      <c r="Y964" s="358"/>
      <c r="Z964" s="358"/>
    </row>
    <row r="965" spans="1:26" ht="13.5" customHeight="1">
      <c r="A965" s="358"/>
      <c r="B965" s="358"/>
      <c r="C965" s="358"/>
      <c r="D965" s="358"/>
      <c r="E965" s="358"/>
      <c r="F965" s="358"/>
      <c r="G965" s="358"/>
      <c r="H965" s="358"/>
      <c r="I965" s="358"/>
      <c r="J965" s="358"/>
      <c r="K965" s="358"/>
      <c r="L965" s="358"/>
      <c r="M965" s="358"/>
      <c r="N965" s="358"/>
      <c r="O965" s="358"/>
      <c r="P965" s="358"/>
      <c r="Q965" s="358"/>
      <c r="R965" s="358"/>
      <c r="S965" s="358"/>
      <c r="T965" s="358"/>
      <c r="U965" s="358"/>
      <c r="V965" s="358"/>
      <c r="W965" s="358"/>
      <c r="X965" s="358"/>
      <c r="Y965" s="358"/>
      <c r="Z965" s="358"/>
    </row>
    <row r="966" spans="1:26" ht="13.5" customHeight="1">
      <c r="A966" s="358"/>
      <c r="B966" s="358"/>
      <c r="C966" s="358"/>
      <c r="D966" s="358"/>
      <c r="E966" s="358"/>
      <c r="F966" s="358"/>
      <c r="G966" s="358"/>
      <c r="H966" s="358"/>
      <c r="I966" s="358"/>
      <c r="J966" s="358"/>
      <c r="K966" s="358"/>
      <c r="L966" s="358"/>
      <c r="M966" s="358"/>
      <c r="N966" s="358"/>
      <c r="O966" s="358"/>
      <c r="P966" s="358"/>
      <c r="Q966" s="358"/>
      <c r="R966" s="358"/>
      <c r="S966" s="358"/>
      <c r="T966" s="358"/>
      <c r="U966" s="358"/>
      <c r="V966" s="358"/>
      <c r="W966" s="358"/>
      <c r="X966" s="358"/>
      <c r="Y966" s="358"/>
      <c r="Z966" s="358"/>
    </row>
    <row r="967" spans="1:26" ht="13.5" customHeight="1">
      <c r="A967" s="358"/>
      <c r="B967" s="358"/>
      <c r="C967" s="358"/>
      <c r="D967" s="358"/>
      <c r="E967" s="358"/>
      <c r="F967" s="358"/>
      <c r="G967" s="358"/>
      <c r="H967" s="358"/>
      <c r="I967" s="358"/>
      <c r="J967" s="358"/>
      <c r="K967" s="358"/>
      <c r="L967" s="358"/>
      <c r="M967" s="358"/>
      <c r="N967" s="358"/>
      <c r="O967" s="358"/>
      <c r="P967" s="358"/>
      <c r="Q967" s="358"/>
      <c r="R967" s="358"/>
      <c r="S967" s="358"/>
      <c r="T967" s="358"/>
      <c r="U967" s="358"/>
      <c r="V967" s="358"/>
      <c r="W967" s="358"/>
      <c r="X967" s="358"/>
      <c r="Y967" s="358"/>
      <c r="Z967" s="358"/>
    </row>
    <row r="968" spans="1:26" ht="13.5" customHeight="1">
      <c r="A968" s="358"/>
      <c r="B968" s="358"/>
      <c r="C968" s="358"/>
      <c r="D968" s="358"/>
      <c r="E968" s="358"/>
      <c r="F968" s="358"/>
      <c r="G968" s="358"/>
      <c r="H968" s="358"/>
      <c r="I968" s="358"/>
      <c r="J968" s="358"/>
      <c r="K968" s="358"/>
      <c r="L968" s="358"/>
      <c r="M968" s="358"/>
      <c r="N968" s="358"/>
      <c r="O968" s="358"/>
      <c r="P968" s="358"/>
      <c r="Q968" s="358"/>
      <c r="R968" s="358"/>
      <c r="S968" s="358"/>
      <c r="T968" s="358"/>
      <c r="U968" s="358"/>
      <c r="V968" s="358"/>
      <c r="W968" s="358"/>
      <c r="X968" s="358"/>
      <c r="Y968" s="358"/>
      <c r="Z968" s="358"/>
    </row>
    <row r="969" spans="1:26" ht="13.5" customHeight="1">
      <c r="A969" s="358"/>
      <c r="B969" s="358"/>
      <c r="C969" s="358"/>
      <c r="D969" s="358"/>
      <c r="E969" s="358"/>
      <c r="F969" s="358"/>
      <c r="G969" s="358"/>
      <c r="H969" s="358"/>
      <c r="I969" s="358"/>
      <c r="J969" s="358"/>
      <c r="K969" s="358"/>
      <c r="L969" s="358"/>
      <c r="M969" s="358"/>
      <c r="N969" s="358"/>
      <c r="O969" s="358"/>
      <c r="P969" s="358"/>
      <c r="Q969" s="358"/>
      <c r="R969" s="358"/>
      <c r="S969" s="358"/>
      <c r="T969" s="358"/>
      <c r="U969" s="358"/>
      <c r="V969" s="358"/>
      <c r="W969" s="358"/>
      <c r="X969" s="358"/>
      <c r="Y969" s="358"/>
      <c r="Z969" s="358"/>
    </row>
    <row r="970" spans="1:26" ht="13.5" customHeight="1">
      <c r="A970" s="358"/>
      <c r="B970" s="358"/>
      <c r="C970" s="358"/>
      <c r="D970" s="358"/>
      <c r="E970" s="358"/>
      <c r="F970" s="358"/>
      <c r="G970" s="358"/>
      <c r="H970" s="358"/>
      <c r="I970" s="358"/>
      <c r="J970" s="358"/>
      <c r="K970" s="358"/>
      <c r="L970" s="358"/>
      <c r="M970" s="358"/>
      <c r="N970" s="358"/>
      <c r="O970" s="358"/>
      <c r="P970" s="358"/>
      <c r="Q970" s="358"/>
      <c r="R970" s="358"/>
      <c r="S970" s="358"/>
      <c r="T970" s="358"/>
      <c r="U970" s="358"/>
      <c r="V970" s="358"/>
      <c r="W970" s="358"/>
      <c r="X970" s="358"/>
      <c r="Y970" s="358"/>
      <c r="Z970" s="358"/>
    </row>
    <row r="971" spans="1:26" ht="13.5" customHeight="1">
      <c r="A971" s="358"/>
      <c r="B971" s="358"/>
      <c r="C971" s="358"/>
      <c r="D971" s="358"/>
      <c r="E971" s="358"/>
      <c r="F971" s="358"/>
      <c r="G971" s="358"/>
      <c r="H971" s="358"/>
      <c r="I971" s="358"/>
      <c r="J971" s="358"/>
      <c r="K971" s="358"/>
      <c r="L971" s="358"/>
      <c r="M971" s="358"/>
      <c r="N971" s="358"/>
      <c r="O971" s="358"/>
      <c r="P971" s="358"/>
      <c r="Q971" s="358"/>
      <c r="R971" s="358"/>
      <c r="S971" s="358"/>
      <c r="T971" s="358"/>
      <c r="U971" s="358"/>
      <c r="V971" s="358"/>
      <c r="W971" s="358"/>
      <c r="X971" s="358"/>
      <c r="Y971" s="358"/>
      <c r="Z971" s="358"/>
    </row>
    <row r="972" spans="1:26" ht="13.5" customHeight="1">
      <c r="A972" s="358"/>
      <c r="B972" s="358"/>
      <c r="C972" s="358"/>
      <c r="D972" s="358"/>
      <c r="E972" s="358"/>
      <c r="F972" s="358"/>
      <c r="G972" s="358"/>
      <c r="H972" s="358"/>
      <c r="I972" s="358"/>
      <c r="J972" s="358"/>
      <c r="K972" s="358"/>
      <c r="L972" s="358"/>
      <c r="M972" s="358"/>
      <c r="N972" s="358"/>
      <c r="O972" s="358"/>
      <c r="P972" s="358"/>
      <c r="Q972" s="358"/>
      <c r="R972" s="358"/>
      <c r="S972" s="358"/>
      <c r="T972" s="358"/>
      <c r="U972" s="358"/>
      <c r="V972" s="358"/>
      <c r="W972" s="358"/>
      <c r="X972" s="358"/>
      <c r="Y972" s="358"/>
      <c r="Z972" s="358"/>
    </row>
    <row r="973" spans="1:26" ht="13.5" customHeight="1">
      <c r="A973" s="358"/>
      <c r="B973" s="358"/>
      <c r="C973" s="358"/>
      <c r="D973" s="358"/>
      <c r="E973" s="358"/>
      <c r="F973" s="358"/>
      <c r="G973" s="358"/>
      <c r="H973" s="358"/>
      <c r="I973" s="358"/>
      <c r="J973" s="358"/>
      <c r="K973" s="358"/>
      <c r="L973" s="358"/>
      <c r="M973" s="358"/>
      <c r="N973" s="358"/>
      <c r="O973" s="358"/>
      <c r="P973" s="358"/>
      <c r="Q973" s="358"/>
      <c r="R973" s="358"/>
      <c r="S973" s="358"/>
      <c r="T973" s="358"/>
      <c r="U973" s="358"/>
      <c r="V973" s="358"/>
      <c r="W973" s="358"/>
      <c r="X973" s="358"/>
      <c r="Y973" s="358"/>
      <c r="Z973" s="358"/>
    </row>
    <row r="974" spans="1:26" ht="13.5" customHeight="1">
      <c r="A974" s="358"/>
      <c r="B974" s="358"/>
      <c r="C974" s="358"/>
      <c r="D974" s="358"/>
      <c r="E974" s="358"/>
      <c r="F974" s="358"/>
      <c r="G974" s="358"/>
      <c r="H974" s="358"/>
      <c r="I974" s="358"/>
      <c r="J974" s="358"/>
      <c r="K974" s="358"/>
      <c r="L974" s="358"/>
      <c r="M974" s="358"/>
      <c r="N974" s="358"/>
      <c r="O974" s="358"/>
      <c r="P974" s="358"/>
      <c r="Q974" s="358"/>
      <c r="R974" s="358"/>
      <c r="S974" s="358"/>
      <c r="T974" s="358"/>
      <c r="U974" s="358"/>
      <c r="V974" s="358"/>
      <c r="W974" s="358"/>
      <c r="X974" s="358"/>
      <c r="Y974" s="358"/>
      <c r="Z974" s="358"/>
    </row>
    <row r="975" spans="1:26" ht="13.5" customHeight="1">
      <c r="A975" s="358"/>
      <c r="B975" s="358"/>
      <c r="C975" s="358"/>
      <c r="D975" s="358"/>
      <c r="E975" s="358"/>
      <c r="F975" s="358"/>
      <c r="G975" s="358"/>
      <c r="H975" s="358"/>
      <c r="I975" s="358"/>
      <c r="J975" s="358"/>
      <c r="K975" s="358"/>
      <c r="L975" s="358"/>
      <c r="M975" s="358"/>
      <c r="N975" s="358"/>
      <c r="O975" s="358"/>
      <c r="P975" s="358"/>
      <c r="Q975" s="358"/>
      <c r="R975" s="358"/>
      <c r="S975" s="358"/>
      <c r="T975" s="358"/>
      <c r="U975" s="358"/>
      <c r="V975" s="358"/>
      <c r="W975" s="358"/>
      <c r="X975" s="358"/>
      <c r="Y975" s="358"/>
      <c r="Z975" s="358"/>
    </row>
    <row r="976" spans="1:26" ht="13.5" customHeight="1">
      <c r="A976" s="358"/>
      <c r="B976" s="358"/>
      <c r="C976" s="358"/>
      <c r="D976" s="358"/>
      <c r="E976" s="358"/>
      <c r="F976" s="358"/>
      <c r="G976" s="358"/>
      <c r="H976" s="358"/>
      <c r="I976" s="358"/>
      <c r="J976" s="358"/>
      <c r="K976" s="358"/>
      <c r="L976" s="358"/>
      <c r="M976" s="358"/>
      <c r="N976" s="358"/>
      <c r="O976" s="358"/>
      <c r="P976" s="358"/>
      <c r="Q976" s="358"/>
      <c r="R976" s="358"/>
      <c r="S976" s="358"/>
      <c r="T976" s="358"/>
      <c r="U976" s="358"/>
      <c r="V976" s="358"/>
      <c r="W976" s="358"/>
      <c r="X976" s="358"/>
      <c r="Y976" s="358"/>
      <c r="Z976" s="358"/>
    </row>
    <row r="977" spans="1:26" ht="13.5" customHeight="1">
      <c r="A977" s="358"/>
      <c r="B977" s="358"/>
      <c r="C977" s="358"/>
      <c r="D977" s="358"/>
      <c r="E977" s="358"/>
      <c r="F977" s="358"/>
      <c r="G977" s="358"/>
      <c r="H977" s="358"/>
      <c r="I977" s="358"/>
      <c r="J977" s="358"/>
      <c r="K977" s="358"/>
      <c r="L977" s="358"/>
      <c r="M977" s="358"/>
      <c r="N977" s="358"/>
      <c r="O977" s="358"/>
      <c r="P977" s="358"/>
      <c r="Q977" s="358"/>
      <c r="R977" s="358"/>
      <c r="S977" s="358"/>
      <c r="T977" s="358"/>
      <c r="U977" s="358"/>
      <c r="V977" s="358"/>
      <c r="W977" s="358"/>
      <c r="X977" s="358"/>
      <c r="Y977" s="358"/>
      <c r="Z977" s="358"/>
    </row>
    <row r="978" spans="1:26" ht="13.5" customHeight="1">
      <c r="A978" s="358"/>
      <c r="B978" s="358"/>
      <c r="C978" s="358"/>
      <c r="D978" s="358"/>
      <c r="E978" s="358"/>
      <c r="F978" s="358"/>
      <c r="G978" s="358"/>
      <c r="H978" s="358"/>
      <c r="I978" s="358"/>
      <c r="J978" s="358"/>
      <c r="K978" s="358"/>
      <c r="L978" s="358"/>
      <c r="M978" s="358"/>
      <c r="N978" s="358"/>
      <c r="O978" s="358"/>
      <c r="P978" s="358"/>
      <c r="Q978" s="358"/>
      <c r="R978" s="358"/>
      <c r="S978" s="358"/>
      <c r="T978" s="358"/>
      <c r="U978" s="358"/>
      <c r="V978" s="358"/>
      <c r="W978" s="358"/>
      <c r="X978" s="358"/>
      <c r="Y978" s="358"/>
      <c r="Z978" s="358"/>
    </row>
    <row r="979" spans="1:26" ht="13.5" customHeight="1">
      <c r="A979" s="358"/>
      <c r="B979" s="358"/>
      <c r="C979" s="358"/>
      <c r="D979" s="358"/>
      <c r="E979" s="358"/>
      <c r="F979" s="358"/>
      <c r="G979" s="358"/>
      <c r="H979" s="358"/>
      <c r="I979" s="358"/>
      <c r="J979" s="358"/>
      <c r="K979" s="358"/>
      <c r="L979" s="358"/>
      <c r="M979" s="358"/>
      <c r="N979" s="358"/>
      <c r="O979" s="358"/>
      <c r="P979" s="358"/>
      <c r="Q979" s="358"/>
      <c r="R979" s="358"/>
      <c r="S979" s="358"/>
      <c r="T979" s="358"/>
      <c r="U979" s="358"/>
      <c r="V979" s="358"/>
      <c r="W979" s="358"/>
      <c r="X979" s="358"/>
      <c r="Y979" s="358"/>
      <c r="Z979" s="358"/>
    </row>
    <row r="980" spans="1:26" ht="13.5" customHeight="1">
      <c r="A980" s="358"/>
      <c r="B980" s="358"/>
      <c r="C980" s="358"/>
      <c r="D980" s="358"/>
      <c r="E980" s="358"/>
      <c r="F980" s="358"/>
      <c r="G980" s="358"/>
      <c r="H980" s="358"/>
      <c r="I980" s="358"/>
      <c r="J980" s="358"/>
      <c r="K980" s="358"/>
      <c r="L980" s="358"/>
      <c r="M980" s="358"/>
      <c r="N980" s="358"/>
      <c r="O980" s="358"/>
      <c r="P980" s="358"/>
      <c r="Q980" s="358"/>
      <c r="R980" s="358"/>
      <c r="S980" s="358"/>
      <c r="T980" s="358"/>
      <c r="U980" s="358"/>
      <c r="V980" s="358"/>
      <c r="W980" s="358"/>
      <c r="X980" s="358"/>
      <c r="Y980" s="358"/>
      <c r="Z980" s="358"/>
    </row>
    <row r="981" spans="1:26" ht="13.5" customHeight="1">
      <c r="A981" s="358"/>
      <c r="B981" s="358"/>
      <c r="C981" s="358"/>
      <c r="D981" s="358"/>
      <c r="E981" s="358"/>
      <c r="F981" s="358"/>
      <c r="G981" s="358"/>
      <c r="H981" s="358"/>
      <c r="I981" s="358"/>
      <c r="J981" s="358"/>
      <c r="K981" s="358"/>
      <c r="L981" s="358"/>
      <c r="M981" s="358"/>
      <c r="N981" s="358"/>
      <c r="O981" s="358"/>
      <c r="P981" s="358"/>
      <c r="Q981" s="358"/>
      <c r="R981" s="358"/>
      <c r="S981" s="358"/>
      <c r="T981" s="358"/>
      <c r="U981" s="358"/>
      <c r="V981" s="358"/>
      <c r="W981" s="358"/>
      <c r="X981" s="358"/>
      <c r="Y981" s="358"/>
      <c r="Z981" s="358"/>
    </row>
    <row r="982" spans="1:26" ht="13.5" customHeight="1">
      <c r="A982" s="358"/>
      <c r="B982" s="358"/>
      <c r="C982" s="358"/>
      <c r="D982" s="358"/>
      <c r="E982" s="358"/>
      <c r="F982" s="358"/>
      <c r="G982" s="358"/>
      <c r="H982" s="358"/>
      <c r="I982" s="358"/>
      <c r="J982" s="358"/>
      <c r="K982" s="358"/>
      <c r="L982" s="358"/>
      <c r="M982" s="358"/>
      <c r="N982" s="358"/>
      <c r="O982" s="358"/>
      <c r="P982" s="358"/>
      <c r="Q982" s="358"/>
      <c r="R982" s="358"/>
      <c r="S982" s="358"/>
      <c r="T982" s="358"/>
      <c r="U982" s="358"/>
      <c r="V982" s="358"/>
      <c r="W982" s="358"/>
      <c r="X982" s="358"/>
      <c r="Y982" s="358"/>
      <c r="Z982" s="358"/>
    </row>
    <row r="983" spans="1:26" ht="13.5" customHeight="1">
      <c r="A983" s="358"/>
      <c r="B983" s="358"/>
      <c r="C983" s="358"/>
      <c r="D983" s="358"/>
      <c r="E983" s="358"/>
      <c r="F983" s="358"/>
      <c r="G983" s="358"/>
      <c r="H983" s="358"/>
      <c r="I983" s="358"/>
      <c r="J983" s="358"/>
      <c r="K983" s="358"/>
      <c r="L983" s="358"/>
      <c r="M983" s="358"/>
      <c r="N983" s="358"/>
      <c r="O983" s="358"/>
      <c r="P983" s="358"/>
      <c r="Q983" s="358"/>
      <c r="R983" s="358"/>
      <c r="S983" s="358"/>
      <c r="T983" s="358"/>
      <c r="U983" s="358"/>
      <c r="V983" s="358"/>
      <c r="W983" s="358"/>
      <c r="X983" s="358"/>
      <c r="Y983" s="358"/>
      <c r="Z983" s="358"/>
    </row>
    <row r="984" spans="1:26" ht="13.5" customHeight="1">
      <c r="A984" s="358"/>
      <c r="B984" s="358"/>
      <c r="C984" s="358"/>
      <c r="D984" s="358"/>
      <c r="E984" s="358"/>
      <c r="F984" s="358"/>
      <c r="G984" s="358"/>
      <c r="H984" s="358"/>
      <c r="I984" s="358"/>
      <c r="J984" s="358"/>
      <c r="K984" s="358"/>
      <c r="L984" s="358"/>
      <c r="M984" s="358"/>
      <c r="N984" s="358"/>
      <c r="O984" s="358"/>
      <c r="P984" s="358"/>
      <c r="Q984" s="358"/>
      <c r="R984" s="358"/>
      <c r="S984" s="358"/>
      <c r="T984" s="358"/>
      <c r="U984" s="358"/>
      <c r="V984" s="358"/>
      <c r="W984" s="358"/>
      <c r="X984" s="358"/>
      <c r="Y984" s="358"/>
      <c r="Z984" s="358"/>
    </row>
    <row r="985" spans="1:26" ht="13.5" customHeight="1">
      <c r="A985" s="358"/>
      <c r="B985" s="358"/>
      <c r="C985" s="358"/>
      <c r="D985" s="358"/>
      <c r="E985" s="358"/>
      <c r="F985" s="358"/>
      <c r="G985" s="358"/>
      <c r="H985" s="358"/>
      <c r="I985" s="358"/>
      <c r="J985" s="358"/>
      <c r="K985" s="358"/>
      <c r="L985" s="358"/>
      <c r="M985" s="358"/>
      <c r="N985" s="358"/>
      <c r="O985" s="358"/>
      <c r="P985" s="358"/>
      <c r="Q985" s="358"/>
      <c r="R985" s="358"/>
      <c r="S985" s="358"/>
      <c r="T985" s="358"/>
      <c r="U985" s="358"/>
      <c r="V985" s="358"/>
      <c r="W985" s="358"/>
      <c r="X985" s="358"/>
      <c r="Y985" s="358"/>
      <c r="Z985" s="358"/>
    </row>
    <row r="986" spans="1:26" ht="13.5" customHeight="1">
      <c r="A986" s="358"/>
      <c r="B986" s="358"/>
      <c r="C986" s="358"/>
      <c r="D986" s="358"/>
      <c r="E986" s="358"/>
      <c r="F986" s="358"/>
      <c r="G986" s="358"/>
      <c r="H986" s="358"/>
      <c r="I986" s="358"/>
      <c r="J986" s="358"/>
      <c r="K986" s="358"/>
      <c r="L986" s="358"/>
      <c r="M986" s="358"/>
      <c r="N986" s="358"/>
      <c r="O986" s="358"/>
      <c r="P986" s="358"/>
      <c r="Q986" s="358"/>
      <c r="R986" s="358"/>
      <c r="S986" s="358"/>
      <c r="T986" s="358"/>
      <c r="U986" s="358"/>
      <c r="V986" s="358"/>
      <c r="W986" s="358"/>
      <c r="X986" s="358"/>
      <c r="Y986" s="358"/>
      <c r="Z986" s="358"/>
    </row>
    <row r="987" spans="1:26" ht="13.5" customHeight="1">
      <c r="A987" s="358"/>
      <c r="B987" s="358"/>
      <c r="C987" s="358"/>
      <c r="D987" s="358"/>
      <c r="E987" s="358"/>
      <c r="F987" s="358"/>
      <c r="G987" s="358"/>
      <c r="H987" s="358"/>
      <c r="I987" s="358"/>
      <c r="J987" s="358"/>
      <c r="K987" s="358"/>
      <c r="L987" s="358"/>
      <c r="M987" s="358"/>
      <c r="N987" s="358"/>
      <c r="O987" s="358"/>
      <c r="P987" s="358"/>
      <c r="Q987" s="358"/>
      <c r="R987" s="358"/>
      <c r="S987" s="358"/>
      <c r="T987" s="358"/>
      <c r="U987" s="358"/>
      <c r="V987" s="358"/>
      <c r="W987" s="358"/>
      <c r="X987" s="358"/>
      <c r="Y987" s="358"/>
      <c r="Z987" s="358"/>
    </row>
    <row r="988" spans="1:26" ht="13.5" customHeight="1">
      <c r="A988" s="358"/>
      <c r="B988" s="358"/>
      <c r="C988" s="358"/>
      <c r="D988" s="358"/>
      <c r="E988" s="358"/>
      <c r="F988" s="358"/>
      <c r="G988" s="358"/>
      <c r="H988" s="358"/>
      <c r="I988" s="358"/>
      <c r="J988" s="358"/>
      <c r="K988" s="358"/>
      <c r="L988" s="358"/>
      <c r="M988" s="358"/>
      <c r="N988" s="358"/>
      <c r="O988" s="358"/>
      <c r="P988" s="358"/>
      <c r="Q988" s="358"/>
      <c r="R988" s="358"/>
      <c r="S988" s="358"/>
      <c r="T988" s="358"/>
      <c r="U988" s="358"/>
      <c r="V988" s="358"/>
      <c r="W988" s="358"/>
      <c r="X988" s="358"/>
      <c r="Y988" s="358"/>
      <c r="Z988" s="358"/>
    </row>
    <row r="989" spans="1:26" ht="13.5" customHeight="1">
      <c r="A989" s="358"/>
      <c r="B989" s="358"/>
      <c r="C989" s="358"/>
      <c r="D989" s="358"/>
      <c r="E989" s="358"/>
      <c r="F989" s="358"/>
      <c r="G989" s="358"/>
      <c r="H989" s="358"/>
      <c r="I989" s="358"/>
      <c r="J989" s="358"/>
      <c r="K989" s="358"/>
      <c r="L989" s="358"/>
      <c r="M989" s="358"/>
      <c r="N989" s="358"/>
      <c r="O989" s="358"/>
      <c r="P989" s="358"/>
      <c r="Q989" s="358"/>
      <c r="R989" s="358"/>
      <c r="S989" s="358"/>
      <c r="T989" s="358"/>
      <c r="U989" s="358"/>
      <c r="V989" s="358"/>
      <c r="W989" s="358"/>
      <c r="X989" s="358"/>
      <c r="Y989" s="358"/>
      <c r="Z989" s="358"/>
    </row>
    <row r="990" spans="1:26" ht="13.5" customHeight="1">
      <c r="A990" s="358"/>
      <c r="B990" s="358"/>
      <c r="C990" s="358"/>
      <c r="D990" s="358"/>
      <c r="E990" s="358"/>
      <c r="F990" s="358"/>
      <c r="G990" s="358"/>
      <c r="H990" s="358"/>
      <c r="I990" s="358"/>
      <c r="J990" s="358"/>
      <c r="K990" s="358"/>
      <c r="L990" s="358"/>
      <c r="M990" s="358"/>
      <c r="N990" s="358"/>
      <c r="O990" s="358"/>
      <c r="P990" s="358"/>
      <c r="Q990" s="358"/>
      <c r="R990" s="358"/>
      <c r="S990" s="358"/>
      <c r="T990" s="358"/>
      <c r="U990" s="358"/>
      <c r="V990" s="358"/>
      <c r="W990" s="358"/>
      <c r="X990" s="358"/>
      <c r="Y990" s="358"/>
      <c r="Z990" s="358"/>
    </row>
    <row r="991" spans="1:26" ht="13.5" customHeight="1">
      <c r="A991" s="358"/>
      <c r="B991" s="358"/>
      <c r="C991" s="358"/>
      <c r="D991" s="358"/>
      <c r="E991" s="358"/>
      <c r="F991" s="358"/>
      <c r="G991" s="358"/>
      <c r="H991" s="358"/>
      <c r="I991" s="358"/>
      <c r="J991" s="358"/>
      <c r="K991" s="358"/>
      <c r="L991" s="358"/>
      <c r="M991" s="358"/>
      <c r="N991" s="358"/>
      <c r="O991" s="358"/>
      <c r="P991" s="358"/>
      <c r="Q991" s="358"/>
      <c r="R991" s="358"/>
      <c r="S991" s="358"/>
      <c r="T991" s="358"/>
      <c r="U991" s="358"/>
      <c r="V991" s="358"/>
      <c r="W991" s="358"/>
      <c r="X991" s="358"/>
      <c r="Y991" s="358"/>
      <c r="Z991" s="358"/>
    </row>
    <row r="992" spans="1:26" ht="13.5" customHeight="1">
      <c r="A992" s="358"/>
      <c r="B992" s="358"/>
      <c r="C992" s="358"/>
      <c r="D992" s="358"/>
      <c r="E992" s="358"/>
      <c r="F992" s="358"/>
      <c r="G992" s="358"/>
      <c r="H992" s="358"/>
      <c r="I992" s="358"/>
      <c r="J992" s="358"/>
      <c r="K992" s="358"/>
      <c r="L992" s="358"/>
      <c r="M992" s="358"/>
      <c r="N992" s="358"/>
      <c r="O992" s="358"/>
      <c r="P992" s="358"/>
      <c r="Q992" s="358"/>
      <c r="R992" s="358"/>
      <c r="S992" s="358"/>
      <c r="T992" s="358"/>
      <c r="U992" s="358"/>
      <c r="V992" s="358"/>
      <c r="W992" s="358"/>
      <c r="X992" s="358"/>
      <c r="Y992" s="358"/>
      <c r="Z992" s="358"/>
    </row>
    <row r="993" spans="1:26" ht="13.5" customHeight="1">
      <c r="A993" s="358"/>
      <c r="B993" s="358"/>
      <c r="C993" s="358"/>
      <c r="D993" s="358"/>
      <c r="E993" s="358"/>
      <c r="F993" s="358"/>
      <c r="G993" s="358"/>
      <c r="H993" s="358"/>
      <c r="I993" s="358"/>
      <c r="J993" s="358"/>
      <c r="K993" s="358"/>
      <c r="L993" s="358"/>
      <c r="M993" s="358"/>
      <c r="N993" s="358"/>
      <c r="O993" s="358"/>
      <c r="P993" s="358"/>
      <c r="Q993" s="358"/>
      <c r="R993" s="358"/>
      <c r="S993" s="358"/>
      <c r="T993" s="358"/>
      <c r="U993" s="358"/>
      <c r="V993" s="358"/>
      <c r="W993" s="358"/>
      <c r="X993" s="358"/>
      <c r="Y993" s="358"/>
      <c r="Z993" s="358"/>
    </row>
    <row r="994" spans="1:26" ht="13.5" customHeight="1">
      <c r="A994" s="358"/>
      <c r="B994" s="358"/>
      <c r="C994" s="358"/>
      <c r="D994" s="358"/>
      <c r="E994" s="358"/>
      <c r="F994" s="358"/>
      <c r="G994" s="358"/>
      <c r="H994" s="358"/>
      <c r="I994" s="358"/>
      <c r="J994" s="358"/>
      <c r="K994" s="358"/>
      <c r="L994" s="358"/>
      <c r="M994" s="358"/>
      <c r="N994" s="358"/>
      <c r="O994" s="358"/>
      <c r="P994" s="358"/>
      <c r="Q994" s="358"/>
      <c r="R994" s="358"/>
      <c r="S994" s="358"/>
      <c r="T994" s="358"/>
      <c r="U994" s="358"/>
      <c r="V994" s="358"/>
      <c r="W994" s="358"/>
      <c r="X994" s="358"/>
      <c r="Y994" s="358"/>
      <c r="Z994" s="358"/>
    </row>
    <row r="995" spans="1:26" ht="13.5" customHeight="1">
      <c r="A995" s="358"/>
      <c r="B995" s="358"/>
      <c r="C995" s="358"/>
      <c r="D995" s="358"/>
      <c r="E995" s="358"/>
      <c r="F995" s="358"/>
      <c r="G995" s="358"/>
      <c r="H995" s="358"/>
      <c r="I995" s="358"/>
      <c r="J995" s="358"/>
      <c r="K995" s="358"/>
      <c r="L995" s="358"/>
      <c r="M995" s="358"/>
      <c r="N995" s="358"/>
      <c r="O995" s="358"/>
      <c r="P995" s="358"/>
      <c r="Q995" s="358"/>
      <c r="R995" s="358"/>
      <c r="S995" s="358"/>
      <c r="T995" s="358"/>
      <c r="U995" s="358"/>
      <c r="V995" s="358"/>
      <c r="W995" s="358"/>
      <c r="X995" s="358"/>
      <c r="Y995" s="358"/>
      <c r="Z995" s="358"/>
    </row>
    <row r="996" spans="1:26" ht="13.5" customHeight="1">
      <c r="A996" s="358"/>
      <c r="B996" s="358"/>
      <c r="C996" s="358"/>
      <c r="D996" s="358"/>
      <c r="E996" s="358"/>
      <c r="F996" s="358"/>
      <c r="G996" s="358"/>
      <c r="H996" s="358"/>
      <c r="I996" s="358"/>
      <c r="J996" s="358"/>
      <c r="K996" s="358"/>
      <c r="L996" s="358"/>
      <c r="M996" s="358"/>
      <c r="N996" s="358"/>
      <c r="O996" s="358"/>
      <c r="P996" s="358"/>
      <c r="Q996" s="358"/>
      <c r="R996" s="358"/>
      <c r="S996" s="358"/>
      <c r="T996" s="358"/>
      <c r="U996" s="358"/>
      <c r="V996" s="358"/>
      <c r="W996" s="358"/>
      <c r="X996" s="358"/>
      <c r="Y996" s="358"/>
      <c r="Z996" s="358"/>
    </row>
    <row r="997" spans="1:26" ht="13.5" customHeight="1">
      <c r="A997" s="358"/>
      <c r="B997" s="358"/>
      <c r="C997" s="358"/>
      <c r="D997" s="358"/>
      <c r="E997" s="358"/>
      <c r="F997" s="358"/>
      <c r="G997" s="358"/>
      <c r="H997" s="358"/>
      <c r="I997" s="358"/>
      <c r="J997" s="358"/>
      <c r="K997" s="358"/>
      <c r="L997" s="358"/>
      <c r="M997" s="358"/>
      <c r="N997" s="358"/>
      <c r="O997" s="358"/>
      <c r="P997" s="358"/>
      <c r="Q997" s="358"/>
      <c r="R997" s="358"/>
      <c r="S997" s="358"/>
      <c r="T997" s="358"/>
      <c r="U997" s="358"/>
      <c r="V997" s="358"/>
      <c r="W997" s="358"/>
      <c r="X997" s="358"/>
      <c r="Y997" s="358"/>
      <c r="Z997" s="358"/>
    </row>
    <row r="998" spans="1:26" ht="13.5" customHeight="1">
      <c r="A998" s="358"/>
      <c r="B998" s="358"/>
      <c r="C998" s="358"/>
      <c r="D998" s="358"/>
      <c r="E998" s="358"/>
      <c r="F998" s="358"/>
      <c r="G998" s="358"/>
      <c r="H998" s="358"/>
      <c r="I998" s="358"/>
      <c r="J998" s="358"/>
      <c r="K998" s="358"/>
      <c r="L998" s="358"/>
      <c r="M998" s="358"/>
      <c r="N998" s="358"/>
      <c r="O998" s="358"/>
      <c r="P998" s="358"/>
      <c r="Q998" s="358"/>
      <c r="R998" s="358"/>
      <c r="S998" s="358"/>
      <c r="T998" s="358"/>
      <c r="U998" s="358"/>
      <c r="V998" s="358"/>
      <c r="W998" s="358"/>
      <c r="X998" s="358"/>
      <c r="Y998" s="358"/>
      <c r="Z998" s="358"/>
    </row>
  </sheetData>
  <mergeCells count="4">
    <mergeCell ref="B81:C81"/>
    <mergeCell ref="Y81:Z81"/>
    <mergeCell ref="B78:C78"/>
    <mergeCell ref="Y78:Z78"/>
  </mergeCells>
  <phoneticPr fontId="6" type="noConversion"/>
  <hyperlinks>
    <hyperlink ref="E4" r:id="rId1"/>
    <hyperlink ref="J4" r:id="rId2"/>
    <hyperlink ref="AB4" r:id="rId3"/>
    <hyperlink ref="AG4" r:id="rId4"/>
    <hyperlink ref="AI34" r:id="rId5"/>
    <hyperlink ref="P47" r:id="rId6"/>
    <hyperlink ref="L51" r:id="rId7"/>
    <hyperlink ref="AM55" r:id="rId8"/>
    <hyperlink ref="T59" r:id="rId9"/>
  </hyperlinks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E112"/>
  <sheetViews>
    <sheetView zoomScale="85" zoomScaleNormal="85" workbookViewId="0">
      <pane xSplit="2" ySplit="10" topLeftCell="C54" activePane="bottomRight" state="frozen"/>
      <selection pane="topRight" activeCell="C1" sqref="C1"/>
      <selection pane="bottomLeft" activeCell="A10" sqref="A10"/>
      <selection pane="bottomRight" activeCell="H74" sqref="H45:H74"/>
    </sheetView>
  </sheetViews>
  <sheetFormatPr defaultColWidth="8.8984375" defaultRowHeight="14.4"/>
  <cols>
    <col min="1" max="1" width="23.09765625" style="1648" bestFit="1" customWidth="1"/>
    <col min="2" max="2" width="12.8984375" bestFit="1" customWidth="1"/>
    <col min="3" max="3" width="23.09765625" customWidth="1"/>
    <col min="4" max="4" width="17.296875" customWidth="1"/>
    <col min="5" max="5" width="13.296875" bestFit="1" customWidth="1"/>
    <col min="6" max="6" width="17.296875" customWidth="1"/>
    <col min="7" max="7" width="17.296875" hidden="1" customWidth="1"/>
    <col min="8" max="9" width="17.296875" customWidth="1"/>
    <col min="10" max="10" width="12" bestFit="1" customWidth="1"/>
    <col min="11" max="11" width="13.296875" bestFit="1" customWidth="1"/>
    <col min="12" max="12" width="13.69921875" bestFit="1" customWidth="1"/>
    <col min="13" max="13" width="7.8984375" bestFit="1" customWidth="1"/>
    <col min="14" max="14" width="11.3984375" bestFit="1" customWidth="1"/>
    <col min="15" max="15" width="10.3984375" style="482" bestFit="1" customWidth="1"/>
    <col min="16" max="16" width="11.69921875" hidden="1" customWidth="1"/>
    <col min="17" max="17" width="7.8984375" style="404" hidden="1" customWidth="1"/>
    <col min="18" max="18" width="11.3984375" hidden="1" customWidth="1"/>
    <col min="19" max="19" width="10.3984375" style="482" hidden="1" customWidth="1"/>
    <col min="20" max="20" width="15.09765625" bestFit="1" customWidth="1"/>
    <col min="21" max="22" width="17.3984375" customWidth="1"/>
    <col min="23" max="23" width="17.3984375" style="404" customWidth="1"/>
    <col min="24" max="24" width="11.3984375" bestFit="1" customWidth="1"/>
    <col min="26" max="26" width="8.69921875" style="651"/>
    <col min="27" max="27" width="15.09765625" style="404" customWidth="1"/>
  </cols>
  <sheetData>
    <row r="1" spans="1:31">
      <c r="S1" s="482" t="s">
        <v>311</v>
      </c>
    </row>
    <row r="3" spans="1:31" ht="15.6">
      <c r="B3" s="43" t="s">
        <v>224</v>
      </c>
      <c r="C3" s="45" t="s">
        <v>245</v>
      </c>
      <c r="D3" s="76"/>
      <c r="E3" s="76"/>
      <c r="F3" s="76"/>
      <c r="K3" s="76"/>
    </row>
    <row r="4" spans="1:31" ht="15.6">
      <c r="B4" s="43" t="s">
        <v>14</v>
      </c>
      <c r="C4" s="45" t="s">
        <v>312</v>
      </c>
      <c r="D4" s="76"/>
      <c r="E4" s="76"/>
      <c r="F4" s="76"/>
      <c r="G4" s="76"/>
      <c r="H4" s="76"/>
      <c r="K4" s="76"/>
    </row>
    <row r="5" spans="1:31" ht="15.6">
      <c r="B5" s="44" t="s">
        <v>313</v>
      </c>
      <c r="C5" s="286" t="s">
        <v>314</v>
      </c>
      <c r="D5" s="287"/>
      <c r="E5" s="287"/>
      <c r="F5" s="287"/>
      <c r="G5" s="76"/>
      <c r="H5" s="76"/>
      <c r="K5" s="287"/>
    </row>
    <row r="6" spans="1:31" ht="15.6">
      <c r="G6" s="287"/>
      <c r="H6" s="287"/>
    </row>
    <row r="7" spans="1:31" ht="31.2">
      <c r="C7" s="769"/>
      <c r="D7" s="658" t="s">
        <v>315</v>
      </c>
      <c r="E7" s="821"/>
      <c r="K7" s="821"/>
    </row>
    <row r="8" spans="1:31" ht="15.6">
      <c r="D8" s="666">
        <f>SUM(D45:D106)/335808</f>
        <v>1.0104821802935011</v>
      </c>
      <c r="E8" s="822"/>
      <c r="K8" s="822"/>
    </row>
    <row r="9" spans="1:31" ht="15.6">
      <c r="C9" s="2112" t="s">
        <v>116</v>
      </c>
      <c r="D9" s="2113"/>
      <c r="E9" s="2114"/>
      <c r="F9" s="2112" t="s">
        <v>316</v>
      </c>
      <c r="G9" s="2113"/>
      <c r="H9" s="2113"/>
      <c r="I9" s="2113"/>
      <c r="J9" s="2113"/>
      <c r="K9" s="2113"/>
      <c r="L9" s="2115" t="s">
        <v>69</v>
      </c>
      <c r="M9" s="2110"/>
      <c r="N9" s="2110"/>
      <c r="O9" s="2111"/>
      <c r="P9" s="2115" t="s">
        <v>33</v>
      </c>
      <c r="Q9" s="2110"/>
      <c r="R9" s="2110"/>
      <c r="S9" s="2111"/>
      <c r="T9" s="2115" t="s">
        <v>244</v>
      </c>
      <c r="U9" s="2110"/>
      <c r="V9" s="2110"/>
      <c r="W9" s="2111"/>
      <c r="X9" s="2109" t="s">
        <v>35</v>
      </c>
      <c r="Y9" s="2110"/>
      <c r="Z9" s="2110"/>
      <c r="AA9" s="2111"/>
      <c r="AB9" s="2106" t="s">
        <v>317</v>
      </c>
      <c r="AC9" s="2107"/>
      <c r="AD9" s="2107"/>
      <c r="AE9" s="2108"/>
    </row>
    <row r="10" spans="1:31" ht="46.8">
      <c r="A10" s="313" t="s">
        <v>318</v>
      </c>
      <c r="B10" s="313" t="s">
        <v>290</v>
      </c>
      <c r="C10" s="315" t="s">
        <v>319</v>
      </c>
      <c r="D10" s="778" t="s">
        <v>320</v>
      </c>
      <c r="E10" s="361" t="s">
        <v>321</v>
      </c>
      <c r="F10" s="360" t="s">
        <v>322</v>
      </c>
      <c r="G10" s="1452" t="s">
        <v>323</v>
      </c>
      <c r="H10" s="362" t="s">
        <v>324</v>
      </c>
      <c r="I10" s="315" t="s">
        <v>325</v>
      </c>
      <c r="J10" s="315" t="s">
        <v>326</v>
      </c>
      <c r="K10" s="361" t="s">
        <v>321</v>
      </c>
      <c r="L10" s="360" t="s">
        <v>327</v>
      </c>
      <c r="M10" s="315" t="s">
        <v>328</v>
      </c>
      <c r="N10" s="315" t="s">
        <v>321</v>
      </c>
      <c r="O10" s="483" t="s">
        <v>326</v>
      </c>
      <c r="P10" s="315" t="s">
        <v>329</v>
      </c>
      <c r="Q10" s="648" t="s">
        <v>328</v>
      </c>
      <c r="R10" s="315" t="s">
        <v>321</v>
      </c>
      <c r="S10" s="483" t="s">
        <v>326</v>
      </c>
      <c r="T10" s="315" t="s">
        <v>330</v>
      </c>
      <c r="U10" s="315" t="s">
        <v>328</v>
      </c>
      <c r="V10" s="315" t="s">
        <v>321</v>
      </c>
      <c r="W10" s="483" t="s">
        <v>326</v>
      </c>
      <c r="X10" s="315" t="s">
        <v>331</v>
      </c>
      <c r="Y10" s="315" t="s">
        <v>328</v>
      </c>
      <c r="Z10" s="652" t="s">
        <v>321</v>
      </c>
      <c r="AA10" s="653" t="s">
        <v>326</v>
      </c>
      <c r="AB10" s="470" t="s">
        <v>332</v>
      </c>
      <c r="AC10" s="469" t="s">
        <v>333</v>
      </c>
      <c r="AD10" s="469" t="s">
        <v>334</v>
      </c>
      <c r="AE10" s="493" t="s">
        <v>335</v>
      </c>
    </row>
    <row r="11" spans="1:31" ht="15.6">
      <c r="A11" s="1451"/>
      <c r="B11" s="414">
        <v>44788</v>
      </c>
      <c r="C11" s="491">
        <v>41322</v>
      </c>
      <c r="D11" s="779">
        <v>3988</v>
      </c>
      <c r="E11" s="786">
        <v>0.76</v>
      </c>
      <c r="F11" s="492">
        <v>129</v>
      </c>
      <c r="G11" s="491">
        <v>97</v>
      </c>
      <c r="H11" s="491">
        <v>83</v>
      </c>
      <c r="I11" s="491">
        <f>SUM(F11-H11)</f>
        <v>46</v>
      </c>
      <c r="J11" s="491">
        <v>104</v>
      </c>
      <c r="K11" s="786">
        <f t="shared" ref="K11:K41" si="0">G11/F11</f>
        <v>0.75193798449612403</v>
      </c>
      <c r="L11" s="793"/>
      <c r="M11" s="794"/>
      <c r="N11" s="795"/>
      <c r="O11" s="796"/>
      <c r="P11" s="794"/>
      <c r="Q11" s="797"/>
      <c r="R11" s="798"/>
      <c r="S11" s="796"/>
      <c r="T11" s="799"/>
      <c r="U11" s="799"/>
      <c r="V11" s="798"/>
      <c r="W11" s="796"/>
      <c r="X11" s="794"/>
      <c r="Y11" s="794"/>
      <c r="Z11" s="798"/>
      <c r="AA11" s="800"/>
      <c r="AB11" s="494"/>
      <c r="AC11" s="399"/>
      <c r="AD11" s="399"/>
      <c r="AE11" s="495"/>
    </row>
    <row r="12" spans="1:31" ht="15.6">
      <c r="A12" s="1417"/>
      <c r="B12" s="314">
        <v>44789</v>
      </c>
      <c r="C12" s="405">
        <v>20727</v>
      </c>
      <c r="D12" s="780">
        <v>3763</v>
      </c>
      <c r="E12" s="787">
        <v>0.71</v>
      </c>
      <c r="F12" s="406">
        <v>120</v>
      </c>
      <c r="G12" s="405">
        <v>85</v>
      </c>
      <c r="H12" s="405">
        <v>85</v>
      </c>
      <c r="I12" s="405">
        <f t="shared" ref="I12:I27" si="1">SUM(F12-H12)</f>
        <v>35</v>
      </c>
      <c r="J12" s="405">
        <v>118</v>
      </c>
      <c r="K12" s="787">
        <f t="shared" si="0"/>
        <v>0.70833333333333337</v>
      </c>
      <c r="L12" s="801"/>
      <c r="M12" s="802"/>
      <c r="N12" s="803"/>
      <c r="O12" s="804"/>
      <c r="P12" s="802"/>
      <c r="Q12" s="805"/>
      <c r="R12" s="806"/>
      <c r="S12" s="804"/>
      <c r="T12" s="807"/>
      <c r="U12" s="808"/>
      <c r="V12" s="806"/>
      <c r="W12" s="804"/>
      <c r="X12" s="802"/>
      <c r="Y12" s="802"/>
      <c r="Z12" s="806"/>
      <c r="AA12" s="809"/>
      <c r="AB12" s="494"/>
      <c r="AC12" s="399"/>
      <c r="AD12" s="399"/>
      <c r="AE12" s="495"/>
    </row>
    <row r="13" spans="1:31" ht="15.6">
      <c r="A13" s="1446"/>
      <c r="B13" s="314">
        <v>44790</v>
      </c>
      <c r="C13" s="405">
        <v>19425</v>
      </c>
      <c r="D13" s="780">
        <v>3614</v>
      </c>
      <c r="E13" s="787">
        <v>0.7</v>
      </c>
      <c r="F13" s="406">
        <v>125</v>
      </c>
      <c r="G13" s="405">
        <v>86</v>
      </c>
      <c r="H13" s="405">
        <v>86</v>
      </c>
      <c r="I13" s="405">
        <f t="shared" si="1"/>
        <v>39</v>
      </c>
      <c r="J13" s="405">
        <v>114</v>
      </c>
      <c r="K13" s="787">
        <f t="shared" si="0"/>
        <v>0.68799999999999994</v>
      </c>
      <c r="L13" s="801"/>
      <c r="M13" s="802"/>
      <c r="N13" s="803"/>
      <c r="O13" s="804"/>
      <c r="P13" s="802"/>
      <c r="Q13" s="805"/>
      <c r="R13" s="806"/>
      <c r="S13" s="804"/>
      <c r="T13" s="807"/>
      <c r="U13" s="807"/>
      <c r="V13" s="806"/>
      <c r="W13" s="804"/>
      <c r="X13" s="802"/>
      <c r="Y13" s="802"/>
      <c r="Z13" s="806"/>
      <c r="AA13" s="809"/>
      <c r="AB13" s="494"/>
      <c r="AC13" s="399"/>
      <c r="AD13" s="399"/>
      <c r="AE13" s="495"/>
    </row>
    <row r="14" spans="1:31" ht="15.6">
      <c r="A14" s="1418"/>
      <c r="B14" s="314">
        <v>44791</v>
      </c>
      <c r="C14" s="405">
        <v>18696</v>
      </c>
      <c r="D14" s="780">
        <v>3580</v>
      </c>
      <c r="E14" s="787">
        <v>0.69</v>
      </c>
      <c r="F14" s="406">
        <v>126</v>
      </c>
      <c r="G14" s="405">
        <v>94</v>
      </c>
      <c r="H14" s="405">
        <v>83</v>
      </c>
      <c r="I14" s="405">
        <f t="shared" si="1"/>
        <v>43</v>
      </c>
      <c r="J14" s="405">
        <v>109</v>
      </c>
      <c r="K14" s="787">
        <f t="shared" si="0"/>
        <v>0.74603174603174605</v>
      </c>
      <c r="L14" s="810"/>
      <c r="M14" s="802"/>
      <c r="N14" s="803"/>
      <c r="O14" s="804"/>
      <c r="P14" s="811"/>
      <c r="Q14" s="805"/>
      <c r="R14" s="806"/>
      <c r="S14" s="804"/>
      <c r="T14" s="807"/>
      <c r="U14" s="807"/>
      <c r="V14" s="806"/>
      <c r="W14" s="804"/>
      <c r="X14" s="802"/>
      <c r="Y14" s="802"/>
      <c r="Z14" s="806"/>
      <c r="AA14" s="809"/>
      <c r="AB14" s="494"/>
      <c r="AC14" s="399"/>
      <c r="AD14" s="399"/>
      <c r="AE14" s="495"/>
    </row>
    <row r="15" spans="1:31" ht="15.6">
      <c r="A15" s="1418"/>
      <c r="B15" s="314">
        <v>44792</v>
      </c>
      <c r="C15" s="405">
        <v>20013</v>
      </c>
      <c r="D15" s="780">
        <v>3462</v>
      </c>
      <c r="E15" s="787">
        <v>0.71</v>
      </c>
      <c r="F15" s="406">
        <v>134</v>
      </c>
      <c r="G15" s="405">
        <v>104</v>
      </c>
      <c r="H15" s="405">
        <v>80</v>
      </c>
      <c r="I15" s="405">
        <f t="shared" si="1"/>
        <v>54</v>
      </c>
      <c r="J15" s="405">
        <v>129</v>
      </c>
      <c r="K15" s="787">
        <f t="shared" si="0"/>
        <v>0.77611940298507465</v>
      </c>
      <c r="L15" s="810"/>
      <c r="M15" s="802"/>
      <c r="N15" s="803"/>
      <c r="O15" s="804"/>
      <c r="P15" s="811"/>
      <c r="Q15" s="805"/>
      <c r="R15" s="806"/>
      <c r="S15" s="804"/>
      <c r="T15" s="807"/>
      <c r="U15" s="807"/>
      <c r="V15" s="806"/>
      <c r="W15" s="804"/>
      <c r="X15" s="802"/>
      <c r="Y15" s="802"/>
      <c r="Z15" s="806"/>
      <c r="AA15" s="809"/>
      <c r="AB15" s="494"/>
      <c r="AC15" s="399"/>
      <c r="AD15" s="399"/>
      <c r="AE15" s="495"/>
    </row>
    <row r="16" spans="1:31" ht="15.6">
      <c r="A16" s="1418"/>
      <c r="B16" s="434">
        <v>44793</v>
      </c>
      <c r="C16" s="405">
        <v>20059</v>
      </c>
      <c r="D16" s="780">
        <v>3894</v>
      </c>
      <c r="E16" s="787">
        <v>0.67</v>
      </c>
      <c r="F16" s="406">
        <v>118</v>
      </c>
      <c r="G16" s="405">
        <v>96</v>
      </c>
      <c r="H16" s="405">
        <v>81</v>
      </c>
      <c r="I16" s="405">
        <f t="shared" si="1"/>
        <v>37</v>
      </c>
      <c r="J16" s="405">
        <v>73</v>
      </c>
      <c r="K16" s="787">
        <f t="shared" si="0"/>
        <v>0.81355932203389836</v>
      </c>
      <c r="L16" s="810"/>
      <c r="M16" s="802"/>
      <c r="N16" s="803"/>
      <c r="O16" s="804"/>
      <c r="P16" s="811"/>
      <c r="Q16" s="805"/>
      <c r="R16" s="806"/>
      <c r="S16" s="804"/>
      <c r="T16" s="807"/>
      <c r="U16" s="807"/>
      <c r="V16" s="806"/>
      <c r="W16" s="804"/>
      <c r="X16" s="802"/>
      <c r="Y16" s="802"/>
      <c r="Z16" s="806"/>
      <c r="AA16" s="809"/>
      <c r="AB16" s="494"/>
      <c r="AC16" s="399"/>
      <c r="AD16" s="399"/>
      <c r="AE16" s="495"/>
    </row>
    <row r="17" spans="1:31" s="426" customFormat="1" ht="15.6">
      <c r="A17" s="1447"/>
      <c r="B17" s="435">
        <v>44794</v>
      </c>
      <c r="C17" s="427">
        <v>19574</v>
      </c>
      <c r="D17" s="781">
        <v>3868</v>
      </c>
      <c r="E17" s="788">
        <v>0.69</v>
      </c>
      <c r="F17" s="428">
        <v>131</v>
      </c>
      <c r="G17" s="427">
        <v>102</v>
      </c>
      <c r="H17" s="427">
        <v>84</v>
      </c>
      <c r="I17" s="427">
        <f t="shared" si="1"/>
        <v>47</v>
      </c>
      <c r="J17" s="427">
        <v>127</v>
      </c>
      <c r="K17" s="788">
        <f t="shared" si="0"/>
        <v>0.77862595419847325</v>
      </c>
      <c r="L17" s="812"/>
      <c r="M17" s="813"/>
      <c r="N17" s="814"/>
      <c r="O17" s="815"/>
      <c r="P17" s="816"/>
      <c r="Q17" s="817"/>
      <c r="R17" s="818"/>
      <c r="S17" s="815"/>
      <c r="T17" s="819"/>
      <c r="U17" s="819"/>
      <c r="V17" s="818"/>
      <c r="W17" s="815"/>
      <c r="X17" s="813"/>
      <c r="Y17" s="813"/>
      <c r="Z17" s="818"/>
      <c r="AA17" s="820"/>
      <c r="AB17" s="496"/>
      <c r="AC17" s="432"/>
      <c r="AD17" s="432"/>
      <c r="AE17" s="497"/>
    </row>
    <row r="18" spans="1:31" ht="15.6">
      <c r="A18" s="1451"/>
      <c r="B18" s="414">
        <v>44795</v>
      </c>
      <c r="C18" s="491">
        <v>19340</v>
      </c>
      <c r="D18" s="779">
        <v>3638</v>
      </c>
      <c r="E18" s="786">
        <v>0.69</v>
      </c>
      <c r="F18" s="492">
        <v>140</v>
      </c>
      <c r="G18" s="491">
        <v>97</v>
      </c>
      <c r="H18" s="491">
        <v>97</v>
      </c>
      <c r="I18" s="491">
        <f t="shared" si="1"/>
        <v>43</v>
      </c>
      <c r="J18" s="491">
        <v>151</v>
      </c>
      <c r="K18" s="786">
        <f t="shared" si="0"/>
        <v>0.69285714285714284</v>
      </c>
      <c r="L18" s="793"/>
      <c r="M18" s="794"/>
      <c r="N18" s="795"/>
      <c r="O18" s="796"/>
      <c r="P18" s="794"/>
      <c r="Q18" s="797"/>
      <c r="R18" s="798"/>
      <c r="S18" s="796"/>
      <c r="T18" s="799"/>
      <c r="U18" s="799"/>
      <c r="V18" s="798"/>
      <c r="W18" s="796"/>
      <c r="X18" s="794"/>
      <c r="Y18" s="794"/>
      <c r="Z18" s="798"/>
      <c r="AA18" s="800"/>
      <c r="AB18" s="494"/>
      <c r="AC18" s="399"/>
      <c r="AD18" s="399"/>
      <c r="AE18" s="495"/>
    </row>
    <row r="19" spans="1:31" ht="15.6">
      <c r="A19" s="1417"/>
      <c r="B19" s="314">
        <v>44796</v>
      </c>
      <c r="C19" s="405">
        <v>17904</v>
      </c>
      <c r="D19" s="780">
        <v>3706</v>
      </c>
      <c r="E19" s="787">
        <v>0.69</v>
      </c>
      <c r="F19" s="406">
        <v>121</v>
      </c>
      <c r="G19" s="405">
        <v>95</v>
      </c>
      <c r="H19" s="405">
        <v>78</v>
      </c>
      <c r="I19" s="405">
        <f t="shared" si="1"/>
        <v>43</v>
      </c>
      <c r="J19" s="405">
        <v>119</v>
      </c>
      <c r="K19" s="787">
        <f t="shared" si="0"/>
        <v>0.78512396694214881</v>
      </c>
      <c r="L19" s="801"/>
      <c r="M19" s="802"/>
      <c r="N19" s="803"/>
      <c r="O19" s="804"/>
      <c r="P19" s="802"/>
      <c r="Q19" s="805"/>
      <c r="R19" s="806"/>
      <c r="S19" s="804"/>
      <c r="T19" s="807"/>
      <c r="U19" s="808"/>
      <c r="V19" s="806"/>
      <c r="W19" s="804"/>
      <c r="X19" s="802"/>
      <c r="Y19" s="802"/>
      <c r="Z19" s="806"/>
      <c r="AA19" s="809"/>
      <c r="AB19" s="494"/>
      <c r="AC19" s="399"/>
      <c r="AD19" s="399"/>
      <c r="AE19" s="495"/>
    </row>
    <row r="20" spans="1:31" ht="15.6">
      <c r="A20" s="1446"/>
      <c r="B20" s="314">
        <v>44797</v>
      </c>
      <c r="C20" s="405">
        <v>16318</v>
      </c>
      <c r="D20" s="780">
        <v>3590</v>
      </c>
      <c r="E20" s="787">
        <v>0.68</v>
      </c>
      <c r="F20" s="406">
        <v>128</v>
      </c>
      <c r="G20" s="405">
        <v>101</v>
      </c>
      <c r="H20" s="405">
        <v>77</v>
      </c>
      <c r="I20" s="405">
        <f t="shared" si="1"/>
        <v>51</v>
      </c>
      <c r="J20" s="405">
        <v>170</v>
      </c>
      <c r="K20" s="787">
        <f t="shared" si="0"/>
        <v>0.7890625</v>
      </c>
      <c r="L20" s="801"/>
      <c r="M20" s="802"/>
      <c r="N20" s="803"/>
      <c r="O20" s="804"/>
      <c r="P20" s="802"/>
      <c r="Q20" s="805"/>
      <c r="R20" s="806"/>
      <c r="S20" s="804"/>
      <c r="T20" s="807"/>
      <c r="U20" s="807"/>
      <c r="V20" s="806"/>
      <c r="W20" s="804"/>
      <c r="X20" s="802"/>
      <c r="Y20" s="802"/>
      <c r="Z20" s="806"/>
      <c r="AA20" s="809"/>
      <c r="AB20" s="494"/>
      <c r="AC20" s="399"/>
      <c r="AD20" s="399"/>
      <c r="AE20" s="495"/>
    </row>
    <row r="21" spans="1:31" ht="15.6">
      <c r="A21" s="1418"/>
      <c r="B21" s="314">
        <v>44798</v>
      </c>
      <c r="C21" s="405">
        <v>19877</v>
      </c>
      <c r="D21" s="780">
        <v>5898</v>
      </c>
      <c r="E21" s="787">
        <v>0.56000000000000005</v>
      </c>
      <c r="F21" s="406">
        <v>128</v>
      </c>
      <c r="G21" s="405">
        <v>83</v>
      </c>
      <c r="H21" s="405">
        <v>97</v>
      </c>
      <c r="I21" s="405">
        <f t="shared" si="1"/>
        <v>31</v>
      </c>
      <c r="J21" s="405">
        <v>130</v>
      </c>
      <c r="K21" s="787">
        <f t="shared" si="0"/>
        <v>0.6484375</v>
      </c>
      <c r="L21" s="810"/>
      <c r="M21" s="802"/>
      <c r="N21" s="803"/>
      <c r="O21" s="804"/>
      <c r="P21" s="811"/>
      <c r="Q21" s="805"/>
      <c r="R21" s="806"/>
      <c r="S21" s="804"/>
      <c r="T21" s="807"/>
      <c r="U21" s="807"/>
      <c r="V21" s="806"/>
      <c r="W21" s="804"/>
      <c r="X21" s="802"/>
      <c r="Y21" s="802"/>
      <c r="Z21" s="806"/>
      <c r="AA21" s="809"/>
      <c r="AB21" s="494"/>
      <c r="AC21" s="399"/>
      <c r="AD21" s="399"/>
      <c r="AE21" s="495"/>
    </row>
    <row r="22" spans="1:31" ht="15.6">
      <c r="A22" s="1418"/>
      <c r="B22" s="314">
        <v>44799</v>
      </c>
      <c r="C22" s="405">
        <v>17110</v>
      </c>
      <c r="D22" s="780">
        <v>4935</v>
      </c>
      <c r="E22" s="787">
        <v>0.59</v>
      </c>
      <c r="F22" s="406">
        <v>139</v>
      </c>
      <c r="G22" s="405">
        <v>98</v>
      </c>
      <c r="H22" s="405">
        <v>97</v>
      </c>
      <c r="I22" s="405">
        <f t="shared" si="1"/>
        <v>42</v>
      </c>
      <c r="J22" s="405">
        <v>117</v>
      </c>
      <c r="K22" s="787">
        <f t="shared" si="0"/>
        <v>0.70503597122302153</v>
      </c>
      <c r="L22" s="810"/>
      <c r="M22" s="802"/>
      <c r="N22" s="803"/>
      <c r="O22" s="804"/>
      <c r="P22" s="811"/>
      <c r="Q22" s="805"/>
      <c r="R22" s="806"/>
      <c r="S22" s="804"/>
      <c r="T22" s="807"/>
      <c r="U22" s="807"/>
      <c r="V22" s="806"/>
      <c r="W22" s="804"/>
      <c r="X22" s="802"/>
      <c r="Y22" s="802"/>
      <c r="Z22" s="806"/>
      <c r="AA22" s="809"/>
      <c r="AB22" s="494"/>
      <c r="AC22" s="399"/>
      <c r="AD22" s="399"/>
      <c r="AE22" s="495"/>
    </row>
    <row r="23" spans="1:31" ht="15.6">
      <c r="A23" s="1418"/>
      <c r="B23" s="434">
        <v>44800</v>
      </c>
      <c r="C23" s="405">
        <v>16528</v>
      </c>
      <c r="D23" s="780">
        <v>4490</v>
      </c>
      <c r="E23" s="787">
        <v>0.59</v>
      </c>
      <c r="F23" s="406">
        <v>150</v>
      </c>
      <c r="G23" s="405">
        <v>107</v>
      </c>
      <c r="H23" s="405">
        <v>92</v>
      </c>
      <c r="I23" s="405">
        <f t="shared" si="1"/>
        <v>58</v>
      </c>
      <c r="J23" s="405">
        <v>139</v>
      </c>
      <c r="K23" s="787">
        <f t="shared" si="0"/>
        <v>0.71333333333333337</v>
      </c>
      <c r="L23" s="810"/>
      <c r="M23" s="802"/>
      <c r="N23" s="803"/>
      <c r="O23" s="804"/>
      <c r="P23" s="811"/>
      <c r="Q23" s="805"/>
      <c r="R23" s="806"/>
      <c r="S23" s="804"/>
      <c r="T23" s="807"/>
      <c r="U23" s="807"/>
      <c r="V23" s="806"/>
      <c r="W23" s="804"/>
      <c r="X23" s="802"/>
      <c r="Y23" s="802"/>
      <c r="Z23" s="806"/>
      <c r="AA23" s="809"/>
      <c r="AB23" s="494"/>
      <c r="AC23" s="399"/>
      <c r="AD23" s="399"/>
      <c r="AE23" s="495"/>
    </row>
    <row r="24" spans="1:31" s="426" customFormat="1" ht="15.6">
      <c r="A24" s="1447"/>
      <c r="B24" s="435">
        <v>44801</v>
      </c>
      <c r="C24" s="427">
        <v>15643</v>
      </c>
      <c r="D24" s="781">
        <v>4190</v>
      </c>
      <c r="E24" s="788">
        <v>0.61</v>
      </c>
      <c r="F24" s="428">
        <v>126</v>
      </c>
      <c r="G24" s="427">
        <v>94</v>
      </c>
      <c r="H24" s="427">
        <v>94</v>
      </c>
      <c r="I24" s="427">
        <f t="shared" si="1"/>
        <v>32</v>
      </c>
      <c r="J24" s="427">
        <v>119</v>
      </c>
      <c r="K24" s="788">
        <f t="shared" si="0"/>
        <v>0.74603174603174605</v>
      </c>
      <c r="L24" s="812"/>
      <c r="M24" s="813"/>
      <c r="N24" s="814"/>
      <c r="O24" s="815"/>
      <c r="P24" s="816"/>
      <c r="Q24" s="817"/>
      <c r="R24" s="818"/>
      <c r="S24" s="815"/>
      <c r="T24" s="819"/>
      <c r="U24" s="819"/>
      <c r="V24" s="818"/>
      <c r="W24" s="815"/>
      <c r="X24" s="813"/>
      <c r="Y24" s="813"/>
      <c r="Z24" s="818"/>
      <c r="AA24" s="820"/>
      <c r="AB24" s="496"/>
      <c r="AC24" s="432"/>
      <c r="AD24" s="432"/>
      <c r="AE24" s="497"/>
    </row>
    <row r="25" spans="1:31" ht="15.6">
      <c r="A25" s="1451"/>
      <c r="B25" s="414">
        <v>44802</v>
      </c>
      <c r="C25" s="491">
        <v>16358</v>
      </c>
      <c r="D25" s="779">
        <v>4284</v>
      </c>
      <c r="E25" s="786">
        <v>0.59</v>
      </c>
      <c r="F25" s="492">
        <v>115</v>
      </c>
      <c r="G25" s="491">
        <v>81</v>
      </c>
      <c r="H25" s="491">
        <v>88</v>
      </c>
      <c r="I25" s="491">
        <f t="shared" si="1"/>
        <v>27</v>
      </c>
      <c r="J25" s="491">
        <v>150</v>
      </c>
      <c r="K25" s="786">
        <f t="shared" si="0"/>
        <v>0.70434782608695656</v>
      </c>
      <c r="L25" s="793"/>
      <c r="M25" s="794"/>
      <c r="N25" s="795"/>
      <c r="O25" s="796"/>
      <c r="P25" s="794"/>
      <c r="Q25" s="797"/>
      <c r="R25" s="798"/>
      <c r="S25" s="796"/>
      <c r="T25" s="799"/>
      <c r="U25" s="799"/>
      <c r="V25" s="798"/>
      <c r="W25" s="796"/>
      <c r="X25" s="794"/>
      <c r="Y25" s="794"/>
      <c r="Z25" s="798"/>
      <c r="AA25" s="800"/>
      <c r="AB25" s="494"/>
      <c r="AC25" s="399"/>
      <c r="AD25" s="399"/>
      <c r="AE25" s="495"/>
    </row>
    <row r="26" spans="1:31" ht="15.6">
      <c r="A26" s="1417"/>
      <c r="B26" s="314">
        <v>44803</v>
      </c>
      <c r="C26" s="405">
        <v>17818</v>
      </c>
      <c r="D26" s="780">
        <v>4503</v>
      </c>
      <c r="E26" s="787">
        <v>0.56999999999999995</v>
      </c>
      <c r="F26" s="406">
        <v>136</v>
      </c>
      <c r="G26" s="405">
        <v>94</v>
      </c>
      <c r="H26" s="405">
        <v>84</v>
      </c>
      <c r="I26" s="405">
        <f t="shared" si="1"/>
        <v>52</v>
      </c>
      <c r="J26" s="405">
        <v>139</v>
      </c>
      <c r="K26" s="787">
        <f t="shared" si="0"/>
        <v>0.69117647058823528</v>
      </c>
      <c r="L26" s="801"/>
      <c r="M26" s="802"/>
      <c r="N26" s="803"/>
      <c r="O26" s="804"/>
      <c r="P26" s="802"/>
      <c r="Q26" s="805"/>
      <c r="R26" s="806"/>
      <c r="S26" s="804"/>
      <c r="T26" s="807"/>
      <c r="U26" s="808"/>
      <c r="V26" s="806"/>
      <c r="W26" s="804"/>
      <c r="X26" s="802"/>
      <c r="Y26" s="802"/>
      <c r="Z26" s="806"/>
      <c r="AA26" s="809"/>
      <c r="AB26" s="494"/>
      <c r="AC26" s="399"/>
      <c r="AD26" s="399"/>
      <c r="AE26" s="495"/>
    </row>
    <row r="27" spans="1:31" ht="15.6">
      <c r="A27" s="1446"/>
      <c r="B27" s="314">
        <v>44804</v>
      </c>
      <c r="C27" s="405">
        <v>17379</v>
      </c>
      <c r="D27" s="780">
        <v>4293</v>
      </c>
      <c r="E27" s="787">
        <v>0.59</v>
      </c>
      <c r="F27" s="406">
        <v>143</v>
      </c>
      <c r="G27" s="405">
        <v>107</v>
      </c>
      <c r="H27" s="405">
        <v>79</v>
      </c>
      <c r="I27" s="405">
        <f t="shared" si="1"/>
        <v>64</v>
      </c>
      <c r="J27" s="405">
        <v>104</v>
      </c>
      <c r="K27" s="787">
        <f t="shared" si="0"/>
        <v>0.74825174825174823</v>
      </c>
      <c r="L27" s="801"/>
      <c r="M27" s="802"/>
      <c r="N27" s="803"/>
      <c r="O27" s="804"/>
      <c r="P27" s="802"/>
      <c r="Q27" s="805"/>
      <c r="R27" s="806"/>
      <c r="S27" s="804"/>
      <c r="T27" s="807"/>
      <c r="U27" s="807"/>
      <c r="V27" s="806"/>
      <c r="W27" s="804"/>
      <c r="X27" s="802"/>
      <c r="Y27" s="802"/>
      <c r="Z27" s="806"/>
      <c r="AA27" s="809"/>
      <c r="AB27" s="494"/>
      <c r="AC27" s="399"/>
      <c r="AD27" s="399"/>
      <c r="AE27" s="495"/>
    </row>
    <row r="28" spans="1:31" ht="15.6">
      <c r="A28" s="1418"/>
      <c r="B28" s="314">
        <v>44805</v>
      </c>
      <c r="C28" s="405">
        <v>18495</v>
      </c>
      <c r="D28" s="780">
        <v>6224</v>
      </c>
      <c r="E28" s="787">
        <v>0.55000000000000004</v>
      </c>
      <c r="F28" s="406">
        <v>139</v>
      </c>
      <c r="G28" s="405">
        <v>110</v>
      </c>
      <c r="H28" s="405">
        <v>94</v>
      </c>
      <c r="I28" s="405">
        <v>45</v>
      </c>
      <c r="J28" s="405">
        <v>146</v>
      </c>
      <c r="K28" s="787">
        <f t="shared" si="0"/>
        <v>0.79136690647482011</v>
      </c>
      <c r="L28" s="810"/>
      <c r="M28" s="802"/>
      <c r="N28" s="803"/>
      <c r="O28" s="804"/>
      <c r="P28" s="811"/>
      <c r="Q28" s="805"/>
      <c r="R28" s="806"/>
      <c r="S28" s="804"/>
      <c r="T28" s="807"/>
      <c r="U28" s="807"/>
      <c r="V28" s="806"/>
      <c r="W28" s="804"/>
      <c r="X28" s="802"/>
      <c r="Y28" s="802"/>
      <c r="Z28" s="806"/>
      <c r="AA28" s="809"/>
      <c r="AB28" s="494">
        <v>18</v>
      </c>
      <c r="AC28" s="399">
        <v>2</v>
      </c>
      <c r="AD28" s="399">
        <v>3</v>
      </c>
      <c r="AE28" s="495">
        <v>0</v>
      </c>
    </row>
    <row r="29" spans="1:31" ht="15.6">
      <c r="A29" s="1418"/>
      <c r="B29" s="314">
        <v>44806</v>
      </c>
      <c r="C29" s="405">
        <v>18034</v>
      </c>
      <c r="D29" s="780">
        <v>5741</v>
      </c>
      <c r="E29" s="787">
        <v>0.55000000000000004</v>
      </c>
      <c r="F29" s="406">
        <v>130</v>
      </c>
      <c r="G29" s="405">
        <v>88</v>
      </c>
      <c r="H29" s="405">
        <v>92</v>
      </c>
      <c r="I29" s="405">
        <v>38</v>
      </c>
      <c r="J29" s="405">
        <v>194</v>
      </c>
      <c r="K29" s="787">
        <f t="shared" si="0"/>
        <v>0.67692307692307696</v>
      </c>
      <c r="L29" s="810"/>
      <c r="M29" s="802"/>
      <c r="N29" s="803"/>
      <c r="O29" s="804"/>
      <c r="P29" s="811"/>
      <c r="Q29" s="805"/>
      <c r="R29" s="806"/>
      <c r="S29" s="804"/>
      <c r="T29" s="807"/>
      <c r="U29" s="807"/>
      <c r="V29" s="806"/>
      <c r="W29" s="804"/>
      <c r="X29" s="802"/>
      <c r="Y29" s="802"/>
      <c r="Z29" s="806"/>
      <c r="AA29" s="809"/>
      <c r="AB29" s="494">
        <v>37</v>
      </c>
      <c r="AC29" s="399">
        <v>2</v>
      </c>
      <c r="AD29" s="399">
        <v>8</v>
      </c>
      <c r="AE29" s="495">
        <v>1</v>
      </c>
    </row>
    <row r="30" spans="1:31" ht="15.6">
      <c r="A30" s="1418"/>
      <c r="B30" s="434">
        <v>44807</v>
      </c>
      <c r="C30" s="405">
        <v>19602</v>
      </c>
      <c r="D30" s="780">
        <v>6878</v>
      </c>
      <c r="E30" s="787">
        <v>0.55000000000000004</v>
      </c>
      <c r="F30" s="406">
        <v>159</v>
      </c>
      <c r="G30" s="405">
        <v>100</v>
      </c>
      <c r="H30" s="405">
        <v>107</v>
      </c>
      <c r="I30" s="405">
        <v>52</v>
      </c>
      <c r="J30" s="405">
        <v>230</v>
      </c>
      <c r="K30" s="787">
        <f t="shared" si="0"/>
        <v>0.62893081761006286</v>
      </c>
      <c r="L30" s="810"/>
      <c r="M30" s="802"/>
      <c r="N30" s="803"/>
      <c r="O30" s="804"/>
      <c r="P30" s="811"/>
      <c r="Q30" s="805"/>
      <c r="R30" s="806"/>
      <c r="S30" s="804"/>
      <c r="T30" s="807"/>
      <c r="U30" s="807"/>
      <c r="V30" s="806"/>
      <c r="W30" s="804"/>
      <c r="X30" s="802"/>
      <c r="Y30" s="802"/>
      <c r="Z30" s="806"/>
      <c r="AA30" s="809"/>
      <c r="AB30" s="494">
        <v>49</v>
      </c>
      <c r="AC30" s="399">
        <v>3</v>
      </c>
      <c r="AD30" s="399">
        <v>4</v>
      </c>
      <c r="AE30" s="495">
        <v>0</v>
      </c>
    </row>
    <row r="31" spans="1:31" s="426" customFormat="1" ht="15.6">
      <c r="A31" s="1447"/>
      <c r="B31" s="435">
        <v>44808</v>
      </c>
      <c r="C31" s="427">
        <v>16862</v>
      </c>
      <c r="D31" s="781">
        <v>4892</v>
      </c>
      <c r="E31" s="788">
        <v>0.6</v>
      </c>
      <c r="F31" s="428">
        <v>136</v>
      </c>
      <c r="G31" s="427">
        <v>97</v>
      </c>
      <c r="H31" s="427">
        <v>92</v>
      </c>
      <c r="I31" s="427">
        <v>44</v>
      </c>
      <c r="J31" s="427">
        <v>123</v>
      </c>
      <c r="K31" s="788">
        <f t="shared" si="0"/>
        <v>0.71323529411764708</v>
      </c>
      <c r="L31" s="812"/>
      <c r="M31" s="813"/>
      <c r="N31" s="814"/>
      <c r="O31" s="815"/>
      <c r="P31" s="816"/>
      <c r="Q31" s="817"/>
      <c r="R31" s="818"/>
      <c r="S31" s="815"/>
      <c r="T31" s="819"/>
      <c r="U31" s="819"/>
      <c r="V31" s="818"/>
      <c r="W31" s="815"/>
      <c r="X31" s="813"/>
      <c r="Y31" s="813"/>
      <c r="Z31" s="818"/>
      <c r="AA31" s="820"/>
      <c r="AB31" s="496">
        <v>35</v>
      </c>
      <c r="AC31" s="432">
        <v>4</v>
      </c>
      <c r="AD31" s="432">
        <v>1</v>
      </c>
      <c r="AE31" s="497">
        <v>0</v>
      </c>
    </row>
    <row r="32" spans="1:31" ht="15.6">
      <c r="A32" s="1451"/>
      <c r="B32" s="414">
        <v>44809</v>
      </c>
      <c r="C32" s="491">
        <v>13131</v>
      </c>
      <c r="D32" s="779">
        <v>4745</v>
      </c>
      <c r="E32" s="786">
        <v>0.61</v>
      </c>
      <c r="F32" s="492">
        <v>131</v>
      </c>
      <c r="G32" s="491">
        <v>92</v>
      </c>
      <c r="H32" s="491">
        <v>90</v>
      </c>
      <c r="I32" s="491">
        <v>41</v>
      </c>
      <c r="J32" s="491">
        <v>128</v>
      </c>
      <c r="K32" s="786">
        <f t="shared" si="0"/>
        <v>0.70229007633587781</v>
      </c>
      <c r="L32" s="793"/>
      <c r="M32" s="794"/>
      <c r="N32" s="795"/>
      <c r="O32" s="796"/>
      <c r="P32" s="794"/>
      <c r="Q32" s="797"/>
      <c r="R32" s="798"/>
      <c r="S32" s="796"/>
      <c r="T32" s="799"/>
      <c r="U32" s="799"/>
      <c r="V32" s="798"/>
      <c r="W32" s="796"/>
      <c r="X32" s="794"/>
      <c r="Y32" s="794"/>
      <c r="Z32" s="798"/>
      <c r="AA32" s="800"/>
      <c r="AB32" s="494">
        <v>20</v>
      </c>
      <c r="AC32" s="399">
        <v>4</v>
      </c>
      <c r="AD32" s="399">
        <v>2</v>
      </c>
      <c r="AE32" s="495">
        <v>1</v>
      </c>
    </row>
    <row r="33" spans="1:31" ht="15.6">
      <c r="A33" s="1417"/>
      <c r="B33" s="314">
        <v>44810</v>
      </c>
      <c r="C33" s="405">
        <v>13761</v>
      </c>
      <c r="D33" s="780">
        <v>5041</v>
      </c>
      <c r="E33" s="787">
        <v>0.59</v>
      </c>
      <c r="F33" s="406">
        <v>128</v>
      </c>
      <c r="G33" s="405">
        <v>86</v>
      </c>
      <c r="H33" s="405">
        <v>89</v>
      </c>
      <c r="I33" s="405">
        <v>39</v>
      </c>
      <c r="J33" s="405">
        <v>209</v>
      </c>
      <c r="K33" s="787">
        <f t="shared" si="0"/>
        <v>0.671875</v>
      </c>
      <c r="L33" s="801"/>
      <c r="M33" s="802"/>
      <c r="N33" s="803"/>
      <c r="O33" s="804"/>
      <c r="P33" s="802"/>
      <c r="Q33" s="805"/>
      <c r="R33" s="806"/>
      <c r="S33" s="804"/>
      <c r="T33" s="807"/>
      <c r="U33" s="808"/>
      <c r="V33" s="806"/>
      <c r="W33" s="804"/>
      <c r="X33" s="802"/>
      <c r="Y33" s="802"/>
      <c r="Z33" s="806"/>
      <c r="AA33" s="809"/>
      <c r="AB33" s="494">
        <v>28</v>
      </c>
      <c r="AC33" s="399">
        <v>2</v>
      </c>
      <c r="AD33" s="399">
        <v>3</v>
      </c>
      <c r="AE33" s="495">
        <v>0</v>
      </c>
    </row>
    <row r="34" spans="1:31" ht="15.6">
      <c r="A34" s="1446"/>
      <c r="B34" s="314">
        <v>44811</v>
      </c>
      <c r="C34" s="405">
        <v>15096</v>
      </c>
      <c r="D34" s="780">
        <v>5740</v>
      </c>
      <c r="E34" s="787">
        <v>0.57999999999999996</v>
      </c>
      <c r="F34" s="406">
        <v>139</v>
      </c>
      <c r="G34" s="405">
        <v>90</v>
      </c>
      <c r="H34" s="405">
        <v>104</v>
      </c>
      <c r="I34" s="405">
        <v>35</v>
      </c>
      <c r="J34" s="405">
        <v>179</v>
      </c>
      <c r="K34" s="787">
        <f t="shared" si="0"/>
        <v>0.64748201438848918</v>
      </c>
      <c r="L34" s="801"/>
      <c r="M34" s="802"/>
      <c r="N34" s="803"/>
      <c r="O34" s="804"/>
      <c r="P34" s="802"/>
      <c r="Q34" s="805"/>
      <c r="R34" s="806"/>
      <c r="S34" s="804"/>
      <c r="T34" s="807"/>
      <c r="U34" s="807"/>
      <c r="V34" s="806"/>
      <c r="W34" s="804"/>
      <c r="X34" s="802"/>
      <c r="Y34" s="802"/>
      <c r="Z34" s="806"/>
      <c r="AA34" s="809"/>
      <c r="AB34" s="494">
        <v>17</v>
      </c>
      <c r="AC34" s="399">
        <v>3</v>
      </c>
      <c r="AD34" s="399">
        <v>4</v>
      </c>
      <c r="AE34" s="495">
        <v>0</v>
      </c>
    </row>
    <row r="35" spans="1:31" ht="15.6">
      <c r="A35" s="1418"/>
      <c r="B35" s="314">
        <v>44812</v>
      </c>
      <c r="C35" s="405">
        <v>17650</v>
      </c>
      <c r="D35" s="780">
        <v>5652</v>
      </c>
      <c r="E35" s="787">
        <v>0.62</v>
      </c>
      <c r="F35" s="406">
        <v>133</v>
      </c>
      <c r="G35" s="405">
        <v>96</v>
      </c>
      <c r="H35" s="405">
        <v>99</v>
      </c>
      <c r="I35" s="405">
        <v>34</v>
      </c>
      <c r="J35" s="405">
        <v>146</v>
      </c>
      <c r="K35" s="787">
        <f t="shared" si="0"/>
        <v>0.72180451127819545</v>
      </c>
      <c r="L35" s="810"/>
      <c r="M35" s="802"/>
      <c r="N35" s="803"/>
      <c r="O35" s="804"/>
      <c r="P35" s="811"/>
      <c r="Q35" s="805"/>
      <c r="R35" s="806"/>
      <c r="S35" s="804"/>
      <c r="T35" s="807"/>
      <c r="U35" s="807"/>
      <c r="V35" s="806"/>
      <c r="W35" s="804"/>
      <c r="X35" s="802"/>
      <c r="Y35" s="802"/>
      <c r="Z35" s="806"/>
      <c r="AA35" s="809"/>
      <c r="AB35" s="494">
        <v>17</v>
      </c>
      <c r="AC35" s="399">
        <v>4</v>
      </c>
      <c r="AD35" s="399">
        <v>2</v>
      </c>
      <c r="AE35" s="495">
        <v>0</v>
      </c>
    </row>
    <row r="36" spans="1:31" ht="15.6">
      <c r="A36" s="1418"/>
      <c r="B36" s="314">
        <v>44813</v>
      </c>
      <c r="C36" s="405">
        <v>25828</v>
      </c>
      <c r="D36" s="780">
        <v>6820</v>
      </c>
      <c r="E36" s="787">
        <v>0.67</v>
      </c>
      <c r="F36" s="406">
        <v>170</v>
      </c>
      <c r="G36" s="405">
        <v>120</v>
      </c>
      <c r="H36" s="405">
        <v>114</v>
      </c>
      <c r="I36" s="405">
        <v>56</v>
      </c>
      <c r="J36" s="405">
        <v>258</v>
      </c>
      <c r="K36" s="787">
        <f t="shared" si="0"/>
        <v>0.70588235294117652</v>
      </c>
      <c r="L36" s="810"/>
      <c r="M36" s="802"/>
      <c r="N36" s="803"/>
      <c r="O36" s="804"/>
      <c r="P36" s="811"/>
      <c r="Q36" s="805"/>
      <c r="R36" s="806"/>
      <c r="S36" s="804"/>
      <c r="T36" s="807"/>
      <c r="U36" s="807"/>
      <c r="V36" s="806"/>
      <c r="W36" s="804"/>
      <c r="X36" s="802"/>
      <c r="Y36" s="802"/>
      <c r="Z36" s="806"/>
      <c r="AA36" s="809"/>
      <c r="AB36" s="494">
        <v>37</v>
      </c>
      <c r="AC36" s="399">
        <v>2</v>
      </c>
      <c r="AD36" s="399">
        <v>4</v>
      </c>
      <c r="AE36" s="495">
        <v>0</v>
      </c>
    </row>
    <row r="37" spans="1:31" ht="15.6">
      <c r="A37" s="1418"/>
      <c r="B37" s="434">
        <v>44814</v>
      </c>
      <c r="C37" s="405">
        <v>26827</v>
      </c>
      <c r="D37" s="780">
        <v>6402</v>
      </c>
      <c r="E37" s="787">
        <v>0.62</v>
      </c>
      <c r="F37" s="406">
        <v>163</v>
      </c>
      <c r="G37" s="405">
        <v>104</v>
      </c>
      <c r="H37" s="405">
        <v>105</v>
      </c>
      <c r="I37" s="405">
        <v>58</v>
      </c>
      <c r="J37" s="405">
        <v>144</v>
      </c>
      <c r="K37" s="787">
        <f t="shared" si="0"/>
        <v>0.6380368098159509</v>
      </c>
      <c r="L37" s="810"/>
      <c r="M37" s="802"/>
      <c r="N37" s="803"/>
      <c r="O37" s="804"/>
      <c r="P37" s="811"/>
      <c r="Q37" s="805"/>
      <c r="R37" s="806"/>
      <c r="S37" s="804"/>
      <c r="T37" s="807"/>
      <c r="U37" s="807"/>
      <c r="V37" s="806"/>
      <c r="W37" s="804"/>
      <c r="X37" s="802"/>
      <c r="Y37" s="802"/>
      <c r="Z37" s="806"/>
      <c r="AA37" s="809"/>
      <c r="AB37" s="494">
        <v>42</v>
      </c>
      <c r="AC37" s="399">
        <v>3</v>
      </c>
      <c r="AD37" s="399">
        <v>5</v>
      </c>
      <c r="AE37" s="495">
        <v>0</v>
      </c>
    </row>
    <row r="38" spans="1:31" s="426" customFormat="1" ht="15.6">
      <c r="A38" s="1447"/>
      <c r="B38" s="435">
        <v>44815</v>
      </c>
      <c r="C38" s="427">
        <v>26824</v>
      </c>
      <c r="D38" s="781">
        <v>5557</v>
      </c>
      <c r="E38" s="788">
        <v>0.65</v>
      </c>
      <c r="F38" s="428">
        <v>168</v>
      </c>
      <c r="G38" s="427">
        <v>105</v>
      </c>
      <c r="H38" s="427">
        <v>116</v>
      </c>
      <c r="I38" s="427">
        <v>52</v>
      </c>
      <c r="J38" s="427">
        <v>146</v>
      </c>
      <c r="K38" s="788">
        <f t="shared" si="0"/>
        <v>0.625</v>
      </c>
      <c r="L38" s="812"/>
      <c r="M38" s="813"/>
      <c r="N38" s="814"/>
      <c r="O38" s="815"/>
      <c r="P38" s="816"/>
      <c r="Q38" s="817"/>
      <c r="R38" s="818"/>
      <c r="S38" s="815"/>
      <c r="T38" s="819"/>
      <c r="U38" s="819"/>
      <c r="V38" s="818"/>
      <c r="W38" s="815"/>
      <c r="X38" s="813"/>
      <c r="Y38" s="813"/>
      <c r="Z38" s="818"/>
      <c r="AA38" s="820"/>
      <c r="AB38" s="496">
        <v>16</v>
      </c>
      <c r="AC38" s="432">
        <v>2</v>
      </c>
      <c r="AD38" s="432">
        <v>3</v>
      </c>
      <c r="AE38" s="497">
        <v>0</v>
      </c>
    </row>
    <row r="39" spans="1:31" ht="15.6">
      <c r="A39" s="1451"/>
      <c r="B39" s="414">
        <v>44816</v>
      </c>
      <c r="C39" s="491">
        <v>26659</v>
      </c>
      <c r="D39" s="779">
        <v>5269</v>
      </c>
      <c r="E39" s="786">
        <v>0.68</v>
      </c>
      <c r="F39" s="492">
        <v>149</v>
      </c>
      <c r="G39" s="491">
        <v>100</v>
      </c>
      <c r="H39" s="491">
        <v>103</v>
      </c>
      <c r="I39" s="491">
        <v>46</v>
      </c>
      <c r="J39" s="491">
        <v>175</v>
      </c>
      <c r="K39" s="786">
        <f t="shared" si="0"/>
        <v>0.67114093959731547</v>
      </c>
      <c r="L39" s="793"/>
      <c r="M39" s="794"/>
      <c r="N39" s="795"/>
      <c r="O39" s="796"/>
      <c r="P39" s="794"/>
      <c r="Q39" s="797"/>
      <c r="R39" s="798"/>
      <c r="S39" s="796"/>
      <c r="T39" s="799"/>
      <c r="U39" s="799"/>
      <c r="V39" s="798"/>
      <c r="W39" s="796"/>
      <c r="X39" s="794"/>
      <c r="Y39" s="794"/>
      <c r="Z39" s="798"/>
      <c r="AA39" s="800"/>
      <c r="AB39" s="494">
        <v>35</v>
      </c>
      <c r="AC39" s="399">
        <v>1</v>
      </c>
      <c r="AD39" s="399">
        <v>2</v>
      </c>
      <c r="AE39" s="495">
        <v>0</v>
      </c>
    </row>
    <row r="40" spans="1:31" ht="15.6">
      <c r="A40" s="1417"/>
      <c r="B40" s="314">
        <v>44817</v>
      </c>
      <c r="C40" s="405">
        <v>32265</v>
      </c>
      <c r="D40" s="780">
        <v>5420</v>
      </c>
      <c r="E40" s="787">
        <v>0.72</v>
      </c>
      <c r="F40" s="406">
        <v>157</v>
      </c>
      <c r="G40" s="405">
        <v>98</v>
      </c>
      <c r="H40" s="405">
        <v>108</v>
      </c>
      <c r="I40" s="405">
        <v>49</v>
      </c>
      <c r="J40" s="405">
        <v>133</v>
      </c>
      <c r="K40" s="787">
        <f t="shared" si="0"/>
        <v>0.62420382165605093</v>
      </c>
      <c r="L40" s="801"/>
      <c r="M40" s="802"/>
      <c r="N40" s="803"/>
      <c r="O40" s="804"/>
      <c r="P40" s="802"/>
      <c r="Q40" s="805"/>
      <c r="R40" s="806"/>
      <c r="S40" s="804"/>
      <c r="T40" s="807"/>
      <c r="U40" s="808"/>
      <c r="V40" s="806"/>
      <c r="W40" s="804"/>
      <c r="X40" s="802"/>
      <c r="Y40" s="802"/>
      <c r="Z40" s="806"/>
      <c r="AA40" s="809"/>
      <c r="AB40" s="494">
        <v>29</v>
      </c>
      <c r="AC40" s="399">
        <v>3</v>
      </c>
      <c r="AD40" s="399">
        <v>4</v>
      </c>
      <c r="AE40" s="495">
        <v>1</v>
      </c>
    </row>
    <row r="41" spans="1:31" ht="15.6">
      <c r="A41" s="1446"/>
      <c r="B41" s="314">
        <v>44818</v>
      </c>
      <c r="C41" s="405">
        <v>33088</v>
      </c>
      <c r="D41" s="780">
        <v>5516</v>
      </c>
      <c r="E41" s="787">
        <v>0.68</v>
      </c>
      <c r="F41" s="406">
        <v>138</v>
      </c>
      <c r="G41" s="405">
        <v>105</v>
      </c>
      <c r="H41" s="405">
        <v>96</v>
      </c>
      <c r="I41" s="405">
        <v>42</v>
      </c>
      <c r="J41" s="405">
        <v>115</v>
      </c>
      <c r="K41" s="787">
        <f t="shared" si="0"/>
        <v>0.76086956521739135</v>
      </c>
      <c r="L41" s="801"/>
      <c r="M41" s="802"/>
      <c r="N41" s="803"/>
      <c r="O41" s="804"/>
      <c r="P41" s="802"/>
      <c r="Q41" s="805"/>
      <c r="R41" s="806"/>
      <c r="S41" s="804"/>
      <c r="T41" s="807"/>
      <c r="U41" s="807"/>
      <c r="V41" s="806"/>
      <c r="W41" s="804"/>
      <c r="X41" s="802"/>
      <c r="Y41" s="802"/>
      <c r="Z41" s="806"/>
      <c r="AA41" s="809"/>
      <c r="AB41" s="494">
        <v>21</v>
      </c>
      <c r="AC41" s="399">
        <v>1</v>
      </c>
      <c r="AD41" s="399">
        <v>4</v>
      </c>
      <c r="AE41" s="495">
        <v>0</v>
      </c>
    </row>
    <row r="42" spans="1:31" ht="15.6">
      <c r="A42" s="1418"/>
      <c r="B42" s="314">
        <v>44819</v>
      </c>
      <c r="C42" s="405">
        <v>32497</v>
      </c>
      <c r="D42" s="780">
        <v>5626</v>
      </c>
      <c r="E42" s="787">
        <v>0.69</v>
      </c>
      <c r="F42" s="406">
        <v>146</v>
      </c>
      <c r="G42" s="405">
        <v>95</v>
      </c>
      <c r="H42" s="405">
        <v>93</v>
      </c>
      <c r="I42" s="405">
        <v>53</v>
      </c>
      <c r="J42" s="405">
        <v>131</v>
      </c>
      <c r="K42" s="787">
        <f t="shared" ref="K42:K44" si="2">G42/F42</f>
        <v>0.65068493150684936</v>
      </c>
      <c r="L42" s="810"/>
      <c r="M42" s="802"/>
      <c r="N42" s="803"/>
      <c r="O42" s="804"/>
      <c r="P42" s="811"/>
      <c r="Q42" s="805"/>
      <c r="R42" s="806"/>
      <c r="S42" s="804"/>
      <c r="T42" s="807"/>
      <c r="U42" s="807"/>
      <c r="V42" s="806"/>
      <c r="W42" s="804"/>
      <c r="X42" s="802"/>
      <c r="Y42" s="802"/>
      <c r="Z42" s="806"/>
      <c r="AA42" s="809"/>
      <c r="AB42" s="494">
        <v>32</v>
      </c>
      <c r="AC42" s="399">
        <v>2</v>
      </c>
      <c r="AD42" s="399">
        <v>2</v>
      </c>
      <c r="AE42" s="495">
        <v>0</v>
      </c>
    </row>
    <row r="43" spans="1:31" ht="15.6">
      <c r="A43" s="1418"/>
      <c r="B43" s="434">
        <v>44820</v>
      </c>
      <c r="C43" s="405">
        <v>34029</v>
      </c>
      <c r="D43" s="780">
        <v>6951</v>
      </c>
      <c r="E43" s="787">
        <v>0.66</v>
      </c>
      <c r="F43" s="406">
        <v>210</v>
      </c>
      <c r="G43" s="405">
        <v>130</v>
      </c>
      <c r="H43" s="405">
        <v>130</v>
      </c>
      <c r="I43" s="405">
        <v>80</v>
      </c>
      <c r="J43" s="405">
        <v>171</v>
      </c>
      <c r="K43" s="787">
        <f t="shared" si="2"/>
        <v>0.61904761904761907</v>
      </c>
      <c r="L43" s="810"/>
      <c r="M43" s="802"/>
      <c r="N43" s="803"/>
      <c r="O43" s="804"/>
      <c r="P43" s="811"/>
      <c r="Q43" s="805"/>
      <c r="R43" s="806"/>
      <c r="S43" s="804"/>
      <c r="T43" s="807"/>
      <c r="U43" s="807"/>
      <c r="V43" s="806"/>
      <c r="W43" s="804"/>
      <c r="X43" s="802"/>
      <c r="Y43" s="802"/>
      <c r="Z43" s="806"/>
      <c r="AA43" s="809"/>
      <c r="AB43" s="494">
        <v>26</v>
      </c>
      <c r="AC43" s="399">
        <v>2</v>
      </c>
      <c r="AD43" s="399">
        <v>3</v>
      </c>
      <c r="AE43" s="495">
        <v>0</v>
      </c>
    </row>
    <row r="44" spans="1:31" ht="15.6">
      <c r="A44" s="1438"/>
      <c r="B44" s="840">
        <v>44821</v>
      </c>
      <c r="C44" s="748">
        <v>33812</v>
      </c>
      <c r="D44" s="841">
        <v>8432</v>
      </c>
      <c r="E44" s="842">
        <v>0.62</v>
      </c>
      <c r="F44" s="843">
        <v>203</v>
      </c>
      <c r="G44" s="748">
        <v>113</v>
      </c>
      <c r="H44" s="748">
        <v>145</v>
      </c>
      <c r="I44" s="748">
        <v>58</v>
      </c>
      <c r="J44" s="748">
        <v>249</v>
      </c>
      <c r="K44" s="842">
        <f t="shared" si="2"/>
        <v>0.55665024630541871</v>
      </c>
      <c r="L44" s="844"/>
      <c r="M44" s="845"/>
      <c r="N44" s="846"/>
      <c r="O44" s="847"/>
      <c r="P44" s="848"/>
      <c r="Q44" s="849"/>
      <c r="R44" s="850"/>
      <c r="S44" s="847"/>
      <c r="T44" s="851"/>
      <c r="U44" s="851"/>
      <c r="V44" s="850"/>
      <c r="W44" s="847"/>
      <c r="X44" s="845"/>
      <c r="Y44" s="845"/>
      <c r="Z44" s="850"/>
      <c r="AA44" s="852"/>
      <c r="AB44" s="755">
        <v>32</v>
      </c>
      <c r="AC44" s="756">
        <v>6</v>
      </c>
      <c r="AD44" s="756">
        <v>9</v>
      </c>
      <c r="AE44" s="757">
        <v>0</v>
      </c>
    </row>
    <row r="45" spans="1:31" s="839" customFormat="1" ht="27.6">
      <c r="A45" s="1448" t="s">
        <v>336</v>
      </c>
      <c r="B45" s="823">
        <v>44822</v>
      </c>
      <c r="C45" s="824">
        <v>38720</v>
      </c>
      <c r="D45" s="825">
        <v>6078</v>
      </c>
      <c r="E45" s="826">
        <v>0.71</v>
      </c>
      <c r="F45" s="827">
        <v>2195</v>
      </c>
      <c r="G45" s="824">
        <v>1803</v>
      </c>
      <c r="H45" s="824">
        <v>189</v>
      </c>
      <c r="I45" s="824">
        <v>2006</v>
      </c>
      <c r="J45" s="824">
        <v>52</v>
      </c>
      <c r="K45" s="826">
        <f>G45/F45</f>
        <v>0.82141230068337134</v>
      </c>
      <c r="L45" s="828">
        <v>45</v>
      </c>
      <c r="M45" s="829">
        <v>39</v>
      </c>
      <c r="N45" s="830">
        <f t="shared" ref="N45:N51" si="3">M45/L45</f>
        <v>0.8666666666666667</v>
      </c>
      <c r="O45" s="831">
        <v>23.666666666666668</v>
      </c>
      <c r="P45" s="832">
        <v>17</v>
      </c>
      <c r="Q45" s="833">
        <v>15</v>
      </c>
      <c r="R45" s="834">
        <f t="shared" ref="R45:R76" si="4">Q45/P45</f>
        <v>0.88235294117647056</v>
      </c>
      <c r="S45" s="831">
        <v>8</v>
      </c>
      <c r="T45" s="835">
        <v>34</v>
      </c>
      <c r="U45" s="835">
        <v>26</v>
      </c>
      <c r="V45" s="834">
        <f t="shared" ref="V45:V76" si="5">U45/T45</f>
        <v>0.76470588235294112</v>
      </c>
      <c r="W45" s="831">
        <v>5.5</v>
      </c>
      <c r="X45" s="832">
        <v>1850</v>
      </c>
      <c r="Y45" s="832">
        <v>1638</v>
      </c>
      <c r="Z45" s="834">
        <f t="shared" ref="Z45:Z54" si="6">Y45/X45</f>
        <v>0.88540540540540535</v>
      </c>
      <c r="AA45" s="836">
        <v>26</v>
      </c>
      <c r="AB45" s="837">
        <v>42</v>
      </c>
      <c r="AC45" s="832">
        <v>3</v>
      </c>
      <c r="AD45" s="832">
        <v>4</v>
      </c>
      <c r="AE45" s="838">
        <v>0</v>
      </c>
    </row>
    <row r="46" spans="1:31" ht="15.6">
      <c r="A46" s="1417"/>
      <c r="B46" s="314">
        <v>44823</v>
      </c>
      <c r="C46" s="405">
        <v>37252</v>
      </c>
      <c r="D46" s="780">
        <v>5693</v>
      </c>
      <c r="E46" s="787">
        <v>0.71</v>
      </c>
      <c r="F46" s="406">
        <v>2823</v>
      </c>
      <c r="G46" s="405">
        <v>2392</v>
      </c>
      <c r="H46" s="405">
        <v>126</v>
      </c>
      <c r="I46" s="405">
        <v>2697</v>
      </c>
      <c r="J46" s="405">
        <v>46</v>
      </c>
      <c r="K46" s="787">
        <f>G46/F46</f>
        <v>0.84732554020545514</v>
      </c>
      <c r="L46" s="411">
        <v>169</v>
      </c>
      <c r="M46" s="400">
        <v>162</v>
      </c>
      <c r="N46" s="401">
        <f t="shared" si="3"/>
        <v>0.95857988165680474</v>
      </c>
      <c r="O46" s="529">
        <v>3.3333333333333335</v>
      </c>
      <c r="P46" s="399">
        <v>20</v>
      </c>
      <c r="Q46" s="649">
        <v>19</v>
      </c>
      <c r="R46" s="533">
        <f t="shared" si="4"/>
        <v>0.95</v>
      </c>
      <c r="S46" s="529">
        <v>2</v>
      </c>
      <c r="T46" s="409">
        <v>98</v>
      </c>
      <c r="U46" s="409">
        <v>70</v>
      </c>
      <c r="V46" s="533">
        <f t="shared" si="5"/>
        <v>0.7142857142857143</v>
      </c>
      <c r="W46" s="529">
        <v>32</v>
      </c>
      <c r="X46" s="399">
        <v>2360</v>
      </c>
      <c r="Y46" s="399">
        <v>2066</v>
      </c>
      <c r="Z46" s="533">
        <f t="shared" si="6"/>
        <v>0.87542372881355934</v>
      </c>
      <c r="AA46" s="537">
        <v>28.944444444444443</v>
      </c>
      <c r="AB46" s="494">
        <v>56</v>
      </c>
      <c r="AC46" s="399">
        <v>4</v>
      </c>
      <c r="AD46" s="399">
        <v>2</v>
      </c>
      <c r="AE46" s="495">
        <v>0</v>
      </c>
    </row>
    <row r="47" spans="1:31" ht="15.6">
      <c r="A47" s="1417"/>
      <c r="B47" s="314">
        <v>44824</v>
      </c>
      <c r="C47" s="405">
        <v>53198</v>
      </c>
      <c r="D47" s="780">
        <v>11792</v>
      </c>
      <c r="E47" s="787">
        <v>0.66</v>
      </c>
      <c r="F47" s="406">
        <v>5084</v>
      </c>
      <c r="G47" s="405">
        <v>4347</v>
      </c>
      <c r="H47" s="405">
        <v>158</v>
      </c>
      <c r="I47" s="405">
        <v>4926</v>
      </c>
      <c r="J47" s="405">
        <v>42</v>
      </c>
      <c r="K47" s="787">
        <f>G47/F47</f>
        <v>0.85503540519276156</v>
      </c>
      <c r="L47" s="411">
        <v>182</v>
      </c>
      <c r="M47" s="400">
        <v>170</v>
      </c>
      <c r="N47" s="401">
        <f t="shared" si="3"/>
        <v>0.93406593406593408</v>
      </c>
      <c r="O47" s="529">
        <v>1</v>
      </c>
      <c r="P47" s="399">
        <v>34</v>
      </c>
      <c r="Q47" s="649">
        <v>29</v>
      </c>
      <c r="R47" s="533">
        <f t="shared" si="4"/>
        <v>0.8529411764705882</v>
      </c>
      <c r="S47" s="529">
        <v>19</v>
      </c>
      <c r="T47" s="409">
        <v>143</v>
      </c>
      <c r="U47" s="409">
        <v>100</v>
      </c>
      <c r="V47" s="533">
        <f t="shared" si="5"/>
        <v>0.69930069930069927</v>
      </c>
      <c r="W47" s="529">
        <v>38</v>
      </c>
      <c r="X47" s="399">
        <v>4515</v>
      </c>
      <c r="Y47" s="399">
        <v>3952</v>
      </c>
      <c r="Z47" s="533">
        <f t="shared" si="6"/>
        <v>0.87530454042081951</v>
      </c>
      <c r="AA47" s="537">
        <v>22.333333333333332</v>
      </c>
      <c r="AB47" s="494">
        <v>44</v>
      </c>
      <c r="AC47" s="399">
        <v>4</v>
      </c>
      <c r="AD47" s="399">
        <v>6</v>
      </c>
      <c r="AE47" s="495">
        <v>0</v>
      </c>
    </row>
    <row r="48" spans="1:31" ht="15.6">
      <c r="A48" s="1417" t="s">
        <v>337</v>
      </c>
      <c r="B48" s="314">
        <v>44825</v>
      </c>
      <c r="C48" s="405">
        <v>57606</v>
      </c>
      <c r="D48" s="780">
        <v>9703</v>
      </c>
      <c r="E48" s="787">
        <v>0.69</v>
      </c>
      <c r="F48" s="406">
        <v>4980</v>
      </c>
      <c r="G48" s="405">
        <v>4204</v>
      </c>
      <c r="H48" s="405">
        <v>184</v>
      </c>
      <c r="I48" s="405">
        <v>4796</v>
      </c>
      <c r="J48" s="405">
        <v>42</v>
      </c>
      <c r="K48" s="787">
        <f t="shared" ref="K48:K106" si="7">G48/F48</f>
        <v>0.84417670682730928</v>
      </c>
      <c r="L48" s="411">
        <v>149</v>
      </c>
      <c r="M48" s="400">
        <v>145</v>
      </c>
      <c r="N48" s="401">
        <f t="shared" si="3"/>
        <v>0.97315436241610742</v>
      </c>
      <c r="O48" s="529">
        <v>2</v>
      </c>
      <c r="P48" s="399">
        <v>16</v>
      </c>
      <c r="Q48" s="649">
        <v>16</v>
      </c>
      <c r="R48" s="533">
        <f t="shared" si="4"/>
        <v>1</v>
      </c>
      <c r="S48" s="529">
        <v>0</v>
      </c>
      <c r="T48" s="409">
        <v>135</v>
      </c>
      <c r="U48" s="409">
        <v>87</v>
      </c>
      <c r="V48" s="533">
        <f t="shared" si="5"/>
        <v>0.64444444444444449</v>
      </c>
      <c r="W48" s="529">
        <v>8.3333333333333339</v>
      </c>
      <c r="X48" s="399">
        <v>4450</v>
      </c>
      <c r="Y48" s="399">
        <v>3863</v>
      </c>
      <c r="Z48" s="533">
        <f t="shared" si="6"/>
        <v>0.86808988764044948</v>
      </c>
      <c r="AA48" s="537">
        <v>26.222222222222221</v>
      </c>
      <c r="AB48" s="494">
        <v>107</v>
      </c>
      <c r="AC48" s="399">
        <v>4</v>
      </c>
      <c r="AD48" s="399">
        <v>9</v>
      </c>
      <c r="AE48" s="495">
        <v>2</v>
      </c>
    </row>
    <row r="49" spans="1:31" ht="15.6">
      <c r="A49" s="1417"/>
      <c r="B49" s="314">
        <v>44826</v>
      </c>
      <c r="C49" s="405">
        <v>61900</v>
      </c>
      <c r="D49" s="780">
        <v>9418</v>
      </c>
      <c r="E49" s="787">
        <v>0.71</v>
      </c>
      <c r="F49" s="406">
        <v>5710</v>
      </c>
      <c r="G49" s="405">
        <v>4798</v>
      </c>
      <c r="H49" s="405">
        <v>195</v>
      </c>
      <c r="I49" s="405">
        <v>5515</v>
      </c>
      <c r="J49" s="405">
        <v>45</v>
      </c>
      <c r="K49" s="787">
        <f t="shared" si="7"/>
        <v>0.84028021015761822</v>
      </c>
      <c r="L49" s="411">
        <v>142</v>
      </c>
      <c r="M49" s="400">
        <v>137</v>
      </c>
      <c r="N49" s="401">
        <f t="shared" si="3"/>
        <v>0.96478873239436624</v>
      </c>
      <c r="O49" s="529">
        <v>2.6666666666666665</v>
      </c>
      <c r="P49" s="399">
        <v>18</v>
      </c>
      <c r="Q49" s="649">
        <v>15</v>
      </c>
      <c r="R49" s="533">
        <f t="shared" si="4"/>
        <v>0.83333333333333337</v>
      </c>
      <c r="S49" s="529">
        <v>56.666666666666664</v>
      </c>
      <c r="T49" s="409">
        <v>170</v>
      </c>
      <c r="U49" s="409">
        <v>110</v>
      </c>
      <c r="V49" s="533">
        <f t="shared" si="5"/>
        <v>0.6470588235294118</v>
      </c>
      <c r="W49" s="529">
        <v>13.333333333333334</v>
      </c>
      <c r="X49" s="399">
        <v>5135</v>
      </c>
      <c r="Y49" s="399">
        <v>4458</v>
      </c>
      <c r="Z49" s="533">
        <f t="shared" si="6"/>
        <v>0.86815968841285296</v>
      </c>
      <c r="AA49" s="537">
        <v>28.588235294117649</v>
      </c>
      <c r="AB49" s="494">
        <v>83</v>
      </c>
      <c r="AC49" s="399">
        <v>7</v>
      </c>
      <c r="AD49" s="399">
        <v>8</v>
      </c>
      <c r="AE49" s="495">
        <v>0</v>
      </c>
    </row>
    <row r="50" spans="1:31" ht="15.6">
      <c r="A50" s="1417" t="s">
        <v>338</v>
      </c>
      <c r="B50" s="434">
        <v>44827</v>
      </c>
      <c r="C50" s="405">
        <v>58582</v>
      </c>
      <c r="D50" s="780">
        <v>7175</v>
      </c>
      <c r="E50" s="787">
        <v>0.73</v>
      </c>
      <c r="F50" s="406">
        <v>6417</v>
      </c>
      <c r="G50" s="405">
        <v>5416</v>
      </c>
      <c r="H50" s="405">
        <v>227</v>
      </c>
      <c r="I50" s="405">
        <v>6190</v>
      </c>
      <c r="J50" s="405">
        <v>44</v>
      </c>
      <c r="K50" s="787">
        <f t="shared" si="7"/>
        <v>0.8440081034751441</v>
      </c>
      <c r="L50" s="411">
        <v>144</v>
      </c>
      <c r="M50" s="400">
        <v>137</v>
      </c>
      <c r="N50" s="401">
        <f t="shared" si="3"/>
        <v>0.95138888888888884</v>
      </c>
      <c r="O50" s="529">
        <v>3.3333333333333335</v>
      </c>
      <c r="P50" s="399">
        <v>18</v>
      </c>
      <c r="Q50" s="649">
        <v>16</v>
      </c>
      <c r="R50" s="533">
        <f t="shared" si="4"/>
        <v>0.88888888888888884</v>
      </c>
      <c r="S50" s="529">
        <v>1</v>
      </c>
      <c r="T50" s="409">
        <v>118</v>
      </c>
      <c r="U50" s="409">
        <v>76</v>
      </c>
      <c r="V50" s="533">
        <f t="shared" si="5"/>
        <v>0.64406779661016944</v>
      </c>
      <c r="W50" s="529">
        <v>550</v>
      </c>
      <c r="X50" s="399">
        <v>5876</v>
      </c>
      <c r="Y50" s="399">
        <v>5093</v>
      </c>
      <c r="Z50" s="533">
        <f t="shared" si="6"/>
        <v>0.86674608577263446</v>
      </c>
      <c r="AA50" s="537">
        <v>33.470588235294116</v>
      </c>
      <c r="AB50" s="494">
        <v>67</v>
      </c>
      <c r="AC50" s="399">
        <v>5</v>
      </c>
      <c r="AD50" s="399">
        <v>11</v>
      </c>
      <c r="AE50" s="495">
        <v>0</v>
      </c>
    </row>
    <row r="51" spans="1:31" s="426" customFormat="1" ht="15.6">
      <c r="A51" s="1447"/>
      <c r="B51" s="435">
        <v>44828</v>
      </c>
      <c r="C51" s="427">
        <v>60822</v>
      </c>
      <c r="D51" s="781">
        <v>10158</v>
      </c>
      <c r="E51" s="788">
        <v>0.71</v>
      </c>
      <c r="F51" s="428">
        <v>6584</v>
      </c>
      <c r="G51" s="427">
        <v>5606</v>
      </c>
      <c r="H51" s="427">
        <v>168</v>
      </c>
      <c r="I51" s="427">
        <v>6416</v>
      </c>
      <c r="J51" s="427">
        <v>41</v>
      </c>
      <c r="K51" s="788">
        <f t="shared" si="7"/>
        <v>0.85145808019441072</v>
      </c>
      <c r="L51" s="429">
        <v>151</v>
      </c>
      <c r="M51" s="430">
        <v>139</v>
      </c>
      <c r="N51" s="431">
        <f t="shared" si="3"/>
        <v>0.92052980132450335</v>
      </c>
      <c r="O51" s="530">
        <v>10.666666666666666</v>
      </c>
      <c r="P51" s="432">
        <v>37</v>
      </c>
      <c r="Q51" s="650">
        <v>33</v>
      </c>
      <c r="R51" s="535">
        <f t="shared" si="4"/>
        <v>0.89189189189189189</v>
      </c>
      <c r="S51" s="530">
        <v>2.3333333333333335</v>
      </c>
      <c r="T51" s="433">
        <v>149</v>
      </c>
      <c r="U51" s="433">
        <v>106</v>
      </c>
      <c r="V51" s="535">
        <f t="shared" si="5"/>
        <v>0.71140939597315433</v>
      </c>
      <c r="W51" s="530">
        <v>29.5</v>
      </c>
      <c r="X51" s="432">
        <v>6051</v>
      </c>
      <c r="Y51" s="432">
        <v>5270</v>
      </c>
      <c r="Z51" s="535">
        <f t="shared" si="6"/>
        <v>0.87093042472318627</v>
      </c>
      <c r="AA51" s="538">
        <v>26.777777777777779</v>
      </c>
      <c r="AB51" s="494">
        <v>53</v>
      </c>
      <c r="AC51" s="399">
        <v>6</v>
      </c>
      <c r="AD51" s="399">
        <v>9</v>
      </c>
      <c r="AE51" s="495">
        <v>0</v>
      </c>
    </row>
    <row r="52" spans="1:31" ht="15.6">
      <c r="A52" s="1451"/>
      <c r="B52" s="414">
        <v>44829</v>
      </c>
      <c r="C52" s="491">
        <v>66159</v>
      </c>
      <c r="D52" s="779">
        <v>13643</v>
      </c>
      <c r="E52" s="786">
        <v>0.72</v>
      </c>
      <c r="F52" s="492">
        <v>6009</v>
      </c>
      <c r="G52" s="491">
        <v>5157</v>
      </c>
      <c r="H52" s="491">
        <v>139</v>
      </c>
      <c r="I52" s="491">
        <v>5870</v>
      </c>
      <c r="J52" s="491">
        <v>35</v>
      </c>
      <c r="K52" s="786">
        <v>0.85819999999999996</v>
      </c>
      <c r="L52" s="419">
        <v>125</v>
      </c>
      <c r="M52" s="417">
        <v>114</v>
      </c>
      <c r="N52" s="420">
        <f t="shared" ref="N52:N54" si="8">M52/L52</f>
        <v>0.91200000000000003</v>
      </c>
      <c r="O52" s="531">
        <v>3.6666666666666665</v>
      </c>
      <c r="P52" s="417">
        <v>25</v>
      </c>
      <c r="Q52" s="421">
        <v>23</v>
      </c>
      <c r="R52" s="536">
        <f t="shared" si="4"/>
        <v>0.92</v>
      </c>
      <c r="S52" s="531">
        <v>0</v>
      </c>
      <c r="T52" s="422">
        <v>131</v>
      </c>
      <c r="U52" s="422">
        <v>101</v>
      </c>
      <c r="V52" s="536">
        <f t="shared" si="5"/>
        <v>0.77099236641221369</v>
      </c>
      <c r="W52" s="531">
        <v>138.5</v>
      </c>
      <c r="X52" s="417">
        <v>5572</v>
      </c>
      <c r="Y52" s="417">
        <v>4884</v>
      </c>
      <c r="Z52" s="536">
        <f t="shared" si="6"/>
        <v>0.87652548456568558</v>
      </c>
      <c r="AA52" s="539">
        <v>20.277777777777779</v>
      </c>
      <c r="AB52" s="494">
        <v>41</v>
      </c>
      <c r="AC52" s="399">
        <v>4</v>
      </c>
      <c r="AD52" s="399">
        <v>6</v>
      </c>
      <c r="AE52" s="495">
        <v>0</v>
      </c>
    </row>
    <row r="53" spans="1:31" ht="15.6">
      <c r="A53" s="1417"/>
      <c r="B53" s="314">
        <v>44830</v>
      </c>
      <c r="C53" s="405">
        <v>61414</v>
      </c>
      <c r="D53" s="780">
        <v>7354</v>
      </c>
      <c r="E53" s="787">
        <v>0.76</v>
      </c>
      <c r="F53" s="406">
        <v>5211</v>
      </c>
      <c r="G53" s="405">
        <v>4427</v>
      </c>
      <c r="H53" s="405">
        <v>165</v>
      </c>
      <c r="I53" s="405">
        <v>5045</v>
      </c>
      <c r="J53" s="405">
        <v>34.930723469583576</v>
      </c>
      <c r="K53" s="787">
        <v>0.84954903089618117</v>
      </c>
      <c r="L53" s="412">
        <v>167</v>
      </c>
      <c r="M53" s="398">
        <v>156</v>
      </c>
      <c r="N53" s="401">
        <f t="shared" si="8"/>
        <v>0.93413173652694614</v>
      </c>
      <c r="O53" s="529">
        <v>4</v>
      </c>
      <c r="P53" s="398">
        <v>23</v>
      </c>
      <c r="Q53" s="403">
        <v>21</v>
      </c>
      <c r="R53" s="533">
        <f t="shared" si="4"/>
        <v>0.91304347826086951</v>
      </c>
      <c r="S53" s="529">
        <v>5.333333333333333</v>
      </c>
      <c r="T53" s="410">
        <v>138</v>
      </c>
      <c r="U53" s="409">
        <v>100</v>
      </c>
      <c r="V53" s="533">
        <f t="shared" si="5"/>
        <v>0.72463768115942029</v>
      </c>
      <c r="W53" s="529">
        <v>3</v>
      </c>
      <c r="X53" s="398">
        <v>4717</v>
      </c>
      <c r="Y53" s="398">
        <v>4118</v>
      </c>
      <c r="Z53" s="533">
        <f t="shared" si="6"/>
        <v>0.87301250794996821</v>
      </c>
      <c r="AA53" s="537">
        <v>25</v>
      </c>
      <c r="AB53" s="494">
        <v>44</v>
      </c>
      <c r="AC53" s="399">
        <v>2</v>
      </c>
      <c r="AD53" s="399">
        <v>5</v>
      </c>
      <c r="AE53" s="495">
        <v>0</v>
      </c>
    </row>
    <row r="54" spans="1:31" ht="15.6">
      <c r="A54" s="1446" t="s">
        <v>339</v>
      </c>
      <c r="B54" s="314">
        <v>44831</v>
      </c>
      <c r="C54" s="405">
        <v>60316</v>
      </c>
      <c r="D54" s="780">
        <v>5678</v>
      </c>
      <c r="E54" s="787">
        <v>0.77</v>
      </c>
      <c r="F54" s="406">
        <v>5933</v>
      </c>
      <c r="G54" s="405">
        <v>5103</v>
      </c>
      <c r="H54" s="405">
        <v>165</v>
      </c>
      <c r="I54" s="405">
        <v>5768</v>
      </c>
      <c r="J54" s="405">
        <v>39.188100455081745</v>
      </c>
      <c r="K54" s="787">
        <v>0.86010450025282315</v>
      </c>
      <c r="L54" s="412">
        <v>181</v>
      </c>
      <c r="M54" s="398">
        <v>176</v>
      </c>
      <c r="N54" s="401">
        <f t="shared" si="8"/>
        <v>0.97237569060773477</v>
      </c>
      <c r="O54" s="529">
        <v>2</v>
      </c>
      <c r="P54" s="398">
        <v>34</v>
      </c>
      <c r="Q54" s="403">
        <v>32</v>
      </c>
      <c r="R54" s="533">
        <f t="shared" si="4"/>
        <v>0.94117647058823528</v>
      </c>
      <c r="S54" s="529">
        <v>6.666666666666667</v>
      </c>
      <c r="T54" s="410">
        <v>114</v>
      </c>
      <c r="U54" s="410">
        <v>85</v>
      </c>
      <c r="V54" s="533">
        <f t="shared" si="5"/>
        <v>0.74561403508771928</v>
      </c>
      <c r="W54" s="529">
        <v>22.5</v>
      </c>
      <c r="X54" s="398">
        <v>5456</v>
      </c>
      <c r="Y54" s="398">
        <v>4796</v>
      </c>
      <c r="Z54" s="533">
        <f t="shared" si="6"/>
        <v>0.87903225806451613</v>
      </c>
      <c r="AA54" s="537">
        <v>151.29411764705881</v>
      </c>
      <c r="AB54" s="494">
        <v>38</v>
      </c>
      <c r="AC54" s="399">
        <v>3</v>
      </c>
      <c r="AD54" s="399">
        <v>7</v>
      </c>
      <c r="AE54" s="495">
        <v>0</v>
      </c>
    </row>
    <row r="55" spans="1:31" ht="15.6">
      <c r="A55" s="1418"/>
      <c r="B55" s="314">
        <v>44832</v>
      </c>
      <c r="C55" s="405">
        <v>44286</v>
      </c>
      <c r="D55" s="780">
        <v>7366</v>
      </c>
      <c r="E55" s="787">
        <v>0.75</v>
      </c>
      <c r="F55" s="406">
        <v>5630</v>
      </c>
      <c r="G55" s="405">
        <v>4815</v>
      </c>
      <c r="H55" s="405">
        <f>SUM(F55-I55)</f>
        <v>126</v>
      </c>
      <c r="I55" s="405">
        <v>5504</v>
      </c>
      <c r="J55" s="405">
        <v>39.869804618117229</v>
      </c>
      <c r="K55" s="787">
        <v>0.85523978685612789</v>
      </c>
      <c r="L55" s="413">
        <v>130</v>
      </c>
      <c r="M55" s="398">
        <v>125</v>
      </c>
      <c r="N55" s="527">
        <v>0.96153846153846156</v>
      </c>
      <c r="O55" s="529">
        <v>10.333333333333334</v>
      </c>
      <c r="P55" s="532">
        <v>37</v>
      </c>
      <c r="Q55" s="403">
        <v>36</v>
      </c>
      <c r="R55" s="533">
        <v>0.97297297297297303</v>
      </c>
      <c r="S55" s="529">
        <v>5</v>
      </c>
      <c r="T55" s="410">
        <v>147</v>
      </c>
      <c r="U55" s="410">
        <v>110</v>
      </c>
      <c r="V55" s="533">
        <v>0.74829931972789121</v>
      </c>
      <c r="W55" s="529">
        <v>20.333333333333332</v>
      </c>
      <c r="X55" s="398">
        <v>5189</v>
      </c>
      <c r="Y55" s="398">
        <v>4528</v>
      </c>
      <c r="Z55" s="533">
        <v>0.87261514742724999</v>
      </c>
      <c r="AA55" s="537">
        <v>23.94736842105263</v>
      </c>
      <c r="AB55" s="494">
        <v>46</v>
      </c>
      <c r="AC55" s="399">
        <v>4</v>
      </c>
      <c r="AD55" s="399">
        <v>5</v>
      </c>
      <c r="AE55" s="495">
        <v>0</v>
      </c>
    </row>
    <row r="56" spans="1:31" ht="28.8">
      <c r="A56" s="1418" t="s">
        <v>340</v>
      </c>
      <c r="B56" s="314">
        <v>44833</v>
      </c>
      <c r="C56" s="405">
        <v>42322</v>
      </c>
      <c r="D56" s="780">
        <v>3625</v>
      </c>
      <c r="E56" s="787">
        <v>0.75</v>
      </c>
      <c r="F56" s="406">
        <v>5965</v>
      </c>
      <c r="G56" s="405">
        <v>4930</v>
      </c>
      <c r="H56" s="405">
        <f t="shared" ref="H56:H57" si="9">SUM(F56-I56)</f>
        <v>370</v>
      </c>
      <c r="I56" s="405">
        <v>5595</v>
      </c>
      <c r="J56" s="405">
        <v>35.844258172673932</v>
      </c>
      <c r="K56" s="787">
        <v>0.82648784576697398</v>
      </c>
      <c r="L56" s="413">
        <v>178</v>
      </c>
      <c r="M56" s="398">
        <v>165</v>
      </c>
      <c r="N56" s="527">
        <v>0.9269662921348315</v>
      </c>
      <c r="O56" s="529">
        <v>9</v>
      </c>
      <c r="P56" s="532">
        <v>38</v>
      </c>
      <c r="Q56" s="403">
        <v>35</v>
      </c>
      <c r="R56" s="533">
        <v>0.92105263157894735</v>
      </c>
      <c r="S56" s="529">
        <v>3</v>
      </c>
      <c r="T56" s="410">
        <v>150</v>
      </c>
      <c r="U56" s="410">
        <v>104</v>
      </c>
      <c r="V56" s="533">
        <v>0.69333333333333336</v>
      </c>
      <c r="W56" s="529">
        <v>18.666666666666668</v>
      </c>
      <c r="X56" s="398">
        <v>5194</v>
      </c>
      <c r="Y56" s="398">
        <v>4569</v>
      </c>
      <c r="Z56" s="533">
        <v>0.87966884867154405</v>
      </c>
      <c r="AA56" s="537">
        <v>30.0625</v>
      </c>
      <c r="AB56" s="494">
        <v>38</v>
      </c>
      <c r="AC56" s="399">
        <v>4</v>
      </c>
      <c r="AD56" s="399">
        <v>6</v>
      </c>
      <c r="AE56" s="495">
        <v>0</v>
      </c>
    </row>
    <row r="57" spans="1:31" ht="28.8">
      <c r="A57" s="1418" t="s">
        <v>341</v>
      </c>
      <c r="B57" s="434">
        <v>44834</v>
      </c>
      <c r="C57" s="405">
        <v>35235</v>
      </c>
      <c r="D57" s="780">
        <v>5903</v>
      </c>
      <c r="E57" s="787">
        <v>0.73</v>
      </c>
      <c r="F57" s="406">
        <v>5558</v>
      </c>
      <c r="G57" s="405">
        <v>4776</v>
      </c>
      <c r="H57" s="405">
        <f t="shared" si="9"/>
        <v>135</v>
      </c>
      <c r="I57" s="405">
        <v>5423</v>
      </c>
      <c r="J57" s="405">
        <v>33.876574307304786</v>
      </c>
      <c r="K57" s="787">
        <v>0.8593019071608492</v>
      </c>
      <c r="L57" s="413">
        <v>181</v>
      </c>
      <c r="M57" s="398">
        <v>169</v>
      </c>
      <c r="N57" s="527">
        <v>0.93370165745856348</v>
      </c>
      <c r="O57" s="529">
        <v>6</v>
      </c>
      <c r="P57" s="532">
        <v>46</v>
      </c>
      <c r="Q57" s="403">
        <v>43</v>
      </c>
      <c r="R57" s="533">
        <v>0.93478260869565222</v>
      </c>
      <c r="S57" s="529">
        <v>5.666666666666667</v>
      </c>
      <c r="T57" s="410">
        <v>164</v>
      </c>
      <c r="U57" s="410">
        <v>120</v>
      </c>
      <c r="V57" s="533">
        <v>0.73170731707317072</v>
      </c>
      <c r="W57" s="529">
        <v>19</v>
      </c>
      <c r="X57" s="398">
        <v>5022</v>
      </c>
      <c r="Y57" s="398">
        <v>4397</v>
      </c>
      <c r="Z57" s="533">
        <v>0.87554759060135401</v>
      </c>
      <c r="AA57" s="537">
        <v>30.647058823529413</v>
      </c>
      <c r="AB57" s="494">
        <v>25</v>
      </c>
      <c r="AC57" s="399">
        <v>2</v>
      </c>
      <c r="AD57" s="399">
        <v>2</v>
      </c>
      <c r="AE57" s="495">
        <v>1</v>
      </c>
    </row>
    <row r="58" spans="1:31" s="426" customFormat="1" ht="15.6">
      <c r="A58" s="1447" t="s">
        <v>342</v>
      </c>
      <c r="B58" s="435">
        <v>44835</v>
      </c>
      <c r="C58" s="427">
        <v>28363</v>
      </c>
      <c r="D58" s="781">
        <v>5109</v>
      </c>
      <c r="E58" s="788">
        <v>0.73</v>
      </c>
      <c r="F58" s="428">
        <v>6241</v>
      </c>
      <c r="G58" s="427">
        <v>5423</v>
      </c>
      <c r="H58" s="427">
        <v>123</v>
      </c>
      <c r="I58" s="427">
        <v>6118</v>
      </c>
      <c r="J58" s="427">
        <v>31.365326069540139</v>
      </c>
      <c r="K58" s="788">
        <v>0.86893126101586282</v>
      </c>
      <c r="L58" s="423">
        <v>191</v>
      </c>
      <c r="M58" s="424">
        <v>177</v>
      </c>
      <c r="N58" s="528">
        <v>0.92670157068062831</v>
      </c>
      <c r="O58" s="530">
        <v>4</v>
      </c>
      <c r="P58" s="534">
        <v>53</v>
      </c>
      <c r="Q58" s="647">
        <v>43</v>
      </c>
      <c r="R58" s="535">
        <v>0.81132075471698117</v>
      </c>
      <c r="S58" s="530">
        <v>21.666666666666668</v>
      </c>
      <c r="T58" s="425">
        <v>125</v>
      </c>
      <c r="U58" s="425">
        <v>89</v>
      </c>
      <c r="V58" s="535">
        <v>0.71199999999999997</v>
      </c>
      <c r="W58" s="530">
        <v>8.6666666666666661</v>
      </c>
      <c r="X58" s="424">
        <v>5708</v>
      </c>
      <c r="Y58" s="424">
        <v>5040</v>
      </c>
      <c r="Z58" s="535">
        <v>0.88297126839523477</v>
      </c>
      <c r="AA58" s="538">
        <v>15.129032258064516</v>
      </c>
      <c r="AB58" s="496">
        <v>54</v>
      </c>
      <c r="AC58" s="432">
        <v>3</v>
      </c>
      <c r="AD58" s="432">
        <v>5</v>
      </c>
      <c r="AE58" s="497">
        <v>0</v>
      </c>
    </row>
    <row r="59" spans="1:31" ht="15.6">
      <c r="A59" s="1451"/>
      <c r="B59" s="414">
        <v>44836</v>
      </c>
      <c r="C59" s="491">
        <v>25178</v>
      </c>
      <c r="D59" s="779">
        <v>4629</v>
      </c>
      <c r="E59" s="786">
        <v>0.74</v>
      </c>
      <c r="F59" s="492">
        <v>5928</v>
      </c>
      <c r="G59" s="491">
        <v>5139</v>
      </c>
      <c r="H59" s="491">
        <v>116</v>
      </c>
      <c r="I59" s="491">
        <f>SUM(F59-H59)</f>
        <v>5812</v>
      </c>
      <c r="J59" s="491">
        <v>33</v>
      </c>
      <c r="K59" s="786">
        <f t="shared" si="7"/>
        <v>0.8669028340080972</v>
      </c>
      <c r="L59" s="419">
        <v>195</v>
      </c>
      <c r="M59" s="417">
        <v>189</v>
      </c>
      <c r="N59" s="420">
        <v>0.96923076923076923</v>
      </c>
      <c r="O59" s="531">
        <v>2</v>
      </c>
      <c r="P59" s="417">
        <v>39</v>
      </c>
      <c r="Q59" s="421">
        <v>35</v>
      </c>
      <c r="R59" s="536">
        <v>0.89743589743589747</v>
      </c>
      <c r="S59" s="531">
        <v>21.666666666666668</v>
      </c>
      <c r="T59" s="422">
        <v>124</v>
      </c>
      <c r="U59" s="422">
        <v>97</v>
      </c>
      <c r="V59" s="536">
        <v>0.782258064516129</v>
      </c>
      <c r="W59" s="531">
        <v>837.66666666666663</v>
      </c>
      <c r="X59" s="417">
        <v>5398</v>
      </c>
      <c r="Y59" s="417">
        <v>4741</v>
      </c>
      <c r="Z59" s="536">
        <v>0.87828825490922569</v>
      </c>
      <c r="AA59" s="539">
        <v>22.741935483870968</v>
      </c>
      <c r="AB59" s="494">
        <v>24</v>
      </c>
      <c r="AC59" s="399">
        <v>2</v>
      </c>
      <c r="AD59" s="399">
        <v>2</v>
      </c>
      <c r="AE59" s="495"/>
    </row>
    <row r="60" spans="1:31" ht="15.6">
      <c r="A60" s="1417"/>
      <c r="B60" s="314">
        <v>44837</v>
      </c>
      <c r="C60" s="405">
        <v>23550</v>
      </c>
      <c r="D60" s="780">
        <v>4286</v>
      </c>
      <c r="E60" s="787">
        <v>0.75</v>
      </c>
      <c r="F60" s="406">
        <v>5832</v>
      </c>
      <c r="G60" s="405">
        <v>5111</v>
      </c>
      <c r="H60" s="405">
        <v>127</v>
      </c>
      <c r="I60" s="405">
        <f t="shared" ref="I60:I65" si="10">SUM(F60-H60)</f>
        <v>5705</v>
      </c>
      <c r="J60" s="405">
        <v>34</v>
      </c>
      <c r="K60" s="787">
        <f t="shared" si="7"/>
        <v>0.87637174211248281</v>
      </c>
      <c r="L60" s="412">
        <v>253</v>
      </c>
      <c r="M60" s="398">
        <v>239</v>
      </c>
      <c r="N60" s="401">
        <v>0.94466403162055335</v>
      </c>
      <c r="O60" s="529">
        <v>5</v>
      </c>
      <c r="P60" s="398">
        <v>33</v>
      </c>
      <c r="Q60" s="403">
        <v>29</v>
      </c>
      <c r="R60" s="533">
        <v>0.87878787878787878</v>
      </c>
      <c r="S60" s="529">
        <v>8.6666666666666661</v>
      </c>
      <c r="T60" s="410">
        <v>181</v>
      </c>
      <c r="U60" s="409">
        <v>138</v>
      </c>
      <c r="V60" s="533">
        <v>0.76243093922651939</v>
      </c>
      <c r="W60" s="529">
        <v>42.666666666666664</v>
      </c>
      <c r="X60" s="398">
        <v>5188</v>
      </c>
      <c r="Y60" s="398">
        <v>4622</v>
      </c>
      <c r="Z60" s="533">
        <v>0.89090208172706242</v>
      </c>
      <c r="AA60" s="537">
        <v>28.161290322580644</v>
      </c>
      <c r="AB60" s="494">
        <v>23</v>
      </c>
      <c r="AC60" s="399">
        <v>1</v>
      </c>
      <c r="AD60" s="399">
        <v>2</v>
      </c>
      <c r="AE60" s="495"/>
    </row>
    <row r="61" spans="1:31" ht="15.6">
      <c r="A61" s="1446"/>
      <c r="B61" s="314">
        <v>44838</v>
      </c>
      <c r="C61" s="405">
        <v>22792</v>
      </c>
      <c r="D61" s="780">
        <v>4112</v>
      </c>
      <c r="E61" s="787">
        <v>0.74</v>
      </c>
      <c r="F61" s="406">
        <v>5598</v>
      </c>
      <c r="G61" s="405">
        <v>4874</v>
      </c>
      <c r="H61" s="405">
        <v>146</v>
      </c>
      <c r="I61" s="405">
        <f t="shared" si="10"/>
        <v>5452</v>
      </c>
      <c r="J61" s="405">
        <v>24</v>
      </c>
      <c r="K61" s="787">
        <f t="shared" si="7"/>
        <v>0.87066809574848159</v>
      </c>
      <c r="L61" s="412">
        <v>235</v>
      </c>
      <c r="M61" s="398">
        <v>216</v>
      </c>
      <c r="N61" s="401">
        <v>0.91914893617021276</v>
      </c>
      <c r="O61" s="529">
        <v>7.666666666666667</v>
      </c>
      <c r="P61" s="398">
        <v>17</v>
      </c>
      <c r="Q61" s="403">
        <v>15</v>
      </c>
      <c r="R61" s="533">
        <v>0.88235294117647056</v>
      </c>
      <c r="S61" s="529">
        <v>2.6666666666666665</v>
      </c>
      <c r="T61" s="410">
        <v>183</v>
      </c>
      <c r="U61" s="410">
        <v>138</v>
      </c>
      <c r="V61" s="533">
        <v>0.75409836065573765</v>
      </c>
      <c r="W61" s="529">
        <v>19.333333333333332</v>
      </c>
      <c r="X61" s="398">
        <v>4966</v>
      </c>
      <c r="Y61" s="398">
        <v>4416</v>
      </c>
      <c r="Z61" s="533">
        <v>0.88924687877567454</v>
      </c>
      <c r="AA61" s="537">
        <v>29.241379310344829</v>
      </c>
      <c r="AB61" s="494">
        <v>36</v>
      </c>
      <c r="AC61" s="399">
        <v>2</v>
      </c>
      <c r="AD61" s="399">
        <v>4</v>
      </c>
      <c r="AE61" s="495"/>
    </row>
    <row r="62" spans="1:31" ht="15.6">
      <c r="A62" s="1418"/>
      <c r="B62" s="314">
        <v>44839</v>
      </c>
      <c r="C62" s="405">
        <v>18690</v>
      </c>
      <c r="D62" s="780">
        <v>3561</v>
      </c>
      <c r="E62" s="787">
        <v>0.74</v>
      </c>
      <c r="F62" s="406">
        <v>5283</v>
      </c>
      <c r="G62" s="405">
        <v>4683</v>
      </c>
      <c r="H62" s="405">
        <v>120</v>
      </c>
      <c r="I62" s="405">
        <f t="shared" si="10"/>
        <v>5163</v>
      </c>
      <c r="J62" s="405">
        <v>32</v>
      </c>
      <c r="K62" s="787">
        <f t="shared" si="7"/>
        <v>0.88642816581487793</v>
      </c>
      <c r="L62" s="413">
        <v>264</v>
      </c>
      <c r="M62" s="398">
        <v>254</v>
      </c>
      <c r="N62" s="527">
        <v>0.96212121212121215</v>
      </c>
      <c r="O62" s="529">
        <v>6.666666666666667</v>
      </c>
      <c r="P62" s="532">
        <v>10</v>
      </c>
      <c r="Q62" s="403">
        <v>10</v>
      </c>
      <c r="R62" s="533">
        <v>1</v>
      </c>
      <c r="S62" s="529">
        <v>0</v>
      </c>
      <c r="T62" s="410">
        <v>163</v>
      </c>
      <c r="U62" s="410">
        <v>134</v>
      </c>
      <c r="V62" s="533">
        <v>0.82208588957055218</v>
      </c>
      <c r="W62" s="529">
        <v>55.333333333333336</v>
      </c>
      <c r="X62" s="398">
        <v>4690</v>
      </c>
      <c r="Y62" s="398">
        <v>4209</v>
      </c>
      <c r="Z62" s="533">
        <v>0.89744136460554369</v>
      </c>
      <c r="AA62" s="537">
        <v>31.433333333333334</v>
      </c>
      <c r="AB62" s="494">
        <v>20</v>
      </c>
      <c r="AC62" s="399">
        <v>1</v>
      </c>
      <c r="AD62" s="399">
        <v>0</v>
      </c>
      <c r="AE62" s="495"/>
    </row>
    <row r="63" spans="1:31" ht="15.6">
      <c r="A63" s="1418"/>
      <c r="B63" s="314">
        <v>44840</v>
      </c>
      <c r="C63" s="405">
        <v>16361</v>
      </c>
      <c r="D63" s="780">
        <v>3243</v>
      </c>
      <c r="E63" s="787">
        <v>0.74</v>
      </c>
      <c r="F63" s="406">
        <v>5905</v>
      </c>
      <c r="G63" s="405">
        <v>5148</v>
      </c>
      <c r="H63" s="405">
        <v>120</v>
      </c>
      <c r="I63" s="405">
        <f t="shared" si="10"/>
        <v>5785</v>
      </c>
      <c r="J63" s="405">
        <v>41</v>
      </c>
      <c r="K63" s="787">
        <f t="shared" si="7"/>
        <v>0.87180355630821338</v>
      </c>
      <c r="L63" s="413">
        <v>274</v>
      </c>
      <c r="M63" s="398">
        <v>254</v>
      </c>
      <c r="N63" s="527">
        <v>0.92700729927007297</v>
      </c>
      <c r="O63" s="529">
        <v>6</v>
      </c>
      <c r="P63" s="532">
        <v>8</v>
      </c>
      <c r="Q63" s="403">
        <v>6</v>
      </c>
      <c r="R63" s="533">
        <v>0.75</v>
      </c>
      <c r="S63" s="529">
        <v>1.6666666666666667</v>
      </c>
      <c r="T63" s="410">
        <v>213</v>
      </c>
      <c r="U63" s="410">
        <v>156</v>
      </c>
      <c r="V63" s="533">
        <v>0.73239436619718312</v>
      </c>
      <c r="W63" s="529">
        <v>51</v>
      </c>
      <c r="X63" s="398">
        <v>5266</v>
      </c>
      <c r="Y63" s="398">
        <v>4661</v>
      </c>
      <c r="Z63" s="533">
        <v>0.88511203949867068</v>
      </c>
      <c r="AA63" s="537">
        <v>52.1</v>
      </c>
      <c r="AB63" s="494">
        <v>34</v>
      </c>
      <c r="AC63" s="399">
        <v>2</v>
      </c>
      <c r="AD63" s="399">
        <v>1</v>
      </c>
      <c r="AE63" s="495"/>
    </row>
    <row r="64" spans="1:31" ht="15.6">
      <c r="A64" s="1418"/>
      <c r="B64" s="434">
        <v>44841</v>
      </c>
      <c r="C64" s="405">
        <v>13727</v>
      </c>
      <c r="D64" s="780">
        <v>2938</v>
      </c>
      <c r="E64" s="787">
        <v>0.72</v>
      </c>
      <c r="F64" s="406">
        <v>3430</v>
      </c>
      <c r="G64" s="405">
        <v>2959</v>
      </c>
      <c r="H64" s="405">
        <v>110</v>
      </c>
      <c r="I64" s="405">
        <f t="shared" si="10"/>
        <v>3320</v>
      </c>
      <c r="J64" s="405">
        <v>39</v>
      </c>
      <c r="K64" s="787">
        <f t="shared" si="7"/>
        <v>0.86268221574344028</v>
      </c>
      <c r="L64" s="413">
        <v>276</v>
      </c>
      <c r="M64" s="398">
        <v>253</v>
      </c>
      <c r="N64" s="527">
        <v>0.91666666666666663</v>
      </c>
      <c r="O64" s="529">
        <v>7.666666666666667</v>
      </c>
      <c r="P64" s="532">
        <v>11</v>
      </c>
      <c r="Q64" s="403">
        <v>11</v>
      </c>
      <c r="R64" s="533">
        <v>1</v>
      </c>
      <c r="S64" s="529">
        <v>0</v>
      </c>
      <c r="T64" s="410">
        <v>270</v>
      </c>
      <c r="U64" s="410">
        <v>199</v>
      </c>
      <c r="V64" s="533">
        <v>0.73703703703703705</v>
      </c>
      <c r="W64" s="529">
        <v>56</v>
      </c>
      <c r="X64" s="398">
        <v>2723</v>
      </c>
      <c r="Y64" s="398">
        <v>2424</v>
      </c>
      <c r="Z64" s="533">
        <v>0.89019463826661771</v>
      </c>
      <c r="AA64" s="537">
        <v>30.866666666666667</v>
      </c>
      <c r="AB64" s="494">
        <v>13</v>
      </c>
      <c r="AC64" s="399">
        <v>2</v>
      </c>
      <c r="AD64" s="399">
        <v>1</v>
      </c>
      <c r="AE64" s="495"/>
    </row>
    <row r="65" spans="1:31" s="426" customFormat="1" ht="15.6">
      <c r="A65" s="1447"/>
      <c r="B65" s="435">
        <v>44842</v>
      </c>
      <c r="C65" s="427">
        <v>13880</v>
      </c>
      <c r="D65" s="781">
        <v>3642</v>
      </c>
      <c r="E65" s="788">
        <v>0.67</v>
      </c>
      <c r="F65" s="428">
        <v>3567</v>
      </c>
      <c r="G65" s="427">
        <v>3053</v>
      </c>
      <c r="H65" s="427">
        <v>125</v>
      </c>
      <c r="I65" s="427">
        <f t="shared" si="10"/>
        <v>3442</v>
      </c>
      <c r="J65" s="427">
        <v>37</v>
      </c>
      <c r="K65" s="788">
        <f t="shared" si="7"/>
        <v>0.85590131763386601</v>
      </c>
      <c r="L65" s="423">
        <v>247</v>
      </c>
      <c r="M65" s="424">
        <v>237</v>
      </c>
      <c r="N65" s="528">
        <v>0.95951417004048578</v>
      </c>
      <c r="O65" s="530">
        <v>2.3333333333333335</v>
      </c>
      <c r="P65" s="534">
        <v>10</v>
      </c>
      <c r="Q65" s="647">
        <v>7</v>
      </c>
      <c r="R65" s="535">
        <v>0.7</v>
      </c>
      <c r="S65" s="530">
        <v>5.666666666666667</v>
      </c>
      <c r="T65" s="425">
        <v>224</v>
      </c>
      <c r="U65" s="425">
        <v>168</v>
      </c>
      <c r="V65" s="535">
        <v>0.75</v>
      </c>
      <c r="W65" s="530">
        <v>33</v>
      </c>
      <c r="X65" s="424">
        <v>2947</v>
      </c>
      <c r="Y65" s="424">
        <v>2574</v>
      </c>
      <c r="Z65" s="535">
        <v>0.87343060739735323</v>
      </c>
      <c r="AA65" s="538">
        <v>33.43333333333333</v>
      </c>
      <c r="AB65" s="496">
        <v>13</v>
      </c>
      <c r="AC65" s="432">
        <v>1</v>
      </c>
      <c r="AD65" s="432">
        <v>1</v>
      </c>
      <c r="AE65" s="497"/>
    </row>
    <row r="66" spans="1:31" ht="15.6">
      <c r="A66" s="1451"/>
      <c r="B66" s="414">
        <v>44843</v>
      </c>
      <c r="C66" s="415">
        <v>13226</v>
      </c>
      <c r="D66" s="782">
        <v>5586</v>
      </c>
      <c r="E66" s="789">
        <v>0.68</v>
      </c>
      <c r="F66" s="1233">
        <v>3707</v>
      </c>
      <c r="G66" s="415">
        <v>3217</v>
      </c>
      <c r="H66" s="415">
        <v>86</v>
      </c>
      <c r="I66" s="665">
        <f>SUM(F66-H66)</f>
        <v>3621</v>
      </c>
      <c r="J66" s="415">
        <v>41</v>
      </c>
      <c r="K66" s="789">
        <f>G66/F66</f>
        <v>0.86781764229835445</v>
      </c>
      <c r="L66" s="416">
        <v>250</v>
      </c>
      <c r="M66" s="417">
        <v>235</v>
      </c>
      <c r="N66" s="619">
        <v>0.94</v>
      </c>
      <c r="O66" s="1232">
        <v>11.666666666666666</v>
      </c>
      <c r="P66" s="417">
        <v>13</v>
      </c>
      <c r="Q66" s="421">
        <v>11</v>
      </c>
      <c r="R66" s="536">
        <v>0.84615384615384615</v>
      </c>
      <c r="S66" s="1232">
        <v>2.6666666666666665</v>
      </c>
      <c r="T66" s="418">
        <v>198</v>
      </c>
      <c r="U66" s="418">
        <v>159</v>
      </c>
      <c r="V66" s="536">
        <v>0.80303030303030298</v>
      </c>
      <c r="W66" s="1232">
        <v>41.333333333333336</v>
      </c>
      <c r="X66" s="417">
        <v>3094</v>
      </c>
      <c r="Y66" s="417">
        <v>2734</v>
      </c>
      <c r="Z66" s="536">
        <v>0.88364576599870714</v>
      </c>
      <c r="AA66" s="1231">
        <v>34.233333333333334</v>
      </c>
      <c r="AB66" s="498">
        <v>9</v>
      </c>
      <c r="AC66" s="499">
        <v>1</v>
      </c>
      <c r="AD66" s="499">
        <v>1</v>
      </c>
      <c r="AE66" s="500"/>
    </row>
    <row r="67" spans="1:31" ht="15.6">
      <c r="A67" s="1417"/>
      <c r="B67" s="314">
        <v>44844</v>
      </c>
      <c r="C67" s="407">
        <v>12458</v>
      </c>
      <c r="D67" s="783">
        <v>2896</v>
      </c>
      <c r="E67" s="790">
        <v>0.69</v>
      </c>
      <c r="F67" s="408">
        <v>3586</v>
      </c>
      <c r="G67" s="407">
        <v>3093</v>
      </c>
      <c r="H67" s="407">
        <v>84</v>
      </c>
      <c r="I67" s="405">
        <f>SUM(F67-H67)</f>
        <v>3502</v>
      </c>
      <c r="J67" s="407">
        <v>43</v>
      </c>
      <c r="K67" s="790">
        <f>G67/F67</f>
        <v>0.86252091466815395</v>
      </c>
      <c r="L67" s="413">
        <v>252</v>
      </c>
      <c r="M67" s="398">
        <v>236</v>
      </c>
      <c r="N67" s="527">
        <v>0.93650793650793651</v>
      </c>
      <c r="O67" s="1230">
        <v>5.333333333333333</v>
      </c>
      <c r="P67" s="398">
        <v>9</v>
      </c>
      <c r="Q67" s="403">
        <v>9</v>
      </c>
      <c r="R67" s="533">
        <v>1</v>
      </c>
      <c r="S67" s="1229">
        <v>0</v>
      </c>
      <c r="T67" s="410">
        <v>225</v>
      </c>
      <c r="U67" s="410">
        <v>185</v>
      </c>
      <c r="V67" s="533">
        <v>0.82222222222222219</v>
      </c>
      <c r="W67" s="1230">
        <v>41.666666666666664</v>
      </c>
      <c r="X67" s="398">
        <v>2947</v>
      </c>
      <c r="Y67" s="398">
        <v>2595</v>
      </c>
      <c r="Z67" s="533">
        <v>0.8805564981336953</v>
      </c>
      <c r="AA67" s="1228">
        <v>38.838709677419352</v>
      </c>
      <c r="AB67" s="494">
        <v>21</v>
      </c>
      <c r="AC67" s="399">
        <v>2</v>
      </c>
      <c r="AD67" s="399">
        <v>1</v>
      </c>
      <c r="AE67" s="495"/>
    </row>
    <row r="68" spans="1:31" ht="43.2">
      <c r="A68" s="1418" t="s">
        <v>343</v>
      </c>
      <c r="B68" s="314">
        <v>44845</v>
      </c>
      <c r="C68" s="407">
        <v>11663</v>
      </c>
      <c r="D68" s="783">
        <v>1897</v>
      </c>
      <c r="E68" s="790">
        <v>0.69</v>
      </c>
      <c r="F68" s="408">
        <v>3442</v>
      </c>
      <c r="G68" s="407">
        <v>2973</v>
      </c>
      <c r="H68" s="407">
        <v>124</v>
      </c>
      <c r="I68" s="405">
        <f>SUM(F68-H68)</f>
        <v>3318</v>
      </c>
      <c r="J68" s="407">
        <v>41</v>
      </c>
      <c r="K68" s="790">
        <f>G68/F68</f>
        <v>0.86374201045903543</v>
      </c>
      <c r="L68" s="413">
        <v>218</v>
      </c>
      <c r="M68" s="398">
        <v>212</v>
      </c>
      <c r="N68" s="527">
        <v>0.97247706422018354</v>
      </c>
      <c r="O68" s="1230">
        <v>5.333333333333333</v>
      </c>
      <c r="P68" s="398">
        <v>8</v>
      </c>
      <c r="Q68" s="403">
        <v>7</v>
      </c>
      <c r="R68" s="533">
        <v>0.875</v>
      </c>
      <c r="S68" s="1229">
        <v>49.666666666666664</v>
      </c>
      <c r="T68" s="410">
        <v>221</v>
      </c>
      <c r="U68" s="410">
        <v>172</v>
      </c>
      <c r="V68" s="533">
        <v>0.77828054298642535</v>
      </c>
      <c r="W68" s="1230">
        <v>19.666666666666668</v>
      </c>
      <c r="X68" s="398">
        <v>2848</v>
      </c>
      <c r="Y68" s="398">
        <v>2511</v>
      </c>
      <c r="Z68" s="533">
        <v>0.8816713483146067</v>
      </c>
      <c r="AA68" s="1228">
        <v>39.96551724137931</v>
      </c>
      <c r="AB68" s="494">
        <v>20</v>
      </c>
      <c r="AC68" s="399">
        <v>1</v>
      </c>
      <c r="AD68" s="399">
        <v>0</v>
      </c>
      <c r="AE68" s="495"/>
    </row>
    <row r="69" spans="1:31" ht="45.6" customHeight="1">
      <c r="A69" s="1418" t="s">
        <v>344</v>
      </c>
      <c r="B69" s="314">
        <v>44846</v>
      </c>
      <c r="C69" s="407">
        <v>11831</v>
      </c>
      <c r="D69" s="783">
        <v>3421</v>
      </c>
      <c r="E69" s="790">
        <v>0.7</v>
      </c>
      <c r="F69" s="408">
        <v>3746</v>
      </c>
      <c r="G69" s="407">
        <v>3273</v>
      </c>
      <c r="H69" s="407">
        <v>83</v>
      </c>
      <c r="I69" s="405">
        <f>SUM(F69-H69)</f>
        <v>3663</v>
      </c>
      <c r="J69" s="407">
        <v>34</v>
      </c>
      <c r="K69" s="790">
        <f>G69/F69</f>
        <v>0.8737319807794981</v>
      </c>
      <c r="L69" s="413">
        <v>175</v>
      </c>
      <c r="M69" s="398">
        <v>163</v>
      </c>
      <c r="N69" s="721">
        <v>0.93142857142857138</v>
      </c>
      <c r="O69" s="1230">
        <v>5.333333333333333</v>
      </c>
      <c r="P69" s="398">
        <v>6</v>
      </c>
      <c r="Q69" s="403">
        <v>6</v>
      </c>
      <c r="R69" s="533">
        <v>1</v>
      </c>
      <c r="S69" s="1229">
        <v>0</v>
      </c>
      <c r="T69" s="410">
        <v>148</v>
      </c>
      <c r="U69" s="410">
        <v>117</v>
      </c>
      <c r="V69" s="533">
        <v>0.79054054054054057</v>
      </c>
      <c r="W69" s="1230">
        <v>11.333333333333334</v>
      </c>
      <c r="X69" s="398">
        <v>3287</v>
      </c>
      <c r="Y69" s="398">
        <v>2921</v>
      </c>
      <c r="Z69" s="533">
        <v>0.88865226650441131</v>
      </c>
      <c r="AA69" s="1228">
        <v>36.799999999999997</v>
      </c>
      <c r="AB69" s="494">
        <v>2</v>
      </c>
      <c r="AC69" s="399">
        <v>0</v>
      </c>
      <c r="AD69" s="399">
        <v>0</v>
      </c>
      <c r="AE69" s="495"/>
    </row>
    <row r="70" spans="1:31" ht="15.6">
      <c r="A70" s="1417"/>
      <c r="B70" s="314">
        <v>44847</v>
      </c>
      <c r="C70" s="407">
        <v>12762</v>
      </c>
      <c r="D70" s="783">
        <v>2873</v>
      </c>
      <c r="E70" s="790">
        <v>0.7</v>
      </c>
      <c r="F70" s="408">
        <v>3573</v>
      </c>
      <c r="G70" s="407">
        <v>3067</v>
      </c>
      <c r="H70" s="407">
        <v>68</v>
      </c>
      <c r="I70" s="405">
        <f>SUM(F70-H70)</f>
        <v>3505</v>
      </c>
      <c r="J70" s="407">
        <v>41</v>
      </c>
      <c r="K70" s="790">
        <f>G70/F70</f>
        <v>0.85838231178281554</v>
      </c>
      <c r="L70" s="413">
        <v>145</v>
      </c>
      <c r="M70" s="398">
        <v>137</v>
      </c>
      <c r="N70" s="721">
        <v>0.94482758620689655</v>
      </c>
      <c r="O70" s="1230">
        <v>3</v>
      </c>
      <c r="P70" s="398">
        <v>11</v>
      </c>
      <c r="Q70" s="403">
        <v>9</v>
      </c>
      <c r="R70" s="533">
        <v>0.81818181818181823</v>
      </c>
      <c r="S70" s="1229">
        <v>19</v>
      </c>
      <c r="T70" s="410">
        <v>182</v>
      </c>
      <c r="U70" s="410">
        <v>132</v>
      </c>
      <c r="V70" s="533">
        <v>0.72527472527472525</v>
      </c>
      <c r="W70" s="1230">
        <v>55</v>
      </c>
      <c r="X70" s="398">
        <v>3114</v>
      </c>
      <c r="Y70" s="398">
        <v>2729</v>
      </c>
      <c r="Z70" s="533">
        <v>0.8763648041104688</v>
      </c>
      <c r="AA70" s="1228">
        <v>42.806451612903224</v>
      </c>
      <c r="AB70" s="494">
        <v>15</v>
      </c>
      <c r="AC70" s="399">
        <v>1</v>
      </c>
      <c r="AD70" s="399">
        <v>1</v>
      </c>
      <c r="AE70" s="495"/>
    </row>
    <row r="71" spans="1:31" ht="15.6">
      <c r="A71" s="1417"/>
      <c r="B71" s="434">
        <v>44848</v>
      </c>
      <c r="C71" s="407">
        <v>15867</v>
      </c>
      <c r="D71" s="783">
        <v>2902</v>
      </c>
      <c r="E71" s="790">
        <v>0.71</v>
      </c>
      <c r="F71" s="408">
        <v>3280</v>
      </c>
      <c r="G71" s="407">
        <v>2807</v>
      </c>
      <c r="H71" s="407">
        <v>94</v>
      </c>
      <c r="I71" s="405">
        <v>3186</v>
      </c>
      <c r="J71" s="407">
        <v>42</v>
      </c>
      <c r="K71" s="790">
        <v>0.86</v>
      </c>
      <c r="L71" s="413">
        <v>121</v>
      </c>
      <c r="M71" s="398">
        <v>115</v>
      </c>
      <c r="N71" s="721">
        <v>0.95041322314049592</v>
      </c>
      <c r="O71" s="1230">
        <v>7.666666666666667</v>
      </c>
      <c r="P71" s="398">
        <v>7</v>
      </c>
      <c r="Q71" s="403">
        <v>7</v>
      </c>
      <c r="R71" s="533">
        <v>1</v>
      </c>
      <c r="S71" s="1229">
        <v>0</v>
      </c>
      <c r="T71" s="410">
        <v>153</v>
      </c>
      <c r="U71" s="410">
        <v>117</v>
      </c>
      <c r="V71" s="533">
        <v>0.76470588235294112</v>
      </c>
      <c r="W71" s="1230">
        <v>9.3333333333333339</v>
      </c>
      <c r="X71" s="398">
        <v>2876</v>
      </c>
      <c r="Y71" s="398">
        <v>2505</v>
      </c>
      <c r="Z71" s="533">
        <v>0.87100139082058414</v>
      </c>
      <c r="AA71" s="1228">
        <v>41.548387096774192</v>
      </c>
      <c r="AB71" s="494">
        <v>18</v>
      </c>
      <c r="AC71" s="399">
        <v>2</v>
      </c>
      <c r="AD71" s="399">
        <v>3</v>
      </c>
      <c r="AE71" s="495"/>
    </row>
    <row r="72" spans="1:31" ht="15.6">
      <c r="A72" s="1649"/>
      <c r="B72" s="840">
        <v>44849</v>
      </c>
      <c r="C72" s="746">
        <v>22063</v>
      </c>
      <c r="D72" s="784">
        <v>3421</v>
      </c>
      <c r="E72" s="791">
        <v>0.71</v>
      </c>
      <c r="F72" s="747">
        <v>1425</v>
      </c>
      <c r="G72" s="746">
        <v>1174</v>
      </c>
      <c r="H72" s="746">
        <v>107</v>
      </c>
      <c r="I72" s="748">
        <v>1318</v>
      </c>
      <c r="J72" s="746">
        <v>67</v>
      </c>
      <c r="K72" s="791">
        <v>0.82</v>
      </c>
      <c r="L72" s="749">
        <v>154</v>
      </c>
      <c r="M72" s="750">
        <v>140</v>
      </c>
      <c r="N72" s="751">
        <v>0.90909090909090906</v>
      </c>
      <c r="O72" s="1227">
        <v>2</v>
      </c>
      <c r="P72" s="750">
        <v>12</v>
      </c>
      <c r="Q72" s="752">
        <v>12</v>
      </c>
      <c r="R72" s="754">
        <v>1</v>
      </c>
      <c r="S72" s="1226">
        <v>0</v>
      </c>
      <c r="T72" s="753">
        <v>153</v>
      </c>
      <c r="U72" s="753">
        <v>110</v>
      </c>
      <c r="V72" s="754">
        <v>0.71895424836601307</v>
      </c>
      <c r="W72" s="1227">
        <v>35</v>
      </c>
      <c r="X72" s="750">
        <v>971</v>
      </c>
      <c r="Y72" s="750">
        <v>851</v>
      </c>
      <c r="Z72" s="754">
        <v>0.87641606591143151</v>
      </c>
      <c r="AA72" s="1225">
        <v>40.4</v>
      </c>
      <c r="AB72" s="755">
        <v>28</v>
      </c>
      <c r="AC72" s="756">
        <v>1</v>
      </c>
      <c r="AD72" s="756">
        <v>2</v>
      </c>
      <c r="AE72" s="757"/>
    </row>
    <row r="73" spans="1:31" s="745" customFormat="1" ht="15.6">
      <c r="A73" s="1650"/>
      <c r="B73" s="758">
        <v>44850</v>
      </c>
      <c r="C73" s="759">
        <v>20985</v>
      </c>
      <c r="D73" s="785">
        <v>3357</v>
      </c>
      <c r="E73" s="792">
        <v>0.72</v>
      </c>
      <c r="F73" s="760">
        <v>1059</v>
      </c>
      <c r="G73" s="759">
        <v>873</v>
      </c>
      <c r="H73" s="759">
        <v>97</v>
      </c>
      <c r="I73" s="759">
        <v>962</v>
      </c>
      <c r="J73" s="759">
        <v>59</v>
      </c>
      <c r="K73" s="792">
        <v>0.82</v>
      </c>
      <c r="L73" s="761">
        <v>137</v>
      </c>
      <c r="M73" s="762">
        <v>133</v>
      </c>
      <c r="N73" s="1210">
        <v>0.97</v>
      </c>
      <c r="O73" s="1253">
        <v>38</v>
      </c>
      <c r="P73" s="762"/>
      <c r="Q73" s="763"/>
      <c r="R73" s="765" t="e">
        <f>Q73/P73</f>
        <v>#DIV/0!</v>
      </c>
      <c r="S73" s="1224"/>
      <c r="T73" s="764">
        <v>135</v>
      </c>
      <c r="U73" s="764">
        <v>107</v>
      </c>
      <c r="V73" s="765">
        <f>U73/T73</f>
        <v>0.79259259259259263</v>
      </c>
      <c r="W73" s="1253">
        <v>18.333333333333332</v>
      </c>
      <c r="X73" s="762">
        <v>649</v>
      </c>
      <c r="Y73" s="762">
        <v>572</v>
      </c>
      <c r="Z73" s="765">
        <v>0.88135593220338981</v>
      </c>
      <c r="AA73" s="1223">
        <v>68.827586206896555</v>
      </c>
      <c r="AB73" s="766">
        <v>25</v>
      </c>
      <c r="AC73" s="767" t="s">
        <v>345</v>
      </c>
      <c r="AD73" s="767">
        <v>1</v>
      </c>
      <c r="AE73" s="768"/>
    </row>
    <row r="74" spans="1:31" ht="15.6">
      <c r="A74" s="1417"/>
      <c r="B74" s="314">
        <v>44851</v>
      </c>
      <c r="C74" s="407">
        <v>22440</v>
      </c>
      <c r="D74" s="783">
        <v>3526</v>
      </c>
      <c r="E74" s="790">
        <v>0.74</v>
      </c>
      <c r="F74" s="408">
        <v>2775</v>
      </c>
      <c r="G74" s="407">
        <v>2407</v>
      </c>
      <c r="H74" s="407">
        <v>116</v>
      </c>
      <c r="I74" s="407">
        <v>2659</v>
      </c>
      <c r="J74" s="407">
        <v>40</v>
      </c>
      <c r="K74" s="790">
        <v>0.87</v>
      </c>
      <c r="L74" s="413">
        <v>118</v>
      </c>
      <c r="M74" s="398">
        <v>115</v>
      </c>
      <c r="N74" s="527">
        <v>0.98</v>
      </c>
      <c r="O74" s="1230">
        <v>2</v>
      </c>
      <c r="P74" s="398"/>
      <c r="Q74" s="403"/>
      <c r="R74" s="402" t="e">
        <f>Q74/P74</f>
        <v>#DIV/0!</v>
      </c>
      <c r="S74" s="1222"/>
      <c r="T74" s="410">
        <v>128</v>
      </c>
      <c r="U74" s="410">
        <v>99</v>
      </c>
      <c r="V74" s="533">
        <f>U74/T74</f>
        <v>0.7734375</v>
      </c>
      <c r="W74" s="1230">
        <v>273.66666666666669</v>
      </c>
      <c r="X74" s="398">
        <v>2380</v>
      </c>
      <c r="Y74" s="398">
        <v>2137</v>
      </c>
      <c r="Z74" s="533">
        <v>0.89789915966386558</v>
      </c>
      <c r="AA74" s="1228">
        <v>30.133333333333333</v>
      </c>
      <c r="AB74" s="494">
        <v>10</v>
      </c>
      <c r="AC74" s="399" t="s">
        <v>345</v>
      </c>
      <c r="AD74" s="399">
        <v>3</v>
      </c>
      <c r="AE74" s="495"/>
    </row>
    <row r="75" spans="1:31" s="1250" customFormat="1" ht="15.6">
      <c r="A75" s="1449" t="s">
        <v>346</v>
      </c>
      <c r="B75" s="1234">
        <v>44852</v>
      </c>
      <c r="C75" s="1235">
        <v>23792</v>
      </c>
      <c r="D75" s="1236">
        <v>3530</v>
      </c>
      <c r="E75" s="1252">
        <v>0.74</v>
      </c>
      <c r="F75" s="1237">
        <v>5111</v>
      </c>
      <c r="G75" s="1235">
        <v>4243</v>
      </c>
      <c r="H75" s="1235">
        <v>130</v>
      </c>
      <c r="I75" s="1235">
        <v>4981</v>
      </c>
      <c r="J75" s="1235">
        <v>34</v>
      </c>
      <c r="K75" s="1252">
        <v>0.83</v>
      </c>
      <c r="L75" s="1238">
        <v>171</v>
      </c>
      <c r="M75" s="1239">
        <v>150</v>
      </c>
      <c r="N75" s="1240">
        <v>0.74</v>
      </c>
      <c r="O75" s="1254">
        <v>31</v>
      </c>
      <c r="P75" s="1239"/>
      <c r="Q75" s="1242"/>
      <c r="R75" s="1243" t="e">
        <f>Q75/P75</f>
        <v>#DIV/0!</v>
      </c>
      <c r="S75" s="1241"/>
      <c r="T75" s="1244">
        <v>134</v>
      </c>
      <c r="U75" s="1244">
        <v>108</v>
      </c>
      <c r="V75" s="1245">
        <f>U75/T75</f>
        <v>0.80597014925373134</v>
      </c>
      <c r="W75" s="1254">
        <v>28.5</v>
      </c>
      <c r="X75" s="1239">
        <v>3686</v>
      </c>
      <c r="Y75" s="1239">
        <v>3297</v>
      </c>
      <c r="Z75" s="1245">
        <v>0.89446554530656541</v>
      </c>
      <c r="AA75" s="1246">
        <v>24.605263157894736</v>
      </c>
      <c r="AB75" s="1247">
        <v>40</v>
      </c>
      <c r="AC75" s="1248">
        <v>2</v>
      </c>
      <c r="AD75" s="1248">
        <v>4</v>
      </c>
      <c r="AE75" s="1249"/>
    </row>
    <row r="76" spans="1:31" ht="15.6">
      <c r="A76" s="1417" t="s">
        <v>347</v>
      </c>
      <c r="B76" s="314">
        <v>44853</v>
      </c>
      <c r="C76" s="407">
        <v>24645</v>
      </c>
      <c r="D76" s="783">
        <v>3363</v>
      </c>
      <c r="E76" s="790">
        <v>0.76229999999999998</v>
      </c>
      <c r="F76" s="408">
        <v>6556</v>
      </c>
      <c r="G76" s="407">
        <v>5603</v>
      </c>
      <c r="H76" s="407">
        <v>143</v>
      </c>
      <c r="I76" s="407">
        <f t="shared" ref="I76:I82" si="11">SUM(F76-H76)</f>
        <v>6413</v>
      </c>
      <c r="J76" s="407">
        <v>36</v>
      </c>
      <c r="K76" s="790">
        <f t="shared" si="7"/>
        <v>0.85463697376449055</v>
      </c>
      <c r="L76" s="413">
        <v>271</v>
      </c>
      <c r="M76" s="398">
        <v>242</v>
      </c>
      <c r="N76" s="527">
        <v>0.8</v>
      </c>
      <c r="O76" s="529">
        <v>89</v>
      </c>
      <c r="P76" s="398"/>
      <c r="Q76" s="403"/>
      <c r="R76" s="402" t="e">
        <f t="shared" si="4"/>
        <v>#DIV/0!</v>
      </c>
      <c r="S76" s="484"/>
      <c r="T76" s="410">
        <v>167</v>
      </c>
      <c r="U76" s="410">
        <v>145</v>
      </c>
      <c r="V76" s="533">
        <f t="shared" si="5"/>
        <v>0.86826347305389218</v>
      </c>
      <c r="W76" s="529">
        <v>7</v>
      </c>
      <c r="X76" s="398">
        <v>4951</v>
      </c>
      <c r="Y76" s="398">
        <v>4462</v>
      </c>
      <c r="Z76" s="533">
        <v>0.85</v>
      </c>
      <c r="AA76" s="537">
        <v>4586</v>
      </c>
      <c r="AB76" s="494">
        <v>38</v>
      </c>
      <c r="AC76" s="399">
        <v>6</v>
      </c>
      <c r="AD76" s="399">
        <v>1</v>
      </c>
      <c r="AE76" s="495"/>
    </row>
    <row r="77" spans="1:31" ht="15.6">
      <c r="A77" s="1417"/>
      <c r="B77" s="314">
        <v>44854</v>
      </c>
      <c r="C77" s="407">
        <v>28295</v>
      </c>
      <c r="D77" s="783">
        <v>7354</v>
      </c>
      <c r="E77" s="790">
        <v>0.75860000000000005</v>
      </c>
      <c r="F77" s="408">
        <v>5902</v>
      </c>
      <c r="G77" s="407">
        <v>5111</v>
      </c>
      <c r="H77" s="407">
        <v>122</v>
      </c>
      <c r="I77" s="407">
        <f t="shared" si="11"/>
        <v>5780</v>
      </c>
      <c r="J77" s="407">
        <v>31</v>
      </c>
      <c r="K77" s="790">
        <f t="shared" si="7"/>
        <v>0.86597763470010169</v>
      </c>
      <c r="L77" s="413">
        <v>243</v>
      </c>
      <c r="M77" s="398">
        <v>233</v>
      </c>
      <c r="N77" s="527">
        <v>0.96</v>
      </c>
      <c r="O77" s="529">
        <v>8</v>
      </c>
      <c r="P77" s="398"/>
      <c r="Q77" s="403"/>
      <c r="R77" s="402" t="e">
        <f t="shared" ref="R77:R105" si="12">Q77/P77</f>
        <v>#DIV/0!</v>
      </c>
      <c r="S77" s="484"/>
      <c r="T77" s="410">
        <v>186</v>
      </c>
      <c r="U77" s="410">
        <v>142</v>
      </c>
      <c r="V77" s="533">
        <f t="shared" ref="V77:V82" si="13">U77/T77</f>
        <v>0.76344086021505375</v>
      </c>
      <c r="W77" s="529">
        <v>33</v>
      </c>
      <c r="X77" s="398">
        <v>4648</v>
      </c>
      <c r="Y77" s="398">
        <v>4161</v>
      </c>
      <c r="Z77" s="533">
        <v>0.87</v>
      </c>
      <c r="AA77" s="537">
        <v>1414</v>
      </c>
      <c r="AB77" s="494">
        <v>26</v>
      </c>
      <c r="AC77" s="399">
        <v>2</v>
      </c>
      <c r="AD77" s="399">
        <v>5</v>
      </c>
      <c r="AE77" s="495"/>
    </row>
    <row r="78" spans="1:31" ht="28.8">
      <c r="A78" s="1438" t="s">
        <v>348</v>
      </c>
      <c r="B78" s="840">
        <v>44855</v>
      </c>
      <c r="C78" s="746">
        <v>27322</v>
      </c>
      <c r="D78" s="784">
        <v>8669</v>
      </c>
      <c r="E78" s="791">
        <v>0.75080000000000002</v>
      </c>
      <c r="F78" s="747">
        <v>6491</v>
      </c>
      <c r="G78" s="746">
        <v>5618</v>
      </c>
      <c r="H78" s="746">
        <v>145</v>
      </c>
      <c r="I78" s="746">
        <f t="shared" si="11"/>
        <v>6346</v>
      </c>
      <c r="J78" s="746">
        <v>35</v>
      </c>
      <c r="K78" s="791">
        <f t="shared" si="7"/>
        <v>0.86550608534894469</v>
      </c>
      <c r="L78" s="749">
        <v>164</v>
      </c>
      <c r="M78" s="750">
        <v>152</v>
      </c>
      <c r="N78" s="1439">
        <v>0.81</v>
      </c>
      <c r="O78" s="1440">
        <v>10</v>
      </c>
      <c r="P78" s="750"/>
      <c r="Q78" s="752"/>
      <c r="R78" s="1441" t="e">
        <f t="shared" si="12"/>
        <v>#DIV/0!</v>
      </c>
      <c r="S78" s="1442"/>
      <c r="T78" s="753">
        <v>203</v>
      </c>
      <c r="U78" s="753">
        <v>143</v>
      </c>
      <c r="V78" s="754">
        <f t="shared" si="13"/>
        <v>0.70443349753694584</v>
      </c>
      <c r="W78" s="1440">
        <v>42.333333333333336</v>
      </c>
      <c r="X78" s="750">
        <v>5230</v>
      </c>
      <c r="Y78" s="750">
        <v>4700</v>
      </c>
      <c r="Z78" s="754">
        <v>0.88</v>
      </c>
      <c r="AA78" s="1443">
        <v>1494</v>
      </c>
      <c r="AB78" s="755">
        <v>41</v>
      </c>
      <c r="AC78" s="756">
        <v>3</v>
      </c>
      <c r="AD78" s="756">
        <v>8</v>
      </c>
      <c r="AE78" s="757"/>
    </row>
    <row r="79" spans="1:31" s="1437" customFormat="1" ht="15.6">
      <c r="A79" s="1450"/>
      <c r="B79" s="1419">
        <v>44856</v>
      </c>
      <c r="C79" s="1420">
        <v>29088</v>
      </c>
      <c r="D79" s="1421">
        <v>8563</v>
      </c>
      <c r="E79" s="1422">
        <v>0.77529999999999999</v>
      </c>
      <c r="F79" s="1423">
        <v>6997</v>
      </c>
      <c r="G79" s="1420">
        <v>6132</v>
      </c>
      <c r="H79" s="1420">
        <v>144</v>
      </c>
      <c r="I79" s="1420">
        <f t="shared" si="11"/>
        <v>6853</v>
      </c>
      <c r="J79" s="1420">
        <v>35</v>
      </c>
      <c r="K79" s="1422">
        <f t="shared" si="7"/>
        <v>0.87637558953837358</v>
      </c>
      <c r="L79" s="1424">
        <v>55</v>
      </c>
      <c r="M79" s="1425">
        <v>49</v>
      </c>
      <c r="N79" s="1426">
        <v>0.96</v>
      </c>
      <c r="O79" s="1427">
        <v>14</v>
      </c>
      <c r="P79" s="1425"/>
      <c r="Q79" s="1428"/>
      <c r="R79" s="1429" t="e">
        <f t="shared" si="12"/>
        <v>#DIV/0!</v>
      </c>
      <c r="S79" s="1430"/>
      <c r="T79" s="1431">
        <v>43</v>
      </c>
      <c r="U79" s="1431">
        <v>38</v>
      </c>
      <c r="V79" s="1432">
        <f t="shared" si="13"/>
        <v>0.88372093023255816</v>
      </c>
      <c r="W79" s="1427">
        <v>20.666666666666668</v>
      </c>
      <c r="X79" s="1425">
        <v>5951</v>
      </c>
      <c r="Y79" s="1425">
        <v>5364</v>
      </c>
      <c r="Z79" s="1432">
        <v>0.89</v>
      </c>
      <c r="AA79" s="1433">
        <v>1351</v>
      </c>
      <c r="AB79" s="1434">
        <v>39</v>
      </c>
      <c r="AC79" s="1435">
        <v>5</v>
      </c>
      <c r="AD79" s="1435">
        <v>1</v>
      </c>
      <c r="AE79" s="1436"/>
    </row>
    <row r="80" spans="1:31" ht="15.6">
      <c r="A80" s="1451"/>
      <c r="B80" s="414">
        <v>44857</v>
      </c>
      <c r="C80" s="415">
        <v>25859</v>
      </c>
      <c r="D80" s="782">
        <v>7933</v>
      </c>
      <c r="E80" s="789">
        <v>0.73540000000000005</v>
      </c>
      <c r="F80" s="1233">
        <v>4079</v>
      </c>
      <c r="G80" s="415"/>
      <c r="H80" s="415">
        <v>122</v>
      </c>
      <c r="I80" s="415">
        <f t="shared" si="11"/>
        <v>3957</v>
      </c>
      <c r="J80" s="415">
        <v>38</v>
      </c>
      <c r="K80" s="789">
        <v>0.87150000000000005</v>
      </c>
      <c r="L80" s="416">
        <v>60</v>
      </c>
      <c r="M80" s="417">
        <v>50</v>
      </c>
      <c r="N80" s="619">
        <v>0.94</v>
      </c>
      <c r="O80" s="531">
        <v>29</v>
      </c>
      <c r="P80" s="417"/>
      <c r="Q80" s="421"/>
      <c r="R80" s="1444" t="e">
        <f t="shared" si="12"/>
        <v>#DIV/0!</v>
      </c>
      <c r="S80" s="1445"/>
      <c r="T80" s="418">
        <v>61</v>
      </c>
      <c r="U80" s="418">
        <v>45</v>
      </c>
      <c r="V80" s="536">
        <f t="shared" si="13"/>
        <v>0.73770491803278693</v>
      </c>
      <c r="W80" s="531">
        <v>66.666666666666671</v>
      </c>
      <c r="X80" s="417">
        <v>3057</v>
      </c>
      <c r="Y80" s="417">
        <v>2775</v>
      </c>
      <c r="Z80" s="536">
        <v>0.88</v>
      </c>
      <c r="AA80" s="539">
        <v>1845</v>
      </c>
      <c r="AB80" s="498">
        <v>48</v>
      </c>
      <c r="AC80" s="499">
        <v>7</v>
      </c>
      <c r="AD80" s="499">
        <v>4</v>
      </c>
      <c r="AE80" s="500"/>
    </row>
    <row r="81" spans="1:31" ht="15.6">
      <c r="A81" s="1417"/>
      <c r="B81" s="314">
        <v>44858</v>
      </c>
      <c r="C81" s="407">
        <v>27755</v>
      </c>
      <c r="D81" s="783">
        <v>8572</v>
      </c>
      <c r="E81" s="790">
        <v>0.74580000000000002</v>
      </c>
      <c r="F81" s="408">
        <v>5307</v>
      </c>
      <c r="G81" s="407"/>
      <c r="H81" s="407">
        <v>149</v>
      </c>
      <c r="I81" s="407">
        <f t="shared" si="11"/>
        <v>5158</v>
      </c>
      <c r="J81" s="407">
        <v>38</v>
      </c>
      <c r="K81" s="790">
        <v>0.87</v>
      </c>
      <c r="L81" s="413">
        <v>61</v>
      </c>
      <c r="M81" s="398">
        <v>56</v>
      </c>
      <c r="N81" s="527">
        <v>0.81</v>
      </c>
      <c r="O81" s="529">
        <v>14</v>
      </c>
      <c r="P81" s="398"/>
      <c r="Q81" s="403"/>
      <c r="R81" s="402" t="e">
        <f t="shared" si="12"/>
        <v>#DIV/0!</v>
      </c>
      <c r="S81" s="484"/>
      <c r="T81" s="410">
        <v>44</v>
      </c>
      <c r="U81" s="410">
        <v>34</v>
      </c>
      <c r="V81" s="533">
        <f t="shared" si="13"/>
        <v>0.77272727272727271</v>
      </c>
      <c r="W81" s="529">
        <v>177</v>
      </c>
      <c r="X81" s="398">
        <v>4303</v>
      </c>
      <c r="Y81" s="398">
        <v>3915</v>
      </c>
      <c r="Z81" s="533">
        <v>0.91</v>
      </c>
      <c r="AA81" s="537">
        <v>1366</v>
      </c>
      <c r="AB81" s="494">
        <v>30</v>
      </c>
      <c r="AC81" s="399">
        <v>2</v>
      </c>
      <c r="AD81" s="399">
        <v>1</v>
      </c>
      <c r="AE81" s="495"/>
    </row>
    <row r="82" spans="1:31" ht="15.6">
      <c r="A82" s="1417"/>
      <c r="B82" s="314">
        <v>44859</v>
      </c>
      <c r="C82" s="407">
        <v>26718</v>
      </c>
      <c r="D82" s="783">
        <v>8605</v>
      </c>
      <c r="E82" s="790">
        <v>0.73729999999999996</v>
      </c>
      <c r="F82" s="408">
        <v>4881</v>
      </c>
      <c r="G82" s="407"/>
      <c r="H82" s="407">
        <v>154</v>
      </c>
      <c r="I82" s="407">
        <f t="shared" si="11"/>
        <v>4727</v>
      </c>
      <c r="J82" s="407">
        <v>38</v>
      </c>
      <c r="K82" s="790">
        <v>0.8679</v>
      </c>
      <c r="L82" s="413">
        <v>47</v>
      </c>
      <c r="M82" s="398">
        <v>45</v>
      </c>
      <c r="N82" s="527">
        <v>0.98</v>
      </c>
      <c r="O82" s="529">
        <v>1</v>
      </c>
      <c r="P82" s="398"/>
      <c r="Q82" s="403"/>
      <c r="R82" s="402" t="e">
        <f t="shared" si="12"/>
        <v>#DIV/0!</v>
      </c>
      <c r="S82" s="484"/>
      <c r="T82" s="410">
        <v>34</v>
      </c>
      <c r="U82" s="410">
        <v>23</v>
      </c>
      <c r="V82" s="533">
        <f t="shared" si="13"/>
        <v>0.67647058823529416</v>
      </c>
      <c r="W82" s="529">
        <v>60</v>
      </c>
      <c r="X82" s="398">
        <v>4003</v>
      </c>
      <c r="Y82" s="398">
        <v>3594</v>
      </c>
      <c r="Z82" s="533">
        <v>0.88</v>
      </c>
      <c r="AA82" s="537">
        <v>1826</v>
      </c>
      <c r="AB82" s="494">
        <v>41</v>
      </c>
      <c r="AC82" s="399">
        <v>6</v>
      </c>
      <c r="AD82" s="399">
        <v>3</v>
      </c>
      <c r="AE82" s="495"/>
    </row>
    <row r="83" spans="1:31" ht="15.6">
      <c r="A83" s="1417"/>
      <c r="B83" s="314">
        <v>44860</v>
      </c>
      <c r="C83" s="407">
        <v>24746</v>
      </c>
      <c r="D83" s="783">
        <v>6944</v>
      </c>
      <c r="E83" s="790">
        <v>0.73519999999999996</v>
      </c>
      <c r="F83" s="408">
        <v>4407</v>
      </c>
      <c r="G83" s="407">
        <v>3779</v>
      </c>
      <c r="H83" s="407">
        <v>139</v>
      </c>
      <c r="I83" s="407">
        <f>SUM(F83-H83)</f>
        <v>4268</v>
      </c>
      <c r="J83" s="407">
        <v>39</v>
      </c>
      <c r="K83" s="790">
        <f>G83/F83</f>
        <v>0.85749943272067164</v>
      </c>
      <c r="L83" s="413">
        <v>65</v>
      </c>
      <c r="M83" s="398">
        <v>60</v>
      </c>
      <c r="N83" s="527">
        <v>0.80107526881720426</v>
      </c>
      <c r="O83" s="529">
        <v>37.510752688172047</v>
      </c>
      <c r="P83" s="398"/>
      <c r="Q83" s="403"/>
      <c r="R83" s="402" t="e">
        <f t="shared" si="12"/>
        <v>#DIV/0!</v>
      </c>
      <c r="S83" s="484"/>
      <c r="T83" s="410">
        <v>56</v>
      </c>
      <c r="U83" s="410">
        <v>46</v>
      </c>
      <c r="V83" s="533">
        <v>0.8125</v>
      </c>
      <c r="W83" s="529">
        <v>34.25</v>
      </c>
      <c r="X83" s="398">
        <v>3521</v>
      </c>
      <c r="Y83" s="398">
        <v>3137</v>
      </c>
      <c r="Z83" s="533">
        <v>0.8620894302500699</v>
      </c>
      <c r="AA83" s="537">
        <v>2371.6752201827608</v>
      </c>
      <c r="AB83" s="494">
        <v>45</v>
      </c>
      <c r="AC83" s="399">
        <v>3</v>
      </c>
      <c r="AD83" s="399">
        <v>8</v>
      </c>
      <c r="AE83" s="495"/>
    </row>
    <row r="84" spans="1:31" ht="15.6">
      <c r="A84" s="1417"/>
      <c r="B84" s="314">
        <v>44861</v>
      </c>
      <c r="C84" s="407">
        <v>23449</v>
      </c>
      <c r="D84" s="783">
        <v>7141</v>
      </c>
      <c r="E84" s="790">
        <v>0.71089999999999998</v>
      </c>
      <c r="F84" s="408">
        <v>4001</v>
      </c>
      <c r="G84" s="407">
        <v>3489</v>
      </c>
      <c r="H84" s="407">
        <v>137</v>
      </c>
      <c r="I84" s="407">
        <f>SUM(F84-H84)</f>
        <v>3864</v>
      </c>
      <c r="J84" s="407">
        <v>40</v>
      </c>
      <c r="K84" s="790">
        <f>G84/F84</f>
        <v>0.87203199200199955</v>
      </c>
      <c r="L84" s="413">
        <v>186</v>
      </c>
      <c r="M84" s="398">
        <v>173</v>
      </c>
      <c r="N84" s="527">
        <v>0.88516339869281047</v>
      </c>
      <c r="O84" s="529">
        <v>429.23071895424835</v>
      </c>
      <c r="P84" s="398"/>
      <c r="Q84" s="403"/>
      <c r="R84" s="402" t="e">
        <f t="shared" si="12"/>
        <v>#DIV/0!</v>
      </c>
      <c r="S84" s="484"/>
      <c r="T84" s="410">
        <v>49</v>
      </c>
      <c r="U84" s="410">
        <v>39</v>
      </c>
      <c r="V84" s="533">
        <v>0.81541218637992829</v>
      </c>
      <c r="W84" s="529">
        <v>40.632616487455195</v>
      </c>
      <c r="X84" s="398">
        <v>3199</v>
      </c>
      <c r="Y84" s="398">
        <v>2884</v>
      </c>
      <c r="Z84" s="533">
        <v>0.890919432536176</v>
      </c>
      <c r="AA84" s="537">
        <v>1751.9669197277274</v>
      </c>
      <c r="AB84" s="494">
        <v>53</v>
      </c>
      <c r="AC84" s="399">
        <v>3</v>
      </c>
      <c r="AD84" s="399">
        <v>3</v>
      </c>
      <c r="AE84" s="495"/>
    </row>
    <row r="85" spans="1:31" ht="15.6">
      <c r="A85" s="1649"/>
      <c r="B85" s="840">
        <v>44862</v>
      </c>
      <c r="C85" s="746">
        <v>21438</v>
      </c>
      <c r="D85" s="784">
        <v>5348</v>
      </c>
      <c r="E85" s="791">
        <v>0.65900000000000003</v>
      </c>
      <c r="F85" s="747">
        <v>4807</v>
      </c>
      <c r="G85" s="746">
        <v>4208</v>
      </c>
      <c r="H85" s="746">
        <v>141</v>
      </c>
      <c r="I85" s="746">
        <f>SUM(F85-H85)</f>
        <v>4666</v>
      </c>
      <c r="J85" s="746">
        <v>41</v>
      </c>
      <c r="K85" s="791">
        <f>G85/F85</f>
        <v>0.87539005616808818</v>
      </c>
      <c r="L85" s="749">
        <v>364</v>
      </c>
      <c r="M85" s="750">
        <v>343</v>
      </c>
      <c r="N85" s="1439">
        <v>0.91250364329276679</v>
      </c>
      <c r="O85" s="1440">
        <v>11.537284220830287</v>
      </c>
      <c r="P85" s="750"/>
      <c r="Q85" s="752"/>
      <c r="R85" s="1441" t="e">
        <f t="shared" si="12"/>
        <v>#DIV/0!</v>
      </c>
      <c r="S85" s="1442"/>
      <c r="T85" s="753">
        <v>41</v>
      </c>
      <c r="U85" s="753">
        <v>25</v>
      </c>
      <c r="V85" s="754">
        <v>0.72380952380952379</v>
      </c>
      <c r="W85" s="1440">
        <v>378.87428571428575</v>
      </c>
      <c r="X85" s="750">
        <v>3694</v>
      </c>
      <c r="Y85" s="750">
        <v>3308</v>
      </c>
      <c r="Z85" s="754">
        <v>0.87975673395745213</v>
      </c>
      <c r="AA85" s="1443">
        <v>1994.0250772529173</v>
      </c>
      <c r="AB85" s="755">
        <v>44</v>
      </c>
      <c r="AC85" s="756">
        <v>3</v>
      </c>
      <c r="AD85" s="756">
        <v>4</v>
      </c>
      <c r="AE85" s="757">
        <v>2</v>
      </c>
    </row>
    <row r="86" spans="1:31" s="1437" customFormat="1" ht="15.6">
      <c r="A86" s="1450"/>
      <c r="B86" s="1419">
        <v>44863</v>
      </c>
      <c r="C86" s="1420">
        <v>20416</v>
      </c>
      <c r="D86" s="1421">
        <v>5012</v>
      </c>
      <c r="E86" s="1422">
        <v>0.66290000000000004</v>
      </c>
      <c r="F86" s="1423">
        <v>5048</v>
      </c>
      <c r="G86" s="1420">
        <v>4464</v>
      </c>
      <c r="H86" s="1420">
        <v>139</v>
      </c>
      <c r="I86" s="1420">
        <f>SUM(F86-H86)</f>
        <v>4909</v>
      </c>
      <c r="J86" s="1420">
        <v>42</v>
      </c>
      <c r="K86" s="1422">
        <f>G86/F86</f>
        <v>0.88431061806656097</v>
      </c>
      <c r="L86" s="1424">
        <v>345</v>
      </c>
      <c r="M86" s="1425">
        <v>328</v>
      </c>
      <c r="N86" s="1426">
        <v>0.82905348086172315</v>
      </c>
      <c r="O86" s="1427">
        <v>34.731854772645356</v>
      </c>
      <c r="P86" s="1425"/>
      <c r="Q86" s="1428"/>
      <c r="R86" s="1429" t="e">
        <f t="shared" si="12"/>
        <v>#DIV/0!</v>
      </c>
      <c r="S86" s="1430"/>
      <c r="T86" s="1431">
        <v>58</v>
      </c>
      <c r="U86" s="1431">
        <v>46</v>
      </c>
      <c r="V86" s="1432">
        <v>0.53276353276353283</v>
      </c>
      <c r="W86" s="1427">
        <v>270.38461538461542</v>
      </c>
      <c r="X86" s="1425">
        <v>3886</v>
      </c>
      <c r="Y86" s="1425">
        <v>3495</v>
      </c>
      <c r="Z86" s="1432">
        <v>0.89813750137429482</v>
      </c>
      <c r="AA86" s="1433">
        <v>2518.7998448739572</v>
      </c>
      <c r="AB86" s="1434">
        <v>61</v>
      </c>
      <c r="AC86" s="1435">
        <v>3</v>
      </c>
      <c r="AD86" s="1435">
        <v>4</v>
      </c>
      <c r="AE86" s="1436"/>
    </row>
    <row r="87" spans="1:31" ht="15.6">
      <c r="A87" s="1451"/>
      <c r="B87" s="414">
        <v>44864</v>
      </c>
      <c r="C87" s="415">
        <v>19175</v>
      </c>
      <c r="D87" s="782">
        <v>5012</v>
      </c>
      <c r="E87" s="789">
        <v>0.66290000000000004</v>
      </c>
      <c r="F87" s="1233">
        <v>4843</v>
      </c>
      <c r="G87" s="415">
        <v>4268</v>
      </c>
      <c r="H87" s="415">
        <v>139</v>
      </c>
      <c r="I87" s="415">
        <f t="shared" ref="I87:I89" si="14">SUM(F87-H87)</f>
        <v>4704</v>
      </c>
      <c r="J87" s="415">
        <v>39</v>
      </c>
      <c r="K87" s="789">
        <f>G87/F87</f>
        <v>0.88127193888085897</v>
      </c>
      <c r="L87" s="416">
        <v>276</v>
      </c>
      <c r="M87" s="417">
        <v>257</v>
      </c>
      <c r="N87" s="619">
        <v>0.92055360321827384</v>
      </c>
      <c r="O87" s="531">
        <v>12.895792122319069</v>
      </c>
      <c r="P87" s="417"/>
      <c r="Q87" s="421"/>
      <c r="R87" s="1444" t="e">
        <f t="shared" si="12"/>
        <v>#DIV/0!</v>
      </c>
      <c r="S87" s="1445"/>
      <c r="T87" s="418">
        <v>42</v>
      </c>
      <c r="U87" s="418">
        <v>36</v>
      </c>
      <c r="V87" s="536">
        <v>0.89487179487179491</v>
      </c>
      <c r="W87" s="531">
        <v>25.164957264957266</v>
      </c>
      <c r="X87" s="417">
        <v>3770</v>
      </c>
      <c r="Y87" s="417">
        <v>3401</v>
      </c>
      <c r="Z87" s="536">
        <v>0.87116674765671365</v>
      </c>
      <c r="AA87" s="539">
        <v>49.86372613657241</v>
      </c>
      <c r="AB87" s="498">
        <v>61</v>
      </c>
      <c r="AC87" s="499">
        <v>3</v>
      </c>
      <c r="AD87" s="499">
        <v>4</v>
      </c>
      <c r="AE87" s="500"/>
    </row>
    <row r="88" spans="1:31" ht="15.6">
      <c r="A88" s="1417"/>
      <c r="B88" s="314">
        <v>44865</v>
      </c>
      <c r="C88" s="407">
        <v>19464</v>
      </c>
      <c r="D88" s="783">
        <v>4940</v>
      </c>
      <c r="E88" s="790">
        <v>0.67330000000000001</v>
      </c>
      <c r="F88" s="408">
        <v>4296</v>
      </c>
      <c r="G88" s="407">
        <v>3711</v>
      </c>
      <c r="H88" s="407">
        <v>133</v>
      </c>
      <c r="I88" s="407">
        <f t="shared" si="14"/>
        <v>4163</v>
      </c>
      <c r="J88" s="407">
        <v>39</v>
      </c>
      <c r="K88" s="790">
        <f t="shared" si="7"/>
        <v>0.86382681564245811</v>
      </c>
      <c r="L88" s="413">
        <v>304</v>
      </c>
      <c r="M88" s="398">
        <v>283</v>
      </c>
      <c r="N88" s="527">
        <v>0.93491798057015441</v>
      </c>
      <c r="O88" s="529">
        <v>14.515934065934067</v>
      </c>
      <c r="P88" s="398"/>
      <c r="Q88" s="403"/>
      <c r="R88" s="402" t="e">
        <f t="shared" si="12"/>
        <v>#DIV/0!</v>
      </c>
      <c r="S88" s="484"/>
      <c r="T88" s="410">
        <v>48</v>
      </c>
      <c r="U88" s="410">
        <v>34</v>
      </c>
      <c r="V88" s="533">
        <v>0.77864923747276693</v>
      </c>
      <c r="W88" s="529">
        <v>69.121786492374738</v>
      </c>
      <c r="X88" s="398">
        <v>3261</v>
      </c>
      <c r="Y88" s="398">
        <v>2880</v>
      </c>
      <c r="Z88" s="533">
        <v>0.870387279612444</v>
      </c>
      <c r="AA88" s="537">
        <v>38.889370562832575</v>
      </c>
      <c r="AB88" s="494">
        <v>42</v>
      </c>
      <c r="AC88" s="399">
        <v>6</v>
      </c>
      <c r="AD88" s="399">
        <v>3</v>
      </c>
      <c r="AE88" s="495"/>
    </row>
    <row r="89" spans="1:31" ht="15.6">
      <c r="A89" s="1417"/>
      <c r="B89" s="314">
        <v>44866</v>
      </c>
      <c r="C89" s="407">
        <v>21477</v>
      </c>
      <c r="D89" s="783">
        <v>4710</v>
      </c>
      <c r="E89" s="790">
        <v>0.71630000000000005</v>
      </c>
      <c r="F89" s="408">
        <v>4628</v>
      </c>
      <c r="G89" s="407">
        <v>4091</v>
      </c>
      <c r="H89" s="407">
        <v>133</v>
      </c>
      <c r="I89" s="407">
        <f t="shared" si="14"/>
        <v>4495</v>
      </c>
      <c r="J89" s="407">
        <v>37</v>
      </c>
      <c r="K89" s="790">
        <f t="shared" si="7"/>
        <v>0.88396715643906654</v>
      </c>
      <c r="L89" s="413">
        <v>294</v>
      </c>
      <c r="M89" s="398">
        <v>275</v>
      </c>
      <c r="N89" s="527">
        <v>0.96264545291800929</v>
      </c>
      <c r="O89" s="529">
        <v>8.3184423111349819</v>
      </c>
      <c r="P89" s="398"/>
      <c r="Q89" s="403"/>
      <c r="R89" s="402" t="e">
        <f t="shared" si="12"/>
        <v>#DIV/0!</v>
      </c>
      <c r="S89" s="484"/>
      <c r="T89" s="410">
        <v>31</v>
      </c>
      <c r="U89" s="410">
        <v>24</v>
      </c>
      <c r="V89" s="533">
        <v>0.76062091503267981</v>
      </c>
      <c r="W89" s="529">
        <v>11.55392156862745</v>
      </c>
      <c r="X89" s="398">
        <v>3653</v>
      </c>
      <c r="Y89" s="398">
        <v>3295</v>
      </c>
      <c r="Z89" s="533">
        <v>0.88128823370214759</v>
      </c>
      <c r="AA89" s="537">
        <v>63.738333722103036</v>
      </c>
      <c r="AB89" s="494">
        <v>27</v>
      </c>
      <c r="AC89" s="399">
        <v>1</v>
      </c>
      <c r="AD89" s="399">
        <v>2</v>
      </c>
      <c r="AE89" s="495"/>
    </row>
    <row r="90" spans="1:31" ht="15.6">
      <c r="A90" s="1417" t="s">
        <v>349</v>
      </c>
      <c r="B90" s="314">
        <v>44867</v>
      </c>
      <c r="C90" s="407">
        <v>24107</v>
      </c>
      <c r="D90" s="783">
        <v>4501</v>
      </c>
      <c r="E90" s="790">
        <v>0.73</v>
      </c>
      <c r="F90" s="408">
        <v>4217</v>
      </c>
      <c r="G90" s="407">
        <v>3674</v>
      </c>
      <c r="H90" s="407">
        <v>132</v>
      </c>
      <c r="I90" s="407">
        <v>4085</v>
      </c>
      <c r="J90" s="407">
        <v>41</v>
      </c>
      <c r="K90" s="790">
        <v>0.87</v>
      </c>
      <c r="L90" s="413">
        <v>197</v>
      </c>
      <c r="M90" s="398">
        <v>191</v>
      </c>
      <c r="N90" s="527">
        <v>0.85733969263381016</v>
      </c>
      <c r="O90" s="529">
        <v>99.92269916975799</v>
      </c>
      <c r="P90" s="398"/>
      <c r="Q90" s="403"/>
      <c r="R90" s="402" t="e">
        <f t="shared" si="12"/>
        <v>#DIV/0!</v>
      </c>
      <c r="S90" s="484"/>
      <c r="T90" s="410">
        <v>52</v>
      </c>
      <c r="U90" s="410">
        <v>44</v>
      </c>
      <c r="V90" s="533">
        <v>0.88208168642951257</v>
      </c>
      <c r="W90" s="529">
        <v>25.530303030303031</v>
      </c>
      <c r="X90" s="398">
        <v>3404</v>
      </c>
      <c r="Y90" s="398">
        <v>3003</v>
      </c>
      <c r="Z90" s="533">
        <v>0.82846352975025039</v>
      </c>
      <c r="AA90" s="537">
        <v>79.882024561499335</v>
      </c>
      <c r="AB90" s="494">
        <v>24</v>
      </c>
      <c r="AC90" s="399">
        <v>2</v>
      </c>
      <c r="AD90" s="399">
        <v>1</v>
      </c>
      <c r="AE90" s="495"/>
    </row>
    <row r="91" spans="1:31" ht="15.6">
      <c r="A91" s="1417" t="s">
        <v>350</v>
      </c>
      <c r="B91" s="314">
        <v>44868</v>
      </c>
      <c r="C91" s="407">
        <v>25132</v>
      </c>
      <c r="D91" s="783">
        <v>4335</v>
      </c>
      <c r="E91" s="790">
        <v>0.76</v>
      </c>
      <c r="F91" s="408">
        <v>3913</v>
      </c>
      <c r="G91" s="407">
        <v>3450</v>
      </c>
      <c r="H91" s="407">
        <v>159</v>
      </c>
      <c r="I91" s="407">
        <v>3754</v>
      </c>
      <c r="J91" s="407">
        <v>51</v>
      </c>
      <c r="K91" s="790">
        <v>0.88</v>
      </c>
      <c r="L91" s="413">
        <v>201</v>
      </c>
      <c r="M91" s="398">
        <v>182</v>
      </c>
      <c r="N91" s="527">
        <v>0.56239316239316239</v>
      </c>
      <c r="O91" s="529">
        <v>335.09352499352497</v>
      </c>
      <c r="P91" s="398"/>
      <c r="Q91" s="403"/>
      <c r="R91" s="402" t="e">
        <f t="shared" si="12"/>
        <v>#DIV/0!</v>
      </c>
      <c r="S91" s="484"/>
      <c r="T91" s="410">
        <v>47</v>
      </c>
      <c r="U91" s="410">
        <v>35</v>
      </c>
      <c r="V91" s="533">
        <v>0.74299719887955185</v>
      </c>
      <c r="W91" s="529">
        <v>34.995973389355747</v>
      </c>
      <c r="X91" s="398">
        <v>3066</v>
      </c>
      <c r="Y91" s="398">
        <v>2786</v>
      </c>
      <c r="Z91" s="533">
        <v>0.88971118942811955</v>
      </c>
      <c r="AA91" s="537">
        <v>32.320355548242475</v>
      </c>
      <c r="AB91" s="494">
        <v>28</v>
      </c>
      <c r="AC91" s="399">
        <v>2</v>
      </c>
      <c r="AD91" s="399">
        <v>2</v>
      </c>
      <c r="AE91" s="495"/>
    </row>
    <row r="92" spans="1:31" ht="15.6">
      <c r="A92" s="1649"/>
      <c r="B92" s="840">
        <v>44869</v>
      </c>
      <c r="C92" s="746">
        <v>27747</v>
      </c>
      <c r="D92" s="784">
        <v>4489</v>
      </c>
      <c r="E92" s="791">
        <v>0.76</v>
      </c>
      <c r="F92" s="747">
        <v>4489</v>
      </c>
      <c r="G92" s="746">
        <v>3940</v>
      </c>
      <c r="H92" s="746">
        <v>198</v>
      </c>
      <c r="I92" s="746">
        <v>4291</v>
      </c>
      <c r="J92" s="746">
        <v>46</v>
      </c>
      <c r="K92" s="791">
        <v>0.88</v>
      </c>
      <c r="L92" s="749">
        <v>217</v>
      </c>
      <c r="M92" s="750">
        <v>205</v>
      </c>
      <c r="N92" s="1439">
        <v>0.95726907630522085</v>
      </c>
      <c r="O92" s="1440">
        <v>5.5612851405622488</v>
      </c>
      <c r="P92" s="750"/>
      <c r="Q92" s="752"/>
      <c r="R92" s="1441" t="e">
        <f t="shared" si="12"/>
        <v>#DIV/0!</v>
      </c>
      <c r="S92" s="1442"/>
      <c r="T92" s="753">
        <v>40</v>
      </c>
      <c r="U92" s="753">
        <v>26</v>
      </c>
      <c r="V92" s="754">
        <v>0.68223684210526325</v>
      </c>
      <c r="W92" s="1440">
        <v>212.2543859649123</v>
      </c>
      <c r="X92" s="750">
        <v>3727</v>
      </c>
      <c r="Y92" s="750">
        <v>3382</v>
      </c>
      <c r="Z92" s="754">
        <v>0.91048848519027048</v>
      </c>
      <c r="AA92" s="1443">
        <v>31.694189656435313</v>
      </c>
      <c r="AB92" s="755">
        <v>52</v>
      </c>
      <c r="AC92" s="756">
        <v>3</v>
      </c>
      <c r="AD92" s="756">
        <v>1</v>
      </c>
      <c r="AE92" s="757"/>
    </row>
    <row r="93" spans="1:31" s="1437" customFormat="1" ht="16.2" thickBot="1">
      <c r="A93" s="1450"/>
      <c r="B93" s="1419">
        <v>44870</v>
      </c>
      <c r="C93" s="1420">
        <v>29008</v>
      </c>
      <c r="D93" s="1421">
        <v>4825</v>
      </c>
      <c r="E93" s="1422">
        <v>0.77</v>
      </c>
      <c r="F93" s="1423">
        <v>4417</v>
      </c>
      <c r="G93" s="1420">
        <v>3889</v>
      </c>
      <c r="H93" s="1420">
        <v>144</v>
      </c>
      <c r="I93" s="1420">
        <v>4273</v>
      </c>
      <c r="J93" s="1420">
        <v>47</v>
      </c>
      <c r="K93" s="1422">
        <v>0.88</v>
      </c>
      <c r="L93" s="1424">
        <v>241</v>
      </c>
      <c r="M93" s="1425">
        <v>225</v>
      </c>
      <c r="N93" s="1426">
        <v>0.95534290271132372</v>
      </c>
      <c r="O93" s="1427">
        <v>6.1752392344497595</v>
      </c>
      <c r="P93" s="1425"/>
      <c r="Q93" s="1428"/>
      <c r="R93" s="1429" t="e">
        <f t="shared" si="12"/>
        <v>#DIV/0!</v>
      </c>
      <c r="S93" s="1430"/>
      <c r="T93" s="1431">
        <v>46</v>
      </c>
      <c r="U93" s="1431">
        <v>28</v>
      </c>
      <c r="V93" s="1432">
        <v>0.61830065359477127</v>
      </c>
      <c r="W93" s="1427">
        <v>309.98529411764707</v>
      </c>
      <c r="X93" s="1425">
        <v>4495</v>
      </c>
      <c r="Y93" s="1425">
        <v>4059</v>
      </c>
      <c r="Z93" s="1432">
        <v>0.89273421489527405</v>
      </c>
      <c r="AA93" s="1433">
        <v>46.835368567387384</v>
      </c>
      <c r="AB93" s="1434">
        <v>9</v>
      </c>
      <c r="AC93" s="1435">
        <v>2</v>
      </c>
      <c r="AD93" s="1435"/>
      <c r="AE93" s="1436"/>
    </row>
    <row r="94" spans="1:31" ht="15.6">
      <c r="A94" s="1451"/>
      <c r="B94" s="414">
        <v>44871</v>
      </c>
      <c r="C94" s="415">
        <v>29459</v>
      </c>
      <c r="D94" s="782">
        <v>4561</v>
      </c>
      <c r="E94" s="789">
        <v>0.77</v>
      </c>
      <c r="F94" s="1233">
        <v>4357</v>
      </c>
      <c r="G94" s="415"/>
      <c r="H94" s="415">
        <v>140</v>
      </c>
      <c r="I94" s="415">
        <f t="shared" ref="I94" si="15">SUM(F94-H94)</f>
        <v>4217</v>
      </c>
      <c r="J94" s="415">
        <v>40</v>
      </c>
      <c r="K94" s="789">
        <v>0.89790000000000003</v>
      </c>
      <c r="L94" s="416">
        <v>208</v>
      </c>
      <c r="M94" s="417">
        <v>186</v>
      </c>
      <c r="N94" s="619">
        <v>0.89020801623541346</v>
      </c>
      <c r="O94" s="531">
        <v>8.4993404363267366</v>
      </c>
      <c r="P94" s="417"/>
      <c r="Q94" s="421"/>
      <c r="R94" s="1444" t="e">
        <f t="shared" si="12"/>
        <v>#DIV/0!</v>
      </c>
      <c r="S94" s="1445"/>
      <c r="T94" s="418">
        <v>37</v>
      </c>
      <c r="U94" s="418">
        <v>26</v>
      </c>
      <c r="V94" s="536">
        <v>0.73155929038281986</v>
      </c>
      <c r="W94" s="531">
        <v>24.944911297852475</v>
      </c>
      <c r="X94" s="417">
        <v>3532</v>
      </c>
      <c r="Y94" s="417">
        <v>3254</v>
      </c>
      <c r="Z94" s="536">
        <v>0.92268126606103873</v>
      </c>
      <c r="AA94" s="539">
        <v>37.999461060818923</v>
      </c>
      <c r="AB94" s="498">
        <v>30</v>
      </c>
      <c r="AC94" s="499">
        <v>2</v>
      </c>
      <c r="AD94" s="499">
        <v>3</v>
      </c>
      <c r="AE94" s="500"/>
    </row>
    <row r="95" spans="1:31" ht="15.6">
      <c r="A95" s="1417" t="s">
        <v>351</v>
      </c>
      <c r="B95" s="314">
        <v>44872</v>
      </c>
      <c r="C95" s="407">
        <v>29828</v>
      </c>
      <c r="D95" s="783">
        <v>4291</v>
      </c>
      <c r="E95" s="790">
        <v>0.77569999999999995</v>
      </c>
      <c r="F95" s="408">
        <v>4511</v>
      </c>
      <c r="G95" s="407"/>
      <c r="H95" s="407">
        <v>137</v>
      </c>
      <c r="I95" s="407">
        <v>4085</v>
      </c>
      <c r="J95" s="407">
        <v>38</v>
      </c>
      <c r="K95" s="790">
        <v>0.88849999999999996</v>
      </c>
      <c r="L95" s="413">
        <v>184</v>
      </c>
      <c r="M95" s="398">
        <v>175</v>
      </c>
      <c r="N95" s="527">
        <v>0.96357063403781973</v>
      </c>
      <c r="O95" s="529">
        <v>0.56192065257693724</v>
      </c>
      <c r="P95" s="398"/>
      <c r="Q95" s="403"/>
      <c r="R95" s="402" t="e">
        <f t="shared" si="12"/>
        <v>#DIV/0!</v>
      </c>
      <c r="S95" s="484"/>
      <c r="T95" s="410">
        <v>51</v>
      </c>
      <c r="U95" s="410">
        <v>45</v>
      </c>
      <c r="V95" s="533">
        <v>0.82717391304347831</v>
      </c>
      <c r="W95" s="529">
        <v>71.927898550724635</v>
      </c>
      <c r="X95" s="398">
        <v>3680</v>
      </c>
      <c r="Y95" s="398">
        <v>3356</v>
      </c>
      <c r="Z95" s="533">
        <v>0.9112294937051445</v>
      </c>
      <c r="AA95" s="537">
        <v>38.502695885164279</v>
      </c>
      <c r="AB95" s="494">
        <v>23</v>
      </c>
      <c r="AC95" s="399">
        <v>0</v>
      </c>
      <c r="AD95" s="399">
        <v>4</v>
      </c>
      <c r="AE95" s="495">
        <v>1</v>
      </c>
    </row>
    <row r="96" spans="1:31" ht="15.6">
      <c r="A96" s="1417"/>
      <c r="B96" s="314">
        <v>44873</v>
      </c>
      <c r="C96" s="407">
        <v>29959</v>
      </c>
      <c r="D96" s="783">
        <v>4333</v>
      </c>
      <c r="E96" s="790">
        <v>0.77669999999999995</v>
      </c>
      <c r="F96" s="408">
        <v>4740</v>
      </c>
      <c r="G96" s="407"/>
      <c r="H96" s="407">
        <v>127</v>
      </c>
      <c r="I96" s="407">
        <v>3754</v>
      </c>
      <c r="J96" s="407">
        <v>36</v>
      </c>
      <c r="K96" s="790">
        <v>0.89049999999999996</v>
      </c>
      <c r="L96" s="413">
        <v>209</v>
      </c>
      <c r="M96" s="398">
        <v>200</v>
      </c>
      <c r="N96" s="527">
        <v>0.98324022346368711</v>
      </c>
      <c r="O96" s="529">
        <v>0.92178770949720679</v>
      </c>
      <c r="P96" s="398"/>
      <c r="Q96" s="403"/>
      <c r="R96" s="402" t="e">
        <f t="shared" si="12"/>
        <v>#DIV/0!</v>
      </c>
      <c r="S96" s="484"/>
      <c r="T96" s="410">
        <v>47</v>
      </c>
      <c r="U96" s="410">
        <v>33</v>
      </c>
      <c r="V96" s="533">
        <v>0.6942028985507247</v>
      </c>
      <c r="W96" s="529">
        <v>33.331884057971017</v>
      </c>
      <c r="X96" s="398">
        <v>3884</v>
      </c>
      <c r="Y96" s="398">
        <v>3530</v>
      </c>
      <c r="Z96" s="533">
        <v>0.89390043501267191</v>
      </c>
      <c r="AA96" s="537">
        <v>39.034235941978622</v>
      </c>
      <c r="AB96" s="494">
        <v>13</v>
      </c>
      <c r="AC96" s="399">
        <v>3</v>
      </c>
      <c r="AD96" s="399">
        <v>3</v>
      </c>
      <c r="AE96" s="495"/>
    </row>
    <row r="97" spans="1:31" ht="15.6">
      <c r="A97" s="1417"/>
      <c r="B97" s="314">
        <v>44874</v>
      </c>
      <c r="C97" s="407">
        <v>29071</v>
      </c>
      <c r="D97" s="783">
        <v>3998</v>
      </c>
      <c r="E97" s="790">
        <v>0.78459999999999996</v>
      </c>
      <c r="F97" s="408">
        <v>5060</v>
      </c>
      <c r="G97" s="407">
        <v>4460</v>
      </c>
      <c r="H97" s="407">
        <v>154</v>
      </c>
      <c r="I97" s="407">
        <v>3754</v>
      </c>
      <c r="J97" s="407">
        <v>44</v>
      </c>
      <c r="K97" s="790">
        <f t="shared" si="7"/>
        <v>0.88142292490118579</v>
      </c>
      <c r="L97" s="413">
        <v>183</v>
      </c>
      <c r="M97" s="398">
        <v>180</v>
      </c>
      <c r="N97" s="527">
        <v>0.98183116470961607</v>
      </c>
      <c r="O97" s="529">
        <v>0.53165661694700095</v>
      </c>
      <c r="P97" s="398"/>
      <c r="Q97" s="403"/>
      <c r="R97" s="402" t="e">
        <f t="shared" si="12"/>
        <v>#DIV/0!</v>
      </c>
      <c r="S97" s="484"/>
      <c r="T97" s="410">
        <v>56</v>
      </c>
      <c r="U97" s="410">
        <v>41</v>
      </c>
      <c r="V97" s="533">
        <v>0.76068376068376065</v>
      </c>
      <c r="W97" s="529">
        <v>142.37927350427353</v>
      </c>
      <c r="X97" s="398">
        <v>4187</v>
      </c>
      <c r="Y97" s="398">
        <v>3769</v>
      </c>
      <c r="Z97" s="533">
        <v>0.91113051794156863</v>
      </c>
      <c r="AA97" s="537">
        <v>37.434612027694484</v>
      </c>
      <c r="AB97" s="494">
        <v>25</v>
      </c>
      <c r="AC97" s="399">
        <v>3</v>
      </c>
      <c r="AD97" s="399">
        <v>2</v>
      </c>
      <c r="AE97" s="495"/>
    </row>
    <row r="98" spans="1:31" ht="15.6">
      <c r="A98" s="1417"/>
      <c r="B98" s="314">
        <v>44875</v>
      </c>
      <c r="C98" s="407">
        <v>29565</v>
      </c>
      <c r="D98" s="783">
        <v>4529</v>
      </c>
      <c r="E98" s="790">
        <v>0.78569999999999995</v>
      </c>
      <c r="F98" s="408">
        <v>4917</v>
      </c>
      <c r="G98" s="407">
        <v>4354</v>
      </c>
      <c r="H98" s="407">
        <v>147</v>
      </c>
      <c r="I98" s="407">
        <v>3754</v>
      </c>
      <c r="J98" s="407">
        <v>39</v>
      </c>
      <c r="K98" s="790">
        <f t="shared" si="7"/>
        <v>0.88549928818385193</v>
      </c>
      <c r="L98" s="413">
        <v>165</v>
      </c>
      <c r="M98" s="398">
        <v>157</v>
      </c>
      <c r="N98" s="527">
        <v>0.96872890888638918</v>
      </c>
      <c r="O98" s="529">
        <v>4.265466816647919</v>
      </c>
      <c r="P98" s="398"/>
      <c r="Q98" s="403"/>
      <c r="R98" s="402" t="e">
        <f t="shared" si="12"/>
        <v>#DIV/0!</v>
      </c>
      <c r="S98" s="484"/>
      <c r="T98" s="410">
        <v>44</v>
      </c>
      <c r="U98" s="410">
        <v>29</v>
      </c>
      <c r="V98" s="533">
        <v>0.67356321839080457</v>
      </c>
      <c r="W98" s="529">
        <v>74.367816091954026</v>
      </c>
      <c r="X98" s="398">
        <v>4053</v>
      </c>
      <c r="Y98" s="398">
        <v>3677</v>
      </c>
      <c r="Z98" s="533">
        <v>0.91627140754100489</v>
      </c>
      <c r="AA98" s="537">
        <v>43.652131053049573</v>
      </c>
      <c r="AB98" s="494">
        <v>14</v>
      </c>
      <c r="AC98" s="399">
        <v>0</v>
      </c>
      <c r="AD98" s="399">
        <v>0</v>
      </c>
      <c r="AE98" s="495"/>
    </row>
    <row r="99" spans="1:31" ht="15.6">
      <c r="A99" s="1649" t="s">
        <v>350</v>
      </c>
      <c r="B99" s="840">
        <v>44876</v>
      </c>
      <c r="C99" s="746">
        <v>34224</v>
      </c>
      <c r="D99" s="784">
        <v>4805</v>
      </c>
      <c r="E99" s="791">
        <v>0.76690000000000003</v>
      </c>
      <c r="F99" s="747">
        <v>5796</v>
      </c>
      <c r="G99" s="746">
        <v>5057</v>
      </c>
      <c r="H99" s="746">
        <v>282</v>
      </c>
      <c r="I99" s="746">
        <v>3754</v>
      </c>
      <c r="J99" s="746">
        <v>38</v>
      </c>
      <c r="K99" s="791">
        <f t="shared" si="7"/>
        <v>0.87249827467218777</v>
      </c>
      <c r="L99" s="749">
        <v>171</v>
      </c>
      <c r="M99" s="750">
        <v>163</v>
      </c>
      <c r="N99" s="1439">
        <v>0.97866008105369806</v>
      </c>
      <c r="O99" s="1440">
        <v>0.41331053698074977</v>
      </c>
      <c r="P99" s="750"/>
      <c r="Q99" s="752"/>
      <c r="R99" s="1441" t="e">
        <f t="shared" si="12"/>
        <v>#DIV/0!</v>
      </c>
      <c r="S99" s="1442"/>
      <c r="T99" s="753">
        <v>34</v>
      </c>
      <c r="U99" s="753">
        <v>29</v>
      </c>
      <c r="V99" s="754">
        <v>0.87830687830687826</v>
      </c>
      <c r="W99" s="1440">
        <v>62.605820105820101</v>
      </c>
      <c r="X99" s="750">
        <v>4756</v>
      </c>
      <c r="Y99" s="750">
        <v>4309</v>
      </c>
      <c r="Z99" s="754">
        <v>0.89873269862234784</v>
      </c>
      <c r="AA99" s="1443">
        <v>44.702476543027714</v>
      </c>
      <c r="AB99" s="755">
        <v>47</v>
      </c>
      <c r="AC99" s="756">
        <v>9</v>
      </c>
      <c r="AD99" s="756">
        <v>2</v>
      </c>
      <c r="AE99" s="757"/>
    </row>
    <row r="100" spans="1:31" s="1437" customFormat="1" ht="16.2" thickBot="1">
      <c r="A100" s="1450"/>
      <c r="B100" s="1419">
        <v>44877</v>
      </c>
      <c r="C100" s="1420">
        <v>41421</v>
      </c>
      <c r="D100" s="1421">
        <v>5268</v>
      </c>
      <c r="E100" s="1422">
        <v>0.76870000000000005</v>
      </c>
      <c r="F100" s="1423">
        <v>5769</v>
      </c>
      <c r="G100" s="1420">
        <v>5086</v>
      </c>
      <c r="H100" s="1420">
        <v>208</v>
      </c>
      <c r="I100" s="1420">
        <v>3754</v>
      </c>
      <c r="J100" s="1420">
        <v>37</v>
      </c>
      <c r="K100" s="1422">
        <f t="shared" si="7"/>
        <v>0.88160859767724042</v>
      </c>
      <c r="L100" s="1424">
        <v>194</v>
      </c>
      <c r="M100" s="1425">
        <v>184</v>
      </c>
      <c r="N100" s="1426">
        <v>0.72010271460014674</v>
      </c>
      <c r="O100" s="1427">
        <v>13.284336023477623</v>
      </c>
      <c r="P100" s="1425"/>
      <c r="Q100" s="1428"/>
      <c r="R100" s="1429" t="e">
        <f t="shared" si="12"/>
        <v>#DIV/0!</v>
      </c>
      <c r="S100" s="1430"/>
      <c r="T100" s="1431">
        <v>50</v>
      </c>
      <c r="U100" s="1431">
        <v>34</v>
      </c>
      <c r="V100" s="1432">
        <v>0.62777777777777777</v>
      </c>
      <c r="W100" s="1427">
        <v>62.098148148148141</v>
      </c>
      <c r="X100" s="1425">
        <v>4712</v>
      </c>
      <c r="Y100" s="1425">
        <v>4295</v>
      </c>
      <c r="Z100" s="1432">
        <v>0.90615846060015792</v>
      </c>
      <c r="AA100" s="1433">
        <v>47.029305777228267</v>
      </c>
      <c r="AB100" s="1434">
        <v>30</v>
      </c>
      <c r="AC100" s="1435">
        <v>2</v>
      </c>
      <c r="AD100" s="1435">
        <v>3</v>
      </c>
      <c r="AE100" s="1436"/>
    </row>
    <row r="101" spans="1:31" ht="15.6">
      <c r="A101" s="1451"/>
      <c r="B101" s="414">
        <v>44878</v>
      </c>
      <c r="C101" s="415">
        <v>47798</v>
      </c>
      <c r="D101" s="782">
        <v>4838</v>
      </c>
      <c r="E101" s="789">
        <v>0.8</v>
      </c>
      <c r="F101" s="1233">
        <v>5436</v>
      </c>
      <c r="G101" s="415">
        <v>4866</v>
      </c>
      <c r="H101" s="415">
        <v>148</v>
      </c>
      <c r="I101" s="415">
        <f>SUM(F101-H101)</f>
        <v>5288</v>
      </c>
      <c r="J101" s="415">
        <v>32</v>
      </c>
      <c r="K101" s="789">
        <f>G101/F101</f>
        <v>0.89514348785871967</v>
      </c>
      <c r="L101" s="416">
        <v>211</v>
      </c>
      <c r="M101" s="417">
        <v>201</v>
      </c>
      <c r="N101" s="619">
        <v>0.97447232178414966</v>
      </c>
      <c r="O101" s="531">
        <v>0.54782954998008759</v>
      </c>
      <c r="P101" s="417"/>
      <c r="Q101" s="421"/>
      <c r="R101" s="1444" t="e">
        <f t="shared" si="12"/>
        <v>#DIV/0!</v>
      </c>
      <c r="S101" s="1445"/>
      <c r="T101" s="418">
        <v>47</v>
      </c>
      <c r="U101" s="418">
        <v>41</v>
      </c>
      <c r="V101" s="536">
        <v>0.87698412698412698</v>
      </c>
      <c r="W101" s="531">
        <v>15.345238095238095</v>
      </c>
      <c r="X101" s="417">
        <v>4544</v>
      </c>
      <c r="Y101" s="417">
        <v>4160</v>
      </c>
      <c r="Z101" s="536">
        <v>0.92642921527019328</v>
      </c>
      <c r="AA101" s="539">
        <v>28.25469814311921</v>
      </c>
      <c r="AB101" s="498">
        <v>23</v>
      </c>
      <c r="AC101" s="499">
        <v>4</v>
      </c>
      <c r="AD101" s="499">
        <v>0</v>
      </c>
      <c r="AE101" s="500"/>
    </row>
    <row r="102" spans="1:31" ht="15.6">
      <c r="A102" s="1417" t="s">
        <v>352</v>
      </c>
      <c r="B102" s="314">
        <v>44879</v>
      </c>
      <c r="C102" s="407">
        <v>49537</v>
      </c>
      <c r="D102" s="783">
        <v>4254</v>
      </c>
      <c r="E102" s="790">
        <v>0.8</v>
      </c>
      <c r="F102" s="408">
        <v>4123</v>
      </c>
      <c r="G102" s="407">
        <v>3625</v>
      </c>
      <c r="H102" s="407">
        <v>162</v>
      </c>
      <c r="I102" s="415">
        <f>SUM(F102-H102)</f>
        <v>3961</v>
      </c>
      <c r="J102" s="407">
        <v>25</v>
      </c>
      <c r="K102" s="790">
        <f t="shared" si="7"/>
        <v>0.87921416444336653</v>
      </c>
      <c r="L102" s="413">
        <v>131</v>
      </c>
      <c r="M102" s="398">
        <v>126</v>
      </c>
      <c r="N102" s="527">
        <v>0.97575757575757582</v>
      </c>
      <c r="O102" s="529">
        <v>1.9141414141414141</v>
      </c>
      <c r="P102" s="398"/>
      <c r="Q102" s="403"/>
      <c r="R102" s="402" t="e">
        <f t="shared" si="12"/>
        <v>#DIV/0!</v>
      </c>
      <c r="S102" s="484"/>
      <c r="T102" s="410">
        <v>35</v>
      </c>
      <c r="U102" s="410">
        <v>27</v>
      </c>
      <c r="V102" s="533">
        <v>0.78636363636363649</v>
      </c>
      <c r="W102" s="529">
        <v>81.560606060606062</v>
      </c>
      <c r="X102" s="398">
        <v>3413</v>
      </c>
      <c r="Y102" s="398">
        <v>3098</v>
      </c>
      <c r="Z102" s="533">
        <v>0.90692487002225275</v>
      </c>
      <c r="AA102" s="537">
        <v>48.543764964804197</v>
      </c>
      <c r="AB102" s="494">
        <v>20</v>
      </c>
      <c r="AC102" s="399">
        <v>2</v>
      </c>
      <c r="AD102" s="399">
        <v>1</v>
      </c>
      <c r="AE102" s="495"/>
    </row>
    <row r="103" spans="1:31" ht="15.6">
      <c r="A103" s="1651" t="s">
        <v>108</v>
      </c>
      <c r="B103" s="314">
        <v>44880</v>
      </c>
      <c r="C103" s="407">
        <v>40641</v>
      </c>
      <c r="D103" s="783">
        <v>5451</v>
      </c>
      <c r="E103" s="790">
        <v>0.79</v>
      </c>
      <c r="F103" s="408">
        <v>3868</v>
      </c>
      <c r="G103" s="407">
        <v>2866</v>
      </c>
      <c r="H103" s="407">
        <v>1284</v>
      </c>
      <c r="I103" s="415">
        <f>SUM(F103-H103)</f>
        <v>2584</v>
      </c>
      <c r="J103" s="407">
        <v>57</v>
      </c>
      <c r="K103" s="790">
        <f t="shared" si="7"/>
        <v>0.74095139607032057</v>
      </c>
      <c r="L103" s="413">
        <v>4</v>
      </c>
      <c r="M103" s="398">
        <v>3</v>
      </c>
      <c r="N103" s="527">
        <v>0.83333333333333337</v>
      </c>
      <c r="O103" s="529">
        <v>5</v>
      </c>
      <c r="P103" s="398"/>
      <c r="Q103" s="403"/>
      <c r="R103" s="402" t="e">
        <f t="shared" si="12"/>
        <v>#DIV/0!</v>
      </c>
      <c r="S103" s="484"/>
      <c r="T103" s="410">
        <v>15</v>
      </c>
      <c r="U103" s="410">
        <v>11</v>
      </c>
      <c r="V103" s="533">
        <v>0.70238095238095244</v>
      </c>
      <c r="W103" s="529">
        <v>21.642857142857142</v>
      </c>
      <c r="X103" s="398">
        <v>2461</v>
      </c>
      <c r="Y103" s="398">
        <v>2210</v>
      </c>
      <c r="Z103" s="533">
        <v>0.89809815486486511</v>
      </c>
      <c r="AA103" s="537">
        <v>49.073937119236881</v>
      </c>
      <c r="AB103" s="494">
        <v>37</v>
      </c>
      <c r="AC103" s="399">
        <v>3</v>
      </c>
      <c r="AD103" s="399">
        <v>1</v>
      </c>
      <c r="AE103" s="495"/>
    </row>
    <row r="104" spans="1:31" ht="15.6">
      <c r="A104" s="1417" t="s">
        <v>353</v>
      </c>
      <c r="B104" s="314">
        <v>44881</v>
      </c>
      <c r="C104" s="407">
        <v>49782</v>
      </c>
      <c r="D104" s="783">
        <v>5253</v>
      </c>
      <c r="E104" s="790">
        <v>0.79</v>
      </c>
      <c r="F104" s="408">
        <v>3562</v>
      </c>
      <c r="G104" s="407">
        <v>3002</v>
      </c>
      <c r="H104" s="407">
        <v>1547</v>
      </c>
      <c r="I104" s="415">
        <f>SUM(F104-H104)</f>
        <v>2015</v>
      </c>
      <c r="J104" s="407">
        <v>58</v>
      </c>
      <c r="K104" s="790">
        <f t="shared" si="7"/>
        <v>0.84278495227400341</v>
      </c>
      <c r="L104" s="413">
        <v>1</v>
      </c>
      <c r="M104" s="398">
        <v>1</v>
      </c>
      <c r="N104" s="527">
        <v>1</v>
      </c>
      <c r="O104" s="529">
        <v>0</v>
      </c>
      <c r="P104" s="398"/>
      <c r="Q104" s="403"/>
      <c r="R104" s="402" t="e">
        <f t="shared" si="12"/>
        <v>#DIV/0!</v>
      </c>
      <c r="S104" s="484"/>
      <c r="T104" s="410">
        <v>17</v>
      </c>
      <c r="U104" s="410">
        <v>16</v>
      </c>
      <c r="V104" s="533">
        <v>0.96666666666666667</v>
      </c>
      <c r="W104" s="529">
        <v>0</v>
      </c>
      <c r="X104" s="398">
        <v>2435</v>
      </c>
      <c r="Y104" s="398">
        <v>2209</v>
      </c>
      <c r="Z104" s="533">
        <v>0.91698660560023015</v>
      </c>
      <c r="AA104" s="537">
        <v>39.771368733447446</v>
      </c>
      <c r="AB104" s="494">
        <v>29</v>
      </c>
      <c r="AC104" s="399">
        <v>1</v>
      </c>
      <c r="AD104" s="399">
        <v>0</v>
      </c>
      <c r="AE104" s="495"/>
    </row>
    <row r="105" spans="1:31" ht="15.6">
      <c r="A105" s="1417"/>
      <c r="B105" s="314">
        <v>44882</v>
      </c>
      <c r="C105" s="407">
        <v>45712</v>
      </c>
      <c r="D105" s="783">
        <v>4413</v>
      </c>
      <c r="E105" s="790">
        <v>0.78839999999999999</v>
      </c>
      <c r="F105" s="408">
        <v>2976</v>
      </c>
      <c r="G105" s="407">
        <v>2463</v>
      </c>
      <c r="H105" s="407">
        <v>254</v>
      </c>
      <c r="I105" s="415">
        <f t="shared" ref="I105:I112" si="16">SUM(F105-H105)</f>
        <v>2722</v>
      </c>
      <c r="J105" s="407">
        <v>54</v>
      </c>
      <c r="K105" s="790">
        <f t="shared" si="7"/>
        <v>0.8276209677419355</v>
      </c>
      <c r="L105" s="413">
        <v>1</v>
      </c>
      <c r="M105" s="398">
        <v>1</v>
      </c>
      <c r="N105" s="527">
        <v>1</v>
      </c>
      <c r="O105" s="529">
        <v>0</v>
      </c>
      <c r="P105" s="398"/>
      <c r="Q105" s="403"/>
      <c r="R105" s="402" t="e">
        <f t="shared" si="12"/>
        <v>#DIV/0!</v>
      </c>
      <c r="S105" s="484"/>
      <c r="T105" s="410">
        <v>15</v>
      </c>
      <c r="U105" s="410">
        <v>9</v>
      </c>
      <c r="V105" s="533">
        <v>0.60714285714285721</v>
      </c>
      <c r="W105" s="529">
        <v>110.30357142857143</v>
      </c>
      <c r="X105" s="398">
        <v>2344</v>
      </c>
      <c r="Y105" s="398">
        <v>2106</v>
      </c>
      <c r="Z105" s="533">
        <v>0.91408905459366496</v>
      </c>
      <c r="AA105" s="537">
        <v>37.278792281954878</v>
      </c>
      <c r="AB105" s="494">
        <v>49</v>
      </c>
      <c r="AC105" s="399">
        <v>7</v>
      </c>
      <c r="AD105" s="399">
        <v>3</v>
      </c>
      <c r="AE105" s="495"/>
    </row>
    <row r="106" spans="1:31" ht="15.6">
      <c r="A106" s="1649" t="s">
        <v>354</v>
      </c>
      <c r="B106" s="840">
        <v>44883</v>
      </c>
      <c r="C106" s="746">
        <v>48193</v>
      </c>
      <c r="D106" s="784">
        <v>4503</v>
      </c>
      <c r="E106" s="791">
        <v>0.77890000000000004</v>
      </c>
      <c r="F106" s="747">
        <v>2710</v>
      </c>
      <c r="G106" s="746">
        <v>2246</v>
      </c>
      <c r="H106" s="746">
        <v>211</v>
      </c>
      <c r="I106" s="415">
        <f t="shared" si="16"/>
        <v>2499</v>
      </c>
      <c r="J106" s="746">
        <v>49</v>
      </c>
      <c r="K106" s="791">
        <f t="shared" si="7"/>
        <v>0.82878228782287822</v>
      </c>
      <c r="L106" s="1731">
        <v>1</v>
      </c>
      <c r="M106" s="1732">
        <v>1</v>
      </c>
      <c r="N106" s="1439">
        <v>1</v>
      </c>
      <c r="O106" s="529">
        <v>0</v>
      </c>
      <c r="P106" s="398"/>
      <c r="Q106" s="403"/>
      <c r="R106" s="402"/>
      <c r="S106" s="484"/>
      <c r="T106" s="410">
        <v>17</v>
      </c>
      <c r="U106" s="410">
        <v>15</v>
      </c>
      <c r="V106" s="533">
        <v>0.85714285714285721</v>
      </c>
      <c r="W106" s="529">
        <v>0.7142857142857143</v>
      </c>
      <c r="X106" s="398">
        <v>2061</v>
      </c>
      <c r="Y106" s="398">
        <v>1852</v>
      </c>
      <c r="Z106" s="533">
        <v>0.90302355809127033</v>
      </c>
      <c r="AA106" s="537">
        <v>37.944241137073973</v>
      </c>
      <c r="AB106" s="755">
        <v>36</v>
      </c>
      <c r="AC106" s="756">
        <v>1</v>
      </c>
      <c r="AD106" s="756">
        <v>3</v>
      </c>
      <c r="AE106" s="757"/>
    </row>
    <row r="107" spans="1:31" s="1646" customFormat="1" ht="16.2" thickBot="1">
      <c r="A107" s="1628"/>
      <c r="B107" s="1629">
        <v>44884</v>
      </c>
      <c r="C107" s="1630">
        <v>44214</v>
      </c>
      <c r="D107" s="1631">
        <v>5141</v>
      </c>
      <c r="E107" s="1632">
        <v>0.76629999999999998</v>
      </c>
      <c r="F107" s="1633">
        <v>1609</v>
      </c>
      <c r="G107" s="1630">
        <v>1283</v>
      </c>
      <c r="H107" s="1630">
        <v>202</v>
      </c>
      <c r="I107" s="415">
        <f t="shared" si="16"/>
        <v>1407</v>
      </c>
      <c r="J107" s="1630">
        <v>52</v>
      </c>
      <c r="K107" s="1632">
        <f t="shared" ref="K107:K112" si="17">G107/F107</f>
        <v>0.79738968303293967</v>
      </c>
      <c r="L107" s="1634">
        <v>2</v>
      </c>
      <c r="M107" s="1635">
        <v>1</v>
      </c>
      <c r="N107" s="1733">
        <v>0.5</v>
      </c>
      <c r="O107" s="1636">
        <v>59</v>
      </c>
      <c r="P107" s="1635"/>
      <c r="Q107" s="1637"/>
      <c r="R107" s="1638"/>
      <c r="S107" s="1639"/>
      <c r="T107" s="1640">
        <v>13</v>
      </c>
      <c r="U107" s="1640">
        <v>10</v>
      </c>
      <c r="V107" s="1641">
        <v>0.88888888888888884</v>
      </c>
      <c r="W107" s="1636">
        <v>0.48148148148148145</v>
      </c>
      <c r="X107" s="1635">
        <v>994</v>
      </c>
      <c r="Y107" s="1635">
        <v>915</v>
      </c>
      <c r="Z107" s="1641">
        <v>0.91844709248164946</v>
      </c>
      <c r="AA107" s="1642">
        <v>35.670515234398934</v>
      </c>
      <c r="AB107" s="1643">
        <v>41</v>
      </c>
      <c r="AC107" s="1644">
        <v>5</v>
      </c>
      <c r="AD107" s="1644">
        <v>4</v>
      </c>
      <c r="AE107" s="1645"/>
    </row>
    <row r="108" spans="1:31" ht="15.6">
      <c r="A108" s="1451"/>
      <c r="B108" s="414">
        <v>44885</v>
      </c>
      <c r="C108" s="415">
        <v>46120</v>
      </c>
      <c r="D108" s="782">
        <v>4809</v>
      </c>
      <c r="E108" s="789">
        <v>0.78720000000000001</v>
      </c>
      <c r="F108" s="1233">
        <v>1485</v>
      </c>
      <c r="G108" s="415">
        <v>1185</v>
      </c>
      <c r="H108" s="1759">
        <v>209</v>
      </c>
      <c r="I108" s="415">
        <f t="shared" si="16"/>
        <v>1276</v>
      </c>
      <c r="J108" s="415">
        <v>63</v>
      </c>
      <c r="K108" s="789">
        <f t="shared" si="17"/>
        <v>0.79797979797979801</v>
      </c>
      <c r="L108" s="416">
        <v>47</v>
      </c>
      <c r="M108" s="417">
        <v>24</v>
      </c>
      <c r="N108" s="619">
        <v>0.51063829787234039</v>
      </c>
      <c r="O108" s="531">
        <v>54.106382978723403</v>
      </c>
      <c r="P108" s="417"/>
      <c r="Q108" s="421"/>
      <c r="R108" s="1444"/>
      <c r="S108" s="1445"/>
      <c r="T108" s="418">
        <v>16</v>
      </c>
      <c r="U108" s="418">
        <v>14</v>
      </c>
      <c r="V108" s="536">
        <v>0.79999999999999993</v>
      </c>
      <c r="W108" s="531">
        <v>28.266666666666666</v>
      </c>
      <c r="X108" s="417">
        <v>956</v>
      </c>
      <c r="Y108" s="417">
        <v>876</v>
      </c>
      <c r="Z108" s="536">
        <v>0.93971297911485696</v>
      </c>
      <c r="AA108" s="539">
        <v>21.671977446798806</v>
      </c>
      <c r="AB108" s="498">
        <v>41</v>
      </c>
      <c r="AC108" s="499">
        <v>3</v>
      </c>
      <c r="AD108" s="499">
        <v>5</v>
      </c>
      <c r="AE108" s="500"/>
    </row>
    <row r="109" spans="1:31" ht="15.6">
      <c r="A109" s="1417"/>
      <c r="B109" s="314">
        <v>44886</v>
      </c>
      <c r="C109" s="407">
        <v>43993</v>
      </c>
      <c r="D109" s="783">
        <v>4467</v>
      </c>
      <c r="E109" s="790">
        <v>0.78949999999999998</v>
      </c>
      <c r="F109" s="408">
        <v>1176</v>
      </c>
      <c r="G109" s="407">
        <v>955</v>
      </c>
      <c r="H109" s="1760">
        <v>125</v>
      </c>
      <c r="I109" s="407">
        <f t="shared" si="16"/>
        <v>1051</v>
      </c>
      <c r="J109" s="407">
        <v>56</v>
      </c>
      <c r="K109" s="790">
        <f t="shared" si="17"/>
        <v>0.81207482993197277</v>
      </c>
      <c r="L109" s="413">
        <v>6</v>
      </c>
      <c r="M109" s="398">
        <v>1</v>
      </c>
      <c r="N109" s="527">
        <v>0.16666666666666666</v>
      </c>
      <c r="O109" s="529">
        <v>35.666666666666664</v>
      </c>
      <c r="P109" s="398"/>
      <c r="Q109" s="403"/>
      <c r="R109" s="402"/>
      <c r="S109" s="484"/>
      <c r="T109" s="410">
        <v>15</v>
      </c>
      <c r="U109" s="410">
        <v>8</v>
      </c>
      <c r="V109" s="533">
        <v>0.70833333333333337</v>
      </c>
      <c r="W109" s="529">
        <v>145.33333333333334</v>
      </c>
      <c r="X109" s="398">
        <v>767</v>
      </c>
      <c r="Y109" s="398">
        <v>702</v>
      </c>
      <c r="Z109" s="533">
        <v>0.91913613263049343</v>
      </c>
      <c r="AA109" s="537">
        <v>33.549888737453479</v>
      </c>
      <c r="AB109" s="494">
        <v>36</v>
      </c>
      <c r="AC109" s="399">
        <v>3</v>
      </c>
      <c r="AD109" s="399">
        <v>4</v>
      </c>
      <c r="AE109" s="495">
        <v>1</v>
      </c>
    </row>
    <row r="110" spans="1:31" ht="15.6">
      <c r="A110" s="1417"/>
      <c r="B110" s="314">
        <v>44887</v>
      </c>
      <c r="C110" s="407">
        <v>41820</v>
      </c>
      <c r="D110" s="783">
        <v>3822</v>
      </c>
      <c r="E110" s="790">
        <v>0.34401999999999999</v>
      </c>
      <c r="F110" s="408">
        <v>1481</v>
      </c>
      <c r="G110" s="407">
        <v>1172</v>
      </c>
      <c r="H110" s="1760">
        <v>140</v>
      </c>
      <c r="I110" s="407">
        <f t="shared" si="16"/>
        <v>1341</v>
      </c>
      <c r="J110" s="407">
        <v>51</v>
      </c>
      <c r="K110" s="790">
        <f t="shared" si="17"/>
        <v>0.79135719108710334</v>
      </c>
      <c r="L110" s="413">
        <v>1944</v>
      </c>
      <c r="M110" s="398">
        <v>1436</v>
      </c>
      <c r="N110" s="527">
        <v>0.62020725388601039</v>
      </c>
      <c r="O110" s="529">
        <v>27.391191709844559</v>
      </c>
      <c r="P110" s="398"/>
      <c r="Q110" s="403"/>
      <c r="R110" s="402"/>
      <c r="S110" s="484"/>
      <c r="T110" s="410">
        <v>12</v>
      </c>
      <c r="U110" s="410">
        <v>9</v>
      </c>
      <c r="V110" s="533">
        <v>0.6875</v>
      </c>
      <c r="W110" s="529">
        <v>221</v>
      </c>
      <c r="X110" s="398">
        <v>815</v>
      </c>
      <c r="Y110" s="398">
        <v>746</v>
      </c>
      <c r="Z110" s="533">
        <v>0.87226324733304361</v>
      </c>
      <c r="AA110" s="537">
        <v>117.90402247332665</v>
      </c>
      <c r="AB110" s="494">
        <v>40</v>
      </c>
      <c r="AC110" s="399">
        <v>3</v>
      </c>
      <c r="AD110" s="399"/>
      <c r="AE110" s="495"/>
    </row>
    <row r="111" spans="1:31" ht="15.6">
      <c r="A111" s="1417"/>
      <c r="B111" s="314">
        <v>44888</v>
      </c>
      <c r="C111" s="1822">
        <v>39592</v>
      </c>
      <c r="D111" s="783">
        <v>4155</v>
      </c>
      <c r="E111" s="1823">
        <v>0.77429999999999999</v>
      </c>
      <c r="F111" s="1827">
        <v>1493</v>
      </c>
      <c r="G111" s="1828">
        <v>1176</v>
      </c>
      <c r="H111" s="407">
        <v>149</v>
      </c>
      <c r="I111" s="407">
        <f t="shared" si="16"/>
        <v>1344</v>
      </c>
      <c r="J111" s="1829">
        <v>47</v>
      </c>
      <c r="K111" s="790">
        <f t="shared" si="17"/>
        <v>0.78767582049564633</v>
      </c>
      <c r="L111" s="413">
        <v>13</v>
      </c>
      <c r="M111" s="398">
        <v>9</v>
      </c>
      <c r="N111" s="527">
        <v>0.69230769230769229</v>
      </c>
      <c r="O111" s="529">
        <v>4.2307692307692308</v>
      </c>
      <c r="P111" s="398"/>
      <c r="Q111" s="403"/>
      <c r="R111" s="402"/>
      <c r="S111" s="484"/>
      <c r="T111" s="410">
        <v>6</v>
      </c>
      <c r="U111" s="410">
        <v>3</v>
      </c>
      <c r="V111" s="533">
        <v>0.5</v>
      </c>
      <c r="W111" s="529">
        <v>15</v>
      </c>
      <c r="X111" s="398">
        <v>816</v>
      </c>
      <c r="Y111" s="398">
        <v>760</v>
      </c>
      <c r="Z111" s="533">
        <v>0.93396492213001769</v>
      </c>
      <c r="AA111" s="537">
        <v>34.154855620945298</v>
      </c>
      <c r="AB111" s="494">
        <v>94</v>
      </c>
      <c r="AC111" s="399">
        <v>3</v>
      </c>
      <c r="AD111" s="399">
        <v>5</v>
      </c>
      <c r="AE111" s="495"/>
    </row>
    <row r="112" spans="1:31" ht="15.6">
      <c r="A112" s="1649"/>
      <c r="B112" s="314">
        <v>44889</v>
      </c>
      <c r="C112" s="1824">
        <v>37289</v>
      </c>
      <c r="D112" s="784">
        <v>3828</v>
      </c>
      <c r="E112" s="1826">
        <v>0.75960000000000005</v>
      </c>
      <c r="F112" s="1824">
        <v>1071</v>
      </c>
      <c r="G112" s="1825">
        <v>810</v>
      </c>
      <c r="H112" s="746">
        <v>164</v>
      </c>
      <c r="I112" s="407">
        <f t="shared" si="16"/>
        <v>907</v>
      </c>
      <c r="J112" s="1830">
        <v>73</v>
      </c>
      <c r="K112" s="791">
        <f t="shared" si="17"/>
        <v>0.75630252100840334</v>
      </c>
      <c r="L112" s="749">
        <v>16</v>
      </c>
      <c r="M112" s="750">
        <v>7</v>
      </c>
      <c r="N112" s="1439">
        <v>0.4375</v>
      </c>
      <c r="O112" s="1440">
        <v>20.0625</v>
      </c>
      <c r="P112" s="750"/>
      <c r="Q112" s="752"/>
      <c r="R112" s="1441" t="e">
        <f t="shared" ref="R112" si="18">Q112/P112</f>
        <v>#DIV/0!</v>
      </c>
      <c r="S112" s="1442"/>
      <c r="T112" s="753">
        <v>6</v>
      </c>
      <c r="U112" s="753">
        <v>3</v>
      </c>
      <c r="V112" s="754">
        <v>0.375</v>
      </c>
      <c r="W112" s="1440">
        <v>310</v>
      </c>
      <c r="X112" s="750">
        <v>585</v>
      </c>
      <c r="Y112" s="750">
        <v>533</v>
      </c>
      <c r="Z112" s="754">
        <v>0.91016910377846649</v>
      </c>
      <c r="AA112" s="1443">
        <v>59.743826917793285</v>
      </c>
      <c r="AB112" s="755">
        <v>136</v>
      </c>
      <c r="AC112" s="756">
        <v>7</v>
      </c>
      <c r="AD112" s="756">
        <v>2</v>
      </c>
      <c r="AE112" s="757"/>
    </row>
  </sheetData>
  <mergeCells count="7">
    <mergeCell ref="AB9:AE9"/>
    <mergeCell ref="X9:AA9"/>
    <mergeCell ref="C9:E9"/>
    <mergeCell ref="F9:K9"/>
    <mergeCell ref="L9:O9"/>
    <mergeCell ref="P9:S9"/>
    <mergeCell ref="T9:W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998"/>
  <sheetViews>
    <sheetView zoomScale="85" zoomScaleNormal="85" workbookViewId="0">
      <pane xSplit="2" ySplit="8" topLeftCell="C10" activePane="bottomRight" state="frozen"/>
      <selection pane="topRight" activeCell="C1" sqref="C1"/>
      <selection pane="bottomLeft" activeCell="A9" sqref="A9"/>
      <selection pane="bottomRight" activeCell="C7" sqref="C7:I7"/>
    </sheetView>
  </sheetViews>
  <sheetFormatPr defaultColWidth="12.69921875" defaultRowHeight="15" customHeight="1"/>
  <cols>
    <col min="1" max="1" width="5.296875" style="556" customWidth="1"/>
    <col min="2" max="2" width="12.69921875" style="556" customWidth="1"/>
    <col min="3" max="4" width="29.19921875" style="556" customWidth="1"/>
    <col min="5" max="5" width="46.19921875" style="556" customWidth="1"/>
    <col min="6" max="6" width="29.19921875" style="556" customWidth="1"/>
    <col min="7" max="7" width="15.69921875" style="556" customWidth="1"/>
    <col min="8" max="9" width="16.69921875" style="556" customWidth="1"/>
    <col min="10" max="26" width="8.69921875" style="556" customWidth="1"/>
    <col min="27" max="16384" width="12.69921875" style="556"/>
  </cols>
  <sheetData>
    <row r="1" spans="2:9" ht="14.25" customHeight="1"/>
    <row r="2" spans="2:9" ht="14.25" customHeight="1" thickBot="1"/>
    <row r="3" spans="2:9" ht="14.25" customHeight="1" thickBot="1">
      <c r="B3" s="557" t="s">
        <v>224</v>
      </c>
      <c r="C3" s="558" t="s">
        <v>245</v>
      </c>
      <c r="D3" s="559"/>
      <c r="E3" s="559"/>
      <c r="F3" s="559"/>
    </row>
    <row r="4" spans="2:9" ht="14.25" customHeight="1">
      <c r="B4" s="557" t="s">
        <v>14</v>
      </c>
      <c r="C4" s="558" t="s">
        <v>355</v>
      </c>
      <c r="D4" s="559"/>
      <c r="E4" s="559"/>
      <c r="F4" s="559"/>
      <c r="G4" s="559"/>
    </row>
    <row r="5" spans="2:9" ht="14.25" customHeight="1"/>
    <row r="6" spans="2:9" ht="14.25" customHeight="1"/>
    <row r="7" spans="2:9" ht="14.25" customHeight="1">
      <c r="C7" s="2116" t="s">
        <v>356</v>
      </c>
      <c r="D7" s="2117"/>
      <c r="E7" s="2117"/>
      <c r="F7" s="2117"/>
      <c r="G7" s="2117"/>
      <c r="H7" s="2117"/>
      <c r="I7" s="2118"/>
    </row>
    <row r="8" spans="2:9" ht="14.25" customHeight="1">
      <c r="B8" s="1553" t="s">
        <v>14</v>
      </c>
      <c r="C8" s="1554" t="s">
        <v>357</v>
      </c>
      <c r="D8" s="1554" t="s">
        <v>358</v>
      </c>
      <c r="E8" s="1554" t="s">
        <v>359</v>
      </c>
      <c r="F8" s="1554" t="s">
        <v>171</v>
      </c>
      <c r="G8" s="1554" t="s">
        <v>360</v>
      </c>
      <c r="H8" s="1554" t="s">
        <v>239</v>
      </c>
      <c r="I8" s="1554" t="s">
        <v>361</v>
      </c>
    </row>
    <row r="9" spans="2:9" ht="78" customHeight="1">
      <c r="B9" s="2119" t="s">
        <v>69</v>
      </c>
      <c r="C9" s="1555"/>
      <c r="D9" s="1555" t="s">
        <v>362</v>
      </c>
      <c r="E9" s="1556" t="s">
        <v>363</v>
      </c>
      <c r="F9" s="1557">
        <v>125687</v>
      </c>
      <c r="G9" s="1555">
        <v>233</v>
      </c>
      <c r="H9" s="1555">
        <v>4</v>
      </c>
      <c r="I9" s="1555">
        <v>4</v>
      </c>
    </row>
    <row r="10" spans="2:9" ht="82.2" customHeight="1">
      <c r="B10" s="2120"/>
      <c r="C10" s="1555"/>
      <c r="D10" s="1555" t="s">
        <v>362</v>
      </c>
      <c r="E10" s="1558" t="s">
        <v>364</v>
      </c>
      <c r="F10" s="1557">
        <v>132945</v>
      </c>
      <c r="G10" s="1555">
        <v>166</v>
      </c>
      <c r="H10" s="1555">
        <v>0</v>
      </c>
      <c r="I10" s="1555">
        <v>2</v>
      </c>
    </row>
    <row r="11" spans="2:9" ht="79.95" customHeight="1">
      <c r="B11" s="2120"/>
      <c r="C11" s="1555"/>
      <c r="D11" s="1555" t="s">
        <v>362</v>
      </c>
      <c r="E11" s="1559" t="s">
        <v>365</v>
      </c>
      <c r="F11" s="1557">
        <v>32454</v>
      </c>
      <c r="G11" s="1555">
        <v>122</v>
      </c>
      <c r="H11" s="1555">
        <v>2</v>
      </c>
      <c r="I11" s="1555">
        <v>2</v>
      </c>
    </row>
    <row r="12" spans="2:9" ht="78" customHeight="1">
      <c r="B12" s="2119" t="s">
        <v>268</v>
      </c>
      <c r="C12" s="1555"/>
      <c r="D12" s="1555" t="s">
        <v>362</v>
      </c>
      <c r="E12" s="1560" t="s">
        <v>366</v>
      </c>
      <c r="F12" s="1557">
        <v>487</v>
      </c>
      <c r="G12" s="1555">
        <v>12</v>
      </c>
      <c r="H12" s="1555">
        <v>1</v>
      </c>
      <c r="I12" s="1555">
        <v>0</v>
      </c>
    </row>
    <row r="13" spans="2:9" ht="82.2" customHeight="1">
      <c r="B13" s="2120"/>
      <c r="C13" s="1555"/>
      <c r="D13" s="1555" t="s">
        <v>362</v>
      </c>
      <c r="E13" s="1559" t="s">
        <v>367</v>
      </c>
      <c r="F13" s="1557">
        <v>380</v>
      </c>
      <c r="G13" s="1555">
        <v>7</v>
      </c>
      <c r="H13" s="1555">
        <v>0</v>
      </c>
      <c r="I13" s="1555">
        <v>0</v>
      </c>
    </row>
    <row r="14" spans="2:9" ht="79.95" customHeight="1">
      <c r="B14" s="2120"/>
      <c r="C14" s="1555"/>
      <c r="D14" s="1555" t="s">
        <v>362</v>
      </c>
      <c r="E14" s="1560" t="s">
        <v>368</v>
      </c>
      <c r="F14" s="1557">
        <v>271</v>
      </c>
      <c r="G14" s="1555">
        <v>9</v>
      </c>
      <c r="H14" s="1555">
        <v>0</v>
      </c>
      <c r="I14" s="1555">
        <v>0</v>
      </c>
    </row>
    <row r="15" spans="2:9" ht="78" customHeight="1">
      <c r="B15" s="2119" t="s">
        <v>34</v>
      </c>
      <c r="C15" s="1555"/>
      <c r="D15" s="1555" t="s">
        <v>362</v>
      </c>
      <c r="E15" s="1560" t="s">
        <v>369</v>
      </c>
      <c r="F15" s="1557">
        <v>510369</v>
      </c>
      <c r="G15" s="1555">
        <v>87</v>
      </c>
      <c r="H15" s="1555">
        <v>1</v>
      </c>
      <c r="I15" s="1555">
        <v>10</v>
      </c>
    </row>
    <row r="16" spans="2:9" ht="82.2" customHeight="1">
      <c r="B16" s="2120"/>
      <c r="C16" s="1555"/>
      <c r="D16" s="1555" t="s">
        <v>362</v>
      </c>
      <c r="E16" s="1560" t="s">
        <v>370</v>
      </c>
      <c r="F16" s="1557">
        <v>226843</v>
      </c>
      <c r="G16" s="1555">
        <v>10</v>
      </c>
      <c r="H16" s="1555">
        <v>0</v>
      </c>
      <c r="I16" s="1555">
        <v>10</v>
      </c>
    </row>
    <row r="17" spans="2:9" ht="79.95" customHeight="1">
      <c r="B17" s="2120"/>
      <c r="C17" s="1555"/>
      <c r="D17" s="1555" t="s">
        <v>362</v>
      </c>
      <c r="E17" s="1560" t="s">
        <v>371</v>
      </c>
      <c r="F17" s="1557">
        <v>683567</v>
      </c>
      <c r="G17" s="1555">
        <v>2</v>
      </c>
      <c r="H17" s="1555">
        <v>0</v>
      </c>
      <c r="I17" s="1555">
        <v>5</v>
      </c>
    </row>
    <row r="18" spans="2:9" ht="14.25" customHeight="1"/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4">
    <mergeCell ref="C7:I7"/>
    <mergeCell ref="B9:B11"/>
    <mergeCell ref="B12:B14"/>
    <mergeCell ref="B15:B17"/>
  </mergeCells>
  <hyperlinks>
    <hyperlink ref="E9" r:id="rId1"/>
    <hyperlink ref="E11" r:id="rId2"/>
    <hyperlink ref="E13" r:id="rId3"/>
  </hyperlinks>
  <pageMargins left="0.7" right="0.7" top="0.75" bottom="0.75" header="0" footer="0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/>
  </sheetPr>
  <dimension ref="B1:AQ112"/>
  <sheetViews>
    <sheetView showGridLines="0" topLeftCell="A105" zoomScale="70" zoomScaleNormal="70" workbookViewId="0">
      <selection activeCell="I132" sqref="I132"/>
    </sheetView>
  </sheetViews>
  <sheetFormatPr defaultColWidth="8.8984375" defaultRowHeight="15.6"/>
  <cols>
    <col min="1" max="1" width="1.69921875" style="17" customWidth="1"/>
    <col min="2" max="2" width="17.09765625" style="17" customWidth="1"/>
    <col min="3" max="10" width="13.69921875" style="17" customWidth="1"/>
    <col min="11" max="11" width="13.69921875" style="601" customWidth="1"/>
    <col min="12" max="12" width="14.8984375" style="17" customWidth="1"/>
    <col min="13" max="16" width="13.69921875" style="17" customWidth="1"/>
    <col min="17" max="18" width="13.69921875" style="17" hidden="1" customWidth="1"/>
    <col min="19" max="26" width="13.69921875" style="17" customWidth="1"/>
    <col min="27" max="27" width="16.296875" style="17" bestFit="1" customWidth="1"/>
    <col min="28" max="43" width="13.69921875" style="17" customWidth="1"/>
    <col min="44" max="16384" width="8.8984375" style="17"/>
  </cols>
  <sheetData>
    <row r="1" spans="2:41" s="2" customFormat="1" ht="16.2" thickBot="1">
      <c r="B1" s="101"/>
      <c r="C1" s="101"/>
      <c r="D1" s="101"/>
      <c r="E1" s="101"/>
      <c r="K1" s="600"/>
    </row>
    <row r="2" spans="2:41" s="2" customFormat="1" ht="16.2" thickBot="1">
      <c r="B2" s="2010" t="s">
        <v>111</v>
      </c>
      <c r="C2" s="2011"/>
      <c r="D2" s="2012"/>
      <c r="E2" s="101"/>
      <c r="K2" s="600"/>
    </row>
    <row r="3" spans="2:41" s="2" customFormat="1">
      <c r="B3" s="906" t="s">
        <v>112</v>
      </c>
      <c r="C3" s="907" t="s">
        <v>30</v>
      </c>
      <c r="D3" s="908" t="s">
        <v>47</v>
      </c>
      <c r="E3" s="101"/>
      <c r="K3" s="600"/>
    </row>
    <row r="4" spans="2:41" s="2" customFormat="1" ht="16.2" thickBot="1">
      <c r="B4" s="909" t="s">
        <v>113</v>
      </c>
      <c r="C4" s="910">
        <v>50000</v>
      </c>
      <c r="D4" s="911">
        <v>84070</v>
      </c>
      <c r="E4" s="101"/>
      <c r="K4" s="600"/>
    </row>
    <row r="5" spans="2:41" s="2" customFormat="1">
      <c r="B5" s="101"/>
      <c r="C5" s="101"/>
      <c r="D5" s="101"/>
      <c r="E5" s="101"/>
      <c r="K5" s="600"/>
    </row>
    <row r="6" spans="2:41" s="2" customFormat="1">
      <c r="B6" s="101"/>
      <c r="C6" s="101"/>
      <c r="D6" s="101"/>
      <c r="E6" s="101"/>
      <c r="K6" s="600"/>
    </row>
    <row r="7" spans="2:41" s="2" customFormat="1" ht="15" hidden="1" customHeight="1" thickBot="1">
      <c r="B7" s="992"/>
      <c r="C7" s="992"/>
      <c r="D7" s="992"/>
      <c r="E7" s="992"/>
      <c r="F7" s="214"/>
      <c r="K7" s="600"/>
    </row>
    <row r="8" spans="2:41" ht="16.2" hidden="1" thickBot="1">
      <c r="B8" s="2010" t="s">
        <v>114</v>
      </c>
      <c r="C8" s="2011"/>
      <c r="D8" s="2012"/>
      <c r="E8" s="992"/>
    </row>
    <row r="9" spans="2:41" hidden="1">
      <c r="B9" s="906" t="s">
        <v>112</v>
      </c>
      <c r="C9" s="907" t="s">
        <v>30</v>
      </c>
      <c r="D9" s="908" t="s">
        <v>47</v>
      </c>
      <c r="E9" s="992"/>
      <c r="F9" s="39"/>
      <c r="G9" s="39"/>
      <c r="H9" s="39"/>
      <c r="I9" s="39"/>
      <c r="J9" s="39"/>
    </row>
    <row r="10" spans="2:41" ht="16.2" hidden="1" thickBot="1">
      <c r="B10" s="909" t="s">
        <v>113</v>
      </c>
      <c r="C10" s="910">
        <v>47726</v>
      </c>
      <c r="D10" s="911">
        <f>SUM('Facebook Carousel'!C8,'Facebook Video'!D10,'Youtube Trueview'!D9,'IG Video'!C6,'Snapchat Video'!C8,'Snapchat Image'!C7,GDN!D9,UAC!C3)</f>
        <v>75080.84</v>
      </c>
      <c r="E10" s="994"/>
      <c r="F10" s="39"/>
      <c r="G10" s="39"/>
      <c r="H10" s="39"/>
      <c r="I10" s="39"/>
      <c r="J10" s="39"/>
      <c r="K10" s="612"/>
      <c r="L10" s="20"/>
      <c r="P10" s="20"/>
      <c r="S10" s="20"/>
      <c r="W10" s="20"/>
      <c r="Z10" s="20"/>
      <c r="AC10" s="20"/>
      <c r="AF10" s="20"/>
      <c r="AI10" s="20"/>
      <c r="AL10" s="20"/>
      <c r="AO10" s="20"/>
    </row>
    <row r="11" spans="2:41">
      <c r="B11" s="993"/>
      <c r="C11" s="2018"/>
      <c r="D11" s="2018"/>
      <c r="E11" s="2018"/>
      <c r="F11" s="21"/>
      <c r="G11" s="21"/>
      <c r="H11" s="21"/>
      <c r="I11" s="21"/>
      <c r="J11" s="21"/>
      <c r="K11" s="612"/>
      <c r="L11" s="20"/>
      <c r="P11" s="20"/>
      <c r="S11" s="20"/>
      <c r="W11" s="20"/>
      <c r="Z11" s="20"/>
      <c r="AC11" s="20"/>
      <c r="AF11" s="20"/>
      <c r="AI11" s="20"/>
      <c r="AL11" s="20"/>
      <c r="AO11" s="20"/>
    </row>
    <row r="12" spans="2:41" ht="16.2" thickBot="1">
      <c r="B12" s="21"/>
      <c r="C12" s="21"/>
      <c r="D12" s="21"/>
      <c r="E12" s="21"/>
      <c r="F12" s="21"/>
      <c r="G12" s="21"/>
      <c r="H12" s="21"/>
      <c r="I12" s="21"/>
      <c r="J12" s="21"/>
      <c r="K12" s="612"/>
      <c r="L12" s="20"/>
      <c r="P12" s="20"/>
      <c r="S12" s="20"/>
      <c r="W12" s="20"/>
      <c r="Z12" s="20"/>
      <c r="AC12" s="20"/>
      <c r="AF12" s="20"/>
      <c r="AI12" s="20"/>
      <c r="AL12" s="20"/>
      <c r="AO12" s="20"/>
    </row>
    <row r="13" spans="2:41">
      <c r="B13" s="2001" t="s">
        <v>115</v>
      </c>
      <c r="C13" s="2002"/>
      <c r="D13" s="2002"/>
      <c r="E13" s="2002"/>
      <c r="F13" s="2002"/>
      <c r="G13" s="2002"/>
      <c r="H13" s="2002"/>
      <c r="I13" s="2002"/>
      <c r="J13" s="2002"/>
      <c r="K13" s="2002"/>
      <c r="L13" s="2002"/>
      <c r="M13" s="2002"/>
      <c r="N13" s="2002"/>
      <c r="O13" s="2002"/>
      <c r="P13" s="2002"/>
      <c r="Q13" s="2002"/>
      <c r="R13" s="2002"/>
      <c r="S13" s="2002"/>
      <c r="T13" s="2002"/>
      <c r="U13" s="2002"/>
      <c r="V13" s="2002"/>
      <c r="W13" s="2002"/>
      <c r="X13" s="2003"/>
      <c r="Y13" s="20"/>
      <c r="Z13" s="20"/>
      <c r="AA13" s="20"/>
      <c r="AB13" s="20"/>
      <c r="AC13" s="20"/>
      <c r="AF13" s="20"/>
      <c r="AI13" s="20"/>
      <c r="AL13" s="20"/>
      <c r="AO13" s="20"/>
    </row>
    <row r="14" spans="2:41">
      <c r="B14" s="704"/>
      <c r="C14" s="2007" t="s">
        <v>14</v>
      </c>
      <c r="D14" s="2008"/>
      <c r="E14" s="2008"/>
      <c r="F14" s="2008"/>
      <c r="G14" s="2008"/>
      <c r="H14" s="2008"/>
      <c r="I14" s="2008"/>
      <c r="J14" s="2008"/>
      <c r="K14" s="2008"/>
      <c r="L14" s="2008"/>
      <c r="M14" s="2008"/>
      <c r="N14" s="2008"/>
      <c r="O14" s="2009"/>
      <c r="P14" s="2004" t="s">
        <v>116</v>
      </c>
      <c r="Q14" s="2005"/>
      <c r="R14" s="2005"/>
      <c r="S14" s="2005"/>
      <c r="T14" s="2005"/>
      <c r="U14" s="2005"/>
      <c r="V14" s="2005"/>
      <c r="W14" s="2005"/>
      <c r="X14" s="2006"/>
      <c r="Y14" s="20"/>
      <c r="Z14" s="1999" t="s">
        <v>117</v>
      </c>
      <c r="AA14" s="2000"/>
      <c r="AB14" s="2000"/>
      <c r="AC14" s="20"/>
      <c r="AD14" s="1999" t="s">
        <v>118</v>
      </c>
      <c r="AE14" s="2000"/>
      <c r="AF14" s="2000"/>
      <c r="AI14" s="20"/>
      <c r="AL14" s="20"/>
      <c r="AO14" s="20"/>
    </row>
    <row r="15" spans="2:41" s="22" customFormat="1" ht="46.8">
      <c r="B15" s="115" t="s">
        <v>119</v>
      </c>
      <c r="C15" s="438" t="s">
        <v>120</v>
      </c>
      <c r="D15" s="438" t="s">
        <v>121</v>
      </c>
      <c r="E15" s="288" t="s">
        <v>122</v>
      </c>
      <c r="F15" s="439" t="s">
        <v>123</v>
      </c>
      <c r="G15" s="439" t="s">
        <v>124</v>
      </c>
      <c r="H15" s="439" t="s">
        <v>125</v>
      </c>
      <c r="I15" s="439" t="s">
        <v>126</v>
      </c>
      <c r="J15" s="439" t="s">
        <v>127</v>
      </c>
      <c r="K15" s="613" t="s">
        <v>128</v>
      </c>
      <c r="L15" s="439" t="s">
        <v>129</v>
      </c>
      <c r="M15" s="439" t="s">
        <v>130</v>
      </c>
      <c r="N15" s="141" t="s">
        <v>131</v>
      </c>
      <c r="O15" s="703" t="s">
        <v>24</v>
      </c>
      <c r="P15" s="443" t="s">
        <v>132</v>
      </c>
      <c r="Q15" s="440" t="s">
        <v>133</v>
      </c>
      <c r="R15" s="440" t="s">
        <v>134</v>
      </c>
      <c r="S15" s="440" t="s">
        <v>135</v>
      </c>
      <c r="T15" s="137" t="s">
        <v>136</v>
      </c>
      <c r="U15" s="441" t="s">
        <v>21</v>
      </c>
      <c r="V15" s="440" t="s">
        <v>137</v>
      </c>
      <c r="W15" s="441" t="s">
        <v>138</v>
      </c>
      <c r="X15" s="442" t="s">
        <v>23</v>
      </c>
      <c r="Z15" s="193" t="s">
        <v>139</v>
      </c>
      <c r="AA15" s="193" t="s">
        <v>140</v>
      </c>
      <c r="AB15" s="198" t="s">
        <v>141</v>
      </c>
      <c r="AD15" s="193" t="s">
        <v>139</v>
      </c>
      <c r="AE15" s="193" t="s">
        <v>140</v>
      </c>
      <c r="AF15" s="198" t="s">
        <v>141</v>
      </c>
    </row>
    <row r="16" spans="2:41" ht="31.2">
      <c r="B16" s="103" t="s">
        <v>142</v>
      </c>
      <c r="C16" s="15" t="e">
        <f t="shared" ref="C16:J16" si="0">SUM(C32:C38)</f>
        <v>#REF!</v>
      </c>
      <c r="D16" s="15" t="e">
        <f t="shared" si="0"/>
        <v>#REF!</v>
      </c>
      <c r="E16" s="15" t="e">
        <f t="shared" si="0"/>
        <v>#REF!</v>
      </c>
      <c r="F16" s="15" t="e">
        <f t="shared" si="0"/>
        <v>#REF!</v>
      </c>
      <c r="G16" s="15" t="e">
        <f t="shared" si="0"/>
        <v>#REF!</v>
      </c>
      <c r="H16" s="15" t="e">
        <f t="shared" si="0"/>
        <v>#REF!</v>
      </c>
      <c r="I16" s="15" t="e">
        <f t="shared" si="0"/>
        <v>#REF!</v>
      </c>
      <c r="J16" s="203" t="e">
        <f t="shared" si="0"/>
        <v>#REF!</v>
      </c>
      <c r="K16" s="73" t="e">
        <f>J16/$C$10</f>
        <v>#REF!</v>
      </c>
      <c r="L16" s="79" t="e">
        <f t="shared" ref="L16:L25" si="1">D16/C16</f>
        <v>#REF!</v>
      </c>
      <c r="M16" s="202">
        <f>$AA$16/30*7</f>
        <v>576566.66666666674</v>
      </c>
      <c r="N16" s="73" t="e">
        <f t="shared" ref="N16:N25" si="2">E16/M16</f>
        <v>#REF!</v>
      </c>
      <c r="O16" s="656" t="e">
        <f>J16/D16</f>
        <v>#REF!</v>
      </c>
      <c r="P16" s="131" t="e">
        <f>SUM(P32:P38)</f>
        <v>#REF!</v>
      </c>
      <c r="Q16" s="132"/>
      <c r="R16" s="132"/>
      <c r="S16" s="293">
        <f>$AA$18/30*7</f>
        <v>13845.766666666666</v>
      </c>
      <c r="T16" s="139" t="e">
        <f t="shared" ref="T16:T21" si="3">P16/S16</f>
        <v>#REF!</v>
      </c>
      <c r="U16" s="656" t="e">
        <f>J16/P16</f>
        <v>#REF!</v>
      </c>
      <c r="V16" s="333" t="e">
        <f>P16/D16</f>
        <v>#REF!</v>
      </c>
      <c r="W16" s="674">
        <f>W39</f>
        <v>28.998994708994708</v>
      </c>
      <c r="X16" s="348">
        <f>X39</f>
        <v>0.86174190371566173</v>
      </c>
      <c r="Y16" s="334"/>
      <c r="Z16" s="97" t="e">
        <f>E66</f>
        <v>#REF!</v>
      </c>
      <c r="AA16" s="97">
        <f>'Facebook Video'!AB15+Twitter!AB10+'Youtube Trueview'!AB14</f>
        <v>2471000</v>
      </c>
      <c r="AB16" s="98" t="e">
        <f>Z16/AA16</f>
        <v>#REF!</v>
      </c>
      <c r="AD16" s="97" t="e">
        <f>E111</f>
        <v>#REF!</v>
      </c>
      <c r="AE16" s="97">
        <v>2098222</v>
      </c>
      <c r="AF16" s="98" t="e">
        <f>AD16/AE16</f>
        <v>#REF!</v>
      </c>
    </row>
    <row r="17" spans="2:43" ht="31.2">
      <c r="B17" s="103" t="s">
        <v>143</v>
      </c>
      <c r="C17" s="15" t="e">
        <f>SUM(C40:C46)</f>
        <v>#REF!</v>
      </c>
      <c r="D17" s="15" t="e">
        <f t="shared" ref="D17:I17" si="4">SUM(D40:D46)</f>
        <v>#REF!</v>
      </c>
      <c r="E17" s="15" t="e">
        <f t="shared" si="4"/>
        <v>#REF!</v>
      </c>
      <c r="F17" s="15" t="e">
        <f t="shared" si="4"/>
        <v>#REF!</v>
      </c>
      <c r="G17" s="15" t="e">
        <f t="shared" si="4"/>
        <v>#REF!</v>
      </c>
      <c r="H17" s="15" t="e">
        <f t="shared" si="4"/>
        <v>#REF!</v>
      </c>
      <c r="I17" s="15" t="e">
        <f t="shared" si="4"/>
        <v>#REF!</v>
      </c>
      <c r="J17" s="203" t="e">
        <f>SUM(J40:J46)</f>
        <v>#REF!</v>
      </c>
      <c r="K17" s="73" t="e">
        <f t="shared" ref="K17:K19" si="5">J17/$C$10</f>
        <v>#REF!</v>
      </c>
      <c r="L17" s="79" t="e">
        <f t="shared" si="1"/>
        <v>#REF!</v>
      </c>
      <c r="M17" s="202">
        <f>$AA$16/30*7</f>
        <v>576566.66666666674</v>
      </c>
      <c r="N17" s="73" t="e">
        <f t="shared" si="2"/>
        <v>#REF!</v>
      </c>
      <c r="O17" s="656" t="e">
        <f t="shared" ref="O17:O25" si="6">J17/D17</f>
        <v>#REF!</v>
      </c>
      <c r="P17" s="15" t="e">
        <f>SUM(P40:P46)</f>
        <v>#REF!</v>
      </c>
      <c r="Q17" s="52"/>
      <c r="R17" s="52"/>
      <c r="S17" s="293">
        <f>$AA$18/30*7</f>
        <v>13845.766666666666</v>
      </c>
      <c r="T17" s="139" t="e">
        <f t="shared" si="3"/>
        <v>#REF!</v>
      </c>
      <c r="U17" s="656" t="e">
        <f t="shared" ref="U17:U18" si="7">J17/P17</f>
        <v>#REF!</v>
      </c>
      <c r="V17" s="333" t="e">
        <f t="shared" ref="V17" si="8">P17/D17</f>
        <v>#REF!</v>
      </c>
      <c r="W17" s="706">
        <f>W47</f>
        <v>35.707994738233729</v>
      </c>
      <c r="X17" s="396">
        <f>X47</f>
        <v>0.85428011439997331</v>
      </c>
      <c r="Z17" s="199" t="s">
        <v>132</v>
      </c>
      <c r="AA17" s="199" t="s">
        <v>144</v>
      </c>
      <c r="AB17" s="198" t="s">
        <v>141</v>
      </c>
      <c r="AD17" s="199" t="s">
        <v>132</v>
      </c>
      <c r="AE17" s="199" t="s">
        <v>144</v>
      </c>
      <c r="AF17" s="198" t="s">
        <v>141</v>
      </c>
    </row>
    <row r="18" spans="2:43" ht="31.2">
      <c r="B18" s="105" t="s">
        <v>145</v>
      </c>
      <c r="C18" s="15" t="e">
        <f>SUM(C48:C54)</f>
        <v>#REF!</v>
      </c>
      <c r="D18" s="15" t="e">
        <f t="shared" ref="D18:I18" si="9">SUM(D48:D54)</f>
        <v>#REF!</v>
      </c>
      <c r="E18" s="15" t="e">
        <f t="shared" si="9"/>
        <v>#REF!</v>
      </c>
      <c r="F18" s="15" t="e">
        <f t="shared" si="9"/>
        <v>#REF!</v>
      </c>
      <c r="G18" s="15" t="e">
        <f t="shared" si="9"/>
        <v>#REF!</v>
      </c>
      <c r="H18" s="15" t="e">
        <f t="shared" si="9"/>
        <v>#REF!</v>
      </c>
      <c r="I18" s="15" t="e">
        <f t="shared" si="9"/>
        <v>#REF!</v>
      </c>
      <c r="J18" s="203" t="e">
        <f>SUM(J48:J54)</f>
        <v>#REF!</v>
      </c>
      <c r="K18" s="73" t="e">
        <f t="shared" si="5"/>
        <v>#REF!</v>
      </c>
      <c r="L18" s="79" t="e">
        <f t="shared" si="1"/>
        <v>#REF!</v>
      </c>
      <c r="M18" s="202">
        <f>$AA$16/30*7</f>
        <v>576566.66666666674</v>
      </c>
      <c r="N18" s="73" t="e">
        <f t="shared" si="2"/>
        <v>#REF!</v>
      </c>
      <c r="O18" s="656" t="e">
        <f t="shared" si="6"/>
        <v>#REF!</v>
      </c>
      <c r="P18" s="15" t="e">
        <f>SUM(P48:P54)</f>
        <v>#REF!</v>
      </c>
      <c r="Q18" s="52"/>
      <c r="R18" s="52"/>
      <c r="S18" s="293">
        <f>$AA$18/30*7</f>
        <v>13845.766666666666</v>
      </c>
      <c r="T18" s="139" t="e">
        <f t="shared" si="3"/>
        <v>#REF!</v>
      </c>
      <c r="U18" s="656" t="e">
        <f t="shared" si="7"/>
        <v>#REF!</v>
      </c>
      <c r="V18" s="333" t="e">
        <f t="shared" ref="V18:V25" si="10">P18/D18</f>
        <v>#REF!</v>
      </c>
      <c r="W18" s="52">
        <f>W55</f>
        <v>34.285714285714285</v>
      </c>
      <c r="X18" s="616">
        <f>X55</f>
        <v>0.83363979320488169</v>
      </c>
      <c r="Y18" s="40"/>
      <c r="Z18" s="97" t="e">
        <f>P66</f>
        <v>#REF!</v>
      </c>
      <c r="AA18" s="97">
        <f>'Facebook Video'!AB17+Twitter!AB12+'Youtube Trueview'!AB16+GDN!S14</f>
        <v>59339</v>
      </c>
      <c r="AB18" s="98" t="e">
        <f>Z18/AA18</f>
        <v>#REF!</v>
      </c>
      <c r="AD18" s="97" t="e">
        <f>P111</f>
        <v>#REF!</v>
      </c>
      <c r="AE18" s="97">
        <v>137990</v>
      </c>
      <c r="AF18" s="98" t="e">
        <f>AD18/AE18</f>
        <v>#REF!</v>
      </c>
    </row>
    <row r="19" spans="2:43" ht="46.8">
      <c r="B19" s="105" t="s">
        <v>146</v>
      </c>
      <c r="C19" s="15" t="e">
        <f>SUM(C56:C62)</f>
        <v>#REF!</v>
      </c>
      <c r="D19" s="15" t="e">
        <f t="shared" ref="D19:I19" si="11">SUM(D56:D62)</f>
        <v>#REF!</v>
      </c>
      <c r="E19" s="15" t="e">
        <f t="shared" si="11"/>
        <v>#REF!</v>
      </c>
      <c r="F19" s="15" t="e">
        <f t="shared" si="11"/>
        <v>#REF!</v>
      </c>
      <c r="G19" s="15" t="e">
        <f t="shared" si="11"/>
        <v>#REF!</v>
      </c>
      <c r="H19" s="15" t="e">
        <f t="shared" si="11"/>
        <v>#REF!</v>
      </c>
      <c r="I19" s="15" t="e">
        <f t="shared" si="11"/>
        <v>#REF!</v>
      </c>
      <c r="J19" s="1221" t="e">
        <f>SUM(J56:J62)</f>
        <v>#REF!</v>
      </c>
      <c r="K19" s="73" t="e">
        <f t="shared" si="5"/>
        <v>#REF!</v>
      </c>
      <c r="L19" s="79" t="e">
        <f t="shared" si="1"/>
        <v>#REF!</v>
      </c>
      <c r="M19" s="202">
        <f>$AA$16/30*7</f>
        <v>576566.66666666674</v>
      </c>
      <c r="N19" s="73" t="e">
        <f t="shared" si="2"/>
        <v>#REF!</v>
      </c>
      <c r="O19" s="656" t="e">
        <f t="shared" si="6"/>
        <v>#REF!</v>
      </c>
      <c r="P19" s="15" t="e">
        <f>SUM(P56:P62)</f>
        <v>#REF!</v>
      </c>
      <c r="Q19" s="52"/>
      <c r="R19" s="52"/>
      <c r="S19" s="293">
        <f>$AA$18/30*7</f>
        <v>13845.766666666666</v>
      </c>
      <c r="T19" s="139" t="e">
        <f t="shared" si="3"/>
        <v>#REF!</v>
      </c>
      <c r="U19" s="656" t="e">
        <f t="shared" ref="U19" si="12">J19/P19</f>
        <v>#REF!</v>
      </c>
      <c r="V19" s="333" t="e">
        <f t="shared" si="10"/>
        <v>#REF!</v>
      </c>
      <c r="W19" s="52">
        <f>W63</f>
        <v>38.714285714285715</v>
      </c>
      <c r="X19" s="616">
        <f>X63</f>
        <v>0.86866749583805691</v>
      </c>
    </row>
    <row r="20" spans="2:43" ht="46.8">
      <c r="B20" s="105" t="s">
        <v>147</v>
      </c>
      <c r="C20" s="15" t="e">
        <f>SUM(C64:C65,C67:C71)</f>
        <v>#REF!</v>
      </c>
      <c r="D20" s="15" t="e">
        <f t="shared" ref="D20:I20" si="13">SUM(D64:D65,D67:D71)</f>
        <v>#REF!</v>
      </c>
      <c r="E20" s="15" t="e">
        <f t="shared" si="13"/>
        <v>#REF!</v>
      </c>
      <c r="F20" s="15" t="e">
        <f t="shared" si="13"/>
        <v>#REF!</v>
      </c>
      <c r="G20" s="15" t="e">
        <f t="shared" si="13"/>
        <v>#REF!</v>
      </c>
      <c r="H20" s="15" t="e">
        <f t="shared" si="13"/>
        <v>#REF!</v>
      </c>
      <c r="I20" s="15" t="e">
        <f t="shared" si="13"/>
        <v>#REF!</v>
      </c>
      <c r="J20" s="1221" t="e">
        <f>SUM(J64:J65,J67:J71)</f>
        <v>#REF!</v>
      </c>
      <c r="K20" s="662" t="e">
        <f t="shared" ref="K20:K25" si="14">J20/$D$10</f>
        <v>#REF!</v>
      </c>
      <c r="L20" s="79" t="e">
        <f t="shared" si="1"/>
        <v>#REF!</v>
      </c>
      <c r="M20" s="52">
        <f t="shared" ref="M20:M25" si="15">$AE$16/30*7</f>
        <v>489585.13333333336</v>
      </c>
      <c r="N20" s="73" t="e">
        <f t="shared" si="2"/>
        <v>#REF!</v>
      </c>
      <c r="O20" s="656" t="e">
        <f t="shared" si="6"/>
        <v>#REF!</v>
      </c>
      <c r="P20" s="15" t="e">
        <f t="shared" ref="P20" si="16">SUM(P64:P65,P67:P71)</f>
        <v>#REF!</v>
      </c>
      <c r="Q20" s="52"/>
      <c r="R20" s="52"/>
      <c r="S20" s="15">
        <f t="shared" ref="S20:S25" si="17">$AE$18/30*7</f>
        <v>32197.666666666668</v>
      </c>
      <c r="T20" s="139" t="e">
        <f t="shared" si="3"/>
        <v>#REF!</v>
      </c>
      <c r="U20" s="656" t="e">
        <f t="shared" ref="U20:U25" si="18">J20/P20</f>
        <v>#REF!</v>
      </c>
      <c r="V20" s="333" t="e">
        <f t="shared" si="10"/>
        <v>#REF!</v>
      </c>
      <c r="W20" s="52">
        <f>W72</f>
        <v>38.571428571428569</v>
      </c>
      <c r="X20" s="617">
        <f>X72</f>
        <v>0.85571428571428576</v>
      </c>
    </row>
    <row r="21" spans="2:43" ht="46.8">
      <c r="B21" s="103" t="s">
        <v>148</v>
      </c>
      <c r="C21" s="15" t="e">
        <f>SUM(C73:C79)</f>
        <v>#REF!</v>
      </c>
      <c r="D21" s="15" t="e">
        <f t="shared" ref="D21:J21" si="19">SUM(D73:D79)</f>
        <v>#REF!</v>
      </c>
      <c r="E21" s="15" t="e">
        <f t="shared" si="19"/>
        <v>#REF!</v>
      </c>
      <c r="F21" s="15" t="e">
        <f t="shared" si="19"/>
        <v>#REF!</v>
      </c>
      <c r="G21" s="15" t="e">
        <f t="shared" si="19"/>
        <v>#REF!</v>
      </c>
      <c r="H21" s="15" t="e">
        <f t="shared" si="19"/>
        <v>#REF!</v>
      </c>
      <c r="I21" s="15" t="e">
        <f t="shared" si="19"/>
        <v>#REF!</v>
      </c>
      <c r="J21" s="1221" t="e">
        <f t="shared" si="19"/>
        <v>#REF!</v>
      </c>
      <c r="K21" s="662" t="e">
        <f t="shared" si="14"/>
        <v>#REF!</v>
      </c>
      <c r="L21" s="79" t="e">
        <f t="shared" si="1"/>
        <v>#REF!</v>
      </c>
      <c r="M21" s="52">
        <f t="shared" si="15"/>
        <v>489585.13333333336</v>
      </c>
      <c r="N21" s="73" t="e">
        <f t="shared" si="2"/>
        <v>#REF!</v>
      </c>
      <c r="O21" s="656" t="e">
        <f t="shared" si="6"/>
        <v>#REF!</v>
      </c>
      <c r="P21" s="15" t="e">
        <f t="shared" ref="P21" si="20">SUM(P73:P79)</f>
        <v>#REF!</v>
      </c>
      <c r="Q21" s="52"/>
      <c r="R21" s="52"/>
      <c r="S21" s="15">
        <f t="shared" si="17"/>
        <v>32197.666666666668</v>
      </c>
      <c r="T21" s="139" t="e">
        <f t="shared" si="3"/>
        <v>#REF!</v>
      </c>
      <c r="U21" s="656" t="e">
        <f t="shared" si="18"/>
        <v>#REF!</v>
      </c>
      <c r="V21" s="333" t="e">
        <f t="shared" si="10"/>
        <v>#REF!</v>
      </c>
      <c r="W21" s="52">
        <f>W80</f>
        <v>39.428571428571431</v>
      </c>
      <c r="X21" s="616">
        <f>X80</f>
        <v>0.874950577536871</v>
      </c>
    </row>
    <row r="22" spans="2:43" ht="46.8">
      <c r="B22" s="105" t="s">
        <v>149</v>
      </c>
      <c r="C22" s="102" t="e">
        <f>SUM(C81:C87)</f>
        <v>#REF!</v>
      </c>
      <c r="D22" s="102" t="e">
        <f t="shared" ref="D22:J22" si="21">SUM(D81:D87)</f>
        <v>#REF!</v>
      </c>
      <c r="E22" s="102" t="e">
        <f t="shared" si="21"/>
        <v>#REF!</v>
      </c>
      <c r="F22" s="102" t="e">
        <f t="shared" si="21"/>
        <v>#REF!</v>
      </c>
      <c r="G22" s="102" t="e">
        <f t="shared" si="21"/>
        <v>#REF!</v>
      </c>
      <c r="H22" s="102" t="e">
        <f t="shared" si="21"/>
        <v>#REF!</v>
      </c>
      <c r="I22" s="102" t="e">
        <f t="shared" si="21"/>
        <v>#REF!</v>
      </c>
      <c r="J22" s="1567" t="e">
        <f t="shared" si="21"/>
        <v>#REF!</v>
      </c>
      <c r="K22" s="1568" t="e">
        <f t="shared" si="14"/>
        <v>#REF!</v>
      </c>
      <c r="L22" s="1569" t="e">
        <f t="shared" si="1"/>
        <v>#REF!</v>
      </c>
      <c r="M22" s="892">
        <f t="shared" si="15"/>
        <v>489585.13333333336</v>
      </c>
      <c r="N22" s="998" t="e">
        <f t="shared" si="2"/>
        <v>#REF!</v>
      </c>
      <c r="O22" s="1565" t="e">
        <f t="shared" si="6"/>
        <v>#REF!</v>
      </c>
      <c r="P22" s="102" t="e">
        <f t="shared" ref="P22" si="22">SUM(P81:P87)</f>
        <v>#REF!</v>
      </c>
      <c r="Q22" s="892"/>
      <c r="R22" s="892"/>
      <c r="S22" s="102">
        <f t="shared" si="17"/>
        <v>32197.666666666668</v>
      </c>
      <c r="T22" s="1564" t="e">
        <f t="shared" ref="T22:T25" si="23">P22/S22</f>
        <v>#REF!</v>
      </c>
      <c r="U22" s="1565" t="e">
        <f t="shared" si="18"/>
        <v>#REF!</v>
      </c>
      <c r="V22" s="1566" t="e">
        <f t="shared" si="10"/>
        <v>#REF!</v>
      </c>
      <c r="W22" s="892">
        <f>W88</f>
        <v>42.857142857142854</v>
      </c>
      <c r="X22" s="1570">
        <f>X88</f>
        <v>0.87589599126869422</v>
      </c>
    </row>
    <row r="23" spans="2:43" ht="46.8">
      <c r="B23" s="1585" t="s">
        <v>150</v>
      </c>
      <c r="C23" s="303" t="e">
        <f>SUM(C89:C95)</f>
        <v>#REF!</v>
      </c>
      <c r="D23" s="303" t="e">
        <f t="shared" ref="D23:J23" si="24">SUM(D89:D95)</f>
        <v>#REF!</v>
      </c>
      <c r="E23" s="303" t="e">
        <f t="shared" si="24"/>
        <v>#REF!</v>
      </c>
      <c r="F23" s="303" t="e">
        <f t="shared" si="24"/>
        <v>#REF!</v>
      </c>
      <c r="G23" s="303" t="e">
        <f t="shared" si="24"/>
        <v>#REF!</v>
      </c>
      <c r="H23" s="303" t="e">
        <f t="shared" si="24"/>
        <v>#REF!</v>
      </c>
      <c r="I23" s="303" t="e">
        <f t="shared" si="24"/>
        <v>#REF!</v>
      </c>
      <c r="J23" s="1580" t="e">
        <f t="shared" si="24"/>
        <v>#REF!</v>
      </c>
      <c r="K23" s="1581" t="e">
        <f t="shared" si="14"/>
        <v>#REF!</v>
      </c>
      <c r="L23" s="1582" t="e">
        <f t="shared" si="1"/>
        <v>#REF!</v>
      </c>
      <c r="M23" s="303">
        <f t="shared" si="15"/>
        <v>489585.13333333336</v>
      </c>
      <c r="N23" s="436" t="e">
        <f t="shared" si="2"/>
        <v>#REF!</v>
      </c>
      <c r="O23" s="1583" t="e">
        <f t="shared" si="6"/>
        <v>#REF!</v>
      </c>
      <c r="P23" s="303" t="e">
        <f t="shared" ref="P23" si="25">SUM(P89:P95)</f>
        <v>#REF!</v>
      </c>
      <c r="Q23" s="303"/>
      <c r="R23" s="303"/>
      <c r="S23" s="303">
        <f t="shared" si="17"/>
        <v>32197.666666666668</v>
      </c>
      <c r="T23" s="436" t="e">
        <f t="shared" si="23"/>
        <v>#REF!</v>
      </c>
      <c r="U23" s="1583" t="e">
        <f t="shared" si="18"/>
        <v>#REF!</v>
      </c>
      <c r="V23" s="1584" t="e">
        <f t="shared" si="10"/>
        <v>#REF!</v>
      </c>
      <c r="W23" s="303">
        <f>W96</f>
        <v>38.857142857142854</v>
      </c>
      <c r="X23" s="1278">
        <f>X96</f>
        <v>0.82669999999999988</v>
      </c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4" spans="2:43" ht="46.8">
      <c r="B24" s="1585" t="s">
        <v>151</v>
      </c>
      <c r="C24" s="303" t="e">
        <f>SUM(C97:C103)</f>
        <v>#REF!</v>
      </c>
      <c r="D24" s="303" t="e">
        <f t="shared" ref="D24:J24" si="26">SUM(D97:D103)</f>
        <v>#REF!</v>
      </c>
      <c r="E24" s="303" t="e">
        <f t="shared" si="26"/>
        <v>#REF!</v>
      </c>
      <c r="F24" s="303" t="e">
        <f t="shared" si="26"/>
        <v>#REF!</v>
      </c>
      <c r="G24" s="303" t="e">
        <f t="shared" si="26"/>
        <v>#REF!</v>
      </c>
      <c r="H24" s="303" t="e">
        <f t="shared" si="26"/>
        <v>#REF!</v>
      </c>
      <c r="I24" s="303" t="e">
        <f t="shared" si="26"/>
        <v>#REF!</v>
      </c>
      <c r="J24" s="304" t="e">
        <f t="shared" si="26"/>
        <v>#REF!</v>
      </c>
      <c r="K24" s="1581" t="e">
        <f t="shared" si="14"/>
        <v>#REF!</v>
      </c>
      <c r="L24" s="1582" t="e">
        <f t="shared" si="1"/>
        <v>#REF!</v>
      </c>
      <c r="M24" s="303">
        <f t="shared" si="15"/>
        <v>489585.13333333336</v>
      </c>
      <c r="N24" s="436" t="e">
        <f t="shared" si="2"/>
        <v>#REF!</v>
      </c>
      <c r="O24" s="1583" t="e">
        <f t="shared" si="6"/>
        <v>#REF!</v>
      </c>
      <c r="P24" s="303" t="e">
        <f t="shared" ref="P24" si="27">SUM(P97:P103)</f>
        <v>#REF!</v>
      </c>
      <c r="Q24" s="303"/>
      <c r="R24" s="303"/>
      <c r="S24" s="303">
        <f t="shared" si="17"/>
        <v>32197.666666666668</v>
      </c>
      <c r="T24" s="436" t="e">
        <f t="shared" si="23"/>
        <v>#REF!</v>
      </c>
      <c r="U24" s="1583" t="e">
        <f t="shared" si="18"/>
        <v>#REF!</v>
      </c>
      <c r="V24" s="1584" t="e">
        <f t="shared" si="10"/>
        <v>#REF!</v>
      </c>
      <c r="W24" s="702">
        <f>W104</f>
        <v>50.285714285714285</v>
      </c>
      <c r="X24" s="1278">
        <f>X104</f>
        <v>0.83026956274916619</v>
      </c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43" ht="46.8">
      <c r="B25" s="1585" t="s">
        <v>152</v>
      </c>
      <c r="C25" s="303" t="e">
        <f>SUM(C105:C109)</f>
        <v>#REF!</v>
      </c>
      <c r="D25" s="303" t="e">
        <f t="shared" ref="D25:J25" si="28">SUM(D105:D109)</f>
        <v>#REF!</v>
      </c>
      <c r="E25" s="303" t="e">
        <f t="shared" si="28"/>
        <v>#REF!</v>
      </c>
      <c r="F25" s="303" t="e">
        <f t="shared" si="28"/>
        <v>#REF!</v>
      </c>
      <c r="G25" s="303" t="e">
        <f t="shared" si="28"/>
        <v>#REF!</v>
      </c>
      <c r="H25" s="303" t="e">
        <f t="shared" si="28"/>
        <v>#REF!</v>
      </c>
      <c r="I25" s="303" t="e">
        <f t="shared" si="28"/>
        <v>#REF!</v>
      </c>
      <c r="J25" s="304" t="e">
        <f t="shared" si="28"/>
        <v>#REF!</v>
      </c>
      <c r="K25" s="1581" t="e">
        <f t="shared" si="14"/>
        <v>#REF!</v>
      </c>
      <c r="L25" s="1582" t="e">
        <f t="shared" si="1"/>
        <v>#REF!</v>
      </c>
      <c r="M25" s="303">
        <f t="shared" si="15"/>
        <v>489585.13333333336</v>
      </c>
      <c r="N25" s="436" t="e">
        <f t="shared" si="2"/>
        <v>#REF!</v>
      </c>
      <c r="O25" s="1583" t="e">
        <f t="shared" si="6"/>
        <v>#REF!</v>
      </c>
      <c r="P25" s="303" t="e">
        <f t="shared" ref="P25" si="29">SUM(P105:P109)</f>
        <v>#REF!</v>
      </c>
      <c r="Q25" s="303"/>
      <c r="R25" s="303"/>
      <c r="S25" s="303">
        <f t="shared" si="17"/>
        <v>32197.666666666668</v>
      </c>
      <c r="T25" s="436" t="e">
        <f t="shared" si="23"/>
        <v>#REF!</v>
      </c>
      <c r="U25" s="1583" t="e">
        <f t="shared" si="18"/>
        <v>#REF!</v>
      </c>
      <c r="V25" s="1584" t="e">
        <f t="shared" si="10"/>
        <v>#REF!</v>
      </c>
      <c r="W25" s="702" t="e">
        <f>W110</f>
        <v>#DIV/0!</v>
      </c>
      <c r="X25" s="1278" t="e">
        <f>X110</f>
        <v>#DIV/0!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2:43" customFormat="1" ht="16.2" thickBot="1">
      <c r="B26" s="1571" t="s">
        <v>153</v>
      </c>
      <c r="C26" s="1550" t="e">
        <f>SUM(C16:C25)</f>
        <v>#REF!</v>
      </c>
      <c r="D26" s="1550" t="e">
        <f t="shared" ref="D26:I26" si="30">SUM(D16:D25)</f>
        <v>#REF!</v>
      </c>
      <c r="E26" s="1550" t="e">
        <f t="shared" si="30"/>
        <v>#REF!</v>
      </c>
      <c r="F26" s="1550" t="e">
        <f t="shared" si="30"/>
        <v>#REF!</v>
      </c>
      <c r="G26" s="1550" t="e">
        <f t="shared" si="30"/>
        <v>#REF!</v>
      </c>
      <c r="H26" s="1550" t="e">
        <f t="shared" si="30"/>
        <v>#REF!</v>
      </c>
      <c r="I26" s="1550" t="e">
        <f t="shared" si="30"/>
        <v>#REF!</v>
      </c>
      <c r="J26" s="1551" t="e">
        <f>SUM(J16:J25)</f>
        <v>#REF!</v>
      </c>
      <c r="K26" s="1572" t="e">
        <f>J26/SUM(C10,D10)</f>
        <v>#REF!</v>
      </c>
      <c r="L26" s="1573" t="e">
        <f>D26/C26</f>
        <v>#REF!</v>
      </c>
      <c r="M26" s="1550">
        <f>SUM(M16:M25)</f>
        <v>5243777.4666666677</v>
      </c>
      <c r="N26" s="1574" t="e">
        <f>E26/M26</f>
        <v>#REF!</v>
      </c>
      <c r="O26" s="1575" t="e">
        <f>J26/D26</f>
        <v>#REF!</v>
      </c>
      <c r="P26" s="1550" t="e">
        <f>SUM(P16:P25)</f>
        <v>#REF!</v>
      </c>
      <c r="Q26" s="669"/>
      <c r="R26" s="669"/>
      <c r="S26" s="1550">
        <f>SUM(S16:S25)</f>
        <v>248569.06666666665</v>
      </c>
      <c r="T26" s="1576" t="e">
        <f>P26/S26</f>
        <v>#REF!</v>
      </c>
      <c r="U26" s="1577" t="e">
        <f>J26/P26</f>
        <v>#REF!</v>
      </c>
      <c r="V26" s="1578" t="e">
        <f>P26/D26</f>
        <v>#REF!</v>
      </c>
      <c r="W26" s="1579" t="e">
        <f>AVERAGE(W16:W25)</f>
        <v>#DIV/0!</v>
      </c>
      <c r="X26" s="1586" t="e">
        <f>AVERAGE(X16:X25)</f>
        <v>#DIV/0!</v>
      </c>
      <c r="Y26" s="18"/>
      <c r="Z26" s="18"/>
      <c r="AA26" s="18"/>
      <c r="AB26" s="18"/>
    </row>
    <row r="27" spans="2:43" customFormat="1">
      <c r="B27" s="1154"/>
      <c r="C27" s="1155"/>
      <c r="D27" s="1155"/>
      <c r="E27" s="1155"/>
      <c r="F27" s="1155"/>
      <c r="G27" s="1155"/>
      <c r="H27" s="1155"/>
      <c r="I27" s="1155"/>
      <c r="J27" s="1156"/>
      <c r="K27" s="1157"/>
      <c r="L27" s="883"/>
      <c r="M27" s="1155"/>
      <c r="N27" s="1158"/>
      <c r="O27" s="884"/>
      <c r="P27" s="1155"/>
      <c r="Q27" s="1155"/>
      <c r="R27" s="1155"/>
      <c r="S27" s="1155"/>
      <c r="T27" s="1158"/>
      <c r="U27" s="1159"/>
      <c r="V27" s="1160"/>
      <c r="W27" s="1161"/>
      <c r="X27" s="1158"/>
      <c r="Y27" s="18"/>
      <c r="Z27" s="18"/>
      <c r="AA27" s="18"/>
      <c r="AB27" s="18"/>
    </row>
    <row r="28" spans="2:43" customFormat="1" ht="15" thickBot="1">
      <c r="K28" s="607"/>
    </row>
    <row r="29" spans="2:43">
      <c r="B29" s="2013" t="s">
        <v>154</v>
      </c>
      <c r="C29" s="2014"/>
      <c r="D29" s="2014"/>
      <c r="E29" s="2014"/>
      <c r="F29" s="2014"/>
      <c r="G29" s="2014"/>
      <c r="H29" s="2014"/>
      <c r="I29" s="2014"/>
      <c r="J29" s="2014"/>
      <c r="K29" s="2014"/>
      <c r="L29" s="2014"/>
      <c r="M29" s="2014"/>
      <c r="N29" s="2014"/>
      <c r="O29" s="2014"/>
      <c r="P29" s="2014"/>
      <c r="Q29" s="2014"/>
      <c r="R29" s="2014"/>
      <c r="S29" s="2014"/>
      <c r="T29" s="2014"/>
      <c r="U29" s="2014"/>
      <c r="V29" s="2014"/>
      <c r="W29" s="2014"/>
      <c r="X29" s="2015"/>
    </row>
    <row r="30" spans="2:43">
      <c r="B30" s="344"/>
      <c r="C30" s="2007" t="s">
        <v>14</v>
      </c>
      <c r="D30" s="2008"/>
      <c r="E30" s="2008"/>
      <c r="F30" s="2008"/>
      <c r="G30" s="2008"/>
      <c r="H30" s="2008"/>
      <c r="I30" s="2008"/>
      <c r="J30" s="2008"/>
      <c r="K30" s="2008"/>
      <c r="L30" s="2008"/>
      <c r="M30" s="2008"/>
      <c r="N30" s="2008"/>
      <c r="O30" s="2009"/>
      <c r="P30" s="2005" t="s">
        <v>116</v>
      </c>
      <c r="Q30" s="2005"/>
      <c r="R30" s="2005"/>
      <c r="S30" s="2005"/>
      <c r="T30" s="2005"/>
      <c r="U30" s="2005"/>
      <c r="V30" s="2005"/>
      <c r="W30" s="2005"/>
      <c r="X30" s="2006"/>
    </row>
    <row r="31" spans="2:43" ht="46.8">
      <c r="B31" s="246" t="s">
        <v>119</v>
      </c>
      <c r="C31" s="438" t="s">
        <v>120</v>
      </c>
      <c r="D31" s="438" t="s">
        <v>121</v>
      </c>
      <c r="E31" s="288" t="s">
        <v>122</v>
      </c>
      <c r="F31" s="439" t="s">
        <v>123</v>
      </c>
      <c r="G31" s="439" t="s">
        <v>124</v>
      </c>
      <c r="H31" s="439" t="s">
        <v>125</v>
      </c>
      <c r="I31" s="439" t="s">
        <v>126</v>
      </c>
      <c r="J31" s="439" t="s">
        <v>127</v>
      </c>
      <c r="K31" s="614" t="s">
        <v>128</v>
      </c>
      <c r="L31" s="446" t="s">
        <v>129</v>
      </c>
      <c r="M31" s="446" t="s">
        <v>155</v>
      </c>
      <c r="N31" s="297" t="s">
        <v>156</v>
      </c>
      <c r="O31" s="668" t="s">
        <v>24</v>
      </c>
      <c r="P31" s="443" t="s">
        <v>132</v>
      </c>
      <c r="Q31" s="440" t="s">
        <v>133</v>
      </c>
      <c r="R31" s="440" t="s">
        <v>134</v>
      </c>
      <c r="S31" s="440" t="s">
        <v>157</v>
      </c>
      <c r="T31" s="137" t="s">
        <v>158</v>
      </c>
      <c r="U31" s="441" t="s">
        <v>21</v>
      </c>
      <c r="V31" s="440" t="s">
        <v>137</v>
      </c>
      <c r="W31" s="441" t="s">
        <v>159</v>
      </c>
      <c r="X31" s="444" t="s">
        <v>23</v>
      </c>
    </row>
    <row r="32" spans="2:43" s="22" customFormat="1">
      <c r="B32" s="248">
        <v>44822</v>
      </c>
      <c r="C32" s="15" t="e">
        <f>'Facebook Video'!C31+'Youtube Trueview'!#REF!+GDN!#REF!+Twitter!C25</f>
        <v>#REF!</v>
      </c>
      <c r="D32" s="15" t="e">
        <f>'Facebook Video'!D31+'Youtube Trueview'!#REF!+GDN!#REF!+Twitter!D25</f>
        <v>#REF!</v>
      </c>
      <c r="E32" s="15" t="e">
        <f>'Facebook Video'!E31+Twitter!E25+'Youtube Trueview'!#REF!</f>
        <v>#REF!</v>
      </c>
      <c r="F32" s="15" t="e">
        <f>'Facebook Video'!F31+'Youtube Trueview'!#REF!+Twitter!F25</f>
        <v>#REF!</v>
      </c>
      <c r="G32" s="15" t="e">
        <f>'Facebook Video'!G31+'Youtube Trueview'!#REF!+Twitter!G25</f>
        <v>#REF!</v>
      </c>
      <c r="H32" s="15" t="e">
        <f>'Facebook Video'!H31+'Youtube Trueview'!#REF!+Twitter!H25</f>
        <v>#REF!</v>
      </c>
      <c r="I32" s="15" t="e">
        <f>'Facebook Video'!I31+'Youtube Trueview'!#REF!+Twitter!I25</f>
        <v>#REF!</v>
      </c>
      <c r="J32" s="1327" t="e">
        <f>'Facebook Video'!J31+'Youtube Trueview'!#REF!+GDN!#REF!+Twitter!J25</f>
        <v>#REF!</v>
      </c>
      <c r="K32" s="544" t="e">
        <f>J32/$C$10</f>
        <v>#REF!</v>
      </c>
      <c r="L32" s="555" t="e">
        <f>D32/C32</f>
        <v>#REF!</v>
      </c>
      <c r="M32" s="1204">
        <f t="shared" ref="M32:M38" si="31">$AA$16/30</f>
        <v>82366.666666666672</v>
      </c>
      <c r="N32" s="544" t="e">
        <f>E32/M32</f>
        <v>#REF!</v>
      </c>
      <c r="O32" s="671" t="e">
        <f>J32/D32</f>
        <v>#REF!</v>
      </c>
      <c r="P32" s="150" t="e">
        <f>'Facebook Video'!Q31+'Youtube Trueview'!#REF!+GDN!#REF!+Twitter!Q25</f>
        <v>#REF!</v>
      </c>
      <c r="Q32" s="132"/>
      <c r="R32" s="132"/>
      <c r="S32" s="293">
        <f t="shared" ref="S32:S38" si="32">$AA$18/30</f>
        <v>1977.9666666666667</v>
      </c>
      <c r="T32" s="139" t="e">
        <f>P32/S32</f>
        <v>#REF!</v>
      </c>
      <c r="U32" s="225" t="e">
        <f>J32/P32</f>
        <v>#REF!</v>
      </c>
      <c r="V32" s="316" t="e">
        <f>P32/D32</f>
        <v>#REF!</v>
      </c>
      <c r="W32" s="674">
        <v>23.25</v>
      </c>
      <c r="X32" s="346">
        <v>0.85898046688899499</v>
      </c>
      <c r="Y32" s="2016"/>
    </row>
    <row r="33" spans="2:25">
      <c r="B33" s="251">
        <v>44823</v>
      </c>
      <c r="C33" s="15" t="e">
        <f>'Facebook Video'!C32+'Youtube Trueview'!#REF!+GDN!#REF!+Twitter!C26</f>
        <v>#REF!</v>
      </c>
      <c r="D33" s="15" t="e">
        <f>'Facebook Video'!D32+'Youtube Trueview'!#REF!+GDN!#REF!+Twitter!D26</f>
        <v>#REF!</v>
      </c>
      <c r="E33" s="15" t="e">
        <f>'Facebook Video'!E32+Twitter!E26+'Youtube Trueview'!#REF!</f>
        <v>#REF!</v>
      </c>
      <c r="F33" s="15" t="e">
        <f>'Facebook Video'!F32+'Youtube Trueview'!#REF!+Twitter!F26</f>
        <v>#REF!</v>
      </c>
      <c r="G33" s="15" t="e">
        <f>'Facebook Video'!G32+'Youtube Trueview'!#REF!+Twitter!G26</f>
        <v>#REF!</v>
      </c>
      <c r="H33" s="15" t="e">
        <f>'Facebook Video'!H32+'Youtube Trueview'!#REF!+Twitter!H26</f>
        <v>#REF!</v>
      </c>
      <c r="I33" s="15" t="e">
        <f>'Facebook Video'!I32+'Youtube Trueview'!#REF!+Twitter!I26</f>
        <v>#REF!</v>
      </c>
      <c r="J33" s="1327" t="e">
        <f>'Facebook Video'!J32+'Youtube Trueview'!#REF!+GDN!#REF!+Twitter!J26</f>
        <v>#REF!</v>
      </c>
      <c r="K33" s="544" t="e">
        <f t="shared" ref="K33:K38" si="33">J33/$C$10</f>
        <v>#REF!</v>
      </c>
      <c r="L33" s="555" t="e">
        <f>D33/C33</f>
        <v>#REF!</v>
      </c>
      <c r="M33" s="1204">
        <f t="shared" si="31"/>
        <v>82366.666666666672</v>
      </c>
      <c r="N33" s="544" t="e">
        <f>E33/M33</f>
        <v>#REF!</v>
      </c>
      <c r="O33" s="671" t="e">
        <f t="shared" ref="O33:O38" si="34">J33/D33</f>
        <v>#REF!</v>
      </c>
      <c r="P33" s="150" t="e">
        <f>'Facebook Video'!Q32+'Youtube Trueview'!#REF!+GDN!#REF!+Twitter!Q26</f>
        <v>#REF!</v>
      </c>
      <c r="Q33" s="132"/>
      <c r="R33" s="132"/>
      <c r="S33" s="293">
        <f t="shared" si="32"/>
        <v>1977.9666666666667</v>
      </c>
      <c r="T33" s="73" t="e">
        <f t="shared" ref="T33:T38" si="35">P33/S33</f>
        <v>#REF!</v>
      </c>
      <c r="U33" s="225" t="e">
        <f t="shared" ref="U33:U38" si="36">J33/P33</f>
        <v>#REF!</v>
      </c>
      <c r="V33" s="316" t="e">
        <f t="shared" ref="V33:V38" si="37">P33/D33</f>
        <v>#REF!</v>
      </c>
      <c r="W33" s="674">
        <v>23.115384615384617</v>
      </c>
      <c r="X33" s="347">
        <v>0.86603910209992763</v>
      </c>
      <c r="Y33" s="2017"/>
    </row>
    <row r="34" spans="2:25">
      <c r="B34" s="251">
        <v>44824</v>
      </c>
      <c r="C34" s="15" t="e">
        <f>'Facebook Video'!C33+'Youtube Trueview'!#REF!+GDN!#REF!+Twitter!C27</f>
        <v>#REF!</v>
      </c>
      <c r="D34" s="15" t="e">
        <f>'Facebook Video'!D33+'Youtube Trueview'!#REF!+GDN!#REF!+Twitter!D27</f>
        <v>#REF!</v>
      </c>
      <c r="E34" s="15" t="e">
        <f>'Facebook Video'!E33+Twitter!E27+'Youtube Trueview'!#REF!</f>
        <v>#REF!</v>
      </c>
      <c r="F34" s="15" t="e">
        <f>'Facebook Video'!F33+'Youtube Trueview'!#REF!+Twitter!F27</f>
        <v>#REF!</v>
      </c>
      <c r="G34" s="15" t="e">
        <f>'Facebook Video'!G33+'Youtube Trueview'!#REF!+Twitter!G27</f>
        <v>#REF!</v>
      </c>
      <c r="H34" s="15" t="e">
        <f>'Facebook Video'!H33+'Youtube Trueview'!#REF!+Twitter!H27</f>
        <v>#REF!</v>
      </c>
      <c r="I34" s="15" t="e">
        <f>'Facebook Video'!I33+'Youtube Trueview'!#REF!+Twitter!I27</f>
        <v>#REF!</v>
      </c>
      <c r="J34" s="1327" t="e">
        <f>'Facebook Video'!J33+'Youtube Trueview'!#REF!+GDN!#REF!+Twitter!J27</f>
        <v>#REF!</v>
      </c>
      <c r="K34" s="544" t="e">
        <f t="shared" si="33"/>
        <v>#REF!</v>
      </c>
      <c r="L34" s="555" t="e">
        <f>D34/C34</f>
        <v>#REF!</v>
      </c>
      <c r="M34" s="1204">
        <f t="shared" si="31"/>
        <v>82366.666666666672</v>
      </c>
      <c r="N34" s="544" t="e">
        <f>E34/M34</f>
        <v>#REF!</v>
      </c>
      <c r="O34" s="671" t="e">
        <f t="shared" si="34"/>
        <v>#REF!</v>
      </c>
      <c r="P34" s="150" t="e">
        <f>'Facebook Video'!Q33+'Youtube Trueview'!#REF!+GDN!#REF!+Twitter!Q27</f>
        <v>#REF!</v>
      </c>
      <c r="Q34" s="132"/>
      <c r="R34" s="132"/>
      <c r="S34" s="293">
        <f t="shared" si="32"/>
        <v>1977.9666666666667</v>
      </c>
      <c r="T34" s="73" t="e">
        <f t="shared" si="35"/>
        <v>#REF!</v>
      </c>
      <c r="U34" s="225" t="e">
        <f t="shared" si="36"/>
        <v>#REF!</v>
      </c>
      <c r="V34" s="316" t="e">
        <f t="shared" si="37"/>
        <v>#REF!</v>
      </c>
      <c r="W34" s="674">
        <v>21.333333333333332</v>
      </c>
      <c r="X34" s="347">
        <v>0.86818454164170167</v>
      </c>
      <c r="Y34" s="2017"/>
    </row>
    <row r="35" spans="2:25">
      <c r="B35" s="248">
        <v>44825</v>
      </c>
      <c r="C35" s="15" t="e">
        <f>'Facebook Video'!C34+'Youtube Trueview'!#REF!+GDN!#REF!+Twitter!C28</f>
        <v>#REF!</v>
      </c>
      <c r="D35" s="15" t="e">
        <f>'Facebook Video'!D34+'Youtube Trueview'!#REF!+GDN!#REF!+Twitter!D28</f>
        <v>#REF!</v>
      </c>
      <c r="E35" s="15" t="e">
        <f>'Facebook Video'!E34+Twitter!E28+'Youtube Trueview'!#REF!</f>
        <v>#REF!</v>
      </c>
      <c r="F35" s="15" t="e">
        <f>'Facebook Video'!F34+'Youtube Trueview'!#REF!+Twitter!F28</f>
        <v>#REF!</v>
      </c>
      <c r="G35" s="15" t="e">
        <f>'Facebook Video'!G34+'Youtube Trueview'!#REF!+Twitter!G28</f>
        <v>#REF!</v>
      </c>
      <c r="H35" s="15" t="e">
        <f>'Facebook Video'!H34+'Youtube Trueview'!#REF!+Twitter!H28</f>
        <v>#REF!</v>
      </c>
      <c r="I35" s="15" t="e">
        <f>'Facebook Video'!I34+'Youtube Trueview'!#REF!+Twitter!I28</f>
        <v>#REF!</v>
      </c>
      <c r="J35" s="1327" t="e">
        <f>'Facebook Video'!J34+'Youtube Trueview'!#REF!+GDN!#REF!+Twitter!J28</f>
        <v>#REF!</v>
      </c>
      <c r="K35" s="544" t="e">
        <f t="shared" si="33"/>
        <v>#REF!</v>
      </c>
      <c r="L35" s="555" t="e">
        <f t="shared" ref="L35:L38" si="38">D35/C35</f>
        <v>#REF!</v>
      </c>
      <c r="M35" s="1204">
        <f t="shared" si="31"/>
        <v>82366.666666666672</v>
      </c>
      <c r="N35" s="544" t="e">
        <f t="shared" ref="N35:N38" si="39">E35/M35</f>
        <v>#REF!</v>
      </c>
      <c r="O35" s="671" t="e">
        <f t="shared" si="34"/>
        <v>#REF!</v>
      </c>
      <c r="P35" s="150" t="e">
        <f>'Facebook Video'!Q34+'Youtube Trueview'!#REF!+GDN!#REF!+Twitter!Q28</f>
        <v>#REF!</v>
      </c>
      <c r="Q35" s="132"/>
      <c r="R35" s="132"/>
      <c r="S35" s="293">
        <f t="shared" si="32"/>
        <v>1977.9666666666667</v>
      </c>
      <c r="T35" s="73" t="e">
        <f t="shared" si="35"/>
        <v>#REF!</v>
      </c>
      <c r="U35" s="225" t="e">
        <f t="shared" si="36"/>
        <v>#REF!</v>
      </c>
      <c r="V35" s="316" t="e">
        <f t="shared" si="37"/>
        <v>#REF!</v>
      </c>
      <c r="W35" s="674">
        <v>18.62962962962963</v>
      </c>
      <c r="X35" s="347">
        <v>0.85988954796481898</v>
      </c>
      <c r="Y35" s="2017"/>
    </row>
    <row r="36" spans="2:25">
      <c r="B36" s="248">
        <v>44826</v>
      </c>
      <c r="C36" s="15" t="e">
        <f>'Facebook Video'!C35+'Youtube Trueview'!#REF!+GDN!#REF!+Twitter!C29</f>
        <v>#REF!</v>
      </c>
      <c r="D36" s="15" t="e">
        <f>'Facebook Video'!D35+'Youtube Trueview'!#REF!+GDN!#REF!+Twitter!D29</f>
        <v>#REF!</v>
      </c>
      <c r="E36" s="15" t="e">
        <f>'Facebook Video'!E35+Twitter!E29+'Youtube Trueview'!#REF!</f>
        <v>#REF!</v>
      </c>
      <c r="F36" s="15" t="e">
        <f>'Facebook Video'!F35+'Youtube Trueview'!#REF!+Twitter!F29</f>
        <v>#REF!</v>
      </c>
      <c r="G36" s="15" t="e">
        <f>'Facebook Video'!G35+'Youtube Trueview'!#REF!+Twitter!G29</f>
        <v>#REF!</v>
      </c>
      <c r="H36" s="15" t="e">
        <f>'Facebook Video'!H35+'Youtube Trueview'!#REF!+Twitter!H29</f>
        <v>#REF!</v>
      </c>
      <c r="I36" s="15" t="e">
        <f>'Facebook Video'!I35+'Youtube Trueview'!#REF!+Twitter!I29</f>
        <v>#REF!</v>
      </c>
      <c r="J36" s="1327" t="e">
        <f>'Facebook Video'!J35+'Youtube Trueview'!#REF!+GDN!#REF!+Twitter!J29</f>
        <v>#REF!</v>
      </c>
      <c r="K36" s="544" t="e">
        <f t="shared" si="33"/>
        <v>#REF!</v>
      </c>
      <c r="L36" s="555" t="e">
        <f t="shared" si="38"/>
        <v>#REF!</v>
      </c>
      <c r="M36" s="1204">
        <f t="shared" si="31"/>
        <v>82366.666666666672</v>
      </c>
      <c r="N36" s="544" t="e">
        <f t="shared" si="39"/>
        <v>#REF!</v>
      </c>
      <c r="O36" s="671" t="e">
        <f t="shared" si="34"/>
        <v>#REF!</v>
      </c>
      <c r="P36" s="150" t="e">
        <f>'Facebook Video'!Q35+'Youtube Trueview'!#REF!+GDN!#REF!+Twitter!Q29</f>
        <v>#REF!</v>
      </c>
      <c r="Q36" s="132"/>
      <c r="R36" s="132"/>
      <c r="S36" s="293">
        <f t="shared" si="32"/>
        <v>1977.9666666666667</v>
      </c>
      <c r="T36" s="73" t="e">
        <f t="shared" si="35"/>
        <v>#REF!</v>
      </c>
      <c r="U36" s="225" t="e">
        <f t="shared" si="36"/>
        <v>#REF!</v>
      </c>
      <c r="V36" s="316" t="e">
        <f t="shared" si="37"/>
        <v>#REF!</v>
      </c>
      <c r="W36" s="674">
        <v>27.076923076923077</v>
      </c>
      <c r="X36" s="347">
        <v>0.85647982863263117</v>
      </c>
      <c r="Y36" s="2017"/>
    </row>
    <row r="37" spans="2:25">
      <c r="B37" s="253">
        <v>44827</v>
      </c>
      <c r="C37" s="15" t="e">
        <f>'Facebook Video'!C36+'Youtube Trueview'!#REF!+GDN!#REF!+Twitter!C30</f>
        <v>#REF!</v>
      </c>
      <c r="D37" s="15" t="e">
        <f>'Facebook Video'!D36+'Youtube Trueview'!#REF!+GDN!#REF!+Twitter!D30</f>
        <v>#REF!</v>
      </c>
      <c r="E37" s="15" t="e">
        <f>'Facebook Video'!E36+Twitter!E30+'Youtube Trueview'!#REF!</f>
        <v>#REF!</v>
      </c>
      <c r="F37" s="15" t="e">
        <f>'Facebook Video'!F36+'Youtube Trueview'!#REF!+Twitter!F30</f>
        <v>#REF!</v>
      </c>
      <c r="G37" s="15" t="e">
        <f>'Facebook Video'!G36+'Youtube Trueview'!#REF!+Twitter!G30</f>
        <v>#REF!</v>
      </c>
      <c r="H37" s="15" t="e">
        <f>'Facebook Video'!H36+'Youtube Trueview'!#REF!+Twitter!H30</f>
        <v>#REF!</v>
      </c>
      <c r="I37" s="15" t="e">
        <f>'Facebook Video'!I36+'Youtube Trueview'!#REF!+Twitter!I30</f>
        <v>#REF!</v>
      </c>
      <c r="J37" s="1327" t="e">
        <f>'Facebook Video'!J36+'Youtube Trueview'!#REF!+GDN!#REF!+Twitter!J30</f>
        <v>#REF!</v>
      </c>
      <c r="K37" s="544" t="e">
        <f t="shared" si="33"/>
        <v>#REF!</v>
      </c>
      <c r="L37" s="555" t="e">
        <f t="shared" si="38"/>
        <v>#REF!</v>
      </c>
      <c r="M37" s="1204">
        <f t="shared" si="31"/>
        <v>82366.666666666672</v>
      </c>
      <c r="N37" s="544" t="e">
        <f t="shared" si="39"/>
        <v>#REF!</v>
      </c>
      <c r="O37" s="671" t="e">
        <f t="shared" si="34"/>
        <v>#REF!</v>
      </c>
      <c r="P37" s="150" t="e">
        <f>'Facebook Video'!Q36+'Youtube Trueview'!#REF!+GDN!#REF!+Twitter!Q30</f>
        <v>#REF!</v>
      </c>
      <c r="Q37" s="132"/>
      <c r="R37" s="132"/>
      <c r="S37" s="293">
        <f t="shared" si="32"/>
        <v>1977.9666666666667</v>
      </c>
      <c r="T37" s="73" t="e">
        <f t="shared" si="35"/>
        <v>#REF!</v>
      </c>
      <c r="U37" s="225" t="e">
        <f t="shared" si="36"/>
        <v>#REF!</v>
      </c>
      <c r="V37" s="316" t="e">
        <f t="shared" si="37"/>
        <v>#REF!</v>
      </c>
      <c r="W37" s="674">
        <v>67.28</v>
      </c>
      <c r="X37" s="347">
        <v>0.85696202531645571</v>
      </c>
      <c r="Y37" s="2017"/>
    </row>
    <row r="38" spans="2:25">
      <c r="B38" s="253">
        <v>44828</v>
      </c>
      <c r="C38" s="15" t="e">
        <f>'Facebook Video'!C37+'Youtube Trueview'!#REF!+GDN!#REF!+Twitter!C31</f>
        <v>#REF!</v>
      </c>
      <c r="D38" s="15" t="e">
        <f>'Facebook Video'!D37+'Youtube Trueview'!#REF!+GDN!#REF!+Twitter!D31</f>
        <v>#REF!</v>
      </c>
      <c r="E38" s="15" t="e">
        <f>'Facebook Video'!E37+Twitter!E31+'Youtube Trueview'!#REF!</f>
        <v>#REF!</v>
      </c>
      <c r="F38" s="15" t="e">
        <f>'Facebook Video'!F37+'Youtube Trueview'!#REF!+Twitter!F31</f>
        <v>#REF!</v>
      </c>
      <c r="G38" s="15" t="e">
        <f>'Facebook Video'!G37+'Youtube Trueview'!#REF!+Twitter!G31</f>
        <v>#REF!</v>
      </c>
      <c r="H38" s="15" t="e">
        <f>'Facebook Video'!H37+'Youtube Trueview'!#REF!+Twitter!H31</f>
        <v>#REF!</v>
      </c>
      <c r="I38" s="15" t="e">
        <f>'Facebook Video'!I37+'Youtube Trueview'!#REF!+Twitter!I31</f>
        <v>#REF!</v>
      </c>
      <c r="J38" s="1327" t="e">
        <f>'Facebook Video'!J37+'Youtube Trueview'!#REF!+GDN!#REF!+Twitter!J31</f>
        <v>#REF!</v>
      </c>
      <c r="K38" s="544" t="e">
        <f t="shared" si="33"/>
        <v>#REF!</v>
      </c>
      <c r="L38" s="555" t="e">
        <f t="shared" si="38"/>
        <v>#REF!</v>
      </c>
      <c r="M38" s="1204">
        <f t="shared" si="31"/>
        <v>82366.666666666672</v>
      </c>
      <c r="N38" s="544" t="e">
        <f t="shared" si="39"/>
        <v>#REF!</v>
      </c>
      <c r="O38" s="671" t="e">
        <f t="shared" si="34"/>
        <v>#REF!</v>
      </c>
      <c r="P38" s="150" t="e">
        <f>'Facebook Video'!Q37+'Youtube Trueview'!#REF!+GDN!#REF!+Twitter!Q31</f>
        <v>#REF!</v>
      </c>
      <c r="Q38" s="132"/>
      <c r="R38" s="132"/>
      <c r="S38" s="293">
        <f t="shared" si="32"/>
        <v>1977.9666666666667</v>
      </c>
      <c r="T38" s="73" t="e">
        <f t="shared" si="35"/>
        <v>#REF!</v>
      </c>
      <c r="U38" s="225" t="e">
        <f t="shared" si="36"/>
        <v>#REF!</v>
      </c>
      <c r="V38" s="316" t="e">
        <f t="shared" si="37"/>
        <v>#REF!</v>
      </c>
      <c r="W38" s="674">
        <v>22.307692307692307</v>
      </c>
      <c r="X38" s="347">
        <v>0.86565781346510196</v>
      </c>
      <c r="Y38" s="2017"/>
    </row>
    <row r="39" spans="2:25">
      <c r="B39" s="254" t="s">
        <v>160</v>
      </c>
      <c r="C39" s="27" t="e">
        <f>SUM(C32:C38)</f>
        <v>#REF!</v>
      </c>
      <c r="D39" s="27" t="e">
        <f t="shared" ref="D39:J39" si="40">SUM(D32:D38)</f>
        <v>#REF!</v>
      </c>
      <c r="E39" s="27" t="e">
        <f t="shared" si="40"/>
        <v>#REF!</v>
      </c>
      <c r="F39" s="27" t="e">
        <f t="shared" si="40"/>
        <v>#REF!</v>
      </c>
      <c r="G39" s="27" t="e">
        <f t="shared" si="40"/>
        <v>#REF!</v>
      </c>
      <c r="H39" s="27" t="e">
        <f t="shared" si="40"/>
        <v>#REF!</v>
      </c>
      <c r="I39" s="27" t="e">
        <f t="shared" si="40"/>
        <v>#REF!</v>
      </c>
      <c r="J39" s="294" t="e">
        <f t="shared" si="40"/>
        <v>#REF!</v>
      </c>
      <c r="K39" s="1328" t="e">
        <f>J39/$C$10</f>
        <v>#REF!</v>
      </c>
      <c r="L39" s="1317" t="e">
        <f>D39/C39</f>
        <v>#REF!</v>
      </c>
      <c r="M39" s="1329">
        <f>SUM(M32:M38)</f>
        <v>576566.66666666674</v>
      </c>
      <c r="N39" s="1330" t="e">
        <f>E39/M39</f>
        <v>#REF!</v>
      </c>
      <c r="O39" s="672" t="e">
        <f>J39/D39</f>
        <v>#REF!</v>
      </c>
      <c r="P39" s="121" t="e">
        <f>SUM(P32:P38)</f>
        <v>#REF!</v>
      </c>
      <c r="Q39" s="27"/>
      <c r="R39" s="27"/>
      <c r="S39" s="454">
        <f>SUM(S32:S38)</f>
        <v>13845.766666666668</v>
      </c>
      <c r="T39" s="140" t="e">
        <f>P39/S39</f>
        <v>#REF!</v>
      </c>
      <c r="U39" s="657" t="e">
        <f>J39/P39</f>
        <v>#REF!</v>
      </c>
      <c r="V39" s="377" t="e">
        <f>P39/D39</f>
        <v>#REF!</v>
      </c>
      <c r="W39" s="675">
        <f>AVERAGE(W32:W38)</f>
        <v>28.998994708994708</v>
      </c>
      <c r="X39" s="397">
        <f>AVERAGE(X32:X38)</f>
        <v>0.86174190371566173</v>
      </c>
      <c r="Y39" s="2017"/>
    </row>
    <row r="40" spans="2:25">
      <c r="B40" s="248">
        <v>40811</v>
      </c>
      <c r="C40" s="15" t="e">
        <f>'Facebook Video'!C39+'Youtube Trueview'!#REF!+GDN!#REF!+Twitter!C33</f>
        <v>#REF!</v>
      </c>
      <c r="D40" s="15" t="e">
        <f>'Facebook Video'!D39+'Youtube Trueview'!#REF!+GDN!#REF!+Twitter!D33</f>
        <v>#REF!</v>
      </c>
      <c r="E40" s="15" t="e">
        <f>'Facebook Video'!E39+'Youtube Trueview'!#REF!+Twitter!E33</f>
        <v>#REF!</v>
      </c>
      <c r="F40" s="15" t="e">
        <f>'Facebook Video'!F39+'Youtube Trueview'!#REF!+GDN!#REF!+Twitter!F33</f>
        <v>#REF!</v>
      </c>
      <c r="G40" s="15" t="e">
        <f>'Facebook Video'!G39+'Youtube Trueview'!#REF!+GDN!#REF!+Twitter!G33</f>
        <v>#REF!</v>
      </c>
      <c r="H40" s="15" t="e">
        <f>'Facebook Video'!H39+'Youtube Trueview'!#REF!+GDN!#REF!+Twitter!H33</f>
        <v>#REF!</v>
      </c>
      <c r="I40" s="15" t="e">
        <f>'Facebook Video'!I39+'Youtube Trueview'!#REF!+GDN!#REF!+Twitter!I33</f>
        <v>#REF!</v>
      </c>
      <c r="J40" s="1327" t="e">
        <f>'Facebook Video'!J39+'Youtube Trueview'!#REF!+GDN!#REF!+Twitter!J33</f>
        <v>#REF!</v>
      </c>
      <c r="K40" s="544" t="e">
        <f>J40/$C$10</f>
        <v>#REF!</v>
      </c>
      <c r="L40" s="555" t="e">
        <f>D40/C40</f>
        <v>#REF!</v>
      </c>
      <c r="M40" s="1204">
        <f t="shared" ref="M40:M46" si="41">$AA$16/30</f>
        <v>82366.666666666672</v>
      </c>
      <c r="N40" s="544" t="e">
        <f>E40/M40</f>
        <v>#REF!</v>
      </c>
      <c r="O40" s="671" t="e">
        <f>J40/D40</f>
        <v>#REF!</v>
      </c>
      <c r="P40" s="150" t="e">
        <f>'Facebook Video'!Q39+'Youtube Trueview'!#REF!+GDN!#REF!+Twitter!Q33</f>
        <v>#REF!</v>
      </c>
      <c r="Q40" s="132"/>
      <c r="R40" s="132"/>
      <c r="S40" s="293">
        <f t="shared" ref="S40:S46" si="42">$AA$18/30</f>
        <v>1977.9666666666667</v>
      </c>
      <c r="T40" s="541" t="e">
        <f>P40/S40</f>
        <v>#REF!</v>
      </c>
      <c r="U40" s="225" t="e">
        <f>J40/P40</f>
        <v>#REF!</v>
      </c>
      <c r="V40" s="544" t="e">
        <f>P40/D40</f>
        <v>#REF!</v>
      </c>
      <c r="W40" s="676">
        <v>35</v>
      </c>
      <c r="X40" s="542">
        <v>0.86</v>
      </c>
      <c r="Y40" s="2017"/>
    </row>
    <row r="41" spans="2:25">
      <c r="B41" s="248">
        <v>40812</v>
      </c>
      <c r="C41" s="15" t="e">
        <f>'Facebook Video'!C40+'Youtube Trueview'!#REF!+GDN!#REF!+Twitter!C34</f>
        <v>#REF!</v>
      </c>
      <c r="D41" s="15" t="e">
        <f>'Facebook Video'!D40+'Youtube Trueview'!#REF!+GDN!#REF!+Twitter!D34</f>
        <v>#REF!</v>
      </c>
      <c r="E41" s="15" t="e">
        <f>'Facebook Video'!E40+'Youtube Trueview'!#REF!+Twitter!E34</f>
        <v>#REF!</v>
      </c>
      <c r="F41" s="15" t="e">
        <f>'Facebook Video'!F40+'Youtube Trueview'!#REF!+GDN!#REF!+Twitter!F34</f>
        <v>#REF!</v>
      </c>
      <c r="G41" s="15" t="e">
        <f>'Facebook Video'!G40+'Youtube Trueview'!#REF!+GDN!#REF!+Twitter!G34</f>
        <v>#REF!</v>
      </c>
      <c r="H41" s="15" t="e">
        <f>'Facebook Video'!H40+'Youtube Trueview'!#REF!+GDN!#REF!+Twitter!H34</f>
        <v>#REF!</v>
      </c>
      <c r="I41" s="15" t="e">
        <f>'Facebook Video'!I40+'Youtube Trueview'!#REF!+GDN!#REF!+Twitter!I34</f>
        <v>#REF!</v>
      </c>
      <c r="J41" s="1327" t="e">
        <f>'Facebook Video'!J40+'Youtube Trueview'!#REF!+GDN!#REF!+Twitter!J34</f>
        <v>#REF!</v>
      </c>
      <c r="K41" s="544" t="e">
        <f t="shared" ref="K41:K46" si="43">J41/$C$10</f>
        <v>#REF!</v>
      </c>
      <c r="L41" s="555" t="e">
        <f>D41/C41</f>
        <v>#REF!</v>
      </c>
      <c r="M41" s="1204">
        <f t="shared" si="41"/>
        <v>82366.666666666672</v>
      </c>
      <c r="N41" s="544" t="e">
        <f>E41/M41</f>
        <v>#REF!</v>
      </c>
      <c r="O41" s="671" t="e">
        <f t="shared" ref="O41:O46" si="44">J41/D41</f>
        <v>#REF!</v>
      </c>
      <c r="P41" s="150" t="e">
        <f>'Facebook Video'!Q40+'Youtube Trueview'!#REF!+GDN!#REF!+Twitter!Q34</f>
        <v>#REF!</v>
      </c>
      <c r="Q41" s="132"/>
      <c r="R41" s="132"/>
      <c r="S41" s="293">
        <f t="shared" si="42"/>
        <v>1977.9666666666667</v>
      </c>
      <c r="T41" s="139" t="e">
        <f t="shared" ref="T41:T42" si="45">P41/S41</f>
        <v>#REF!</v>
      </c>
      <c r="U41" s="225" t="e">
        <f t="shared" ref="U41:U46" si="46">J41/P41</f>
        <v>#REF!</v>
      </c>
      <c r="V41" s="544" t="e">
        <f t="shared" ref="V41:V42" si="47">P41/D41</f>
        <v>#REF!</v>
      </c>
      <c r="W41" s="676">
        <v>35</v>
      </c>
      <c r="X41" s="542">
        <v>0.85</v>
      </c>
      <c r="Y41" s="2017"/>
    </row>
    <row r="42" spans="2:25">
      <c r="B42" s="248">
        <v>40813</v>
      </c>
      <c r="C42" s="15" t="e">
        <f>'Facebook Video'!C41+'Youtube Trueview'!#REF!+GDN!#REF!+Twitter!C35</f>
        <v>#REF!</v>
      </c>
      <c r="D42" s="15" t="e">
        <f>'Facebook Video'!D41+'Youtube Trueview'!#REF!+GDN!#REF!+Twitter!D35</f>
        <v>#REF!</v>
      </c>
      <c r="E42" s="15" t="e">
        <f>'Facebook Video'!E41+'Youtube Trueview'!#REF!+Twitter!E35</f>
        <v>#REF!</v>
      </c>
      <c r="F42" s="15" t="e">
        <f>'Facebook Video'!F41+'Youtube Trueview'!#REF!+GDN!#REF!+Twitter!F35</f>
        <v>#REF!</v>
      </c>
      <c r="G42" s="15" t="e">
        <f>'Facebook Video'!G41+'Youtube Trueview'!#REF!+GDN!#REF!+Twitter!G35</f>
        <v>#REF!</v>
      </c>
      <c r="H42" s="15" t="e">
        <f>'Facebook Video'!H41+'Youtube Trueview'!#REF!+GDN!#REF!+Twitter!H35</f>
        <v>#REF!</v>
      </c>
      <c r="I42" s="15" t="e">
        <f>'Facebook Video'!I41+'Youtube Trueview'!#REF!+GDN!#REF!+Twitter!I35</f>
        <v>#REF!</v>
      </c>
      <c r="J42" s="1327" t="e">
        <f>'Facebook Video'!J41+'Youtube Trueview'!#REF!+GDN!#REF!+Twitter!J35</f>
        <v>#REF!</v>
      </c>
      <c r="K42" s="544" t="e">
        <f t="shared" si="43"/>
        <v>#REF!</v>
      </c>
      <c r="L42" s="555" t="e">
        <f>D42/C42</f>
        <v>#REF!</v>
      </c>
      <c r="M42" s="1204">
        <f t="shared" si="41"/>
        <v>82366.666666666672</v>
      </c>
      <c r="N42" s="544" t="e">
        <f>E42/M42</f>
        <v>#REF!</v>
      </c>
      <c r="O42" s="671" t="e">
        <f t="shared" si="44"/>
        <v>#REF!</v>
      </c>
      <c r="P42" s="150" t="e">
        <f>'Facebook Video'!Q41+'Youtube Trueview'!#REF!+GDN!#REF!+Twitter!Q35</f>
        <v>#REF!</v>
      </c>
      <c r="Q42" s="132"/>
      <c r="R42" s="132"/>
      <c r="S42" s="293">
        <f t="shared" si="42"/>
        <v>1977.9666666666667</v>
      </c>
      <c r="T42" s="139" t="e">
        <f t="shared" si="45"/>
        <v>#REF!</v>
      </c>
      <c r="U42" s="225" t="e">
        <f t="shared" si="46"/>
        <v>#REF!</v>
      </c>
      <c r="V42" s="544" t="e">
        <f t="shared" si="47"/>
        <v>#REF!</v>
      </c>
      <c r="W42" s="676">
        <v>39</v>
      </c>
      <c r="X42" s="542">
        <v>0.86</v>
      </c>
      <c r="Y42" s="2017"/>
    </row>
    <row r="43" spans="2:25">
      <c r="B43" s="248">
        <v>40814</v>
      </c>
      <c r="C43" s="15" t="e">
        <f>'Facebook Video'!C42+'Youtube Trueview'!#REF!+GDN!#REF!+Twitter!C36</f>
        <v>#REF!</v>
      </c>
      <c r="D43" s="15" t="e">
        <f>'Facebook Video'!D42+'Youtube Trueview'!#REF!+GDN!#REF!+Twitter!D36</f>
        <v>#REF!</v>
      </c>
      <c r="E43" s="15" t="e">
        <f>'Facebook Video'!E42+'Youtube Trueview'!#REF!+Twitter!E36</f>
        <v>#REF!</v>
      </c>
      <c r="F43" s="15" t="e">
        <f>'Facebook Video'!F42+'Youtube Trueview'!#REF!+GDN!#REF!+Twitter!F36</f>
        <v>#REF!</v>
      </c>
      <c r="G43" s="15" t="e">
        <f>'Facebook Video'!G42+'Youtube Trueview'!#REF!+GDN!#REF!+Twitter!G36</f>
        <v>#REF!</v>
      </c>
      <c r="H43" s="15" t="e">
        <f>'Facebook Video'!H42+'Youtube Trueview'!#REF!+GDN!#REF!+Twitter!H36</f>
        <v>#REF!</v>
      </c>
      <c r="I43" s="15" t="e">
        <f>'Facebook Video'!I42+'Youtube Trueview'!#REF!+GDN!#REF!+Twitter!I36</f>
        <v>#REF!</v>
      </c>
      <c r="J43" s="1327" t="e">
        <f>'Facebook Video'!J42+'Youtube Trueview'!#REF!+GDN!#REF!+Twitter!J36</f>
        <v>#REF!</v>
      </c>
      <c r="K43" s="544" t="e">
        <f t="shared" si="43"/>
        <v>#REF!</v>
      </c>
      <c r="L43" s="555" t="e">
        <f t="shared" ref="L43:L46" si="48">D43/C43</f>
        <v>#REF!</v>
      </c>
      <c r="M43" s="1204">
        <f t="shared" si="41"/>
        <v>82366.666666666672</v>
      </c>
      <c r="N43" s="544" t="e">
        <f t="shared" ref="N43:N46" si="49">E43/M43</f>
        <v>#REF!</v>
      </c>
      <c r="O43" s="671" t="e">
        <f t="shared" si="44"/>
        <v>#REF!</v>
      </c>
      <c r="P43" s="150" t="e">
        <f>'Facebook Video'!Q42+'Youtube Trueview'!#REF!+GDN!#REF!+Twitter!Q36</f>
        <v>#REF!</v>
      </c>
      <c r="Q43" s="52"/>
      <c r="R43" s="52"/>
      <c r="S43" s="293">
        <f t="shared" si="42"/>
        <v>1977.9666666666667</v>
      </c>
      <c r="T43" s="139" t="e">
        <f t="shared" ref="T43:T46" si="50">P43/S43</f>
        <v>#REF!</v>
      </c>
      <c r="U43" s="225" t="e">
        <f t="shared" si="46"/>
        <v>#REF!</v>
      </c>
      <c r="V43" s="544" t="e">
        <f t="shared" ref="V43:V46" si="51">P43/D43</f>
        <v>#REF!</v>
      </c>
      <c r="W43" s="677">
        <v>39.869804618117229</v>
      </c>
      <c r="X43" s="526">
        <v>0.85523978685612789</v>
      </c>
      <c r="Y43" s="2017"/>
    </row>
    <row r="44" spans="2:25">
      <c r="B44" s="248">
        <v>40815</v>
      </c>
      <c r="C44" s="15" t="e">
        <f>'Facebook Video'!C43+'Youtube Trueview'!#REF!+GDN!#REF!+Twitter!C37</f>
        <v>#REF!</v>
      </c>
      <c r="D44" s="15" t="e">
        <f>'Facebook Video'!D43+'Youtube Trueview'!#REF!+GDN!#REF!+Twitter!D37</f>
        <v>#REF!</v>
      </c>
      <c r="E44" s="15" t="e">
        <f>'Facebook Video'!E43+'Youtube Trueview'!#REF!+Twitter!E37</f>
        <v>#REF!</v>
      </c>
      <c r="F44" s="15" t="e">
        <f>'Facebook Video'!F43+'Youtube Trueview'!#REF!+GDN!#REF!+Twitter!F37</f>
        <v>#REF!</v>
      </c>
      <c r="G44" s="15" t="e">
        <f>'Facebook Video'!G43+'Youtube Trueview'!#REF!+GDN!#REF!+Twitter!G37</f>
        <v>#REF!</v>
      </c>
      <c r="H44" s="15" t="e">
        <f>'Facebook Video'!H43+'Youtube Trueview'!#REF!+GDN!#REF!+Twitter!H37</f>
        <v>#REF!</v>
      </c>
      <c r="I44" s="15" t="e">
        <f>'Facebook Video'!I43+'Youtube Trueview'!#REF!+GDN!#REF!+Twitter!I37</f>
        <v>#REF!</v>
      </c>
      <c r="J44" s="1327" t="e">
        <f>'Facebook Video'!J43+'Youtube Trueview'!#REF!+GDN!#REF!+Twitter!J37</f>
        <v>#REF!</v>
      </c>
      <c r="K44" s="544" t="e">
        <f t="shared" si="43"/>
        <v>#REF!</v>
      </c>
      <c r="L44" s="555" t="e">
        <f t="shared" si="48"/>
        <v>#REF!</v>
      </c>
      <c r="M44" s="1204">
        <f t="shared" si="41"/>
        <v>82366.666666666672</v>
      </c>
      <c r="N44" s="544" t="e">
        <f t="shared" si="49"/>
        <v>#REF!</v>
      </c>
      <c r="O44" s="671" t="e">
        <f t="shared" si="44"/>
        <v>#REF!</v>
      </c>
      <c r="P44" s="150" t="e">
        <f>'Facebook Video'!Q43+'Youtube Trueview'!#REF!+GDN!#REF!+Twitter!Q37</f>
        <v>#REF!</v>
      </c>
      <c r="Q44" s="52"/>
      <c r="R44" s="52"/>
      <c r="S44" s="293">
        <f t="shared" si="42"/>
        <v>1977.9666666666667</v>
      </c>
      <c r="T44" s="139" t="e">
        <f t="shared" si="50"/>
        <v>#REF!</v>
      </c>
      <c r="U44" s="225" t="e">
        <f t="shared" si="46"/>
        <v>#REF!</v>
      </c>
      <c r="V44" s="544" t="e">
        <f t="shared" si="51"/>
        <v>#REF!</v>
      </c>
      <c r="W44" s="677">
        <v>35.844258172673932</v>
      </c>
      <c r="X44" s="526">
        <v>0.82648784576697398</v>
      </c>
      <c r="Y44" s="2017"/>
    </row>
    <row r="45" spans="2:25">
      <c r="B45" s="253">
        <v>40816</v>
      </c>
      <c r="C45" s="15" t="e">
        <f>'Facebook Video'!C44+'Youtube Trueview'!#REF!+GDN!#REF!+Twitter!C38</f>
        <v>#REF!</v>
      </c>
      <c r="D45" s="15" t="e">
        <f>'Facebook Video'!D44+'Youtube Trueview'!#REF!+GDN!#REF!+Twitter!D38</f>
        <v>#REF!</v>
      </c>
      <c r="E45" s="15" t="e">
        <f>'Facebook Video'!E44+'Youtube Trueview'!#REF!+Twitter!E38</f>
        <v>#REF!</v>
      </c>
      <c r="F45" s="15" t="e">
        <f>'Facebook Video'!F44+'Youtube Trueview'!#REF!+GDN!#REF!+Twitter!F38</f>
        <v>#REF!</v>
      </c>
      <c r="G45" s="15" t="e">
        <f>'Facebook Video'!G44+'Youtube Trueview'!#REF!+GDN!#REF!+Twitter!G38</f>
        <v>#REF!</v>
      </c>
      <c r="H45" s="15" t="e">
        <f>'Facebook Video'!H44+'Youtube Trueview'!#REF!+GDN!#REF!+Twitter!H38</f>
        <v>#REF!</v>
      </c>
      <c r="I45" s="15" t="e">
        <f>'Facebook Video'!I44+'Youtube Trueview'!#REF!+GDN!#REF!+Twitter!I38</f>
        <v>#REF!</v>
      </c>
      <c r="J45" s="1327" t="e">
        <f>'Facebook Video'!J44+'Youtube Trueview'!#REF!+GDN!#REF!+Twitter!J38</f>
        <v>#REF!</v>
      </c>
      <c r="K45" s="544" t="e">
        <f t="shared" si="43"/>
        <v>#REF!</v>
      </c>
      <c r="L45" s="555" t="e">
        <f t="shared" si="48"/>
        <v>#REF!</v>
      </c>
      <c r="M45" s="1204">
        <f t="shared" si="41"/>
        <v>82366.666666666672</v>
      </c>
      <c r="N45" s="544" t="e">
        <f t="shared" si="49"/>
        <v>#REF!</v>
      </c>
      <c r="O45" s="671" t="e">
        <f t="shared" si="44"/>
        <v>#REF!</v>
      </c>
      <c r="P45" s="150" t="e">
        <f>'Facebook Video'!Q44+'Youtube Trueview'!#REF!+GDN!#REF!+Twitter!Q38</f>
        <v>#REF!</v>
      </c>
      <c r="Q45" s="52"/>
      <c r="R45" s="52"/>
      <c r="S45" s="293">
        <f t="shared" si="42"/>
        <v>1977.9666666666667</v>
      </c>
      <c r="T45" s="139" t="e">
        <f t="shared" si="50"/>
        <v>#REF!</v>
      </c>
      <c r="U45" s="225" t="e">
        <f t="shared" si="46"/>
        <v>#REF!</v>
      </c>
      <c r="V45" s="544" t="e">
        <f t="shared" si="51"/>
        <v>#REF!</v>
      </c>
      <c r="W45" s="677">
        <v>33.876574307304786</v>
      </c>
      <c r="X45" s="526">
        <v>0.8593019071608492</v>
      </c>
      <c r="Y45" s="2017"/>
    </row>
    <row r="46" spans="2:25">
      <c r="B46" s="253">
        <v>40817</v>
      </c>
      <c r="C46" s="15" t="e">
        <f>'Facebook Video'!C45+'Youtube Trueview'!#REF!+GDN!#REF!+Twitter!C39</f>
        <v>#REF!</v>
      </c>
      <c r="D46" s="15" t="e">
        <f>'Facebook Video'!D45+'Youtube Trueview'!#REF!+GDN!#REF!+Twitter!D39</f>
        <v>#REF!</v>
      </c>
      <c r="E46" s="15" t="e">
        <f>'Facebook Video'!E45+'Youtube Trueview'!#REF!+Twitter!E39</f>
        <v>#REF!</v>
      </c>
      <c r="F46" s="15" t="e">
        <f>'Facebook Video'!F45+'Youtube Trueview'!#REF!+GDN!#REF!+Twitter!F39</f>
        <v>#REF!</v>
      </c>
      <c r="G46" s="15" t="e">
        <f>'Facebook Video'!G45+'Youtube Trueview'!#REF!+GDN!#REF!+Twitter!G39</f>
        <v>#REF!</v>
      </c>
      <c r="H46" s="15" t="e">
        <f>'Facebook Video'!H45+'Youtube Trueview'!#REF!+GDN!#REF!+Twitter!H39</f>
        <v>#REF!</v>
      </c>
      <c r="I46" s="15" t="e">
        <f>'Facebook Video'!I45+'Youtube Trueview'!#REF!+GDN!#REF!+Twitter!I39</f>
        <v>#REF!</v>
      </c>
      <c r="J46" s="1327" t="e">
        <f>'Facebook Video'!J45+'Youtube Trueview'!#REF!+GDN!#REF!+Twitter!J39</f>
        <v>#REF!</v>
      </c>
      <c r="K46" s="544" t="e">
        <f t="shared" si="43"/>
        <v>#REF!</v>
      </c>
      <c r="L46" s="555" t="e">
        <f t="shared" si="48"/>
        <v>#REF!</v>
      </c>
      <c r="M46" s="1204">
        <f t="shared" si="41"/>
        <v>82366.666666666672</v>
      </c>
      <c r="N46" s="544" t="e">
        <f t="shared" si="49"/>
        <v>#REF!</v>
      </c>
      <c r="O46" s="671" t="e">
        <f t="shared" si="44"/>
        <v>#REF!</v>
      </c>
      <c r="P46" s="150" t="e">
        <f>'Facebook Video'!Q45+'Youtube Trueview'!#REF!+GDN!#REF!+Twitter!Q39</f>
        <v>#REF!</v>
      </c>
      <c r="Q46" s="52"/>
      <c r="R46" s="52"/>
      <c r="S46" s="293">
        <f t="shared" si="42"/>
        <v>1977.9666666666667</v>
      </c>
      <c r="T46" s="139" t="e">
        <f t="shared" si="50"/>
        <v>#REF!</v>
      </c>
      <c r="U46" s="225" t="e">
        <f t="shared" si="46"/>
        <v>#REF!</v>
      </c>
      <c r="V46" s="544" t="e">
        <f t="shared" si="51"/>
        <v>#REF!</v>
      </c>
      <c r="W46" s="677">
        <v>31.365326069540139</v>
      </c>
      <c r="X46" s="526">
        <v>0.86893126101586282</v>
      </c>
      <c r="Y46" s="2017"/>
    </row>
    <row r="47" spans="2:25">
      <c r="B47" s="254" t="s">
        <v>160</v>
      </c>
      <c r="C47" s="27" t="e">
        <f>SUM(C40:C46)</f>
        <v>#REF!</v>
      </c>
      <c r="D47" s="27" t="e">
        <f t="shared" ref="D47:J47" si="52">SUM(D40:D46)</f>
        <v>#REF!</v>
      </c>
      <c r="E47" s="27" t="e">
        <f t="shared" si="52"/>
        <v>#REF!</v>
      </c>
      <c r="F47" s="27" t="e">
        <f t="shared" si="52"/>
        <v>#REF!</v>
      </c>
      <c r="G47" s="27" t="e">
        <f t="shared" si="52"/>
        <v>#REF!</v>
      </c>
      <c r="H47" s="27" t="e">
        <f t="shared" si="52"/>
        <v>#REF!</v>
      </c>
      <c r="I47" s="27" t="e">
        <f t="shared" si="52"/>
        <v>#REF!</v>
      </c>
      <c r="J47" s="294" t="e">
        <f t="shared" si="52"/>
        <v>#REF!</v>
      </c>
      <c r="K47" s="1328" t="e">
        <f>J47/$C$10</f>
        <v>#REF!</v>
      </c>
      <c r="L47" s="1317" t="e">
        <f>D47/C47</f>
        <v>#REF!</v>
      </c>
      <c r="M47" s="1329">
        <f>SUM(M40:M46)</f>
        <v>576566.66666666674</v>
      </c>
      <c r="N47" s="1330" t="e">
        <f>E47/M47</f>
        <v>#REF!</v>
      </c>
      <c r="O47" s="672" t="e">
        <f>J47/D47</f>
        <v>#REF!</v>
      </c>
      <c r="P47" s="121" t="e">
        <f>SUM(P40:P46)</f>
        <v>#REF!</v>
      </c>
      <c r="Q47" s="27"/>
      <c r="R47" s="27"/>
      <c r="S47" s="27">
        <f>SUM(S40:S46)</f>
        <v>13845.766666666668</v>
      </c>
      <c r="T47" s="140" t="e">
        <f>P47/S47</f>
        <v>#REF!</v>
      </c>
      <c r="U47" s="657" t="e">
        <f>J47/P47</f>
        <v>#REF!</v>
      </c>
      <c r="V47" s="545" t="e">
        <f>P47/D47</f>
        <v>#REF!</v>
      </c>
      <c r="W47" s="678">
        <f>AVERAGE(W40:W46)</f>
        <v>35.707994738233729</v>
      </c>
      <c r="X47" s="397">
        <f>AVERAGE(X40:X46)</f>
        <v>0.85428011439997331</v>
      </c>
      <c r="Y47" s="2017"/>
    </row>
    <row r="48" spans="2:25">
      <c r="B48" s="248">
        <v>40818</v>
      </c>
      <c r="C48" s="15" t="e">
        <f>'Facebook Video'!C47+'Youtube Trueview'!#REF!+GDN!#REF!+Twitter!C41</f>
        <v>#REF!</v>
      </c>
      <c r="D48" s="15" t="e">
        <f>'Facebook Video'!D47+'Youtube Trueview'!#REF!+GDN!#REF!+Twitter!D41</f>
        <v>#REF!</v>
      </c>
      <c r="E48" s="15" t="e">
        <f>'Facebook Video'!E47+'Youtube Trueview'!#REF!+Twitter!E41</f>
        <v>#REF!</v>
      </c>
      <c r="F48" s="15" t="e">
        <f>'Facebook Video'!F47+'Youtube Trueview'!#REF!+GDN!#REF!+Twitter!F41</f>
        <v>#REF!</v>
      </c>
      <c r="G48" s="15" t="e">
        <f>'Facebook Video'!G47+'Youtube Trueview'!#REF!+GDN!#REF!+Twitter!G41</f>
        <v>#REF!</v>
      </c>
      <c r="H48" s="15" t="e">
        <f>'Facebook Video'!H47+'Youtube Trueview'!#REF!+GDN!#REF!+Twitter!H41</f>
        <v>#REF!</v>
      </c>
      <c r="I48" s="15" t="e">
        <f>'Facebook Video'!I47+'Youtube Trueview'!#REF!+GDN!#REF!+Twitter!I41</f>
        <v>#REF!</v>
      </c>
      <c r="J48" s="1327" t="e">
        <f>'Facebook Video'!J47+'Youtube Trueview'!#REF!+GDN!#REF!+Twitter!J41</f>
        <v>#REF!</v>
      </c>
      <c r="K48" s="544" t="e">
        <f>J48/$C$10</f>
        <v>#REF!</v>
      </c>
      <c r="L48" s="555" t="e">
        <f>D48/C48</f>
        <v>#REF!</v>
      </c>
      <c r="M48" s="1204">
        <f t="shared" ref="M48:M54" si="53">$AA$16/30</f>
        <v>82366.666666666672</v>
      </c>
      <c r="N48" s="544" t="e">
        <f>E48/M48</f>
        <v>#REF!</v>
      </c>
      <c r="O48" s="671" t="e">
        <f>J48/D48</f>
        <v>#REF!</v>
      </c>
      <c r="P48" s="150" t="e">
        <f>'Facebook Video'!Q47+'Youtube Trueview'!#REF!+GDN!#REF!+Twitter!Q41</f>
        <v>#REF!</v>
      </c>
      <c r="Q48" s="52"/>
      <c r="R48" s="52"/>
      <c r="S48" s="293">
        <f t="shared" ref="S48:S54" si="54">$AA$18/30</f>
        <v>1977.9666666666667</v>
      </c>
      <c r="T48" s="541" t="e">
        <f>P48/S48</f>
        <v>#REF!</v>
      </c>
      <c r="U48" s="225" t="e">
        <f>J48/P48</f>
        <v>#REF!</v>
      </c>
      <c r="V48" s="544" t="e">
        <f>P48/D48</f>
        <v>#REF!</v>
      </c>
      <c r="W48" s="677">
        <v>33</v>
      </c>
      <c r="X48" s="526">
        <v>0.8669028340080972</v>
      </c>
      <c r="Y48" s="2017"/>
    </row>
    <row r="49" spans="2:25">
      <c r="B49" s="248">
        <v>40819</v>
      </c>
      <c r="C49" s="15" t="e">
        <f>'Facebook Video'!C48+'Youtube Trueview'!#REF!+GDN!#REF!+Twitter!C42</f>
        <v>#REF!</v>
      </c>
      <c r="D49" s="15" t="e">
        <f>'Facebook Video'!D48+'Youtube Trueview'!#REF!+GDN!#REF!+Twitter!D42</f>
        <v>#REF!</v>
      </c>
      <c r="E49" s="15" t="e">
        <f>'Facebook Video'!E48+'Youtube Trueview'!#REF!+Twitter!E42</f>
        <v>#REF!</v>
      </c>
      <c r="F49" s="15" t="e">
        <f>'Facebook Video'!F48+'Youtube Trueview'!#REF!+GDN!#REF!+Twitter!F42</f>
        <v>#REF!</v>
      </c>
      <c r="G49" s="15" t="e">
        <f>'Facebook Video'!G48+'Youtube Trueview'!#REF!+GDN!#REF!+Twitter!G42</f>
        <v>#REF!</v>
      </c>
      <c r="H49" s="15" t="e">
        <f>'Facebook Video'!H48+'Youtube Trueview'!#REF!+GDN!#REF!+Twitter!H42</f>
        <v>#REF!</v>
      </c>
      <c r="I49" s="15" t="e">
        <f>'Facebook Video'!I48+'Youtube Trueview'!#REF!+GDN!#REF!+Twitter!I42</f>
        <v>#REF!</v>
      </c>
      <c r="J49" s="1327" t="e">
        <f>'Facebook Video'!J48+'Youtube Trueview'!#REF!+GDN!#REF!+Twitter!J42</f>
        <v>#REF!</v>
      </c>
      <c r="K49" s="544" t="e">
        <f t="shared" ref="K49:K54" si="55">J49/$C$10</f>
        <v>#REF!</v>
      </c>
      <c r="L49" s="555" t="e">
        <f t="shared" ref="L49:L54" si="56">D49/C49</f>
        <v>#REF!</v>
      </c>
      <c r="M49" s="1204">
        <f t="shared" si="53"/>
        <v>82366.666666666672</v>
      </c>
      <c r="N49" s="544" t="e">
        <f t="shared" ref="N49:N54" si="57">E49/M49</f>
        <v>#REF!</v>
      </c>
      <c r="O49" s="671" t="e">
        <f t="shared" ref="O49:O54" si="58">J49/D49</f>
        <v>#REF!</v>
      </c>
      <c r="P49" s="150" t="e">
        <f>'Facebook Video'!Q48+'Youtube Trueview'!#REF!+GDN!#REF!+Twitter!Q42</f>
        <v>#REF!</v>
      </c>
      <c r="Q49" s="52"/>
      <c r="R49" s="52"/>
      <c r="S49" s="293">
        <f t="shared" si="54"/>
        <v>1977.9666666666667</v>
      </c>
      <c r="T49" s="541" t="e">
        <f t="shared" ref="T49:T54" si="59">P49/S49</f>
        <v>#REF!</v>
      </c>
      <c r="U49" s="225" t="e">
        <f t="shared" ref="U49:U54" si="60">J49/P49</f>
        <v>#REF!</v>
      </c>
      <c r="V49" s="544" t="e">
        <f t="shared" ref="V49:V54" si="61">P49/D49</f>
        <v>#REF!</v>
      </c>
      <c r="W49" s="677">
        <v>34</v>
      </c>
      <c r="X49" s="526">
        <v>0.87637174211248281</v>
      </c>
      <c r="Y49" s="2017"/>
    </row>
    <row r="50" spans="2:25">
      <c r="B50" s="248">
        <v>40820</v>
      </c>
      <c r="C50" s="15" t="e">
        <f>'Facebook Video'!C49+'Youtube Trueview'!#REF!+GDN!#REF!+Twitter!C43</f>
        <v>#REF!</v>
      </c>
      <c r="D50" s="15" t="e">
        <f>'Facebook Video'!D49+'Youtube Trueview'!#REF!+GDN!#REF!+Twitter!D43</f>
        <v>#REF!</v>
      </c>
      <c r="E50" s="15" t="e">
        <f>'Facebook Video'!E49+'Youtube Trueview'!#REF!+Twitter!E43</f>
        <v>#REF!</v>
      </c>
      <c r="F50" s="15" t="e">
        <f>'Facebook Video'!F49+'Youtube Trueview'!#REF!+GDN!#REF!+Twitter!F43</f>
        <v>#REF!</v>
      </c>
      <c r="G50" s="15" t="e">
        <f>'Facebook Video'!G49+'Youtube Trueview'!#REF!+GDN!#REF!+Twitter!G43</f>
        <v>#REF!</v>
      </c>
      <c r="H50" s="15" t="e">
        <f>'Facebook Video'!H49+'Youtube Trueview'!#REF!+GDN!#REF!+Twitter!H43</f>
        <v>#REF!</v>
      </c>
      <c r="I50" s="15" t="e">
        <f>'Facebook Video'!I49+'Youtube Trueview'!#REF!+GDN!#REF!+Twitter!I43</f>
        <v>#REF!</v>
      </c>
      <c r="J50" s="1327" t="e">
        <f>'Facebook Video'!J49+'Youtube Trueview'!#REF!+GDN!#REF!+Twitter!J43</f>
        <v>#REF!</v>
      </c>
      <c r="K50" s="544" t="e">
        <f t="shared" si="55"/>
        <v>#REF!</v>
      </c>
      <c r="L50" s="555" t="e">
        <f t="shared" si="56"/>
        <v>#REF!</v>
      </c>
      <c r="M50" s="1204">
        <f t="shared" si="53"/>
        <v>82366.666666666672</v>
      </c>
      <c r="N50" s="544" t="e">
        <f t="shared" si="57"/>
        <v>#REF!</v>
      </c>
      <c r="O50" s="671" t="e">
        <f t="shared" si="58"/>
        <v>#REF!</v>
      </c>
      <c r="P50" s="150" t="e">
        <f>'Facebook Video'!Q49+'Youtube Trueview'!#REF!+GDN!#REF!+Twitter!Q43</f>
        <v>#REF!</v>
      </c>
      <c r="Q50" s="52"/>
      <c r="R50" s="52"/>
      <c r="S50" s="293">
        <f t="shared" si="54"/>
        <v>1977.9666666666667</v>
      </c>
      <c r="T50" s="541" t="e">
        <f t="shared" si="59"/>
        <v>#REF!</v>
      </c>
      <c r="U50" s="225" t="e">
        <f t="shared" si="60"/>
        <v>#REF!</v>
      </c>
      <c r="V50" s="544" t="e">
        <f t="shared" si="61"/>
        <v>#REF!</v>
      </c>
      <c r="W50" s="677">
        <v>24</v>
      </c>
      <c r="X50" s="526">
        <v>0.87066809574848159</v>
      </c>
      <c r="Y50" s="2017"/>
    </row>
    <row r="51" spans="2:25">
      <c r="B51" s="248">
        <v>40821</v>
      </c>
      <c r="C51" s="15" t="e">
        <f>'Facebook Video'!C50+'Youtube Trueview'!#REF!+GDN!#REF!+Twitter!C44</f>
        <v>#REF!</v>
      </c>
      <c r="D51" s="15" t="e">
        <f>'Facebook Video'!D50+'Youtube Trueview'!#REF!+GDN!#REF!+Twitter!D44</f>
        <v>#REF!</v>
      </c>
      <c r="E51" s="15" t="e">
        <f>'Facebook Video'!E50+'Youtube Trueview'!#REF!+Twitter!E44</f>
        <v>#REF!</v>
      </c>
      <c r="F51" s="15" t="e">
        <f>'Facebook Video'!F50+'Youtube Trueview'!#REF!+GDN!#REF!+Twitter!F44</f>
        <v>#REF!</v>
      </c>
      <c r="G51" s="15" t="e">
        <f>'Facebook Video'!G50+'Youtube Trueview'!#REF!+GDN!#REF!+Twitter!G44</f>
        <v>#REF!</v>
      </c>
      <c r="H51" s="15" t="e">
        <f>'Facebook Video'!H50+'Youtube Trueview'!#REF!+GDN!#REF!+Twitter!H44</f>
        <v>#REF!</v>
      </c>
      <c r="I51" s="15" t="e">
        <f>'Facebook Video'!I50+'Youtube Trueview'!#REF!+GDN!#REF!+Twitter!I44</f>
        <v>#REF!</v>
      </c>
      <c r="J51" s="1327" t="e">
        <f>'Facebook Video'!J50+'Youtube Trueview'!#REF!+GDN!#REF!+Twitter!J44</f>
        <v>#REF!</v>
      </c>
      <c r="K51" s="544" t="e">
        <f t="shared" si="55"/>
        <v>#REF!</v>
      </c>
      <c r="L51" s="555" t="e">
        <f t="shared" si="56"/>
        <v>#REF!</v>
      </c>
      <c r="M51" s="1204">
        <f t="shared" si="53"/>
        <v>82366.666666666672</v>
      </c>
      <c r="N51" s="544" t="e">
        <f t="shared" si="57"/>
        <v>#REF!</v>
      </c>
      <c r="O51" s="671" t="e">
        <f t="shared" si="58"/>
        <v>#REF!</v>
      </c>
      <c r="P51" s="150" t="e">
        <f>'Facebook Video'!Q50+'Youtube Trueview'!#REF!+GDN!#REF!+Twitter!Q44</f>
        <v>#REF!</v>
      </c>
      <c r="Q51" s="52"/>
      <c r="R51" s="52"/>
      <c r="S51" s="293">
        <f t="shared" si="54"/>
        <v>1977.9666666666667</v>
      </c>
      <c r="T51" s="541" t="e">
        <f t="shared" si="59"/>
        <v>#REF!</v>
      </c>
      <c r="U51" s="225" t="e">
        <f t="shared" si="60"/>
        <v>#REF!</v>
      </c>
      <c r="V51" s="544" t="e">
        <f t="shared" si="61"/>
        <v>#REF!</v>
      </c>
      <c r="W51" s="677">
        <v>32</v>
      </c>
      <c r="X51" s="526">
        <v>0.97444633730834751</v>
      </c>
      <c r="Y51" s="2017"/>
    </row>
    <row r="52" spans="2:25">
      <c r="B52" s="248">
        <v>40822</v>
      </c>
      <c r="C52" s="15" t="e">
        <f>'Facebook Video'!C51+'Youtube Trueview'!#REF!+GDN!#REF!+Twitter!C45</f>
        <v>#REF!</v>
      </c>
      <c r="D52" s="15" t="e">
        <f>'Facebook Video'!D51+'Youtube Trueview'!#REF!+GDN!#REF!+Twitter!D45</f>
        <v>#REF!</v>
      </c>
      <c r="E52" s="15" t="e">
        <f>'Facebook Video'!E51+'Youtube Trueview'!#REF!+Twitter!E45</f>
        <v>#REF!</v>
      </c>
      <c r="F52" s="15" t="e">
        <f>'Facebook Video'!F51+'Youtube Trueview'!#REF!+GDN!#REF!+Twitter!F45</f>
        <v>#REF!</v>
      </c>
      <c r="G52" s="15" t="e">
        <f>'Facebook Video'!G51+'Youtube Trueview'!#REF!+GDN!#REF!+Twitter!G45</f>
        <v>#REF!</v>
      </c>
      <c r="H52" s="15" t="e">
        <f>'Facebook Video'!H51+'Youtube Trueview'!#REF!+GDN!#REF!+Twitter!H45</f>
        <v>#REF!</v>
      </c>
      <c r="I52" s="15" t="e">
        <f>'Facebook Video'!I51+'Youtube Trueview'!#REF!+GDN!#REF!+Twitter!I45</f>
        <v>#REF!</v>
      </c>
      <c r="J52" s="1327" t="e">
        <f>'Facebook Video'!J51+'Youtube Trueview'!#REF!+GDN!#REF!+Twitter!J45</f>
        <v>#REF!</v>
      </c>
      <c r="K52" s="544" t="e">
        <f t="shared" si="55"/>
        <v>#REF!</v>
      </c>
      <c r="L52" s="555" t="e">
        <f t="shared" si="56"/>
        <v>#REF!</v>
      </c>
      <c r="M52" s="1204">
        <f t="shared" si="53"/>
        <v>82366.666666666672</v>
      </c>
      <c r="N52" s="544" t="e">
        <f t="shared" si="57"/>
        <v>#REF!</v>
      </c>
      <c r="O52" s="671" t="e">
        <f t="shared" si="58"/>
        <v>#REF!</v>
      </c>
      <c r="P52" s="150" t="e">
        <f>'Facebook Video'!Q51+'Youtube Trueview'!#REF!+GDN!#REF!+Twitter!Q45</f>
        <v>#REF!</v>
      </c>
      <c r="Q52" s="52"/>
      <c r="R52" s="52"/>
      <c r="S52" s="293">
        <f t="shared" si="54"/>
        <v>1977.9666666666667</v>
      </c>
      <c r="T52" s="541" t="e">
        <f t="shared" si="59"/>
        <v>#REF!</v>
      </c>
      <c r="U52" s="225" t="e">
        <f t="shared" si="60"/>
        <v>#REF!</v>
      </c>
      <c r="V52" s="544" t="e">
        <f t="shared" si="61"/>
        <v>#REF!</v>
      </c>
      <c r="W52" s="677">
        <v>41</v>
      </c>
      <c r="X52" s="526">
        <v>0.5011007620660457</v>
      </c>
      <c r="Y52" s="2017"/>
    </row>
    <row r="53" spans="2:25">
      <c r="B53" s="253">
        <v>40823</v>
      </c>
      <c r="C53" s="15" t="e">
        <f>'Facebook Video'!C52+'Youtube Trueview'!#REF!+GDN!#REF!+Twitter!C46</f>
        <v>#REF!</v>
      </c>
      <c r="D53" s="15" t="e">
        <f>'Facebook Video'!D52+'Youtube Trueview'!#REF!+GDN!#REF!+Twitter!D46</f>
        <v>#REF!</v>
      </c>
      <c r="E53" s="15" t="e">
        <f>'Facebook Video'!E52+'Youtube Trueview'!#REF!+Twitter!E46</f>
        <v>#REF!</v>
      </c>
      <c r="F53" s="15" t="e">
        <f>'Facebook Video'!F52+'Youtube Trueview'!#REF!+GDN!#REF!+Twitter!F46</f>
        <v>#REF!</v>
      </c>
      <c r="G53" s="15" t="e">
        <f>'Facebook Video'!G52+'Youtube Trueview'!#REF!+GDN!#REF!+Twitter!G46</f>
        <v>#REF!</v>
      </c>
      <c r="H53" s="15" t="e">
        <f>'Facebook Video'!H52+'Youtube Trueview'!#REF!+GDN!#REF!+Twitter!H46</f>
        <v>#REF!</v>
      </c>
      <c r="I53" s="15" t="e">
        <f>'Facebook Video'!I52+'Youtube Trueview'!#REF!+GDN!#REF!+Twitter!I46</f>
        <v>#REF!</v>
      </c>
      <c r="J53" s="1327" t="e">
        <f>'Facebook Video'!J52+'Youtube Trueview'!#REF!+GDN!#REF!+Twitter!J46</f>
        <v>#REF!</v>
      </c>
      <c r="K53" s="544" t="e">
        <f t="shared" si="55"/>
        <v>#REF!</v>
      </c>
      <c r="L53" s="555" t="e">
        <f t="shared" si="56"/>
        <v>#REF!</v>
      </c>
      <c r="M53" s="1204">
        <f t="shared" si="53"/>
        <v>82366.666666666672</v>
      </c>
      <c r="N53" s="544" t="e">
        <f t="shared" si="57"/>
        <v>#REF!</v>
      </c>
      <c r="O53" s="671" t="e">
        <f t="shared" si="58"/>
        <v>#REF!</v>
      </c>
      <c r="P53" s="150" t="e">
        <f>'Facebook Video'!Q52+'Youtube Trueview'!#REF!+GDN!#REF!+Twitter!Q46</f>
        <v>#REF!</v>
      </c>
      <c r="Q53" s="52"/>
      <c r="R53" s="52"/>
      <c r="S53" s="293">
        <f t="shared" si="54"/>
        <v>1977.9666666666667</v>
      </c>
      <c r="T53" s="541" t="e">
        <f t="shared" si="59"/>
        <v>#REF!</v>
      </c>
      <c r="U53" s="225" t="e">
        <f t="shared" si="60"/>
        <v>#REF!</v>
      </c>
      <c r="V53" s="544" t="e">
        <f t="shared" si="61"/>
        <v>#REF!</v>
      </c>
      <c r="W53" s="677">
        <v>39</v>
      </c>
      <c r="X53" s="526">
        <v>0.89008746355685131</v>
      </c>
      <c r="Y53" s="2017"/>
    </row>
    <row r="54" spans="2:25">
      <c r="B54" s="253">
        <v>40824</v>
      </c>
      <c r="C54" s="15" t="e">
        <f>'Facebook Video'!C53+'Youtube Trueview'!#REF!+GDN!#REF!+Twitter!C47</f>
        <v>#REF!</v>
      </c>
      <c r="D54" s="15" t="e">
        <f>'Facebook Video'!D53+'Youtube Trueview'!#REF!+GDN!#REF!+Twitter!D47</f>
        <v>#REF!</v>
      </c>
      <c r="E54" s="15" t="e">
        <f>'Facebook Video'!E53+'Youtube Trueview'!#REF!+Twitter!E47</f>
        <v>#REF!</v>
      </c>
      <c r="F54" s="15" t="e">
        <f>'Facebook Video'!F53+'Youtube Trueview'!#REF!+GDN!#REF!+Twitter!F47</f>
        <v>#REF!</v>
      </c>
      <c r="G54" s="15" t="e">
        <f>'Facebook Video'!G53+'Youtube Trueview'!#REF!+GDN!#REF!+Twitter!G47</f>
        <v>#REF!</v>
      </c>
      <c r="H54" s="15" t="e">
        <f>'Facebook Video'!H53+'Youtube Trueview'!#REF!+GDN!#REF!+Twitter!H47</f>
        <v>#REF!</v>
      </c>
      <c r="I54" s="15" t="e">
        <f>'Facebook Video'!I53+'Youtube Trueview'!#REF!+GDN!#REF!+Twitter!I47</f>
        <v>#REF!</v>
      </c>
      <c r="J54" s="1327" t="e">
        <f>'Facebook Video'!J53+'Youtube Trueview'!#REF!+GDN!#REF!+Twitter!J47</f>
        <v>#REF!</v>
      </c>
      <c r="K54" s="544" t="e">
        <f t="shared" si="55"/>
        <v>#REF!</v>
      </c>
      <c r="L54" s="555" t="e">
        <f t="shared" si="56"/>
        <v>#REF!</v>
      </c>
      <c r="M54" s="1204">
        <f t="shared" si="53"/>
        <v>82366.666666666672</v>
      </c>
      <c r="N54" s="544" t="e">
        <f t="shared" si="57"/>
        <v>#REF!</v>
      </c>
      <c r="O54" s="671" t="e">
        <f t="shared" si="58"/>
        <v>#REF!</v>
      </c>
      <c r="P54" s="150" t="e">
        <f>'Facebook Video'!Q53+'Youtube Trueview'!#REF!+GDN!#REF!+Twitter!Q47</f>
        <v>#REF!</v>
      </c>
      <c r="Q54" s="52"/>
      <c r="R54" s="52"/>
      <c r="S54" s="293">
        <f t="shared" si="54"/>
        <v>1977.9666666666667</v>
      </c>
      <c r="T54" s="541" t="e">
        <f t="shared" si="59"/>
        <v>#REF!</v>
      </c>
      <c r="U54" s="225" t="e">
        <f t="shared" si="60"/>
        <v>#REF!</v>
      </c>
      <c r="V54" s="544" t="e">
        <f t="shared" si="61"/>
        <v>#REF!</v>
      </c>
      <c r="W54" s="677">
        <v>37</v>
      </c>
      <c r="X54" s="526">
        <v>0.85590131763386601</v>
      </c>
      <c r="Y54" s="2017"/>
    </row>
    <row r="55" spans="2:25">
      <c r="B55" s="254" t="s">
        <v>160</v>
      </c>
      <c r="C55" s="27" t="e">
        <f>SUM(C48:C54)</f>
        <v>#REF!</v>
      </c>
      <c r="D55" s="27" t="e">
        <f t="shared" ref="D55:J55" si="62">SUM(D48:D54)</f>
        <v>#REF!</v>
      </c>
      <c r="E55" s="27" t="e">
        <f t="shared" si="62"/>
        <v>#REF!</v>
      </c>
      <c r="F55" s="27" t="e">
        <f t="shared" si="62"/>
        <v>#REF!</v>
      </c>
      <c r="G55" s="27" t="e">
        <f t="shared" si="62"/>
        <v>#REF!</v>
      </c>
      <c r="H55" s="27" t="e">
        <f t="shared" si="62"/>
        <v>#REF!</v>
      </c>
      <c r="I55" s="27" t="e">
        <f t="shared" si="62"/>
        <v>#REF!</v>
      </c>
      <c r="J55" s="294" t="e">
        <f t="shared" si="62"/>
        <v>#REF!</v>
      </c>
      <c r="K55" s="1328" t="e">
        <f>J55/$C$10</f>
        <v>#REF!</v>
      </c>
      <c r="L55" s="1317" t="e">
        <f>D55/C55</f>
        <v>#REF!</v>
      </c>
      <c r="M55" s="1329">
        <f>SUM(M48:M54)</f>
        <v>576566.66666666674</v>
      </c>
      <c r="N55" s="1330" t="e">
        <f>E55/M55</f>
        <v>#REF!</v>
      </c>
      <c r="O55" s="672" t="e">
        <f>J55/D55</f>
        <v>#REF!</v>
      </c>
      <c r="P55" s="121" t="e">
        <f>SUM(P48:P54)</f>
        <v>#REF!</v>
      </c>
      <c r="Q55" s="27"/>
      <c r="R55" s="27"/>
      <c r="S55" s="27">
        <f>SUM(S48:S54)</f>
        <v>13845.766666666668</v>
      </c>
      <c r="T55" s="140" t="e">
        <f>P55/S55</f>
        <v>#REF!</v>
      </c>
      <c r="U55" s="657" t="e">
        <f>J55/P55</f>
        <v>#REF!</v>
      </c>
      <c r="V55" s="543" t="e">
        <f>P55/D55</f>
        <v>#REF!</v>
      </c>
      <c r="W55" s="679">
        <f>AVERAGE(W48:W54)</f>
        <v>34.285714285714285</v>
      </c>
      <c r="X55" s="397">
        <f>AVERAGE(X48:X54)</f>
        <v>0.83363979320488169</v>
      </c>
      <c r="Y55" s="2017"/>
    </row>
    <row r="56" spans="2:25">
      <c r="B56" s="248">
        <v>40825</v>
      </c>
      <c r="C56" s="15" t="e">
        <f>'Facebook Video'!C55+'Youtube Trueview'!#REF!+GDN!#REF!+Twitter!C49</f>
        <v>#REF!</v>
      </c>
      <c r="D56" s="15" t="e">
        <f>'Facebook Video'!D55+'Youtube Trueview'!#REF!+GDN!#REF!+Twitter!D49</f>
        <v>#REF!</v>
      </c>
      <c r="E56" s="15" t="e">
        <f>'Facebook Video'!E55+'Youtube Trueview'!#REF!+Twitter!E49</f>
        <v>#REF!</v>
      </c>
      <c r="F56" s="15" t="e">
        <f>'Facebook Video'!F55+'Youtube Trueview'!#REF!+GDN!#REF!+Twitter!F49</f>
        <v>#REF!</v>
      </c>
      <c r="G56" s="15" t="e">
        <f>'Facebook Video'!G55+'Youtube Trueview'!#REF!+GDN!#REF!+Twitter!G49</f>
        <v>#REF!</v>
      </c>
      <c r="H56" s="15" t="e">
        <f>'Facebook Video'!H55+'Youtube Trueview'!#REF!+GDN!#REF!+Twitter!H49</f>
        <v>#REF!</v>
      </c>
      <c r="I56" s="15" t="e">
        <f>'Facebook Video'!I55+'Youtube Trueview'!#REF!+GDN!#REF!+Twitter!I49</f>
        <v>#REF!</v>
      </c>
      <c r="J56" s="1327" t="e">
        <f>'Facebook Video'!J55+'Youtube Trueview'!#REF!+GDN!#REF!+Twitter!J49</f>
        <v>#REF!</v>
      </c>
      <c r="K56" s="544" t="e">
        <f>J56/$C$10</f>
        <v>#REF!</v>
      </c>
      <c r="L56" s="555" t="e">
        <f>D56/C56</f>
        <v>#REF!</v>
      </c>
      <c r="M56" s="1204">
        <f>$AA$16/30</f>
        <v>82366.666666666672</v>
      </c>
      <c r="N56" s="544" t="e">
        <f>E56/M56</f>
        <v>#REF!</v>
      </c>
      <c r="O56" s="671" t="e">
        <f>J56/D56</f>
        <v>#REF!</v>
      </c>
      <c r="P56" s="150" t="e">
        <f>'Facebook Video'!Q55+'Youtube Trueview'!#REF!+GDN!#REF!+Twitter!Q49</f>
        <v>#REF!</v>
      </c>
      <c r="Q56" s="52"/>
      <c r="R56" s="52"/>
      <c r="S56" s="293">
        <f>$AA$18/30</f>
        <v>1977.9666666666667</v>
      </c>
      <c r="T56" s="541" t="e">
        <f>P56/S56</f>
        <v>#REF!</v>
      </c>
      <c r="U56" s="225" t="e">
        <f>J56/P56</f>
        <v>#REF!</v>
      </c>
      <c r="V56" s="544" t="e">
        <f>P56/D56</f>
        <v>#REF!</v>
      </c>
      <c r="W56" s="677">
        <v>35</v>
      </c>
      <c r="X56" s="526">
        <v>0.86690283400809698</v>
      </c>
    </row>
    <row r="57" spans="2:25">
      <c r="B57" s="248">
        <v>40826</v>
      </c>
      <c r="C57" s="15" t="e">
        <f>'Facebook Video'!C56+'Youtube Trueview'!#REF!+GDN!#REF!+Twitter!C50</f>
        <v>#REF!</v>
      </c>
      <c r="D57" s="15" t="e">
        <f>'Facebook Video'!D56+'Youtube Trueview'!#REF!+GDN!#REF!+Twitter!D50</f>
        <v>#REF!</v>
      </c>
      <c r="E57" s="15" t="e">
        <f>'Facebook Video'!E56+'Youtube Trueview'!#REF!+Twitter!E50</f>
        <v>#REF!</v>
      </c>
      <c r="F57" s="15" t="e">
        <f>'Facebook Video'!F56+'Youtube Trueview'!#REF!+GDN!#REF!+Twitter!F50</f>
        <v>#REF!</v>
      </c>
      <c r="G57" s="15" t="e">
        <f>'Facebook Video'!G56+'Youtube Trueview'!#REF!+GDN!#REF!+Twitter!G50</f>
        <v>#REF!</v>
      </c>
      <c r="H57" s="15" t="e">
        <f>'Facebook Video'!H56+'Youtube Trueview'!#REF!+GDN!#REF!+Twitter!H50</f>
        <v>#REF!</v>
      </c>
      <c r="I57" s="15" t="e">
        <f>'Facebook Video'!I56+'Youtube Trueview'!#REF!+GDN!#REF!+Twitter!I50</f>
        <v>#REF!</v>
      </c>
      <c r="J57" s="1327" t="e">
        <f>'Facebook Video'!J56+'Youtube Trueview'!#REF!+GDN!#REF!+Twitter!J50</f>
        <v>#REF!</v>
      </c>
      <c r="K57" s="544" t="e">
        <f t="shared" ref="K57:K62" si="63">J57/$C$10</f>
        <v>#REF!</v>
      </c>
      <c r="L57" s="555" t="e">
        <f t="shared" ref="L57:L58" si="64">D57/C57</f>
        <v>#REF!</v>
      </c>
      <c r="M57" s="1204">
        <f>$AA$16/30</f>
        <v>82366.666666666672</v>
      </c>
      <c r="N57" s="544" t="e">
        <f t="shared" ref="N57:N58" si="65">E57/M57</f>
        <v>#REF!</v>
      </c>
      <c r="O57" s="671" t="e">
        <f t="shared" ref="O57:O62" si="66">J57/D57</f>
        <v>#REF!</v>
      </c>
      <c r="P57" s="150" t="e">
        <f>'Facebook Video'!Q56+'Youtube Trueview'!#REF!+GDN!#REF!+Twitter!Q50</f>
        <v>#REF!</v>
      </c>
      <c r="Q57" s="52"/>
      <c r="R57" s="52"/>
      <c r="S57" s="293">
        <f>$AA$18/30</f>
        <v>1977.9666666666667</v>
      </c>
      <c r="T57" s="541" t="e">
        <f t="shared" ref="T57:T58" si="67">P57/S57</f>
        <v>#REF!</v>
      </c>
      <c r="U57" s="225" t="e">
        <f t="shared" ref="U57:U58" si="68">J57/P57</f>
        <v>#REF!</v>
      </c>
      <c r="V57" s="544" t="e">
        <f t="shared" ref="V57:V58" si="69">P57/D57</f>
        <v>#REF!</v>
      </c>
      <c r="W57" s="677">
        <v>38</v>
      </c>
      <c r="X57" s="526">
        <v>0.87637174211248281</v>
      </c>
    </row>
    <row r="58" spans="2:25">
      <c r="B58" s="248">
        <v>40827</v>
      </c>
      <c r="C58" s="15" t="e">
        <f>'Facebook Video'!C57+'Youtube Trueview'!#REF!+GDN!#REF!+Twitter!C51</f>
        <v>#REF!</v>
      </c>
      <c r="D58" s="15" t="e">
        <f>'Facebook Video'!D57+'Youtube Trueview'!#REF!+GDN!#REF!+Twitter!D51</f>
        <v>#REF!</v>
      </c>
      <c r="E58" s="15" t="e">
        <f>'Facebook Video'!E57+'Youtube Trueview'!#REF!+Twitter!E51</f>
        <v>#REF!</v>
      </c>
      <c r="F58" s="15" t="e">
        <f>'Facebook Video'!F57+'Youtube Trueview'!#REF!+GDN!#REF!+Twitter!F51</f>
        <v>#REF!</v>
      </c>
      <c r="G58" s="15" t="e">
        <f>'Facebook Video'!G57+'Youtube Trueview'!#REF!+GDN!#REF!+Twitter!G51</f>
        <v>#REF!</v>
      </c>
      <c r="H58" s="15" t="e">
        <f>'Facebook Video'!H57+'Youtube Trueview'!#REF!+GDN!#REF!+Twitter!H51</f>
        <v>#REF!</v>
      </c>
      <c r="I58" s="15" t="e">
        <f>'Facebook Video'!I57+'Youtube Trueview'!#REF!+GDN!#REF!+Twitter!I51</f>
        <v>#REF!</v>
      </c>
      <c r="J58" s="1327" t="e">
        <f>'Facebook Video'!J57+'Youtube Trueview'!#REF!+GDN!#REF!+Twitter!J51</f>
        <v>#REF!</v>
      </c>
      <c r="K58" s="544" t="e">
        <f t="shared" si="63"/>
        <v>#REF!</v>
      </c>
      <c r="L58" s="555" t="e">
        <f t="shared" si="64"/>
        <v>#REF!</v>
      </c>
      <c r="M58" s="1204">
        <f>$AA$16/30</f>
        <v>82366.666666666672</v>
      </c>
      <c r="N58" s="544" t="e">
        <f t="shared" si="65"/>
        <v>#REF!</v>
      </c>
      <c r="O58" s="671" t="e">
        <f t="shared" si="66"/>
        <v>#REF!</v>
      </c>
      <c r="P58" s="150" t="e">
        <f>'Facebook Video'!Q57+'Youtube Trueview'!#REF!+GDN!#REF!+Twitter!Q51</f>
        <v>#REF!</v>
      </c>
      <c r="Q58" s="52"/>
      <c r="R58" s="52"/>
      <c r="S58" s="293">
        <f>$AA$18/30</f>
        <v>1977.9666666666667</v>
      </c>
      <c r="T58" s="541" t="e">
        <f t="shared" si="67"/>
        <v>#REF!</v>
      </c>
      <c r="U58" s="225" t="e">
        <f t="shared" si="68"/>
        <v>#REF!</v>
      </c>
      <c r="V58" s="544" t="e">
        <f t="shared" si="69"/>
        <v>#REF!</v>
      </c>
      <c r="W58" s="677">
        <v>38</v>
      </c>
      <c r="X58" s="526">
        <v>0.87066809574848159</v>
      </c>
    </row>
    <row r="59" spans="2:25">
      <c r="B59" s="248">
        <v>40828</v>
      </c>
      <c r="C59" s="15" t="e">
        <f>'Facebook Video'!C58+'Youtube Trueview'!#REF!+GDN!#REF!+Twitter!C52</f>
        <v>#REF!</v>
      </c>
      <c r="D59" s="15" t="e">
        <f>'Facebook Video'!D58+'Youtube Trueview'!#REF!+GDN!#REF!+Twitter!D52</f>
        <v>#REF!</v>
      </c>
      <c r="E59" s="15" t="e">
        <f>'Facebook Video'!E58+'Youtube Trueview'!#REF!+Twitter!E52</f>
        <v>#REF!</v>
      </c>
      <c r="F59" s="15" t="e">
        <f>'Facebook Video'!F58+'Youtube Trueview'!#REF!+GDN!#REF!+Twitter!F52</f>
        <v>#REF!</v>
      </c>
      <c r="G59" s="15" t="e">
        <f>'Facebook Video'!G58+'Youtube Trueview'!#REF!+GDN!#REF!+Twitter!G52</f>
        <v>#REF!</v>
      </c>
      <c r="H59" s="15" t="e">
        <f>'Facebook Video'!H58+'Youtube Trueview'!#REF!+GDN!#REF!+Twitter!H52</f>
        <v>#REF!</v>
      </c>
      <c r="I59" s="15" t="e">
        <f>'Facebook Video'!I58+'Youtube Trueview'!#REF!+GDN!#REF!+Twitter!I52</f>
        <v>#REF!</v>
      </c>
      <c r="J59" s="1327" t="e">
        <f>'Facebook Video'!J58+'Youtube Trueview'!#REF!+GDN!#REF!+Twitter!J52</f>
        <v>#REF!</v>
      </c>
      <c r="K59" s="544" t="e">
        <f t="shared" si="63"/>
        <v>#REF!</v>
      </c>
      <c r="L59" s="555" t="e">
        <f t="shared" ref="L59:L65" si="70">D59/C59</f>
        <v>#REF!</v>
      </c>
      <c r="M59" s="1204">
        <f t="shared" ref="M59:M65" si="71">$AA$16/30</f>
        <v>82366.666666666672</v>
      </c>
      <c r="N59" s="544" t="e">
        <f t="shared" ref="N59:N62" si="72">E59/M59</f>
        <v>#REF!</v>
      </c>
      <c r="O59" s="671" t="e">
        <f t="shared" si="66"/>
        <v>#REF!</v>
      </c>
      <c r="P59" s="150" t="e">
        <f>'Facebook Video'!Q58+'Youtube Trueview'!#REF!+GDN!#REF!+Twitter!Q52</f>
        <v>#REF!</v>
      </c>
      <c r="Q59" s="52"/>
      <c r="R59" s="52"/>
      <c r="S59" s="293">
        <f t="shared" ref="S59:S65" si="73">$AA$18/30</f>
        <v>1977.9666666666667</v>
      </c>
      <c r="T59" s="541" t="e">
        <f t="shared" ref="T59:T62" si="74">P59/S59</f>
        <v>#REF!</v>
      </c>
      <c r="U59" s="225" t="e">
        <f t="shared" ref="U59:U62" si="75">J59/P59</f>
        <v>#REF!</v>
      </c>
      <c r="V59" s="544" t="e">
        <f t="shared" ref="V59:V62" si="76">P59/D59</f>
        <v>#REF!</v>
      </c>
      <c r="W59" s="677">
        <v>34</v>
      </c>
      <c r="X59" s="526">
        <v>0.87842190016103061</v>
      </c>
    </row>
    <row r="60" spans="2:25">
      <c r="B60" s="248">
        <v>40829</v>
      </c>
      <c r="C60" s="15" t="e">
        <f>'Facebook Video'!C59+'Youtube Trueview'!#REF!+GDN!#REF!+Twitter!C53</f>
        <v>#REF!</v>
      </c>
      <c r="D60" s="15" t="e">
        <f>'Facebook Video'!D59+'Youtube Trueview'!#REF!+GDN!#REF!+Twitter!D53</f>
        <v>#REF!</v>
      </c>
      <c r="E60" s="15" t="e">
        <f>'Facebook Video'!E59+'Youtube Trueview'!#REF!+Twitter!E53</f>
        <v>#REF!</v>
      </c>
      <c r="F60" s="15" t="e">
        <f>'Facebook Video'!F59+'Youtube Trueview'!#REF!+GDN!#REF!+Twitter!F53</f>
        <v>#REF!</v>
      </c>
      <c r="G60" s="15" t="e">
        <f>'Facebook Video'!G59+'Youtube Trueview'!#REF!+GDN!#REF!+Twitter!G53</f>
        <v>#REF!</v>
      </c>
      <c r="H60" s="15" t="e">
        <f>'Facebook Video'!H59+'Youtube Trueview'!#REF!+GDN!#REF!+Twitter!H53</f>
        <v>#REF!</v>
      </c>
      <c r="I60" s="15" t="e">
        <f>'Facebook Video'!I59+'Youtube Trueview'!#REF!+GDN!#REF!+Twitter!I53</f>
        <v>#REF!</v>
      </c>
      <c r="J60" s="1327" t="e">
        <f>'Facebook Video'!J59+'Youtube Trueview'!#REF!+GDN!#REF!+Twitter!J53</f>
        <v>#REF!</v>
      </c>
      <c r="K60" s="544" t="e">
        <f t="shared" si="63"/>
        <v>#REF!</v>
      </c>
      <c r="L60" s="555" t="e">
        <f t="shared" si="70"/>
        <v>#REF!</v>
      </c>
      <c r="M60" s="1204">
        <f t="shared" si="71"/>
        <v>82366.666666666672</v>
      </c>
      <c r="N60" s="544" t="e">
        <f t="shared" si="72"/>
        <v>#REF!</v>
      </c>
      <c r="O60" s="671" t="e">
        <f t="shared" si="66"/>
        <v>#REF!</v>
      </c>
      <c r="P60" s="150" t="e">
        <f>'Facebook Video'!Q59+'Youtube Trueview'!#REF!+GDN!#REF!+Twitter!Q53</f>
        <v>#REF!</v>
      </c>
      <c r="Q60" s="52"/>
      <c r="R60" s="52"/>
      <c r="S60" s="293">
        <f t="shared" si="73"/>
        <v>1977.9666666666667</v>
      </c>
      <c r="T60" s="541" t="e">
        <f t="shared" si="74"/>
        <v>#REF!</v>
      </c>
      <c r="U60" s="225" t="e">
        <f t="shared" si="75"/>
        <v>#REF!</v>
      </c>
      <c r="V60" s="544" t="e">
        <f t="shared" si="76"/>
        <v>#REF!</v>
      </c>
      <c r="W60" s="677">
        <v>38</v>
      </c>
      <c r="X60" s="526">
        <v>0.87229806598407278</v>
      </c>
    </row>
    <row r="61" spans="2:25">
      <c r="B61" s="253">
        <v>40830</v>
      </c>
      <c r="C61" s="15" t="e">
        <f>'Facebook Video'!C60+'Youtube Trueview'!#REF!+GDN!#REF!+Twitter!C54</f>
        <v>#REF!</v>
      </c>
      <c r="D61" s="15" t="e">
        <f>'Facebook Video'!D60+'Youtube Trueview'!#REF!+GDN!#REF!+Twitter!D54</f>
        <v>#REF!</v>
      </c>
      <c r="E61" s="15" t="e">
        <f>'Facebook Video'!E60+'Youtube Trueview'!#REF!+Twitter!E54</f>
        <v>#REF!</v>
      </c>
      <c r="F61" s="15" t="e">
        <f>'Facebook Video'!F60+'Youtube Trueview'!#REF!+GDN!#REF!+Twitter!F54</f>
        <v>#REF!</v>
      </c>
      <c r="G61" s="15" t="e">
        <f>'Facebook Video'!G60+'Youtube Trueview'!#REF!+GDN!#REF!+Twitter!G54</f>
        <v>#REF!</v>
      </c>
      <c r="H61" s="15" t="e">
        <f>'Facebook Video'!H60+'Youtube Trueview'!#REF!+GDN!#REF!+Twitter!H54</f>
        <v>#REF!</v>
      </c>
      <c r="I61" s="15" t="e">
        <f>'Facebook Video'!I60+'Youtube Trueview'!#REF!+GDN!#REF!+Twitter!I54</f>
        <v>#REF!</v>
      </c>
      <c r="J61" s="1327" t="e">
        <f>'Facebook Video'!J60+'Youtube Trueview'!#REF!+GDN!#REF!+Twitter!J54</f>
        <v>#REF!</v>
      </c>
      <c r="K61" s="544" t="e">
        <f t="shared" si="63"/>
        <v>#REF!</v>
      </c>
      <c r="L61" s="555" t="e">
        <f t="shared" si="70"/>
        <v>#REF!</v>
      </c>
      <c r="M61" s="1204">
        <f t="shared" si="71"/>
        <v>82366.666666666672</v>
      </c>
      <c r="N61" s="544" t="e">
        <f t="shared" si="72"/>
        <v>#REF!</v>
      </c>
      <c r="O61" s="671" t="e">
        <f t="shared" si="66"/>
        <v>#REF!</v>
      </c>
      <c r="P61" s="150" t="e">
        <f>'Facebook Video'!Q60+'Youtube Trueview'!#REF!+GDN!#REF!+Twitter!Q54</f>
        <v>#REF!</v>
      </c>
      <c r="Q61" s="52"/>
      <c r="R61" s="52"/>
      <c r="S61" s="293">
        <f t="shared" si="73"/>
        <v>1977.9666666666667</v>
      </c>
      <c r="T61" s="541" t="e">
        <f t="shared" si="74"/>
        <v>#REF!</v>
      </c>
      <c r="U61" s="225" t="e">
        <f t="shared" si="75"/>
        <v>#REF!</v>
      </c>
      <c r="V61" s="544" t="e">
        <f t="shared" si="76"/>
        <v>#REF!</v>
      </c>
      <c r="W61" s="677">
        <v>40</v>
      </c>
      <c r="X61" s="526">
        <v>0.86957868649318459</v>
      </c>
    </row>
    <row r="62" spans="2:25">
      <c r="B62" s="253">
        <v>40831</v>
      </c>
      <c r="C62" s="15" t="e">
        <f>'Facebook Video'!C61+'Youtube Trueview'!#REF!+GDN!#REF!+Twitter!C55</f>
        <v>#REF!</v>
      </c>
      <c r="D62" s="15" t="e">
        <f>'Facebook Video'!D61+'Youtube Trueview'!#REF!+GDN!#REF!+Twitter!D55</f>
        <v>#REF!</v>
      </c>
      <c r="E62" s="15" t="e">
        <f>'Facebook Video'!E61+'Youtube Trueview'!#REF!+Twitter!E55</f>
        <v>#REF!</v>
      </c>
      <c r="F62" s="15" t="e">
        <f>'Facebook Video'!F61+'Youtube Trueview'!#REF!+GDN!#REF!+Twitter!F55</f>
        <v>#REF!</v>
      </c>
      <c r="G62" s="15" t="e">
        <f>'Facebook Video'!G61+'Youtube Trueview'!#REF!+GDN!#REF!+Twitter!G55</f>
        <v>#REF!</v>
      </c>
      <c r="H62" s="15" t="e">
        <f>'Facebook Video'!H61+'Youtube Trueview'!#REF!+GDN!#REF!+Twitter!H55</f>
        <v>#REF!</v>
      </c>
      <c r="I62" s="15" t="e">
        <f>'Facebook Video'!I61+'Youtube Trueview'!#REF!+GDN!#REF!+Twitter!I55</f>
        <v>#REF!</v>
      </c>
      <c r="J62" s="1327" t="e">
        <f>'Facebook Video'!J61+'Youtube Trueview'!#REF!+GDN!#REF!+Twitter!J55</f>
        <v>#REF!</v>
      </c>
      <c r="K62" s="544" t="e">
        <f t="shared" si="63"/>
        <v>#REF!</v>
      </c>
      <c r="L62" s="555" t="e">
        <f t="shared" si="70"/>
        <v>#REF!</v>
      </c>
      <c r="M62" s="1204">
        <f t="shared" si="71"/>
        <v>82366.666666666672</v>
      </c>
      <c r="N62" s="544" t="e">
        <f t="shared" si="72"/>
        <v>#REF!</v>
      </c>
      <c r="O62" s="671" t="e">
        <f t="shared" si="66"/>
        <v>#REF!</v>
      </c>
      <c r="P62" s="150" t="e">
        <f>'Facebook Video'!Q61+'Youtube Trueview'!#REF!+GDN!#REF!+Twitter!Q55</f>
        <v>#REF!</v>
      </c>
      <c r="Q62" s="52"/>
      <c r="R62" s="52"/>
      <c r="S62" s="293">
        <f t="shared" si="73"/>
        <v>1977.9666666666667</v>
      </c>
      <c r="T62" s="541" t="e">
        <f t="shared" si="74"/>
        <v>#REF!</v>
      </c>
      <c r="U62" s="225" t="e">
        <f t="shared" si="75"/>
        <v>#REF!</v>
      </c>
      <c r="V62" s="544" t="e">
        <f t="shared" si="76"/>
        <v>#REF!</v>
      </c>
      <c r="W62" s="677">
        <v>48</v>
      </c>
      <c r="X62" s="526">
        <v>0.84643114635904826</v>
      </c>
    </row>
    <row r="63" spans="2:25">
      <c r="B63" s="254" t="s">
        <v>160</v>
      </c>
      <c r="C63" s="27" t="e">
        <f>SUM(C56:C62)</f>
        <v>#REF!</v>
      </c>
      <c r="D63" s="27" t="e">
        <f t="shared" ref="D63:J63" si="77">SUM(D56:D62)</f>
        <v>#REF!</v>
      </c>
      <c r="E63" s="27" t="e">
        <f t="shared" si="77"/>
        <v>#REF!</v>
      </c>
      <c r="F63" s="27" t="e">
        <f t="shared" si="77"/>
        <v>#REF!</v>
      </c>
      <c r="G63" s="27" t="e">
        <f t="shared" si="77"/>
        <v>#REF!</v>
      </c>
      <c r="H63" s="27" t="e">
        <f t="shared" si="77"/>
        <v>#REF!</v>
      </c>
      <c r="I63" s="27" t="e">
        <f t="shared" si="77"/>
        <v>#REF!</v>
      </c>
      <c r="J63" s="673" t="e">
        <f t="shared" si="77"/>
        <v>#REF!</v>
      </c>
      <c r="K63" s="1328" t="e">
        <f>J63/$C$10</f>
        <v>#REF!</v>
      </c>
      <c r="L63" s="1317" t="e">
        <f>D63/C63</f>
        <v>#REF!</v>
      </c>
      <c r="M63" s="1329">
        <f>SUM(M56:M62)</f>
        <v>576566.66666666674</v>
      </c>
      <c r="N63" s="1330" t="e">
        <f>E63/M63</f>
        <v>#REF!</v>
      </c>
      <c r="O63" s="672" t="e">
        <f>J63/D63</f>
        <v>#REF!</v>
      </c>
      <c r="P63" s="121" t="e">
        <f>SUM(P56:P62)</f>
        <v>#REF!</v>
      </c>
      <c r="Q63" s="27"/>
      <c r="R63" s="27"/>
      <c r="S63" s="27">
        <f>SUM(S56:S62)</f>
        <v>13845.766666666668</v>
      </c>
      <c r="T63" s="140" t="e">
        <f>P63/S63</f>
        <v>#REF!</v>
      </c>
      <c r="U63" s="657" t="e">
        <f>J63/P63</f>
        <v>#REF!</v>
      </c>
      <c r="V63" s="543" t="e">
        <f>P63/D63</f>
        <v>#REF!</v>
      </c>
      <c r="W63" s="679">
        <f>AVERAGE(W56:W62)</f>
        <v>38.714285714285715</v>
      </c>
      <c r="X63" s="397">
        <f>AVERAGE(X56:X62)</f>
        <v>0.86866749583805691</v>
      </c>
    </row>
    <row r="64" spans="2:25">
      <c r="B64" s="248">
        <v>40832</v>
      </c>
      <c r="C64" s="15" t="e">
        <f>'Facebook Video'!C63+'Youtube Trueview'!#REF!+GDN!#REF!+Twitter!C57</f>
        <v>#REF!</v>
      </c>
      <c r="D64" s="15" t="e">
        <f>'Facebook Video'!D63+'Youtube Trueview'!#REF!+GDN!#REF!+Twitter!D57</f>
        <v>#REF!</v>
      </c>
      <c r="E64" s="15" t="e">
        <f>'Facebook Video'!E63+'Youtube Trueview'!#REF!+Twitter!E57</f>
        <v>#REF!</v>
      </c>
      <c r="F64" s="15" t="e">
        <f>'Facebook Video'!F63+'Youtube Trueview'!#REF!+GDN!#REF!+Twitter!F57</f>
        <v>#REF!</v>
      </c>
      <c r="G64" s="15" t="e">
        <f>'Facebook Video'!G63+'Youtube Trueview'!#REF!+GDN!#REF!+Twitter!G57</f>
        <v>#REF!</v>
      </c>
      <c r="H64" s="15" t="e">
        <f>'Facebook Video'!H63+'Youtube Trueview'!#REF!+GDN!#REF!+Twitter!H57</f>
        <v>#REF!</v>
      </c>
      <c r="I64" s="15" t="e">
        <f>'Facebook Video'!I63+'Youtube Trueview'!#REF!+GDN!#REF!+Twitter!I57</f>
        <v>#REF!</v>
      </c>
      <c r="J64" s="1327" t="e">
        <f>'Facebook Video'!J63+'Youtube Trueview'!#REF!+GDN!#REF!</f>
        <v>#REF!</v>
      </c>
      <c r="K64" s="544" t="e">
        <f>J64/$C$10</f>
        <v>#REF!</v>
      </c>
      <c r="L64" s="555" t="e">
        <f t="shared" si="70"/>
        <v>#REF!</v>
      </c>
      <c r="M64" s="1204">
        <f t="shared" si="71"/>
        <v>82366.666666666672</v>
      </c>
      <c r="N64" s="544" t="e">
        <f t="shared" ref="N64:N75" si="78">E64/M64</f>
        <v>#REF!</v>
      </c>
      <c r="O64" s="671" t="e">
        <f t="shared" ref="O64:O75" si="79">J64/D64</f>
        <v>#REF!</v>
      </c>
      <c r="P64" s="150" t="e">
        <f>'Facebook Video'!Q63+'Youtube Trueview'!#REF!+GDN!#REF!+Twitter!Q57</f>
        <v>#REF!</v>
      </c>
      <c r="Q64" s="52"/>
      <c r="R64" s="52"/>
      <c r="S64" s="293">
        <f t="shared" si="73"/>
        <v>1977.9666666666667</v>
      </c>
      <c r="T64" s="541" t="e">
        <f t="shared" ref="T64:T79" si="80">P64/S64</f>
        <v>#REF!</v>
      </c>
      <c r="U64" s="225" t="e">
        <f t="shared" ref="U64:U79" si="81">J64/P64</f>
        <v>#REF!</v>
      </c>
      <c r="V64" s="544" t="e">
        <f t="shared" ref="V64:V79" si="82">P64/D64</f>
        <v>#REF!</v>
      </c>
      <c r="W64" s="680">
        <v>59</v>
      </c>
      <c r="X64" s="1272">
        <v>0.82</v>
      </c>
    </row>
    <row r="65" spans="2:24">
      <c r="B65" s="248">
        <v>40833</v>
      </c>
      <c r="C65" s="15" t="e">
        <f>'Facebook Video'!C64+'Youtube Trueview'!#REF!+GDN!#REF!+Twitter!C58</f>
        <v>#REF!</v>
      </c>
      <c r="D65" s="15" t="e">
        <f>'Facebook Video'!D64+'Youtube Trueview'!#REF!+GDN!#REF!+Twitter!D58</f>
        <v>#REF!</v>
      </c>
      <c r="E65" s="15" t="e">
        <f>'Facebook Video'!E64+'Youtube Trueview'!#REF!+Twitter!E58</f>
        <v>#REF!</v>
      </c>
      <c r="F65" s="15" t="e">
        <f>'Facebook Video'!F64+'Youtube Trueview'!#REF!+GDN!#REF!+Twitter!F58</f>
        <v>#REF!</v>
      </c>
      <c r="G65" s="15" t="e">
        <f>'Facebook Video'!G64+'Youtube Trueview'!#REF!+GDN!#REF!+Twitter!G58</f>
        <v>#REF!</v>
      </c>
      <c r="H65" s="15" t="e">
        <f>'Facebook Video'!H64+'Youtube Trueview'!#REF!+GDN!#REF!+Twitter!H58</f>
        <v>#REF!</v>
      </c>
      <c r="I65" s="15" t="e">
        <f>'Facebook Video'!I64+'Youtube Trueview'!#REF!+GDN!#REF!+Twitter!I58</f>
        <v>#REF!</v>
      </c>
      <c r="J65" s="1327" t="e">
        <f>'Facebook Video'!J64+'Youtube Trueview'!#REF!+GDN!#REF!</f>
        <v>#REF!</v>
      </c>
      <c r="K65" s="544" t="e">
        <f t="shared" ref="K65" si="83">J65/$C$10</f>
        <v>#REF!</v>
      </c>
      <c r="L65" s="555" t="e">
        <f t="shared" si="70"/>
        <v>#REF!</v>
      </c>
      <c r="M65" s="1204">
        <f t="shared" si="71"/>
        <v>82366.666666666672</v>
      </c>
      <c r="N65" s="544" t="e">
        <f t="shared" si="78"/>
        <v>#REF!</v>
      </c>
      <c r="O65" s="671" t="e">
        <f t="shared" si="79"/>
        <v>#REF!</v>
      </c>
      <c r="P65" s="150" t="e">
        <f>'Facebook Video'!Q64+'Youtube Trueview'!#REF!+GDN!#REF!+Twitter!Q58</f>
        <v>#REF!</v>
      </c>
      <c r="Q65" s="52"/>
      <c r="R65" s="52"/>
      <c r="S65" s="293">
        <f t="shared" si="73"/>
        <v>1977.9666666666667</v>
      </c>
      <c r="T65" s="541" t="e">
        <f t="shared" si="80"/>
        <v>#REF!</v>
      </c>
      <c r="U65" s="225" t="e">
        <f t="shared" si="81"/>
        <v>#REF!</v>
      </c>
      <c r="V65" s="544" t="e">
        <f t="shared" si="82"/>
        <v>#REF!</v>
      </c>
      <c r="W65" s="680">
        <v>40</v>
      </c>
      <c r="X65" s="1272">
        <v>0.87</v>
      </c>
    </row>
    <row r="66" spans="2:24">
      <c r="B66" s="1058" t="s">
        <v>30</v>
      </c>
      <c r="C66" s="1059" t="e">
        <f>C39+C47+C55+C63+SUM(C64:C65)</f>
        <v>#REF!</v>
      </c>
      <c r="D66" s="1059" t="e">
        <f t="shared" ref="D66:I66" si="84">D39+D47+D55+D63+SUM(D64:D65)</f>
        <v>#REF!</v>
      </c>
      <c r="E66" s="1059" t="e">
        <f>E39+E47+E55+E63+SUM(E64:E65)</f>
        <v>#REF!</v>
      </c>
      <c r="F66" s="1059" t="e">
        <f t="shared" si="84"/>
        <v>#REF!</v>
      </c>
      <c r="G66" s="1059" t="e">
        <f t="shared" si="84"/>
        <v>#REF!</v>
      </c>
      <c r="H66" s="1059" t="e">
        <f t="shared" si="84"/>
        <v>#REF!</v>
      </c>
      <c r="I66" s="1059" t="e">
        <f t="shared" si="84"/>
        <v>#REF!</v>
      </c>
      <c r="J66" s="1060" t="e">
        <f>J39+J47+J55+J63+SUM(J64:J65)</f>
        <v>#REF!</v>
      </c>
      <c r="K66" s="1331" t="e">
        <f>J66/$C$10</f>
        <v>#REF!</v>
      </c>
      <c r="L66" s="1332" t="e">
        <f>D66/C66</f>
        <v>#REF!</v>
      </c>
      <c r="M66" s="1335">
        <f t="shared" ref="M66" si="85">M39+M47+M55+M63+SUM(M64:M65)</f>
        <v>2471000.0000000005</v>
      </c>
      <c r="N66" s="1336" t="e">
        <f>E66/M66</f>
        <v>#REF!</v>
      </c>
      <c r="O66" s="1063" t="e">
        <f t="shared" ref="O66" si="86">J66/I66</f>
        <v>#REF!</v>
      </c>
      <c r="P66" s="1059" t="e">
        <f t="shared" ref="P66:Q66" si="87">P39+P47+P55+P63+SUM(P64:P65)</f>
        <v>#REF!</v>
      </c>
      <c r="Q66" s="1059">
        <f t="shared" si="87"/>
        <v>0</v>
      </c>
      <c r="R66" s="1064"/>
      <c r="S66" s="1059">
        <f t="shared" ref="S66" si="88">S39+S47+S55+S63+SUM(S64:S65)</f>
        <v>59339.000000000007</v>
      </c>
      <c r="T66" s="1065" t="e">
        <f t="shared" si="80"/>
        <v>#REF!</v>
      </c>
      <c r="U66" s="1066" t="e">
        <f>J66/P66</f>
        <v>#REF!</v>
      </c>
      <c r="V66" s="1062" t="e">
        <f>P66/D66</f>
        <v>#REF!</v>
      </c>
      <c r="W66" s="1167">
        <f>AVERAGE(W32:W38,W40:W46,W48:W54,W56:W62,W64:W65)</f>
        <v>35.431630871019962</v>
      </c>
      <c r="X66" s="1277">
        <f>AVERAGE(X32:X38,X40:X46,X48:X54,X56:X62,X64:X65)</f>
        <v>0.85394350500366722</v>
      </c>
    </row>
    <row r="67" spans="2:24">
      <c r="B67" s="248">
        <v>40834</v>
      </c>
      <c r="C67" s="15" t="e">
        <f>SUM('Facebook Carousel'!C26,'Facebook Video'!C66,'Youtube Trueview'!#REF!,'IG Video'!C27,'Snapchat Video'!C28,'Snapchat Image'!C27,GDN!#REF!)</f>
        <v>#REF!</v>
      </c>
      <c r="D67" s="15" t="e">
        <f>SUM('Facebook Carousel'!D26,'Facebook Video'!D66,'Youtube Trueview'!#REF!,'IG Video'!D27,'Snapchat Video'!D28,'Snapchat Image'!D27,GDN!#REF!)</f>
        <v>#REF!</v>
      </c>
      <c r="E67" s="15" t="e">
        <f>SUM('Facebook Video'!E66,'Youtube Trueview'!#REF!,'IG Video'!E27,'Snapchat Video'!E28)</f>
        <v>#REF!</v>
      </c>
      <c r="F67" s="15" t="e">
        <f>SUM('Facebook Video'!F66,'Youtube Trueview'!#REF!,'IG Video'!F27,'Snapchat Video'!F28)</f>
        <v>#REF!</v>
      </c>
      <c r="G67" s="15" t="e">
        <f>SUM('Facebook Video'!G66,'Youtube Trueview'!#REF!,'IG Video'!G27,'Snapchat Video'!G28)</f>
        <v>#REF!</v>
      </c>
      <c r="H67" s="15" t="e">
        <f>SUM('Facebook Video'!H66,'Youtube Trueview'!#REF!,'IG Video'!H27,'Snapchat Video'!H28)</f>
        <v>#REF!</v>
      </c>
      <c r="I67" s="15" t="e">
        <f>SUM('Facebook Video'!I66,'Youtube Trueview'!#REF!,'IG Video'!I27,'Snapchat Video'!I28)</f>
        <v>#REF!</v>
      </c>
      <c r="J67" s="203" t="e">
        <f>SUM('Facebook Carousel'!E26,'Facebook Video'!J66,'Youtube Trueview'!#REF!,'IG Video'!J27,'Snapchat Video'!J28,'Snapchat Image'!E27,GDN!#REF!)</f>
        <v>#REF!</v>
      </c>
      <c r="K67" s="73" t="e">
        <f>J67/$D$10</f>
        <v>#REF!</v>
      </c>
      <c r="L67" s="555" t="e">
        <f t="shared" ref="L67:L79" si="89">D67/C67</f>
        <v>#REF!</v>
      </c>
      <c r="M67" s="1204">
        <f>$AE$16/30</f>
        <v>69940.733333333337</v>
      </c>
      <c r="N67" s="544" t="e">
        <f t="shared" si="78"/>
        <v>#REF!</v>
      </c>
      <c r="O67" s="1333" t="e">
        <f t="shared" si="79"/>
        <v>#REF!</v>
      </c>
      <c r="P67" s="150" t="e">
        <f>SUM('Facebook Carousel'!H26,'Facebook Video'!Q66,'Youtube Trueview'!#REF!,'IG Video'!Q27,'Snapchat Video'!Q28,'Snapchat Image'!H27,GDN!#REF!)</f>
        <v>#REF!</v>
      </c>
      <c r="Q67" s="150" t="e">
        <f>SUM('Facebook Carousel'!I26,'Facebook Video'!R66,'Youtube Trueview'!#REF!,'IG Video'!R27,'Snapchat Video'!R28,'Snapchat Image'!I27,GDN!#REF!)</f>
        <v>#REF!</v>
      </c>
      <c r="R67" s="150" t="e">
        <f>SUM('Facebook Carousel'!J26,'Facebook Video'!S66,'Youtube Trueview'!#REF!,'IG Video'!S27,'Snapchat Video'!S28,'Snapchat Image'!J27,GDN!#REF!)</f>
        <v>#REF!</v>
      </c>
      <c r="S67" s="293">
        <f>$AE$18/30</f>
        <v>4599.666666666667</v>
      </c>
      <c r="T67" s="541" t="e">
        <f t="shared" si="80"/>
        <v>#REF!</v>
      </c>
      <c r="U67" s="225" t="e">
        <f t="shared" si="81"/>
        <v>#REF!</v>
      </c>
      <c r="V67" s="1273" t="e">
        <f t="shared" si="82"/>
        <v>#REF!</v>
      </c>
      <c r="W67" s="1117">
        <v>34</v>
      </c>
      <c r="X67" s="1274">
        <v>0.83</v>
      </c>
    </row>
    <row r="68" spans="2:24">
      <c r="B68" s="248">
        <v>40835</v>
      </c>
      <c r="C68" s="15" t="e">
        <f>SUM('Facebook Carousel'!C27,'Facebook Video'!C67,'Youtube Trueview'!#REF!,'IG Video'!C28,'Snapchat Video'!C29,'Snapchat Image'!C28,GDN!#REF!)</f>
        <v>#REF!</v>
      </c>
      <c r="D68" s="15" t="e">
        <f>SUM('Facebook Carousel'!D27,'Facebook Video'!D67,'Youtube Trueview'!#REF!,'IG Video'!D28,'Snapchat Video'!D29,'Snapchat Image'!D28,GDN!#REF!)</f>
        <v>#REF!</v>
      </c>
      <c r="E68" s="15" t="e">
        <f>SUM('Facebook Video'!E67,'Youtube Trueview'!#REF!,'IG Video'!E28,'Snapchat Video'!E29)</f>
        <v>#REF!</v>
      </c>
      <c r="F68" s="15" t="e">
        <f>SUM('Facebook Video'!F67,'Youtube Trueview'!#REF!,'IG Video'!F28,'Snapchat Video'!F29)</f>
        <v>#REF!</v>
      </c>
      <c r="G68" s="15" t="e">
        <f>SUM('Facebook Video'!G67,'Youtube Trueview'!#REF!,'IG Video'!G28,'Snapchat Video'!G29)</f>
        <v>#REF!</v>
      </c>
      <c r="H68" s="15" t="e">
        <f>SUM('Facebook Video'!H67,'Youtube Trueview'!#REF!,'IG Video'!H28,'Snapchat Video'!H29)</f>
        <v>#REF!</v>
      </c>
      <c r="I68" s="15" t="e">
        <f>SUM('Facebook Video'!I67,'Youtube Trueview'!#REF!,'IG Video'!I28,'Snapchat Video'!I29)</f>
        <v>#REF!</v>
      </c>
      <c r="J68" s="203" t="e">
        <f>SUM('Facebook Carousel'!E27,'Facebook Video'!J67,'Youtube Trueview'!#REF!,'IG Video'!J28,'Snapchat Video'!J29,'Snapchat Image'!E28,GDN!#REF!)</f>
        <v>#REF!</v>
      </c>
      <c r="K68" s="73" t="e">
        <f>SUM($J$67:J68)/$D$10</f>
        <v>#REF!</v>
      </c>
      <c r="L68" s="555" t="e">
        <f t="shared" si="89"/>
        <v>#REF!</v>
      </c>
      <c r="M68" s="1204">
        <f t="shared" ref="M68:M109" si="90">$AE$16/30</f>
        <v>69940.733333333337</v>
      </c>
      <c r="N68" s="544" t="e">
        <f t="shared" si="78"/>
        <v>#REF!</v>
      </c>
      <c r="O68" s="1333" t="e">
        <f t="shared" si="79"/>
        <v>#REF!</v>
      </c>
      <c r="P68" s="150" t="e">
        <f>SUM('Facebook Carousel'!H27,'Facebook Video'!Q67,'Youtube Trueview'!#REF!,'IG Video'!Q28,'Snapchat Video'!Q29,'Snapchat Image'!H28,GDN!#REF!)</f>
        <v>#REF!</v>
      </c>
      <c r="Q68" s="52"/>
      <c r="R68" s="52"/>
      <c r="S68" s="293">
        <f t="shared" ref="S68:S109" si="91">$AE$18/30</f>
        <v>4599.666666666667</v>
      </c>
      <c r="T68" s="541" t="e">
        <f t="shared" si="80"/>
        <v>#REF!</v>
      </c>
      <c r="U68" s="225" t="e">
        <f t="shared" si="81"/>
        <v>#REF!</v>
      </c>
      <c r="V68" s="308" t="e">
        <f t="shared" si="82"/>
        <v>#REF!</v>
      </c>
      <c r="W68" s="1275">
        <v>36</v>
      </c>
      <c r="X68" s="1278">
        <v>0.85</v>
      </c>
    </row>
    <row r="69" spans="2:24">
      <c r="B69" s="248">
        <v>40836</v>
      </c>
      <c r="C69" s="15" t="e">
        <f>SUM('Facebook Carousel'!C28,'Facebook Video'!C68,'Youtube Trueview'!#REF!,'IG Video'!C29,'Snapchat Video'!C30,'Snapchat Image'!C29,GDN!#REF!)</f>
        <v>#REF!</v>
      </c>
      <c r="D69" s="15" t="e">
        <f>SUM('Facebook Carousel'!D28,'Facebook Video'!D68,'Youtube Trueview'!#REF!,'IG Video'!D29,'Snapchat Video'!D30,'Snapchat Image'!D29,GDN!#REF!)</f>
        <v>#REF!</v>
      </c>
      <c r="E69" s="15" t="e">
        <f>SUM('Facebook Video'!E68,'Youtube Trueview'!#REF!,'IG Video'!E29,'Snapchat Video'!E30)</f>
        <v>#REF!</v>
      </c>
      <c r="F69" s="15" t="e">
        <f>SUM('Facebook Video'!F68,'Youtube Trueview'!#REF!,'IG Video'!F29,'Snapchat Video'!F30)</f>
        <v>#REF!</v>
      </c>
      <c r="G69" s="15" t="e">
        <f>SUM('Facebook Video'!G68,'Youtube Trueview'!#REF!,'IG Video'!G29,'Snapchat Video'!G30)</f>
        <v>#REF!</v>
      </c>
      <c r="H69" s="15" t="e">
        <f>SUM('Facebook Video'!H68,'Youtube Trueview'!#REF!,'IG Video'!H29,'Snapchat Video'!H30)</f>
        <v>#REF!</v>
      </c>
      <c r="I69" s="15" t="e">
        <f>SUM('Facebook Video'!I68,'Youtube Trueview'!#REF!,'IG Video'!I29,'Snapchat Video'!I30)</f>
        <v>#REF!</v>
      </c>
      <c r="J69" s="203" t="e">
        <f>SUM('Facebook Carousel'!E28,'Facebook Video'!J68,'Youtube Trueview'!#REF!,'IG Video'!J29,'Snapchat Video'!J30,'Snapchat Image'!E29,GDN!#REF!)</f>
        <v>#REF!</v>
      </c>
      <c r="K69" s="73" t="e">
        <f>SUM($J$67:J69)/$D$10</f>
        <v>#REF!</v>
      </c>
      <c r="L69" s="555" t="e">
        <f t="shared" si="89"/>
        <v>#REF!</v>
      </c>
      <c r="M69" s="1204">
        <f t="shared" si="90"/>
        <v>69940.733333333337</v>
      </c>
      <c r="N69" s="544" t="e">
        <f t="shared" si="78"/>
        <v>#REF!</v>
      </c>
      <c r="O69" s="1333" t="e">
        <f t="shared" si="79"/>
        <v>#REF!</v>
      </c>
      <c r="P69" s="150" t="e">
        <f>SUM('Facebook Carousel'!H28,'Facebook Video'!Q68,'Youtube Trueview'!#REF!,'IG Video'!Q29,'Snapchat Video'!Q30,'Snapchat Image'!H29,GDN!#REF!)</f>
        <v>#REF!</v>
      </c>
      <c r="Q69" s="52"/>
      <c r="R69" s="52"/>
      <c r="S69" s="293">
        <f t="shared" si="91"/>
        <v>4599.666666666667</v>
      </c>
      <c r="T69" s="541" t="e">
        <f t="shared" si="80"/>
        <v>#REF!</v>
      </c>
      <c r="U69" s="225" t="e">
        <f t="shared" si="81"/>
        <v>#REF!</v>
      </c>
      <c r="V69" s="308" t="e">
        <f t="shared" si="82"/>
        <v>#REF!</v>
      </c>
      <c r="W69" s="1275">
        <v>31</v>
      </c>
      <c r="X69" s="1278">
        <v>0.87</v>
      </c>
    </row>
    <row r="70" spans="2:24">
      <c r="B70" s="253">
        <v>40837</v>
      </c>
      <c r="C70" s="15" t="e">
        <f>SUM('Facebook Carousel'!C29,'Facebook Video'!C69,'Youtube Trueview'!#REF!,'IG Video'!C30,'Snapchat Video'!C31,'Snapchat Image'!C30,GDN!#REF!,UAC!C31)</f>
        <v>#REF!</v>
      </c>
      <c r="D70" s="15" t="e">
        <f>SUM('Facebook Carousel'!D29,'Facebook Video'!D69,'Youtube Trueview'!#REF!,'IG Video'!D30,'Snapchat Video'!D31,'Snapchat Image'!D30,GDN!#REF!,UAC!D31)</f>
        <v>#REF!</v>
      </c>
      <c r="E70" s="15" t="e">
        <f>SUM('Facebook Video'!E69,'Youtube Trueview'!#REF!,'IG Video'!E30,'Snapchat Video'!E31)</f>
        <v>#REF!</v>
      </c>
      <c r="F70" s="15" t="e">
        <f>SUM('Facebook Video'!F69,'Youtube Trueview'!#REF!,'IG Video'!F30,'Snapchat Video'!F31)</f>
        <v>#REF!</v>
      </c>
      <c r="G70" s="15" t="e">
        <f>SUM('Facebook Video'!G69,'Youtube Trueview'!#REF!,'IG Video'!G30,'Snapchat Video'!G31)</f>
        <v>#REF!</v>
      </c>
      <c r="H70" s="15" t="e">
        <f>SUM('Facebook Video'!H69,'Youtube Trueview'!#REF!,'IG Video'!H30,'Snapchat Video'!H31)</f>
        <v>#REF!</v>
      </c>
      <c r="I70" s="15" t="e">
        <f>SUM('Facebook Video'!I69,'Youtube Trueview'!#REF!,'IG Video'!I30,'Snapchat Video'!I31)</f>
        <v>#REF!</v>
      </c>
      <c r="J70" s="203" t="e">
        <f>SUM('Facebook Carousel'!E29,'Facebook Video'!J69,'Youtube Trueview'!#REF!,'IG Video'!J30,'Snapchat Video'!J31,'Snapchat Image'!E30,GDN!#REF!,UAC!J31)</f>
        <v>#REF!</v>
      </c>
      <c r="K70" s="73" t="e">
        <f>SUM($J$67:J70)/$D$10</f>
        <v>#REF!</v>
      </c>
      <c r="L70" s="555" t="e">
        <f t="shared" si="89"/>
        <v>#REF!</v>
      </c>
      <c r="M70" s="1204">
        <f t="shared" si="90"/>
        <v>69940.733333333337</v>
      </c>
      <c r="N70" s="544" t="e">
        <f t="shared" si="78"/>
        <v>#REF!</v>
      </c>
      <c r="O70" s="1333" t="e">
        <f t="shared" si="79"/>
        <v>#REF!</v>
      </c>
      <c r="P70" s="150" t="e">
        <f>SUM('Facebook Carousel'!H29,'Facebook Video'!Q69,'Youtube Trueview'!#REF!,'IG Video'!Q30,'Snapchat Video'!Q31,'Snapchat Image'!H30,GDN!#REF!)</f>
        <v>#REF!</v>
      </c>
      <c r="Q70" s="52"/>
      <c r="R70" s="52"/>
      <c r="S70" s="293">
        <f t="shared" si="91"/>
        <v>4599.666666666667</v>
      </c>
      <c r="T70" s="541" t="e">
        <f t="shared" si="80"/>
        <v>#REF!</v>
      </c>
      <c r="U70" s="225" t="e">
        <f t="shared" si="81"/>
        <v>#REF!</v>
      </c>
      <c r="V70" s="308" t="e">
        <f t="shared" si="82"/>
        <v>#REF!</v>
      </c>
      <c r="W70" s="1275">
        <v>35</v>
      </c>
      <c r="X70" s="1279">
        <v>0.87</v>
      </c>
    </row>
    <row r="71" spans="2:24">
      <c r="B71" s="253">
        <v>40838</v>
      </c>
      <c r="C71" s="15" t="e">
        <f>SUM('Facebook Carousel'!C30,'Facebook Video'!C70,'Youtube Trueview'!#REF!,'IG Video'!C31,'Snapchat Video'!C32,'Snapchat Image'!C31,GDN!#REF!,UAC!C32)</f>
        <v>#REF!</v>
      </c>
      <c r="D71" s="15" t="e">
        <f>SUM('Facebook Carousel'!D30,'Facebook Video'!D70,'Youtube Trueview'!#REF!,'IG Video'!D31,'Snapchat Video'!D32,'Snapchat Image'!D31,GDN!#REF!,UAC!D32)</f>
        <v>#REF!</v>
      </c>
      <c r="E71" s="15" t="e">
        <f>SUM('Facebook Video'!E70,'Youtube Trueview'!#REF!,'IG Video'!E31,'Snapchat Video'!E32)</f>
        <v>#REF!</v>
      </c>
      <c r="F71" s="15" t="e">
        <f>SUM('Facebook Video'!F70,'Youtube Trueview'!#REF!,'IG Video'!F31,'Snapchat Video'!F32)</f>
        <v>#REF!</v>
      </c>
      <c r="G71" s="15" t="e">
        <f>SUM('Facebook Video'!G70,'Youtube Trueview'!#REF!,'IG Video'!G31,'Snapchat Video'!G32)</f>
        <v>#REF!</v>
      </c>
      <c r="H71" s="15" t="e">
        <f>SUM('Facebook Video'!H70,'Youtube Trueview'!#REF!,'IG Video'!H31,'Snapchat Video'!H32)</f>
        <v>#REF!</v>
      </c>
      <c r="I71" s="15" t="e">
        <f>SUM('Facebook Video'!I70,'Youtube Trueview'!#REF!,'IG Video'!I31,'Snapchat Video'!I32)</f>
        <v>#REF!</v>
      </c>
      <c r="J71" s="203" t="e">
        <f>SUM('Facebook Carousel'!E30,'Facebook Video'!J70,'Youtube Trueview'!#REF!,'IG Video'!J31,'Snapchat Video'!J32,'Snapchat Image'!E31,GDN!#REF!,UAC!J32)</f>
        <v>#REF!</v>
      </c>
      <c r="K71" s="73" t="e">
        <f>SUM($J$67:J71)/$D$10</f>
        <v>#REF!</v>
      </c>
      <c r="L71" s="555" t="e">
        <f t="shared" si="89"/>
        <v>#REF!</v>
      </c>
      <c r="M71" s="1204">
        <f t="shared" si="90"/>
        <v>69940.733333333337</v>
      </c>
      <c r="N71" s="544" t="e">
        <f t="shared" si="78"/>
        <v>#REF!</v>
      </c>
      <c r="O71" s="1333" t="e">
        <f t="shared" si="79"/>
        <v>#REF!</v>
      </c>
      <c r="P71" s="150" t="e">
        <f>SUM('Facebook Carousel'!H30,'Facebook Video'!Q70,'Youtube Trueview'!#REF!,'IG Video'!Q31,'Snapchat Video'!Q32,'Snapchat Image'!H31,GDN!#REF!)</f>
        <v>#REF!</v>
      </c>
      <c r="Q71" s="52"/>
      <c r="R71" s="52"/>
      <c r="S71" s="293">
        <f t="shared" si="91"/>
        <v>4599.666666666667</v>
      </c>
      <c r="T71" s="541" t="e">
        <f t="shared" si="80"/>
        <v>#REF!</v>
      </c>
      <c r="U71" s="225" t="e">
        <f t="shared" si="81"/>
        <v>#REF!</v>
      </c>
      <c r="V71" s="308" t="e">
        <f t="shared" si="82"/>
        <v>#REF!</v>
      </c>
      <c r="W71" s="1275">
        <v>35</v>
      </c>
      <c r="X71" s="1280">
        <v>0.88</v>
      </c>
    </row>
    <row r="72" spans="2:24">
      <c r="B72" s="254" t="s">
        <v>160</v>
      </c>
      <c r="C72" s="298" t="e">
        <f>SUM(C64:C65,C67:C71)</f>
        <v>#REF!</v>
      </c>
      <c r="D72" s="298" t="e">
        <f t="shared" ref="D72:I72" si="92">SUM(D64:D65,D67:D71)</f>
        <v>#REF!</v>
      </c>
      <c r="E72" s="298" t="e">
        <f t="shared" si="92"/>
        <v>#REF!</v>
      </c>
      <c r="F72" s="298" t="e">
        <f t="shared" si="92"/>
        <v>#REF!</v>
      </c>
      <c r="G72" s="298" t="e">
        <f t="shared" si="92"/>
        <v>#REF!</v>
      </c>
      <c r="H72" s="298" t="e">
        <f t="shared" si="92"/>
        <v>#REF!</v>
      </c>
      <c r="I72" s="298" t="e">
        <f t="shared" si="92"/>
        <v>#REF!</v>
      </c>
      <c r="J72" s="965" t="e">
        <f>SUM(J64:J65,J67:J71)</f>
        <v>#REF!</v>
      </c>
      <c r="K72" s="1162" t="e">
        <f>SUM(J64:J65,J67:J71)/$D$10</f>
        <v>#REF!</v>
      </c>
      <c r="L72" s="900" t="e">
        <f>D72/C72</f>
        <v>#REF!</v>
      </c>
      <c r="M72" s="670">
        <f t="shared" ref="M72" si="93">SUM(M64:M65,M67:M71)</f>
        <v>514437.00000000006</v>
      </c>
      <c r="N72" s="1337" t="e">
        <f t="shared" ref="N72" si="94">E72/M72</f>
        <v>#REF!</v>
      </c>
      <c r="O72" s="1334" t="e">
        <f>J72/I72</f>
        <v>#REF!</v>
      </c>
      <c r="P72" s="1163" t="e">
        <f t="shared" ref="P72" si="95">SUM(P64:P65,P67:P71)</f>
        <v>#REF!</v>
      </c>
      <c r="Q72" s="1164"/>
      <c r="R72" s="1164"/>
      <c r="S72" s="1164">
        <f t="shared" ref="S72" si="96">SUM(S64:S65,S67:S71)</f>
        <v>26954.26666666667</v>
      </c>
      <c r="T72" s="1165" t="e">
        <f>P72/S72</f>
        <v>#REF!</v>
      </c>
      <c r="U72" s="1166" t="e">
        <f t="shared" ref="U72" si="97">J72/P72</f>
        <v>#REF!</v>
      </c>
      <c r="V72" s="1276" t="e">
        <f t="shared" ref="V72" si="98">P72/D72</f>
        <v>#REF!</v>
      </c>
      <c r="W72" s="1289">
        <f>AVERAGE(W64:W65,W67:W71)</f>
        <v>38.571428571428569</v>
      </c>
      <c r="X72" s="1288">
        <f>AVERAGE(X64:X65,X67:X71)</f>
        <v>0.85571428571428576</v>
      </c>
    </row>
    <row r="73" spans="2:24">
      <c r="B73" s="248">
        <v>40839</v>
      </c>
      <c r="C73" s="15" t="e">
        <f>SUM('Facebook Carousel'!C31,'Facebook Video'!C72,'Youtube Trueview'!#REF!,'IG Video'!C32,'Snapchat Video'!C33,'Snapchat Image'!C32,GDN!#REF!)</f>
        <v>#REF!</v>
      </c>
      <c r="D73" s="15" t="e">
        <f>SUM('Facebook Carousel'!D31,'Facebook Video'!D72,'Youtube Trueview'!#REF!,'IG Video'!D32,'Snapchat Video'!D33,'Snapchat Image'!D32,GDN!#REF!,UAC!D33)</f>
        <v>#REF!</v>
      </c>
      <c r="E73" s="15" t="e">
        <f>SUM('Facebook Video'!E72,'Youtube Trueview'!#REF!,'IG Video'!E32,'Snapchat Video'!E33)</f>
        <v>#REF!</v>
      </c>
      <c r="F73" s="15" t="e">
        <f>SUM('Facebook Video'!F72,'Youtube Trueview'!#REF!,'IG Video'!F32,'Snapchat Video'!F33)</f>
        <v>#REF!</v>
      </c>
      <c r="G73" s="15" t="e">
        <f>SUM('Facebook Video'!G72,'Youtube Trueview'!#REF!,'IG Video'!G32,'Snapchat Video'!G33)</f>
        <v>#REF!</v>
      </c>
      <c r="H73" s="15" t="e">
        <f>SUM('Facebook Video'!H72,'Youtube Trueview'!#REF!,'IG Video'!H32,'Snapchat Video'!H33)</f>
        <v>#REF!</v>
      </c>
      <c r="I73" s="15" t="e">
        <f>SUM('Facebook Video'!I72,'Youtube Trueview'!#REF!,'IG Video'!I32,'Snapchat Video'!I33)</f>
        <v>#REF!</v>
      </c>
      <c r="J73" s="203" t="e">
        <f>SUM('Facebook Carousel'!E31,'Facebook Video'!J72,'Youtube Trueview'!#REF!,'IG Video'!J32,'Snapchat Video'!J33,'Snapchat Image'!E32,GDN!#REF!,UAC!J33)</f>
        <v>#REF!</v>
      </c>
      <c r="K73" s="73" t="e">
        <f>SUM($J$67:$J$71,$J$73)/$D$10</f>
        <v>#REF!</v>
      </c>
      <c r="L73" s="555" t="e">
        <f t="shared" si="89"/>
        <v>#REF!</v>
      </c>
      <c r="M73" s="1204">
        <f t="shared" si="90"/>
        <v>69940.733333333337</v>
      </c>
      <c r="N73" s="544" t="e">
        <f t="shared" si="78"/>
        <v>#REF!</v>
      </c>
      <c r="O73" s="1333" t="e">
        <f t="shared" si="79"/>
        <v>#REF!</v>
      </c>
      <c r="P73" s="150" t="e">
        <f>SUM('Facebook Carousel'!H31,'Facebook Video'!Q72,'Youtube Trueview'!#REF!,'IG Video'!Q32,'Snapchat Video'!Q33,'Snapchat Image'!H32,GDN!#REF!)</f>
        <v>#REF!</v>
      </c>
      <c r="Q73" s="52"/>
      <c r="R73" s="52"/>
      <c r="S73" s="293">
        <f t="shared" si="91"/>
        <v>4599.666666666667</v>
      </c>
      <c r="T73" s="541" t="e">
        <f t="shared" si="80"/>
        <v>#REF!</v>
      </c>
      <c r="U73" s="1338" t="e">
        <f t="shared" si="81"/>
        <v>#REF!</v>
      </c>
      <c r="V73" s="308" t="e">
        <f t="shared" si="82"/>
        <v>#REF!</v>
      </c>
      <c r="W73" s="680">
        <v>38</v>
      </c>
      <c r="X73" s="1371">
        <v>0.87150000000000005</v>
      </c>
    </row>
    <row r="74" spans="2:24">
      <c r="B74" s="248">
        <v>40840</v>
      </c>
      <c r="C74" s="15" t="e">
        <f>SUM('Facebook Carousel'!C32,'Facebook Video'!C73,'Youtube Trueview'!#REF!,'IG Video'!C33,'Snapchat Video'!C34,'Snapchat Image'!C33,GDN!#REF!)</f>
        <v>#REF!</v>
      </c>
      <c r="D74" s="15" t="e">
        <f>SUM('Facebook Carousel'!D32,'Facebook Video'!D73,'Youtube Trueview'!#REF!,'IG Video'!D33,'Snapchat Video'!D34,'Snapchat Image'!D33,GDN!#REF!,UAC!D34)</f>
        <v>#REF!</v>
      </c>
      <c r="E74" s="15" t="e">
        <f>SUM('Facebook Video'!E73,'Youtube Trueview'!#REF!,'IG Video'!E33,'Snapchat Video'!E34)</f>
        <v>#REF!</v>
      </c>
      <c r="F74" s="15" t="e">
        <f>SUM('Facebook Video'!F73,'Youtube Trueview'!#REF!,'IG Video'!F33,'Snapchat Video'!F34)</f>
        <v>#REF!</v>
      </c>
      <c r="G74" s="15" t="e">
        <f>SUM('Facebook Video'!G73,'Youtube Trueview'!#REF!,'IG Video'!G33,'Snapchat Video'!G34)</f>
        <v>#REF!</v>
      </c>
      <c r="H74" s="15" t="e">
        <f>SUM('Facebook Video'!H73,'Youtube Trueview'!#REF!,'IG Video'!H33,'Snapchat Video'!H34)</f>
        <v>#REF!</v>
      </c>
      <c r="I74" s="15" t="e">
        <f>SUM('Facebook Video'!I73,'Youtube Trueview'!#REF!,'IG Video'!I33,'Snapchat Video'!I34)</f>
        <v>#REF!</v>
      </c>
      <c r="J74" s="203" t="e">
        <f>SUM('Facebook Carousel'!E32,'Facebook Video'!J73,'Youtube Trueview'!#REF!,'IG Video'!J33,'Snapchat Video'!J34,'Snapchat Image'!E33,GDN!#REF!,UAC!J34)</f>
        <v>#REF!</v>
      </c>
      <c r="K74" s="73" t="e">
        <f>SUM($J$67:$J$71,$J$73:J74)/$D$10</f>
        <v>#REF!</v>
      </c>
      <c r="L74" s="555" t="e">
        <f t="shared" si="89"/>
        <v>#REF!</v>
      </c>
      <c r="M74" s="1204">
        <f t="shared" si="90"/>
        <v>69940.733333333337</v>
      </c>
      <c r="N74" s="544" t="e">
        <f t="shared" si="78"/>
        <v>#REF!</v>
      </c>
      <c r="O74" s="1333" t="e">
        <f t="shared" si="79"/>
        <v>#REF!</v>
      </c>
      <c r="P74" s="150" t="e">
        <f>SUM('Facebook Carousel'!H32,'Facebook Video'!Q73,'Youtube Trueview'!#REF!,'IG Video'!Q33,'Snapchat Video'!Q34,'Snapchat Image'!H33,GDN!#REF!)</f>
        <v>#REF!</v>
      </c>
      <c r="Q74" s="52"/>
      <c r="R74" s="52"/>
      <c r="S74" s="293">
        <f t="shared" si="91"/>
        <v>4599.666666666667</v>
      </c>
      <c r="T74" s="541" t="e">
        <f t="shared" si="80"/>
        <v>#REF!</v>
      </c>
      <c r="U74" s="1339" t="e">
        <f t="shared" si="81"/>
        <v>#REF!</v>
      </c>
      <c r="V74" s="308" t="e">
        <f t="shared" si="82"/>
        <v>#REF!</v>
      </c>
      <c r="W74" s="680">
        <v>38</v>
      </c>
      <c r="X74" s="1371">
        <v>0.87</v>
      </c>
    </row>
    <row r="75" spans="2:24">
      <c r="B75" s="248">
        <v>40841</v>
      </c>
      <c r="C75" s="15" t="e">
        <f>SUM('Facebook Carousel'!C34,'Facebook Video'!C74,'Youtube Trueview'!#REF!,'IG Video'!C35,'Snapchat Video'!C36,'Snapchat Image'!C35,GDN!#REF!,UAC!C36)</f>
        <v>#REF!</v>
      </c>
      <c r="D75" s="15" t="e">
        <f>SUM('Facebook Carousel'!D34,'Facebook Video'!D74,'Youtube Trueview'!#REF!,'IG Video'!D35,'Snapchat Video'!D36,'Snapchat Image'!D35,GDN!#REF!,UAC!D36)</f>
        <v>#REF!</v>
      </c>
      <c r="E75" s="15" t="e">
        <f>SUM('Facebook Video'!E74,'Youtube Trueview'!#REF!,'IG Video'!E35,'Snapchat Video'!E36)</f>
        <v>#REF!</v>
      </c>
      <c r="F75" s="15" t="e">
        <f>SUM('Facebook Video'!F74,'Youtube Trueview'!#REF!,'IG Video'!F34,'Snapchat Video'!F35)</f>
        <v>#REF!</v>
      </c>
      <c r="G75" s="15" t="e">
        <f>SUM('Facebook Video'!G74,'Youtube Trueview'!#REF!,'IG Video'!G34,'Snapchat Video'!G35)</f>
        <v>#REF!</v>
      </c>
      <c r="H75" s="15" t="e">
        <f>SUM('Facebook Video'!H74,'Youtube Trueview'!#REF!,'IG Video'!H34,'Snapchat Video'!H35)</f>
        <v>#REF!</v>
      </c>
      <c r="I75" s="15" t="e">
        <f>SUM('Facebook Video'!I74,'Youtube Trueview'!#REF!,'IG Video'!I34,'Snapchat Video'!I35)</f>
        <v>#REF!</v>
      </c>
      <c r="J75" s="203" t="e">
        <f>SUM('Facebook Carousel'!E34,'Facebook Video'!J74,'Youtube Trueview'!#REF!,'IG Video'!J35,'Snapchat Video'!J36,'Snapchat Image'!E35,GDN!#REF!,UAC!J36)</f>
        <v>#REF!</v>
      </c>
      <c r="K75" s="73" t="e">
        <f>SUM($J$67:$J$71,$J$73:J75)/$D$10</f>
        <v>#REF!</v>
      </c>
      <c r="L75" s="555" t="e">
        <f t="shared" si="89"/>
        <v>#REF!</v>
      </c>
      <c r="M75" s="1204">
        <f t="shared" si="90"/>
        <v>69940.733333333337</v>
      </c>
      <c r="N75" s="544" t="e">
        <f t="shared" si="78"/>
        <v>#REF!</v>
      </c>
      <c r="O75" s="1333" t="e">
        <f t="shared" si="79"/>
        <v>#REF!</v>
      </c>
      <c r="P75" s="150" t="e">
        <f>SUM('Facebook Carousel'!H34,'Facebook Video'!Q74,'Youtube Trueview'!#REF!,'IG Video'!Q35,'Snapchat Video'!Q36,'Snapchat Image'!H35,GDN!#REF!)</f>
        <v>#REF!</v>
      </c>
      <c r="Q75" s="52"/>
      <c r="R75" s="52"/>
      <c r="S75" s="293">
        <f t="shared" si="91"/>
        <v>4599.666666666667</v>
      </c>
      <c r="T75" s="541" t="e">
        <f t="shared" si="80"/>
        <v>#REF!</v>
      </c>
      <c r="U75" s="1339" t="e">
        <f t="shared" si="81"/>
        <v>#REF!</v>
      </c>
      <c r="V75" s="308" t="e">
        <f t="shared" si="82"/>
        <v>#REF!</v>
      </c>
      <c r="W75" s="680">
        <v>38</v>
      </c>
      <c r="X75" s="1371">
        <v>0.8679</v>
      </c>
    </row>
    <row r="76" spans="2:24">
      <c r="B76" s="248">
        <v>40842</v>
      </c>
      <c r="C76" s="15" t="e">
        <f>SUM('Facebook Carousel'!C35,'Facebook Video'!C75,'Youtube Trueview'!#REF!,'IG Video'!C36,'Snapchat Video'!C37,'Snapchat Image'!C36,GDN!#REF!,UAC!C37)</f>
        <v>#REF!</v>
      </c>
      <c r="D76" s="15" t="e">
        <f>SUM('Facebook Carousel'!D35,'Facebook Video'!D75,'Youtube Trueview'!#REF!,'IG Video'!D36,'Snapchat Video'!D37,'Snapchat Image'!D36,GDN!#REF!,UAC!D37)</f>
        <v>#REF!</v>
      </c>
      <c r="E76" s="15" t="e">
        <f>SUM('Facebook Video'!E75,'Youtube Trueview'!#REF!,'IG Video'!E36,'Snapchat Video'!E37)</f>
        <v>#REF!</v>
      </c>
      <c r="F76" s="15" t="e">
        <f>SUM('Facebook Video'!F75,'Youtube Trueview'!#REF!,'IG Video'!F35,'Snapchat Video'!F36)</f>
        <v>#REF!</v>
      </c>
      <c r="G76" s="15" t="e">
        <f>SUM('Facebook Video'!G75,'Youtube Trueview'!#REF!,'IG Video'!G35,'Snapchat Video'!G36)</f>
        <v>#REF!</v>
      </c>
      <c r="H76" s="15" t="e">
        <f>SUM('Facebook Video'!H75,'Youtube Trueview'!#REF!,'IG Video'!H35,'Snapchat Video'!H36)</f>
        <v>#REF!</v>
      </c>
      <c r="I76" s="15" t="e">
        <f>SUM('Facebook Video'!I75,'Youtube Trueview'!#REF!,'IG Video'!I35,'Snapchat Video'!I36)</f>
        <v>#REF!</v>
      </c>
      <c r="J76" s="203" t="e">
        <f>SUM('Facebook Carousel'!E35,'Facebook Video'!J75,'Youtube Trueview'!#REF!,'IG Video'!J36,'Snapchat Video'!J37,'Snapchat Image'!E36,GDN!#REF!,UAC!J37)</f>
        <v>#REF!</v>
      </c>
      <c r="K76" s="73" t="e">
        <f>SUM($J$67:$J$71,$J$73:J76)/$D$10</f>
        <v>#REF!</v>
      </c>
      <c r="L76" s="555" t="e">
        <f t="shared" si="89"/>
        <v>#REF!</v>
      </c>
      <c r="M76" s="1204">
        <f t="shared" si="90"/>
        <v>69940.733333333337</v>
      </c>
      <c r="N76" s="544" t="e">
        <f t="shared" ref="N76:N79" si="99">E76/M76</f>
        <v>#REF!</v>
      </c>
      <c r="O76" s="1333" t="e">
        <f t="shared" ref="O76:O79" si="100">J76/D76</f>
        <v>#REF!</v>
      </c>
      <c r="P76" s="150" t="e">
        <f>SUM('Facebook Carousel'!H35,'Facebook Video'!Q75,'Youtube Trueview'!#REF!,'IG Video'!Q36,'Snapchat Video'!Q37,'Snapchat Image'!H36,GDN!#REF!)</f>
        <v>#REF!</v>
      </c>
      <c r="Q76" s="52"/>
      <c r="R76" s="52"/>
      <c r="S76" s="293">
        <f t="shared" si="91"/>
        <v>4599.666666666667</v>
      </c>
      <c r="T76" s="541" t="e">
        <f t="shared" si="80"/>
        <v>#REF!</v>
      </c>
      <c r="U76" s="1339" t="e">
        <f t="shared" si="81"/>
        <v>#REF!</v>
      </c>
      <c r="V76" s="308" t="e">
        <f t="shared" si="82"/>
        <v>#REF!</v>
      </c>
      <c r="W76" s="680">
        <v>39</v>
      </c>
      <c r="X76" s="1371">
        <v>0.87428142964258937</v>
      </c>
    </row>
    <row r="77" spans="2:24">
      <c r="B77" s="248">
        <v>40843</v>
      </c>
      <c r="C77" s="15" t="e">
        <f>SUM('Facebook Carousel'!C36,'Facebook Video'!C76,'Youtube Trueview'!#REF!,'IG Video'!C37,'Snapchat Video'!C38,'Snapchat Image'!C37,GDN!#REF!,UAC!C38)</f>
        <v>#REF!</v>
      </c>
      <c r="D77" s="15" t="e">
        <f>SUM('Facebook Carousel'!D36,'Facebook Video'!D76,'Youtube Trueview'!#REF!,'IG Video'!D37,'Snapchat Video'!D38,'Snapchat Image'!D37,GDN!#REF!,UAC!D38)</f>
        <v>#REF!</v>
      </c>
      <c r="E77" s="15" t="e">
        <f>SUM('Facebook Video'!E76,'Youtube Trueview'!#REF!,'IG Video'!E37,'Snapchat Video'!E38)</f>
        <v>#REF!</v>
      </c>
      <c r="F77" s="15" t="e">
        <f>SUM('Facebook Video'!F76,'Youtube Trueview'!#REF!,'IG Video'!F36,'Snapchat Video'!F37)</f>
        <v>#REF!</v>
      </c>
      <c r="G77" s="15" t="e">
        <f>SUM('Facebook Video'!G76,'Youtube Trueview'!#REF!,'IG Video'!G36,'Snapchat Video'!G37)</f>
        <v>#REF!</v>
      </c>
      <c r="H77" s="15" t="e">
        <f>SUM('Facebook Video'!H76,'Youtube Trueview'!#REF!,'IG Video'!H36,'Snapchat Video'!H37)</f>
        <v>#REF!</v>
      </c>
      <c r="I77" s="15" t="e">
        <f>SUM('Facebook Video'!I76,'Youtube Trueview'!#REF!,'IG Video'!I36,'Snapchat Video'!I37)</f>
        <v>#REF!</v>
      </c>
      <c r="J77" s="203" t="e">
        <f>SUM('Facebook Carousel'!E36,'Facebook Video'!J76,'Youtube Trueview'!#REF!,'IG Video'!J37,'Snapchat Video'!J38,'Snapchat Image'!E37,GDN!#REF!,UAC!J38)</f>
        <v>#REF!</v>
      </c>
      <c r="K77" s="73" t="e">
        <f>SUM($J$67:$J$71,$J$73:J77)/$D$10</f>
        <v>#REF!</v>
      </c>
      <c r="L77" s="555" t="e">
        <f t="shared" si="89"/>
        <v>#REF!</v>
      </c>
      <c r="M77" s="1204">
        <f t="shared" si="90"/>
        <v>69940.733333333337</v>
      </c>
      <c r="N77" s="544" t="e">
        <f t="shared" si="99"/>
        <v>#REF!</v>
      </c>
      <c r="O77" s="1333" t="e">
        <f t="shared" si="100"/>
        <v>#REF!</v>
      </c>
      <c r="P77" s="150" t="e">
        <f>SUM('Facebook Carousel'!H36,'Facebook Video'!Q76,'Youtube Trueview'!#REF!,'IG Video'!Q37,'Snapchat Video'!Q38,'Snapchat Image'!H37,GDN!#REF!)</f>
        <v>#REF!</v>
      </c>
      <c r="Q77" s="52"/>
      <c r="R77" s="52"/>
      <c r="S77" s="293">
        <f t="shared" si="91"/>
        <v>4599.666666666667</v>
      </c>
      <c r="T77" s="541" t="e">
        <f t="shared" si="80"/>
        <v>#REF!</v>
      </c>
      <c r="U77" s="1339" t="e">
        <f t="shared" si="81"/>
        <v>#REF!</v>
      </c>
      <c r="V77" s="308" t="e">
        <f t="shared" si="82"/>
        <v>#REF!</v>
      </c>
      <c r="W77" s="680">
        <v>40</v>
      </c>
      <c r="X77" s="1371">
        <v>0.87539005616808818</v>
      </c>
    </row>
    <row r="78" spans="2:24">
      <c r="B78" s="253">
        <v>40844</v>
      </c>
      <c r="C78" s="15" t="e">
        <f>SUM('Facebook Carousel'!C37,'Facebook Video'!C77,'Youtube Trueview'!#REF!,'IG Video'!C38,'Snapchat Video'!C39,'Snapchat Image'!C38,GDN!#REF!,UAC!C39)</f>
        <v>#REF!</v>
      </c>
      <c r="D78" s="15" t="e">
        <f>SUM('Facebook Carousel'!D37,'Facebook Video'!D77,'Youtube Trueview'!#REF!,'IG Video'!D38,'Snapchat Video'!D39,'Snapchat Image'!D38,GDN!#REF!,UAC!D39)</f>
        <v>#REF!</v>
      </c>
      <c r="E78" s="15" t="e">
        <f>SUM('Facebook Video'!E77,'Youtube Trueview'!#REF!,'IG Video'!E38,'Snapchat Video'!E39)</f>
        <v>#REF!</v>
      </c>
      <c r="F78" s="15" t="e">
        <f>SUM('Facebook Video'!F77,'Youtube Trueview'!#REF!,'IG Video'!F37,'Snapchat Video'!F38)</f>
        <v>#REF!</v>
      </c>
      <c r="G78" s="15" t="e">
        <f>SUM('Facebook Video'!G77,'Youtube Trueview'!#REF!,'IG Video'!G37,'Snapchat Video'!G38)</f>
        <v>#REF!</v>
      </c>
      <c r="H78" s="15" t="e">
        <f>SUM('Facebook Video'!H77,'Youtube Trueview'!#REF!,'IG Video'!H37,'Snapchat Video'!H38)</f>
        <v>#REF!</v>
      </c>
      <c r="I78" s="15" t="e">
        <f>SUM('Facebook Video'!I77,'Youtube Trueview'!#REF!,'IG Video'!I37,'Snapchat Video'!I38)</f>
        <v>#REF!</v>
      </c>
      <c r="J78" s="203" t="e">
        <f>SUM('Facebook Carousel'!E37,'Facebook Video'!J77,'Youtube Trueview'!#REF!,'IG Video'!J38,'Snapchat Video'!J39,'Snapchat Image'!E38,GDN!#REF!,UAC!J39)</f>
        <v>#REF!</v>
      </c>
      <c r="K78" s="73" t="e">
        <f>SUM($J$67:$J$71,$J$73:J78)/$D$10</f>
        <v>#REF!</v>
      </c>
      <c r="L78" s="555" t="e">
        <f t="shared" si="89"/>
        <v>#REF!</v>
      </c>
      <c r="M78" s="1204">
        <f t="shared" si="90"/>
        <v>69940.733333333337</v>
      </c>
      <c r="N78" s="544" t="e">
        <f t="shared" si="99"/>
        <v>#REF!</v>
      </c>
      <c r="O78" s="1333" t="e">
        <f t="shared" si="100"/>
        <v>#REF!</v>
      </c>
      <c r="P78" s="150" t="e">
        <f>SUM('Facebook Carousel'!H37,'Facebook Video'!Q77,'Youtube Trueview'!#REF!,'IG Video'!Q38,'Snapchat Video'!Q39,'Snapchat Image'!H38,GDN!#REF!)</f>
        <v>#REF!</v>
      </c>
      <c r="Q78" s="52"/>
      <c r="R78" s="52"/>
      <c r="S78" s="293">
        <f t="shared" si="91"/>
        <v>4599.666666666667</v>
      </c>
      <c r="T78" s="541" t="e">
        <f t="shared" si="80"/>
        <v>#REF!</v>
      </c>
      <c r="U78" s="1339" t="e">
        <f t="shared" si="81"/>
        <v>#REF!</v>
      </c>
      <c r="V78" s="308" t="e">
        <f t="shared" si="82"/>
        <v>#REF!</v>
      </c>
      <c r="W78" s="680">
        <v>41</v>
      </c>
      <c r="X78" s="1371">
        <v>0.88431061806656097</v>
      </c>
    </row>
    <row r="79" spans="2:24">
      <c r="B79" s="253">
        <v>40845</v>
      </c>
      <c r="C79" s="15" t="e">
        <f>SUM('Facebook Carousel'!C38,'Facebook Video'!C78,'Youtube Trueview'!#REF!,'IG Video'!C39,'Snapchat Video'!C40,'Snapchat Image'!C39,GDN!#REF!,UAC!C40)</f>
        <v>#REF!</v>
      </c>
      <c r="D79" s="15" t="e">
        <f>SUM('Facebook Carousel'!D38,'Facebook Video'!D78,'Youtube Trueview'!#REF!,'IG Video'!D39,'Snapchat Video'!D40,'Snapchat Image'!D39,GDN!#REF!,UAC!D40)</f>
        <v>#REF!</v>
      </c>
      <c r="E79" s="15" t="e">
        <f>SUM('Facebook Video'!E78,'Youtube Trueview'!#REF!,'IG Video'!E39,'Snapchat Video'!E40)</f>
        <v>#REF!</v>
      </c>
      <c r="F79" s="15" t="e">
        <f>SUM('Facebook Video'!F78,'Youtube Trueview'!#REF!,'IG Video'!F38,'Snapchat Video'!F39)</f>
        <v>#REF!</v>
      </c>
      <c r="G79" s="15" t="e">
        <f>SUM('Facebook Video'!G78,'Youtube Trueview'!#REF!,'IG Video'!G38,'Snapchat Video'!G39)</f>
        <v>#REF!</v>
      </c>
      <c r="H79" s="15" t="e">
        <f>SUM('Facebook Video'!H78,'Youtube Trueview'!#REF!,'IG Video'!H38,'Snapchat Video'!H39)</f>
        <v>#REF!</v>
      </c>
      <c r="I79" s="15" t="e">
        <f>SUM('Facebook Video'!I78,'Youtube Trueview'!#REF!,'IG Video'!I38,'Snapchat Video'!I39)</f>
        <v>#REF!</v>
      </c>
      <c r="J79" s="203" t="e">
        <f>SUM('Facebook Carousel'!E38,'Facebook Video'!J78,'Youtube Trueview'!#REF!,'IG Video'!J39,'Snapchat Video'!J40,'Snapchat Image'!E39,GDN!#REF!,UAC!J40)</f>
        <v>#REF!</v>
      </c>
      <c r="K79" s="73" t="e">
        <f>SUM($J$67:$J$71,$J$73:J79)/$D$10</f>
        <v>#REF!</v>
      </c>
      <c r="L79" s="555" t="e">
        <f t="shared" si="89"/>
        <v>#REF!</v>
      </c>
      <c r="M79" s="1204">
        <f t="shared" si="90"/>
        <v>69940.733333333337</v>
      </c>
      <c r="N79" s="544" t="e">
        <f t="shared" si="99"/>
        <v>#REF!</v>
      </c>
      <c r="O79" s="1333" t="e">
        <f t="shared" si="100"/>
        <v>#REF!</v>
      </c>
      <c r="P79" s="150" t="e">
        <f>SUM('Facebook Carousel'!H38,'Facebook Video'!Q78,'Youtube Trueview'!#REF!,'IG Video'!Q39,'Snapchat Video'!Q40,'Snapchat Image'!H39,GDN!#REF!)</f>
        <v>#REF!</v>
      </c>
      <c r="Q79" s="52"/>
      <c r="R79" s="52"/>
      <c r="S79" s="293">
        <f t="shared" si="91"/>
        <v>4599.666666666667</v>
      </c>
      <c r="T79" s="541" t="e">
        <f t="shared" si="80"/>
        <v>#REF!</v>
      </c>
      <c r="U79" s="1339" t="e">
        <f t="shared" si="81"/>
        <v>#REF!</v>
      </c>
      <c r="V79" s="308" t="e">
        <f t="shared" si="82"/>
        <v>#REF!</v>
      </c>
      <c r="W79" s="680">
        <v>42</v>
      </c>
      <c r="X79" s="1371">
        <v>0.88127193888085897</v>
      </c>
    </row>
    <row r="80" spans="2:24">
      <c r="B80" s="254" t="s">
        <v>160</v>
      </c>
      <c r="C80" s="27" t="e">
        <f>SUM(C73:C79)</f>
        <v>#REF!</v>
      </c>
      <c r="D80" s="27" t="e">
        <f t="shared" ref="D80:I80" si="101">SUM(D73:D79)</f>
        <v>#REF!</v>
      </c>
      <c r="E80" s="27" t="e">
        <f t="shared" si="101"/>
        <v>#REF!</v>
      </c>
      <c r="F80" s="27" t="e">
        <f t="shared" si="101"/>
        <v>#REF!</v>
      </c>
      <c r="G80" s="27" t="e">
        <f t="shared" si="101"/>
        <v>#REF!</v>
      </c>
      <c r="H80" s="27" t="e">
        <f t="shared" si="101"/>
        <v>#REF!</v>
      </c>
      <c r="I80" s="27" t="e">
        <f t="shared" si="101"/>
        <v>#REF!</v>
      </c>
      <c r="J80" s="965" t="e">
        <f>SUM(J73:J79)</f>
        <v>#REF!</v>
      </c>
      <c r="K80" s="1344" t="e">
        <f>SUM(J67:J71,J80)/$D$10</f>
        <v>#REF!</v>
      </c>
      <c r="L80" s="1317" t="e">
        <f>D80/C80</f>
        <v>#REF!</v>
      </c>
      <c r="M80" s="56">
        <f>SUM(M73:M79)</f>
        <v>489585.13333333336</v>
      </c>
      <c r="N80" s="1337" t="e">
        <f t="shared" ref="N80:N81" si="102">E80/M80</f>
        <v>#REF!</v>
      </c>
      <c r="O80" s="1334" t="e">
        <f>J80/I80</f>
        <v>#REF!</v>
      </c>
      <c r="P80" s="56" t="e">
        <f>SUM(P73:P79)</f>
        <v>#REF!</v>
      </c>
      <c r="Q80" s="56"/>
      <c r="R80" s="56"/>
      <c r="S80" s="56">
        <f>SUM(S73:S79)</f>
        <v>32197.666666666672</v>
      </c>
      <c r="T80" s="1165" t="e">
        <f>P80/S80</f>
        <v>#REF!</v>
      </c>
      <c r="U80" s="1166" t="e">
        <f t="shared" ref="U80:U81" si="103">J80/P80</f>
        <v>#REF!</v>
      </c>
      <c r="V80" s="1276" t="e">
        <f t="shared" ref="V80:V81" si="104">P80/D80</f>
        <v>#REF!</v>
      </c>
      <c r="W80" s="679">
        <f>AVERAGE(W73:W79)</f>
        <v>39.428571428571431</v>
      </c>
      <c r="X80" s="397">
        <f>AVERAGE(X73:X79)</f>
        <v>0.874950577536871</v>
      </c>
    </row>
    <row r="81" spans="2:24">
      <c r="B81" s="248">
        <v>40846</v>
      </c>
      <c r="C81" s="15" t="e">
        <f>SUM('Facebook Carousel'!C39,'Facebook Video'!C80,'Youtube Trueview'!#REF!,'IG Video'!C40,'Snapchat Video'!C41,'Snapchat Image'!C40,GDN!#REF!,UAC!C41)</f>
        <v>#REF!</v>
      </c>
      <c r="D81" s="15" t="e">
        <f>SUM('Facebook Carousel'!D39,'Facebook Video'!D80,'Youtube Trueview'!#REF!,'IG Video'!D40,'Snapchat Video'!D41,'Snapchat Image'!D40,GDN!#REF!,UAC!D41)</f>
        <v>#REF!</v>
      </c>
      <c r="E81" s="15" t="e">
        <f>SUM('Facebook Video'!E80,'Youtube Trueview'!#REF!,'IG Video'!E40,'Snapchat Video'!E41)</f>
        <v>#REF!</v>
      </c>
      <c r="F81" s="15" t="e">
        <f>SUM('Facebook Video'!F80,'Youtube Trueview'!#REF!,'IG Video'!F40,'Snapchat Video'!F41)</f>
        <v>#REF!</v>
      </c>
      <c r="G81" s="15" t="e">
        <f>SUM('Facebook Video'!G80,'Youtube Trueview'!#REF!,'IG Video'!G40,'Snapchat Video'!G41)</f>
        <v>#REF!</v>
      </c>
      <c r="H81" s="15" t="e">
        <f>SUM('Facebook Video'!H80,'Youtube Trueview'!#REF!,'IG Video'!H40,'Snapchat Video'!H41)</f>
        <v>#REF!</v>
      </c>
      <c r="I81" s="15" t="e">
        <f>SUM('Facebook Video'!I80,'Youtube Trueview'!#REF!,'IG Video'!I40,'Snapchat Video'!I41)</f>
        <v>#REF!</v>
      </c>
      <c r="J81" s="203" t="e">
        <f>SUM('Facebook Carousel'!E39,'Facebook Video'!J80,'Youtube Trueview'!#REF!,'IG Video'!J40,'Snapchat Video'!J41,'Snapchat Image'!E40,GDN!#REF!,UAC!J41)</f>
        <v>#REF!</v>
      </c>
      <c r="K81" s="73" t="e">
        <f>SUM($J$67:$J$71,$J$80:J81)/$D$10</f>
        <v>#REF!</v>
      </c>
      <c r="L81" s="555" t="e">
        <f t="shared" ref="L81" si="105">D81/C81</f>
        <v>#REF!</v>
      </c>
      <c r="M81" s="1204">
        <f t="shared" si="90"/>
        <v>69940.733333333337</v>
      </c>
      <c r="N81" s="544" t="e">
        <f t="shared" si="102"/>
        <v>#REF!</v>
      </c>
      <c r="O81" s="1333" t="e">
        <f t="shared" ref="O81" si="106">J81/D81</f>
        <v>#REF!</v>
      </c>
      <c r="P81" s="150" t="e">
        <f>SUM('Facebook Carousel'!H39,'Facebook Video'!Q80,'Youtube Trueview'!#REF!,'IG Video'!Q40,'Snapchat Video'!Q41,'Snapchat Image'!H40,GDN!#REF!)</f>
        <v>#REF!</v>
      </c>
      <c r="Q81" s="52"/>
      <c r="R81" s="52"/>
      <c r="S81" s="293">
        <f t="shared" si="91"/>
        <v>4599.666666666667</v>
      </c>
      <c r="T81" s="541" t="e">
        <f t="shared" ref="T81" si="107">P81/S81</f>
        <v>#REF!</v>
      </c>
      <c r="U81" s="1339" t="e">
        <f t="shared" si="103"/>
        <v>#REF!</v>
      </c>
      <c r="V81" s="308" t="e">
        <f t="shared" si="104"/>
        <v>#REF!</v>
      </c>
      <c r="W81" s="680">
        <v>39</v>
      </c>
      <c r="X81" s="1371">
        <v>0.88127193888085897</v>
      </c>
    </row>
    <row r="82" spans="2:24">
      <c r="B82" s="248">
        <v>40847</v>
      </c>
      <c r="C82" s="15" t="e">
        <f>SUM('Facebook Carousel'!C40,'Facebook Video'!C81,'Youtube Trueview'!#REF!,'IG Video'!C41,'Snapchat Video'!C42,'Snapchat Image'!C41,GDN!#REF!,UAC!C42)</f>
        <v>#REF!</v>
      </c>
      <c r="D82" s="15" t="e">
        <f>SUM('Facebook Carousel'!D40,'Facebook Video'!D81,'Youtube Trueview'!#REF!,'IG Video'!D41,'Snapchat Video'!D42,'Snapchat Image'!D41,GDN!#REF!,UAC!D42)</f>
        <v>#REF!</v>
      </c>
      <c r="E82" s="15" t="e">
        <f>SUM('Facebook Video'!E81,'Youtube Trueview'!#REF!,'IG Video'!E41,'Snapchat Video'!E42)</f>
        <v>#REF!</v>
      </c>
      <c r="F82" s="15" t="e">
        <f>SUM('Facebook Video'!F81,'Youtube Trueview'!#REF!,'IG Video'!F41,'Snapchat Video'!F42)</f>
        <v>#REF!</v>
      </c>
      <c r="G82" s="15" t="e">
        <f>SUM('Facebook Video'!G81,'Youtube Trueview'!#REF!,'IG Video'!G41,'Snapchat Video'!G42)</f>
        <v>#REF!</v>
      </c>
      <c r="H82" s="15" t="e">
        <f>SUM('Facebook Video'!H81,'Youtube Trueview'!#REF!,'IG Video'!H41,'Snapchat Video'!H42)</f>
        <v>#REF!</v>
      </c>
      <c r="I82" s="15" t="e">
        <f>SUM('Facebook Video'!I81,'Youtube Trueview'!#REF!,'IG Video'!I41,'Snapchat Video'!I42)</f>
        <v>#REF!</v>
      </c>
      <c r="J82" s="203" t="e">
        <f>SUM('Facebook Carousel'!E40,'Facebook Video'!J81,'Youtube Trueview'!#REF!,'IG Video'!J41,'Snapchat Video'!J42,'Snapchat Image'!E41,GDN!#REF!,UAC!J42)</f>
        <v>#REF!</v>
      </c>
      <c r="K82" s="73" t="e">
        <f>SUM($J$67:$J$71,$J$80:J82)/$D$10</f>
        <v>#REF!</v>
      </c>
      <c r="L82" s="555" t="e">
        <f t="shared" ref="L82" si="108">D82/C82</f>
        <v>#REF!</v>
      </c>
      <c r="M82" s="1204">
        <f t="shared" si="90"/>
        <v>69940.733333333337</v>
      </c>
      <c r="N82" s="544" t="e">
        <f t="shared" ref="N82" si="109">E82/M82</f>
        <v>#REF!</v>
      </c>
      <c r="O82" s="1333" t="e">
        <f t="shared" ref="O82" si="110">J82/D82</f>
        <v>#REF!</v>
      </c>
      <c r="P82" s="150" t="e">
        <f>SUM('Facebook Carousel'!H40,'Facebook Video'!Q81,'Youtube Trueview'!#REF!,'IG Video'!Q41,'Snapchat Video'!Q42,'Snapchat Image'!H41,GDN!#REF!)</f>
        <v>#REF!</v>
      </c>
      <c r="Q82" s="52"/>
      <c r="R82" s="52"/>
      <c r="S82" s="293">
        <f t="shared" si="91"/>
        <v>4599.666666666667</v>
      </c>
      <c r="T82" s="541" t="e">
        <f t="shared" ref="T82" si="111">P82/S82</f>
        <v>#REF!</v>
      </c>
      <c r="U82" s="1339" t="e">
        <f t="shared" ref="U82" si="112">J82/P82</f>
        <v>#REF!</v>
      </c>
      <c r="V82" s="308" t="e">
        <f t="shared" ref="V82" si="113">P82/D82</f>
        <v>#REF!</v>
      </c>
      <c r="W82" s="680">
        <v>39</v>
      </c>
      <c r="X82" s="526">
        <v>0.86</v>
      </c>
    </row>
    <row r="83" spans="2:24">
      <c r="B83" s="248">
        <v>40848</v>
      </c>
      <c r="C83" s="15" t="e">
        <f>SUM('Facebook Carousel'!C42,'Facebook Video'!C82,'Youtube Trueview'!#REF!,'IG Video'!C43,'Snapchat Video'!C44,'Snapchat Image'!C43,GDN!#REF!,UAC!C44)</f>
        <v>#REF!</v>
      </c>
      <c r="D83" s="15" t="e">
        <f>SUM('Facebook Carousel'!D42,'Facebook Video'!D82,'Youtube Trueview'!#REF!,'IG Video'!D43,'Snapchat Video'!D44,'Snapchat Image'!D43,GDN!#REF!,UAC!D44)</f>
        <v>#REF!</v>
      </c>
      <c r="E83" s="15" t="e">
        <f>SUM('Facebook Video'!E82,'Youtube Trueview'!#REF!,'IG Video'!E43,'Snapchat Video'!E44)</f>
        <v>#REF!</v>
      </c>
      <c r="F83" s="15" t="e">
        <f>SUM('Facebook Video'!F82,'Youtube Trueview'!#REF!,'IG Video'!F43,'Snapchat Video'!F44)</f>
        <v>#REF!</v>
      </c>
      <c r="G83" s="15" t="e">
        <f>SUM('Facebook Video'!G82,'Youtube Trueview'!#REF!,'IG Video'!G43,'Snapchat Video'!G44)</f>
        <v>#REF!</v>
      </c>
      <c r="H83" s="15" t="e">
        <f>SUM('Facebook Video'!H82,'Youtube Trueview'!#REF!,'IG Video'!H43,'Snapchat Video'!H44)</f>
        <v>#REF!</v>
      </c>
      <c r="I83" s="15" t="e">
        <f>SUM('Facebook Video'!I82,'Youtube Trueview'!#REF!,'IG Video'!I43,'Snapchat Video'!I44)</f>
        <v>#REF!</v>
      </c>
      <c r="J83" s="203" t="e">
        <f>SUM('Facebook Carousel'!E42,'Facebook Video'!J82,'Youtube Trueview'!#REF!,'IG Video'!J43,'Snapchat Video'!J44,'Snapchat Image'!E43,GDN!#REF!,UAC!J44)</f>
        <v>#REF!</v>
      </c>
      <c r="K83" s="73" t="e">
        <f>SUM($J$67:$J$71,$J$80:J83)/$D$10</f>
        <v>#REF!</v>
      </c>
      <c r="L83" s="555" t="e">
        <f t="shared" ref="L83:L100" si="114">D83/C83</f>
        <v>#REF!</v>
      </c>
      <c r="M83" s="1204">
        <f t="shared" si="90"/>
        <v>69940.733333333337</v>
      </c>
      <c r="N83" s="544" t="e">
        <f t="shared" ref="N83:N100" si="115">E83/M83</f>
        <v>#REF!</v>
      </c>
      <c r="O83" s="1333" t="e">
        <f t="shared" ref="O83:O100" si="116">J83/D83</f>
        <v>#REF!</v>
      </c>
      <c r="P83" s="150" t="e">
        <f>SUM('Facebook Carousel'!H42,'Facebook Video'!Q82,'Youtube Trueview'!#REF!,'IG Video'!Q43,'Snapchat Video'!Q44,'Snapchat Image'!H43,GDN!#REF!)</f>
        <v>#REF!</v>
      </c>
      <c r="Q83" s="52"/>
      <c r="R83" s="52"/>
      <c r="S83" s="293">
        <f t="shared" si="91"/>
        <v>4599.666666666667</v>
      </c>
      <c r="T83" s="541" t="e">
        <f t="shared" ref="T83:T99" si="117">P83/S83</f>
        <v>#REF!</v>
      </c>
      <c r="U83" s="1339" t="e">
        <f t="shared" ref="U83:U99" si="118">J83/P83</f>
        <v>#REF!</v>
      </c>
      <c r="V83" s="308" t="e">
        <f t="shared" ref="V83:V99" si="119">P83/D83</f>
        <v>#REF!</v>
      </c>
      <c r="W83" s="680">
        <v>37</v>
      </c>
      <c r="X83" s="526">
        <v>0.88</v>
      </c>
    </row>
    <row r="84" spans="2:24">
      <c r="B84" s="248">
        <v>40849</v>
      </c>
      <c r="C84" s="15" t="e">
        <f>SUM('Facebook Video'!C83,'Youtube Trueview'!#REF!,'IG Video'!C44,'Snapchat Video'!C45,'Snapchat Image'!C44,GDN!#REF!,UAC!C45)</f>
        <v>#REF!</v>
      </c>
      <c r="D84" s="15" t="e">
        <f>SUM('Facebook Video'!D83,'Youtube Trueview'!#REF!,'IG Video'!D44,'Snapchat Video'!D45,'Snapchat Image'!D44,GDN!#REF!,UAC!D45)</f>
        <v>#REF!</v>
      </c>
      <c r="E84" s="15" t="e">
        <f>'Facebook Video'!E83+'Youtube Trueview'!#REF!+'IG Video'!E44+'Snapchat Video'!E45</f>
        <v>#REF!</v>
      </c>
      <c r="F84" s="52" t="e">
        <f>'Facebook Video'!F83+'Youtube Trueview'!#REF!+'IG Video'!F44+'Snapchat Video'!F45</f>
        <v>#REF!</v>
      </c>
      <c r="G84" s="52" t="e">
        <f>'Facebook Video'!G83+'Youtube Trueview'!#REF!+'IG Video'!G44+'Snapchat Video'!G45</f>
        <v>#REF!</v>
      </c>
      <c r="H84" s="52" t="e">
        <f>'Facebook Video'!H83+'Youtube Trueview'!#REF!+'IG Video'!H44+'Snapchat Video'!H45</f>
        <v>#REF!</v>
      </c>
      <c r="I84" s="52" t="e">
        <f>'Facebook Video'!I83+'Youtube Trueview'!#REF!+'IG Video'!I44+'Snapchat Video'!I45</f>
        <v>#REF!</v>
      </c>
      <c r="J84" s="203" t="e">
        <f>'Facebook Video'!J83+'Youtube Trueview'!#REF!+'IG Video'!J44+'Snapchat Video'!J45+'Snapchat Image'!E44+GDN!#REF!+UAC!J45</f>
        <v>#REF!</v>
      </c>
      <c r="K84" s="73" t="e">
        <f>SUM($J$67:$J$71,$J$80:J84)/$D$10</f>
        <v>#REF!</v>
      </c>
      <c r="L84" s="555" t="e">
        <f t="shared" si="114"/>
        <v>#REF!</v>
      </c>
      <c r="M84" s="1204">
        <f t="shared" si="90"/>
        <v>69940.733333333337</v>
      </c>
      <c r="N84" s="544" t="e">
        <f t="shared" si="115"/>
        <v>#REF!</v>
      </c>
      <c r="O84" s="1333" t="e">
        <f t="shared" si="116"/>
        <v>#REF!</v>
      </c>
      <c r="P84" s="143" t="e">
        <f>'Facebook Video'!Q83+'Youtube Trueview'!#REF!+'IG Video'!Q44+'Snapchat Video'!Q45+'Snapchat Image'!H44+GDN!#REF!</f>
        <v>#REF!</v>
      </c>
      <c r="Q84" s="52"/>
      <c r="R84" s="52"/>
      <c r="S84" s="293">
        <f t="shared" si="91"/>
        <v>4599.666666666667</v>
      </c>
      <c r="T84" s="541" t="e">
        <f t="shared" si="117"/>
        <v>#REF!</v>
      </c>
      <c r="U84" s="1339" t="e">
        <f t="shared" si="118"/>
        <v>#REF!</v>
      </c>
      <c r="V84" s="308" t="e">
        <f t="shared" si="119"/>
        <v>#REF!</v>
      </c>
      <c r="W84" s="680">
        <v>41</v>
      </c>
      <c r="X84" s="526">
        <v>0.87</v>
      </c>
    </row>
    <row r="85" spans="2:24">
      <c r="B85" s="248">
        <v>40850</v>
      </c>
      <c r="C85" s="15" t="e">
        <f>SUM('Facebook Video'!C84,'Youtube Trueview'!#REF!,'IG Video'!C45,'Snapchat Video'!C46,'Snapchat Image'!C45,GDN!#REF!,UAC!C46)</f>
        <v>#REF!</v>
      </c>
      <c r="D85" s="15" t="e">
        <f>SUM('Facebook Video'!D84,'Youtube Trueview'!#REF!,'IG Video'!D45,'Snapchat Video'!D46,'Snapchat Image'!D45,GDN!#REF!,UAC!D46)</f>
        <v>#REF!</v>
      </c>
      <c r="E85" s="15" t="e">
        <f>'Facebook Video'!E84+'Youtube Trueview'!#REF!+'IG Video'!E45+'Snapchat Video'!E46</f>
        <v>#REF!</v>
      </c>
      <c r="F85" s="52" t="e">
        <f>'Facebook Video'!F84+'Youtube Trueview'!#REF!+'IG Video'!F45+'Snapchat Video'!F46</f>
        <v>#REF!</v>
      </c>
      <c r="G85" s="52" t="e">
        <f>'Facebook Video'!G84+'Youtube Trueview'!#REF!+'IG Video'!G45+'Snapchat Video'!G46</f>
        <v>#REF!</v>
      </c>
      <c r="H85" s="52" t="e">
        <f>'Facebook Video'!H84+'Youtube Trueview'!#REF!+'IG Video'!H45+'Snapchat Video'!H46</f>
        <v>#REF!</v>
      </c>
      <c r="I85" s="52" t="e">
        <f>'Facebook Video'!I84+'Youtube Trueview'!#REF!+'IG Video'!I45+'Snapchat Video'!I46</f>
        <v>#REF!</v>
      </c>
      <c r="J85" s="203" t="e">
        <f>'Facebook Video'!J84+'Youtube Trueview'!#REF!+'IG Video'!J45+'Snapchat Video'!J46+'Snapchat Image'!E45+GDN!#REF!+UAC!J46</f>
        <v>#REF!</v>
      </c>
      <c r="K85" s="73" t="e">
        <f>SUM($J$67:$J$71,$J$80:J85)/$D$10</f>
        <v>#REF!</v>
      </c>
      <c r="L85" s="555" t="e">
        <f t="shared" si="114"/>
        <v>#REF!</v>
      </c>
      <c r="M85" s="1204">
        <f t="shared" si="90"/>
        <v>69940.733333333337</v>
      </c>
      <c r="N85" s="544" t="e">
        <f t="shared" si="115"/>
        <v>#REF!</v>
      </c>
      <c r="O85" s="1333" t="e">
        <f t="shared" si="116"/>
        <v>#REF!</v>
      </c>
      <c r="P85" s="143" t="e">
        <f>'Facebook Video'!Q84+'Youtube Trueview'!#REF!+'IG Video'!Q45+'Snapchat Video'!Q46+'Snapchat Image'!H45+GDN!#REF!</f>
        <v>#REF!</v>
      </c>
      <c r="Q85" s="52"/>
      <c r="R85" s="52"/>
      <c r="S85" s="293">
        <f t="shared" si="91"/>
        <v>4599.666666666667</v>
      </c>
      <c r="T85" s="541" t="e">
        <f t="shared" si="117"/>
        <v>#REF!</v>
      </c>
      <c r="U85" s="1339" t="e">
        <f t="shared" si="118"/>
        <v>#REF!</v>
      </c>
      <c r="V85" s="308" t="e">
        <f t="shared" si="119"/>
        <v>#REF!</v>
      </c>
      <c r="W85" s="680">
        <v>51</v>
      </c>
      <c r="X85" s="526">
        <v>0.88</v>
      </c>
    </row>
    <row r="86" spans="2:24">
      <c r="B86" s="253">
        <v>40851</v>
      </c>
      <c r="C86" s="15" t="e">
        <f>SUM('Facebook Video'!C85,'Youtube Trueview'!#REF!,'IG Video'!C46,'Snapchat Video'!C47,'Snapchat Image'!C46,GDN!#REF!,UAC!C47)</f>
        <v>#REF!</v>
      </c>
      <c r="D86" s="15" t="e">
        <f>SUM('Facebook Video'!D85,'Youtube Trueview'!#REF!,'IG Video'!D46,'Snapchat Video'!D47,'Snapchat Image'!D46,GDN!#REF!,UAC!D47)</f>
        <v>#REF!</v>
      </c>
      <c r="E86" s="15" t="e">
        <f>'Facebook Video'!E85+'Youtube Trueview'!#REF!+'IG Video'!E46+'Snapchat Video'!E47</f>
        <v>#REF!</v>
      </c>
      <c r="F86" s="52" t="e">
        <f>'Facebook Video'!F85+'Youtube Trueview'!#REF!+'IG Video'!F46+'Snapchat Video'!F47</f>
        <v>#REF!</v>
      </c>
      <c r="G86" s="52" t="e">
        <f>'Facebook Video'!G85+'Youtube Trueview'!#REF!+'IG Video'!G46+'Snapchat Video'!G47</f>
        <v>#REF!</v>
      </c>
      <c r="H86" s="52" t="e">
        <f>'Facebook Video'!H85+'Youtube Trueview'!#REF!+'IG Video'!H46+'Snapchat Video'!H47</f>
        <v>#REF!</v>
      </c>
      <c r="I86" s="52" t="e">
        <f>'Facebook Video'!I85+'Youtube Trueview'!#REF!+'IG Video'!I46+'Snapchat Video'!I47</f>
        <v>#REF!</v>
      </c>
      <c r="J86" s="203" t="e">
        <f>'Facebook Video'!J85+'Youtube Trueview'!#REF!+'IG Video'!J46+'Snapchat Video'!J47+'Snapchat Image'!E46+GDN!#REF!+UAC!J47</f>
        <v>#REF!</v>
      </c>
      <c r="K86" s="73" t="e">
        <f>SUM($J$67:$J$71,$J$80:J86)/$D$10</f>
        <v>#REF!</v>
      </c>
      <c r="L86" s="555" t="e">
        <f t="shared" si="114"/>
        <v>#REF!</v>
      </c>
      <c r="M86" s="1204">
        <f t="shared" si="90"/>
        <v>69940.733333333337</v>
      </c>
      <c r="N86" s="544" t="e">
        <f t="shared" si="115"/>
        <v>#REF!</v>
      </c>
      <c r="O86" s="1333" t="e">
        <f t="shared" si="116"/>
        <v>#REF!</v>
      </c>
      <c r="P86" s="143" t="e">
        <f>'Facebook Video'!Q85+'Youtube Trueview'!#REF!+'IG Video'!Q46+'Snapchat Video'!Q47+'Snapchat Image'!H46+GDN!#REF!</f>
        <v>#REF!</v>
      </c>
      <c r="Q86" s="52"/>
      <c r="R86" s="52"/>
      <c r="S86" s="293">
        <f t="shared" si="91"/>
        <v>4599.666666666667</v>
      </c>
      <c r="T86" s="541" t="e">
        <f t="shared" si="117"/>
        <v>#REF!</v>
      </c>
      <c r="U86" s="1339" t="e">
        <f t="shared" si="118"/>
        <v>#REF!</v>
      </c>
      <c r="V86" s="308" t="e">
        <f t="shared" si="119"/>
        <v>#REF!</v>
      </c>
      <c r="W86" s="680">
        <v>46</v>
      </c>
      <c r="X86" s="526">
        <v>0.88</v>
      </c>
    </row>
    <row r="87" spans="2:24">
      <c r="B87" s="253">
        <v>40852</v>
      </c>
      <c r="C87" s="15" t="e">
        <f>SUM('Facebook Video'!C86,'Youtube Trueview'!#REF!,'IG Video'!C47,'Snapchat Video'!C48,'Snapchat Image'!C47,GDN!#REF!,UAC!C48)</f>
        <v>#REF!</v>
      </c>
      <c r="D87" s="15" t="e">
        <f>SUM('Facebook Video'!D86,'Youtube Trueview'!#REF!,'IG Video'!D47,'Snapchat Video'!D48,'Snapchat Image'!D47,GDN!#REF!,UAC!D48)</f>
        <v>#REF!</v>
      </c>
      <c r="E87" s="15" t="e">
        <f>'Facebook Video'!E86+'Youtube Trueview'!#REF!+'IG Video'!E47+'Snapchat Video'!E48</f>
        <v>#REF!</v>
      </c>
      <c r="F87" s="52" t="e">
        <f>'Facebook Video'!F86+'Youtube Trueview'!#REF!+'IG Video'!F47+'Snapchat Video'!F48</f>
        <v>#REF!</v>
      </c>
      <c r="G87" s="52" t="e">
        <f>'Facebook Video'!G86+'Youtube Trueview'!#REF!+'IG Video'!G47+'Snapchat Video'!G48</f>
        <v>#REF!</v>
      </c>
      <c r="H87" s="52" t="e">
        <f>'Facebook Video'!H86+'Youtube Trueview'!#REF!+'IG Video'!H47+'Snapchat Video'!H48</f>
        <v>#REF!</v>
      </c>
      <c r="I87" s="52" t="e">
        <f>'Facebook Video'!I86+'Youtube Trueview'!#REF!+'IG Video'!I47+'Snapchat Video'!I48</f>
        <v>#REF!</v>
      </c>
      <c r="J87" s="203" t="e">
        <f>'Facebook Video'!J86+'Youtube Trueview'!#REF!+'IG Video'!J47+'Snapchat Video'!J48+'Snapchat Image'!E47+GDN!#REF!+UAC!J48</f>
        <v>#REF!</v>
      </c>
      <c r="K87" s="73" t="e">
        <f>SUM($J$67:$J$71,$J$80:J87)/$D$10</f>
        <v>#REF!</v>
      </c>
      <c r="L87" s="555" t="e">
        <f t="shared" si="114"/>
        <v>#REF!</v>
      </c>
      <c r="M87" s="1204">
        <f t="shared" si="90"/>
        <v>69940.733333333337</v>
      </c>
      <c r="N87" s="544" t="e">
        <f t="shared" si="115"/>
        <v>#REF!</v>
      </c>
      <c r="O87" s="1333" t="e">
        <f t="shared" si="116"/>
        <v>#REF!</v>
      </c>
      <c r="P87" s="143" t="e">
        <f>'Facebook Video'!Q86+'Youtube Trueview'!#REF!+'IG Video'!Q47+'Snapchat Video'!Q48+'Snapchat Image'!H47+GDN!#REF!</f>
        <v>#REF!</v>
      </c>
      <c r="Q87" s="52"/>
      <c r="R87" s="52"/>
      <c r="S87" s="293">
        <f t="shared" si="91"/>
        <v>4599.666666666667</v>
      </c>
      <c r="T87" s="541" t="e">
        <f t="shared" si="117"/>
        <v>#REF!</v>
      </c>
      <c r="U87" s="1339" t="e">
        <f t="shared" si="118"/>
        <v>#REF!</v>
      </c>
      <c r="V87" s="308" t="e">
        <f t="shared" si="119"/>
        <v>#REF!</v>
      </c>
      <c r="W87" s="680">
        <v>47</v>
      </c>
      <c r="X87" s="526">
        <v>0.88</v>
      </c>
    </row>
    <row r="88" spans="2:24">
      <c r="B88" s="254" t="s">
        <v>160</v>
      </c>
      <c r="C88" s="27" t="e">
        <f>SUM(C81:C87)</f>
        <v>#REF!</v>
      </c>
      <c r="D88" s="27" t="e">
        <f t="shared" ref="D88:I88" si="120">SUM(D81:D87)</f>
        <v>#REF!</v>
      </c>
      <c r="E88" s="27" t="e">
        <f t="shared" si="120"/>
        <v>#REF!</v>
      </c>
      <c r="F88" s="27" t="e">
        <f t="shared" si="120"/>
        <v>#REF!</v>
      </c>
      <c r="G88" s="27" t="e">
        <f t="shared" si="120"/>
        <v>#REF!</v>
      </c>
      <c r="H88" s="27" t="e">
        <f t="shared" si="120"/>
        <v>#REF!</v>
      </c>
      <c r="I88" s="27" t="e">
        <f t="shared" si="120"/>
        <v>#REF!</v>
      </c>
      <c r="J88" s="965" t="e">
        <f>SUM(J81:J87)</f>
        <v>#REF!</v>
      </c>
      <c r="K88" s="1344" t="e">
        <f>SUM($J$67:$J$71,$J$80,$J$88)/$D$10</f>
        <v>#REF!</v>
      </c>
      <c r="L88" s="1317" t="e">
        <f>D88/C88</f>
        <v>#REF!</v>
      </c>
      <c r="M88" s="56">
        <f>SUM(M81:M87)</f>
        <v>489585.13333333336</v>
      </c>
      <c r="N88" s="1337" t="e">
        <f t="shared" ref="N88" si="121">E88/M88</f>
        <v>#REF!</v>
      </c>
      <c r="O88" s="1334" t="e">
        <f>J88/I88</f>
        <v>#REF!</v>
      </c>
      <c r="P88" s="56" t="e">
        <f>SUM(P81:P87)</f>
        <v>#REF!</v>
      </c>
      <c r="Q88" s="56"/>
      <c r="R88" s="56"/>
      <c r="S88" s="56">
        <f>SUM(S81:S87)</f>
        <v>32197.666666666672</v>
      </c>
      <c r="T88" s="1165" t="e">
        <f>P88/S88</f>
        <v>#REF!</v>
      </c>
      <c r="U88" s="1166" t="e">
        <f t="shared" ref="U88" si="122">J88/P88</f>
        <v>#REF!</v>
      </c>
      <c r="V88" s="1276" t="e">
        <f t="shared" ref="V88" si="123">P88/D88</f>
        <v>#REF!</v>
      </c>
      <c r="W88" s="679">
        <f>AVERAGE(W81:W87)</f>
        <v>42.857142857142854</v>
      </c>
      <c r="X88" s="397">
        <f>AVERAGE(X81:X87)</f>
        <v>0.87589599126869422</v>
      </c>
    </row>
    <row r="89" spans="2:24">
      <c r="B89" s="248">
        <v>40853</v>
      </c>
      <c r="C89" s="15" t="e">
        <f>'Facebook Video'!C88+'Youtube Trueview'!#REF!+'IG Video'!C48+'Snapchat Video'!C49+'Snapchat Image'!C48+GDN!#REF!+UAC!C49</f>
        <v>#REF!</v>
      </c>
      <c r="D89" s="15" t="e">
        <f>'Facebook Video'!D88+'Youtube Trueview'!#REF!+'IG Video'!D48+'Snapchat Video'!D49+'Snapchat Image'!D48+GDN!#REF!+UAC!D49</f>
        <v>#REF!</v>
      </c>
      <c r="E89" s="15" t="e">
        <f>'Facebook Video'!E88+'Youtube Trueview'!#REF!+'IG Video'!E48+'Snapchat Video'!E49</f>
        <v>#REF!</v>
      </c>
      <c r="F89" s="15" t="e">
        <f>'Facebook Video'!F88+'Youtube Trueview'!#REF!+'IG Video'!F48+'Snapchat Video'!F49</f>
        <v>#REF!</v>
      </c>
      <c r="G89" s="15" t="e">
        <f>'Facebook Video'!G88+'Youtube Trueview'!#REF!+'IG Video'!G48+'Snapchat Video'!G49</f>
        <v>#REF!</v>
      </c>
      <c r="H89" s="15" t="e">
        <f>'Facebook Video'!H88+'Youtube Trueview'!#REF!+'IG Video'!H48+'Snapchat Video'!H49</f>
        <v>#REF!</v>
      </c>
      <c r="I89" s="15" t="e">
        <f>'Facebook Video'!I88+'Youtube Trueview'!#REF!+'IG Video'!I48+'Snapchat Video'!I49</f>
        <v>#REF!</v>
      </c>
      <c r="J89" s="203" t="e">
        <f>'Facebook Video'!J88+'Youtube Trueview'!#REF!+'IG Video'!J48+'Snapchat Video'!J49+'Snapchat Image'!E48+GDN!#REF!+UAC!J49</f>
        <v>#REF!</v>
      </c>
      <c r="K89" s="662" t="e">
        <f>SUM($J$67:$J$71,$J$80,$J$88:J89)/$D$10</f>
        <v>#REF!</v>
      </c>
      <c r="L89" s="555" t="e">
        <f t="shared" si="114"/>
        <v>#REF!</v>
      </c>
      <c r="M89" s="1204">
        <f t="shared" si="90"/>
        <v>69940.733333333337</v>
      </c>
      <c r="N89" s="544" t="e">
        <f t="shared" si="115"/>
        <v>#REF!</v>
      </c>
      <c r="O89" s="1333" t="e">
        <f t="shared" si="116"/>
        <v>#REF!</v>
      </c>
      <c r="P89" s="143" t="e">
        <f>'Facebook Video'!Q88+'Youtube Trueview'!#REF!+'IG Video'!Q48+'Snapchat Video'!Q49+'Snapchat Image'!H48+GDN!#REF!</f>
        <v>#REF!</v>
      </c>
      <c r="Q89" s="52"/>
      <c r="R89" s="52"/>
      <c r="S89" s="293">
        <f t="shared" si="91"/>
        <v>4599.666666666667</v>
      </c>
      <c r="T89" s="541" t="e">
        <f t="shared" si="117"/>
        <v>#REF!</v>
      </c>
      <c r="U89" s="1339" t="e">
        <f t="shared" si="118"/>
        <v>#REF!</v>
      </c>
      <c r="V89" s="308" t="e">
        <f t="shared" si="119"/>
        <v>#REF!</v>
      </c>
      <c r="W89" s="680">
        <v>40</v>
      </c>
      <c r="X89" s="1552">
        <v>0.89790000000000003</v>
      </c>
    </row>
    <row r="90" spans="2:24">
      <c r="B90" s="248">
        <v>40854</v>
      </c>
      <c r="C90" s="15" t="e">
        <f>'Facebook Video'!C89+'Youtube Trueview'!#REF!+'IG Video'!C49+'Snapchat Video'!C50+'Snapchat Image'!C49+GDN!#REF!+UAC!C50</f>
        <v>#REF!</v>
      </c>
      <c r="D90" s="15" t="e">
        <f>'Facebook Video'!D89+'Youtube Trueview'!#REF!+'IG Video'!D49+'Snapchat Video'!D50+'Snapchat Image'!D49+GDN!#REF!+UAC!D50</f>
        <v>#REF!</v>
      </c>
      <c r="E90" s="15" t="e">
        <f>'Facebook Video'!E89+'Youtube Trueview'!#REF!+'IG Video'!E49+'Snapchat Video'!E50</f>
        <v>#REF!</v>
      </c>
      <c r="F90" s="15" t="e">
        <f>'Facebook Video'!F89+'Youtube Trueview'!#REF!+'IG Video'!F49+'Snapchat Video'!F50</f>
        <v>#REF!</v>
      </c>
      <c r="G90" s="15" t="e">
        <f>'Facebook Video'!G89+'Youtube Trueview'!#REF!+'IG Video'!G49+'Snapchat Video'!G50</f>
        <v>#REF!</v>
      </c>
      <c r="H90" s="15" t="e">
        <f>'Facebook Video'!H89+'Youtube Trueview'!#REF!+'IG Video'!H49+'Snapchat Video'!H50</f>
        <v>#REF!</v>
      </c>
      <c r="I90" s="15" t="e">
        <f>'Facebook Video'!I89+'Youtube Trueview'!#REF!+'IG Video'!I49+'Snapchat Video'!I50</f>
        <v>#REF!</v>
      </c>
      <c r="J90" s="203" t="e">
        <f>'Facebook Video'!J89+'Youtube Trueview'!#REF!+'IG Video'!J49+'Snapchat Video'!J50+'Snapchat Image'!E49+GDN!#REF!+UAC!J50</f>
        <v>#REF!</v>
      </c>
      <c r="K90" s="662" t="e">
        <f>SUM($J$67:$J$71,$J$80,$J$88:J90)/$D$10</f>
        <v>#REF!</v>
      </c>
      <c r="L90" s="555" t="e">
        <f t="shared" si="114"/>
        <v>#REF!</v>
      </c>
      <c r="M90" s="1204">
        <f t="shared" si="90"/>
        <v>69940.733333333337</v>
      </c>
      <c r="N90" s="544" t="e">
        <f t="shared" si="115"/>
        <v>#REF!</v>
      </c>
      <c r="O90" s="1333" t="e">
        <f t="shared" si="116"/>
        <v>#REF!</v>
      </c>
      <c r="P90" s="143" t="e">
        <f>'Facebook Video'!Q89+'Youtube Trueview'!#REF!+'IG Video'!Q49+'Snapchat Video'!Q50+'Snapchat Image'!H49+GDN!#REF!</f>
        <v>#REF!</v>
      </c>
      <c r="Q90" s="52"/>
      <c r="R90" s="52"/>
      <c r="S90" s="293">
        <f t="shared" si="91"/>
        <v>4599.666666666667</v>
      </c>
      <c r="T90" s="541" t="e">
        <f t="shared" si="117"/>
        <v>#REF!</v>
      </c>
      <c r="U90" s="1339" t="e">
        <f t="shared" si="118"/>
        <v>#REF!</v>
      </c>
      <c r="V90" s="308" t="e">
        <f t="shared" si="119"/>
        <v>#REF!</v>
      </c>
      <c r="W90" s="680">
        <v>38</v>
      </c>
      <c r="X90" s="1552">
        <v>0.88849999999999996</v>
      </c>
    </row>
    <row r="91" spans="2:24">
      <c r="B91" s="248">
        <v>40855</v>
      </c>
      <c r="C91" s="15" t="e">
        <f>'Facebook Video'!C90+'Youtube Trueview'!#REF!+'IG Video'!C51+'Snapchat Video'!C52+'Snapchat Image'!C51+GDN!#REF!+UAC!C52</f>
        <v>#REF!</v>
      </c>
      <c r="D91" s="15" t="e">
        <f>'Facebook Video'!D90+'Youtube Trueview'!#REF!+'IG Video'!D51+'Snapchat Video'!D52+'Snapchat Image'!D51+GDN!#REF!+UAC!D52</f>
        <v>#REF!</v>
      </c>
      <c r="E91" s="15" t="e">
        <f>'Facebook Video'!E90+'Youtube Trueview'!#REF!+'IG Video'!E51+'Snapchat Video'!E52</f>
        <v>#REF!</v>
      </c>
      <c r="F91" s="15" t="e">
        <f>'Facebook Video'!F90+'Youtube Trueview'!#REF!+'IG Video'!F51+'Snapchat Video'!F52</f>
        <v>#REF!</v>
      </c>
      <c r="G91" s="15" t="e">
        <f>'Facebook Video'!G90+'Youtube Trueview'!#REF!+'IG Video'!G51+'Snapchat Video'!G52</f>
        <v>#REF!</v>
      </c>
      <c r="H91" s="15" t="e">
        <f>'Facebook Video'!H90+'Youtube Trueview'!#REF!+'IG Video'!H51+'Snapchat Video'!H52</f>
        <v>#REF!</v>
      </c>
      <c r="I91" s="15" t="e">
        <f>'Facebook Video'!I90+'Youtube Trueview'!#REF!+'IG Video'!I51+'Snapchat Video'!I52</f>
        <v>#REF!</v>
      </c>
      <c r="J91" s="203" t="e">
        <f>'Facebook Video'!J90+'Youtube Trueview'!#REF!+'IG Video'!J51+'Snapchat Video'!J52+'Snapchat Image'!E51+GDN!#REF!+UAC!J52</f>
        <v>#REF!</v>
      </c>
      <c r="K91" s="662" t="e">
        <f>SUM($J$67:$J$71,$J$80,$J$88:J91)/$D$10</f>
        <v>#REF!</v>
      </c>
      <c r="L91" s="555" t="e">
        <f t="shared" si="114"/>
        <v>#REF!</v>
      </c>
      <c r="M91" s="1204">
        <f t="shared" si="90"/>
        <v>69940.733333333337</v>
      </c>
      <c r="N91" s="544" t="e">
        <f t="shared" si="115"/>
        <v>#REF!</v>
      </c>
      <c r="O91" s="1333" t="e">
        <f t="shared" si="116"/>
        <v>#REF!</v>
      </c>
      <c r="P91" s="143" t="e">
        <f>'Facebook Video'!Q90+'Youtube Trueview'!#REF!+'IG Video'!Q51+'Snapchat Video'!Q52+'Snapchat Image'!H51+GDN!#REF!</f>
        <v>#REF!</v>
      </c>
      <c r="Q91" s="52"/>
      <c r="R91" s="52"/>
      <c r="S91" s="293">
        <f t="shared" si="91"/>
        <v>4599.666666666667</v>
      </c>
      <c r="T91" s="541" t="e">
        <f t="shared" si="117"/>
        <v>#REF!</v>
      </c>
      <c r="U91" s="1339" t="e">
        <f t="shared" si="118"/>
        <v>#REF!</v>
      </c>
      <c r="V91" s="308" t="e">
        <f t="shared" si="119"/>
        <v>#REF!</v>
      </c>
      <c r="W91" s="680">
        <v>36</v>
      </c>
      <c r="X91" s="1552">
        <v>0.89049999999999996</v>
      </c>
    </row>
    <row r="92" spans="2:24">
      <c r="B92" s="248">
        <v>40856</v>
      </c>
      <c r="C92" s="15" t="e">
        <f>'Facebook Video'!C91+'Youtube Trueview'!#REF!+'IG Video'!C52+'Snapchat Video'!C53+'Snapchat Image'!C52+GDN!#REF!+UAC!C53</f>
        <v>#REF!</v>
      </c>
      <c r="D92" s="15" t="e">
        <f>'Facebook Video'!D91+'Youtube Trueview'!#REF!+'IG Video'!D52+'Snapchat Video'!D53+'Snapchat Image'!D52+GDN!#REF!+UAC!D53</f>
        <v>#REF!</v>
      </c>
      <c r="E92" s="15" t="e">
        <f>'Facebook Video'!E91+'Youtube Trueview'!#REF!+'IG Video'!E52+'Snapchat Video'!E53</f>
        <v>#REF!</v>
      </c>
      <c r="F92" s="15" t="e">
        <f>'Facebook Video'!F91+'Youtube Trueview'!#REF!+'IG Video'!F52+'Snapchat Video'!F53</f>
        <v>#REF!</v>
      </c>
      <c r="G92" s="15" t="e">
        <f>'Facebook Video'!G91+'Youtube Trueview'!#REF!+'IG Video'!G52+'Snapchat Video'!G53</f>
        <v>#REF!</v>
      </c>
      <c r="H92" s="15" t="e">
        <f>'Facebook Video'!H91+'Youtube Trueview'!#REF!+'IG Video'!H52+'Snapchat Video'!H53</f>
        <v>#REF!</v>
      </c>
      <c r="I92" s="15" t="e">
        <f>'Facebook Video'!I91+'Youtube Trueview'!#REF!+'IG Video'!I52+'Snapchat Video'!I53</f>
        <v>#REF!</v>
      </c>
      <c r="J92" s="203" t="e">
        <f>'Facebook Video'!J91+'Youtube Trueview'!#REF!+'IG Video'!J52+'Snapchat Video'!J53+'Snapchat Image'!E52+GDN!#REF!+UAC!J53</f>
        <v>#REF!</v>
      </c>
      <c r="K92" s="662" t="e">
        <f>SUM($J$67:$J$71,$J$80,$J$88:J92)/$D$10</f>
        <v>#REF!</v>
      </c>
      <c r="L92" s="555" t="e">
        <f t="shared" si="114"/>
        <v>#REF!</v>
      </c>
      <c r="M92" s="1204">
        <f t="shared" si="90"/>
        <v>69940.733333333337</v>
      </c>
      <c r="N92" s="544" t="e">
        <f t="shared" si="115"/>
        <v>#REF!</v>
      </c>
      <c r="O92" s="1333" t="e">
        <f t="shared" si="116"/>
        <v>#REF!</v>
      </c>
      <c r="P92" s="143" t="e">
        <f>'Facebook Video'!Q91+'Youtube Trueview'!#REF!+'IG Video'!Q52+'Snapchat Video'!Q53+'Snapchat Image'!H52+GDN!#REF!</f>
        <v>#REF!</v>
      </c>
      <c r="Q92" s="52"/>
      <c r="R92" s="52"/>
      <c r="S92" s="293">
        <f t="shared" si="91"/>
        <v>4599.666666666667</v>
      </c>
      <c r="T92" s="541" t="e">
        <f t="shared" si="117"/>
        <v>#REF!</v>
      </c>
      <c r="U92" s="1339" t="e">
        <f t="shared" si="118"/>
        <v>#REF!</v>
      </c>
      <c r="V92" s="308" t="e">
        <f t="shared" si="119"/>
        <v>#REF!</v>
      </c>
      <c r="W92" s="680">
        <v>44</v>
      </c>
      <c r="X92" s="1552">
        <v>0.78</v>
      </c>
    </row>
    <row r="93" spans="2:24">
      <c r="B93" s="248">
        <v>40857</v>
      </c>
      <c r="C93" s="15" t="e">
        <f>'Facebook Video'!C92+'Youtube Trueview'!#REF!+'IG Video'!C53+'Snapchat Video'!C54+'Snapchat Image'!C53+GDN!#REF!+UAC!C54</f>
        <v>#REF!</v>
      </c>
      <c r="D93" s="15" t="e">
        <f>'Facebook Video'!D92+'Youtube Trueview'!#REF!+'IG Video'!D53+'Snapchat Video'!D54+'Snapchat Image'!D53+GDN!#REF!+UAC!D54</f>
        <v>#REF!</v>
      </c>
      <c r="E93" s="15" t="e">
        <f>'Facebook Video'!E92+'Youtube Trueview'!#REF!+'IG Video'!E53+'Snapchat Video'!E54</f>
        <v>#REF!</v>
      </c>
      <c r="F93" s="15" t="e">
        <f>'Facebook Video'!F92+'Youtube Trueview'!#REF!+'IG Video'!F53+'Snapchat Video'!F54</f>
        <v>#REF!</v>
      </c>
      <c r="G93" s="15" t="e">
        <f>'Facebook Video'!G92+'Youtube Trueview'!#REF!+'IG Video'!G53+'Snapchat Video'!G54</f>
        <v>#REF!</v>
      </c>
      <c r="H93" s="15" t="e">
        <f>'Facebook Video'!H92+'Youtube Trueview'!#REF!+'IG Video'!H53+'Snapchat Video'!H54</f>
        <v>#REF!</v>
      </c>
      <c r="I93" s="15" t="e">
        <f>'Facebook Video'!I92+'Youtube Trueview'!#REF!+'IG Video'!I53+'Snapchat Video'!I54</f>
        <v>#REF!</v>
      </c>
      <c r="J93" s="203" t="e">
        <f>'Facebook Video'!J92+'Youtube Trueview'!#REF!+'IG Video'!J53+'Snapchat Video'!J54+'Snapchat Image'!E53+GDN!#REF!+UAC!J54</f>
        <v>#REF!</v>
      </c>
      <c r="K93" s="662" t="e">
        <f>SUM($J$67:$J$71,$J$80,$J$88:J93)/$D$10</f>
        <v>#REF!</v>
      </c>
      <c r="L93" s="555" t="e">
        <f t="shared" si="114"/>
        <v>#REF!</v>
      </c>
      <c r="M93" s="1204">
        <f t="shared" si="90"/>
        <v>69940.733333333337</v>
      </c>
      <c r="N93" s="544" t="e">
        <f t="shared" si="115"/>
        <v>#REF!</v>
      </c>
      <c r="O93" s="1333" t="e">
        <f t="shared" si="116"/>
        <v>#REF!</v>
      </c>
      <c r="P93" s="143" t="e">
        <f>'Facebook Video'!Q92+'Youtube Trueview'!#REF!+'IG Video'!Q53+'Snapchat Video'!Q54+'Snapchat Image'!H53+GDN!#REF!</f>
        <v>#REF!</v>
      </c>
      <c r="Q93" s="52"/>
      <c r="R93" s="52"/>
      <c r="S93" s="293">
        <f t="shared" si="91"/>
        <v>4599.666666666667</v>
      </c>
      <c r="T93" s="541" t="e">
        <f t="shared" si="117"/>
        <v>#REF!</v>
      </c>
      <c r="U93" s="1339" t="e">
        <f t="shared" si="118"/>
        <v>#REF!</v>
      </c>
      <c r="V93" s="308" t="e">
        <f t="shared" si="119"/>
        <v>#REF!</v>
      </c>
      <c r="W93" s="680">
        <v>39</v>
      </c>
      <c r="X93" s="1552">
        <v>0.79</v>
      </c>
    </row>
    <row r="94" spans="2:24">
      <c r="B94" s="253">
        <v>40858</v>
      </c>
      <c r="C94" s="15" t="e">
        <f>'Facebook Video'!C93+'Youtube Trueview'!#REF!+'IG Video'!C54+'Snapchat Video'!C55+'Snapchat Image'!C54+GDN!#REF!+UAC!C55</f>
        <v>#REF!</v>
      </c>
      <c r="D94" s="15" t="e">
        <f>'Facebook Video'!D93+'Youtube Trueview'!#REF!+'IG Video'!D54+'Snapchat Video'!D55+'Snapchat Image'!D54+GDN!#REF!+UAC!D55</f>
        <v>#REF!</v>
      </c>
      <c r="E94" s="15" t="e">
        <f>'Facebook Video'!E93+'Youtube Trueview'!#REF!+'IG Video'!E54+'Snapchat Video'!E55</f>
        <v>#REF!</v>
      </c>
      <c r="F94" s="15" t="e">
        <f>'Facebook Video'!F93+'Youtube Trueview'!#REF!+'IG Video'!F54+'Snapchat Video'!F55</f>
        <v>#REF!</v>
      </c>
      <c r="G94" s="15" t="e">
        <f>'Facebook Video'!G93+'Youtube Trueview'!#REF!+'IG Video'!G54+'Snapchat Video'!G55</f>
        <v>#REF!</v>
      </c>
      <c r="H94" s="15" t="e">
        <f>'Facebook Video'!H93+'Youtube Trueview'!#REF!+'IG Video'!H54+'Snapchat Video'!H55</f>
        <v>#REF!</v>
      </c>
      <c r="I94" s="15" t="e">
        <f>'Facebook Video'!I93+'Youtube Trueview'!#REF!+'IG Video'!I54+'Snapchat Video'!I55</f>
        <v>#REF!</v>
      </c>
      <c r="J94" s="203" t="e">
        <f>'Facebook Video'!J93+'Youtube Trueview'!#REF!+'IG Video'!J54+'Snapchat Video'!J55+'Snapchat Image'!E54+GDN!#REF!+UAC!J55</f>
        <v>#REF!</v>
      </c>
      <c r="K94" s="662" t="e">
        <f>SUM($J$67:$J$71,$J$80,$J$88:J94)/$D$10</f>
        <v>#REF!</v>
      </c>
      <c r="L94" s="555" t="e">
        <f t="shared" si="114"/>
        <v>#REF!</v>
      </c>
      <c r="M94" s="1204">
        <f t="shared" si="90"/>
        <v>69940.733333333337</v>
      </c>
      <c r="N94" s="544" t="e">
        <f t="shared" si="115"/>
        <v>#REF!</v>
      </c>
      <c r="O94" s="1333" t="e">
        <f t="shared" si="116"/>
        <v>#REF!</v>
      </c>
      <c r="P94" s="143" t="e">
        <f>'Facebook Video'!Q93+'Youtube Trueview'!#REF!+'IG Video'!Q54+'Snapchat Video'!Q55+'Snapchat Image'!H54+GDN!#REF!</f>
        <v>#REF!</v>
      </c>
      <c r="Q94" s="52"/>
      <c r="R94" s="52"/>
      <c r="S94" s="293">
        <f t="shared" si="91"/>
        <v>4599.666666666667</v>
      </c>
      <c r="T94" s="541" t="e">
        <f t="shared" si="117"/>
        <v>#REF!</v>
      </c>
      <c r="U94" s="1339" t="e">
        <f t="shared" si="118"/>
        <v>#REF!</v>
      </c>
      <c r="V94" s="308" t="e">
        <f t="shared" si="119"/>
        <v>#REF!</v>
      </c>
      <c r="W94" s="680">
        <v>38</v>
      </c>
      <c r="X94" s="1552">
        <v>0.77</v>
      </c>
    </row>
    <row r="95" spans="2:24">
      <c r="B95" s="253">
        <v>40859</v>
      </c>
      <c r="C95" s="15" t="e">
        <f>'Facebook Video'!C94+'Youtube Trueview'!#REF!+'IG Video'!C55+'Snapchat Video'!C56+'Snapchat Image'!C55+GDN!#REF!+UAC!C56</f>
        <v>#REF!</v>
      </c>
      <c r="D95" s="15" t="e">
        <f>'Facebook Video'!D94+'Youtube Trueview'!#REF!+'IG Video'!D55+'Snapchat Video'!D56+'Snapchat Image'!D55+GDN!#REF!+UAC!D56</f>
        <v>#REF!</v>
      </c>
      <c r="E95" s="15" t="e">
        <f>'Facebook Video'!E94+'Youtube Trueview'!#REF!+'IG Video'!E55+'Snapchat Video'!E56</f>
        <v>#REF!</v>
      </c>
      <c r="F95" s="15" t="e">
        <f>'Facebook Video'!F94+'Youtube Trueview'!#REF!+'IG Video'!F55+'Snapchat Video'!F56</f>
        <v>#REF!</v>
      </c>
      <c r="G95" s="15" t="e">
        <f>'Facebook Video'!G94+'Youtube Trueview'!#REF!+'IG Video'!G55+'Snapchat Video'!G56</f>
        <v>#REF!</v>
      </c>
      <c r="H95" s="15" t="e">
        <f>'Facebook Video'!H94+'Youtube Trueview'!#REF!+'IG Video'!H55+'Snapchat Video'!H56</f>
        <v>#REF!</v>
      </c>
      <c r="I95" s="15" t="e">
        <f>'Facebook Video'!I94+'Youtube Trueview'!#REF!+'IG Video'!I55+'Snapchat Video'!I56</f>
        <v>#REF!</v>
      </c>
      <c r="J95" s="203" t="e">
        <f>'Facebook Video'!J94+'Youtube Trueview'!#REF!+'IG Video'!J55+'Snapchat Video'!J56+'Snapchat Image'!E55+GDN!#REF!+UAC!J56</f>
        <v>#REF!</v>
      </c>
      <c r="K95" s="662" t="e">
        <f>SUM($J$67:$J$71,$J$80,$J$88:J95)/$D$10</f>
        <v>#REF!</v>
      </c>
      <c r="L95" s="555" t="e">
        <f t="shared" si="114"/>
        <v>#REF!</v>
      </c>
      <c r="M95" s="1204">
        <f t="shared" si="90"/>
        <v>69940.733333333337</v>
      </c>
      <c r="N95" s="544" t="e">
        <f t="shared" si="115"/>
        <v>#REF!</v>
      </c>
      <c r="O95" s="1333" t="e">
        <f t="shared" si="116"/>
        <v>#REF!</v>
      </c>
      <c r="P95" s="143" t="e">
        <f>'Facebook Video'!Q94+'Youtube Trueview'!#REF!+'IG Video'!Q55+'Snapchat Video'!Q56+'Snapchat Image'!H55+GDN!#REF!</f>
        <v>#REF!</v>
      </c>
      <c r="Q95" s="52"/>
      <c r="R95" s="52"/>
      <c r="S95" s="293">
        <f t="shared" si="91"/>
        <v>4599.666666666667</v>
      </c>
      <c r="T95" s="541" t="e">
        <f t="shared" si="117"/>
        <v>#REF!</v>
      </c>
      <c r="U95" s="1339" t="e">
        <f t="shared" si="118"/>
        <v>#REF!</v>
      </c>
      <c r="V95" s="308" t="e">
        <f t="shared" si="119"/>
        <v>#REF!</v>
      </c>
      <c r="W95" s="680">
        <v>37</v>
      </c>
      <c r="X95" s="1552">
        <v>0.77</v>
      </c>
    </row>
    <row r="96" spans="2:24">
      <c r="B96" s="254" t="s">
        <v>160</v>
      </c>
      <c r="C96" s="27" t="e">
        <f>SUM(C89:C95)</f>
        <v>#REF!</v>
      </c>
      <c r="D96" s="27" t="e">
        <f t="shared" ref="D96:I96" si="124">SUM(D89:D95)</f>
        <v>#REF!</v>
      </c>
      <c r="E96" s="27" t="e">
        <f t="shared" si="124"/>
        <v>#REF!</v>
      </c>
      <c r="F96" s="27" t="e">
        <f t="shared" si="124"/>
        <v>#REF!</v>
      </c>
      <c r="G96" s="27" t="e">
        <f t="shared" si="124"/>
        <v>#REF!</v>
      </c>
      <c r="H96" s="27" t="e">
        <f t="shared" si="124"/>
        <v>#REF!</v>
      </c>
      <c r="I96" s="27" t="e">
        <f t="shared" si="124"/>
        <v>#REF!</v>
      </c>
      <c r="J96" s="965" t="e">
        <f>SUM(J89:J95)</f>
        <v>#REF!</v>
      </c>
      <c r="K96" s="1344" t="e">
        <f>SUM($J$67:$J$71,$J$80,$J$88,$J$96)/$D$10</f>
        <v>#REF!</v>
      </c>
      <c r="L96" s="1317" t="e">
        <f>D96/C96</f>
        <v>#REF!</v>
      </c>
      <c r="M96" s="56">
        <f>SUM(M89:M95)</f>
        <v>489585.13333333336</v>
      </c>
      <c r="N96" s="1337" t="e">
        <f t="shared" ref="N96" si="125">E96/M96</f>
        <v>#REF!</v>
      </c>
      <c r="O96" s="1334" t="e">
        <f>J96/I96</f>
        <v>#REF!</v>
      </c>
      <c r="P96" s="56" t="e">
        <f>SUM(P89:P95)</f>
        <v>#REF!</v>
      </c>
      <c r="Q96" s="56"/>
      <c r="R96" s="56"/>
      <c r="S96" s="56">
        <f>SUM(S89:S95)</f>
        <v>32197.666666666672</v>
      </c>
      <c r="T96" s="1165" t="e">
        <f>P96/S96</f>
        <v>#REF!</v>
      </c>
      <c r="U96" s="1166" t="e">
        <f t="shared" ref="U96" si="126">J96/P96</f>
        <v>#REF!</v>
      </c>
      <c r="V96" s="1276" t="e">
        <f t="shared" ref="V96" si="127">P96/D96</f>
        <v>#REF!</v>
      </c>
      <c r="W96" s="679">
        <f>AVERAGE(W89:W95)</f>
        <v>38.857142857142854</v>
      </c>
      <c r="X96" s="397">
        <f>AVERAGE(X89:X95)</f>
        <v>0.82669999999999988</v>
      </c>
    </row>
    <row r="97" spans="2:24">
      <c r="B97" s="248">
        <v>40860</v>
      </c>
      <c r="C97" s="15" t="e">
        <f>'Facebook Video'!C96+'Youtube Trueview'!#REF!+'IG Video'!C56+'Snapchat Video'!C57+'Snapchat Image'!C56+GDN!#REF!+UAC!C57</f>
        <v>#REF!</v>
      </c>
      <c r="D97" s="15" t="e">
        <f>'Facebook Video'!D96+'Youtube Trueview'!#REF!+'IG Video'!D56+'Snapchat Video'!D57+'Snapchat Image'!D56+GDN!#REF!+UAC!D57</f>
        <v>#REF!</v>
      </c>
      <c r="E97" s="15" t="e">
        <f>'Facebook Video'!E96+'Youtube Trueview'!#REF!+'IG Video'!E56+'Snapchat Video'!E57</f>
        <v>#REF!</v>
      </c>
      <c r="F97" s="15" t="e">
        <f>'Facebook Video'!F96+'Youtube Trueview'!#REF!+'IG Video'!F56+'Snapchat Video'!F57</f>
        <v>#REF!</v>
      </c>
      <c r="G97" s="15" t="e">
        <f>'Facebook Video'!G96+'Youtube Trueview'!#REF!+'IG Video'!G56+'Snapchat Video'!G57</f>
        <v>#REF!</v>
      </c>
      <c r="H97" s="15" t="e">
        <f>'Facebook Video'!H96+'Youtube Trueview'!#REF!+'IG Video'!H56+'Snapchat Video'!H57</f>
        <v>#REF!</v>
      </c>
      <c r="I97" s="15" t="e">
        <f>'Facebook Video'!I96+'Youtube Trueview'!#REF!+'IG Video'!I56+'Snapchat Video'!I57</f>
        <v>#REF!</v>
      </c>
      <c r="J97" s="203" t="e">
        <f>'Facebook Video'!J96+'Youtube Trueview'!#REF!+'IG Video'!J56+'Snapchat Video'!J57+'Snapchat Image'!E56+GDN!#REF!+UAC!J57</f>
        <v>#REF!</v>
      </c>
      <c r="K97" s="662" t="e">
        <f>SUM($J$67:$J$71,$J$80,$J$88,$J$96:J97)/$D$10</f>
        <v>#REF!</v>
      </c>
      <c r="L97" s="555" t="e">
        <f t="shared" si="114"/>
        <v>#REF!</v>
      </c>
      <c r="M97" s="1204">
        <f t="shared" si="90"/>
        <v>69940.733333333337</v>
      </c>
      <c r="N97" s="544" t="e">
        <f t="shared" si="115"/>
        <v>#REF!</v>
      </c>
      <c r="O97" s="1333" t="e">
        <f t="shared" si="116"/>
        <v>#REF!</v>
      </c>
      <c r="P97" s="143" t="e">
        <f>'Facebook Video'!Q96+'Youtube Trueview'!#REF!+'IG Video'!Q56+'Snapchat Video'!Q57+'Snapchat Image'!H56+GDN!#REF!</f>
        <v>#REF!</v>
      </c>
      <c r="Q97" s="52"/>
      <c r="R97" s="52"/>
      <c r="S97" s="293">
        <f t="shared" si="91"/>
        <v>4599.666666666667</v>
      </c>
      <c r="T97" s="541" t="e">
        <f t="shared" si="117"/>
        <v>#REF!</v>
      </c>
      <c r="U97" s="1339" t="e">
        <f t="shared" si="118"/>
        <v>#REF!</v>
      </c>
      <c r="V97" s="308" t="e">
        <f t="shared" si="119"/>
        <v>#REF!</v>
      </c>
      <c r="W97" s="680">
        <v>32</v>
      </c>
      <c r="X97" s="1552">
        <v>0.89514348785871967</v>
      </c>
    </row>
    <row r="98" spans="2:24">
      <c r="B98" s="248">
        <v>40861</v>
      </c>
      <c r="C98" s="15" t="e">
        <f>'Facebook Video'!C97+'Youtube Trueview'!#REF!+'IG Video'!C57+'Snapchat Video'!C58+'Snapchat Image'!C57+GDN!#REF!+UAC!C58</f>
        <v>#REF!</v>
      </c>
      <c r="D98" s="15" t="e">
        <f>'Facebook Video'!D97+'Youtube Trueview'!#REF!+'IG Video'!D57+'Snapchat Video'!D58+'Snapchat Image'!D57+GDN!#REF!+UAC!D58</f>
        <v>#REF!</v>
      </c>
      <c r="E98" s="15" t="e">
        <f>'Facebook Video'!E97+'Youtube Trueview'!#REF!+'IG Video'!E57+'Snapchat Video'!E58</f>
        <v>#REF!</v>
      </c>
      <c r="F98" s="15" t="e">
        <f>'Facebook Video'!F97+'Youtube Trueview'!#REF!+'IG Video'!F57+'Snapchat Video'!F58</f>
        <v>#REF!</v>
      </c>
      <c r="G98" s="15" t="e">
        <f>'Facebook Video'!G97+'Youtube Trueview'!#REF!+'IG Video'!G57+'Snapchat Video'!G58</f>
        <v>#REF!</v>
      </c>
      <c r="H98" s="15" t="e">
        <f>'Facebook Video'!H97+'Youtube Trueview'!#REF!+'IG Video'!H57+'Snapchat Video'!H58</f>
        <v>#REF!</v>
      </c>
      <c r="I98" s="15" t="e">
        <f>'Facebook Video'!I97+'Youtube Trueview'!#REF!+'IG Video'!I57+'Snapchat Video'!I58</f>
        <v>#REF!</v>
      </c>
      <c r="J98" s="203" t="e">
        <f>'Facebook Video'!J97+'Youtube Trueview'!#REF!+'IG Video'!J57+'Snapchat Video'!J58+'Snapchat Image'!E57+GDN!#REF!+UAC!J58</f>
        <v>#REF!</v>
      </c>
      <c r="K98" s="662" t="e">
        <f>SUM($J$67:$J$71,$J$80,$J$88,$J$96:J98)/$D$10</f>
        <v>#REF!</v>
      </c>
      <c r="L98" s="555" t="e">
        <f t="shared" si="114"/>
        <v>#REF!</v>
      </c>
      <c r="M98" s="1204">
        <f t="shared" si="90"/>
        <v>69940.733333333337</v>
      </c>
      <c r="N98" s="544" t="e">
        <f t="shared" si="115"/>
        <v>#REF!</v>
      </c>
      <c r="O98" s="1333" t="e">
        <f t="shared" si="116"/>
        <v>#REF!</v>
      </c>
      <c r="P98" s="143" t="e">
        <f>'Facebook Video'!Q97+'Youtube Trueview'!#REF!+'IG Video'!Q57+'Snapchat Video'!Q58+'Snapchat Image'!H57+GDN!#REF!</f>
        <v>#REF!</v>
      </c>
      <c r="Q98" s="52"/>
      <c r="R98" s="52"/>
      <c r="S98" s="293">
        <f t="shared" si="91"/>
        <v>4599.666666666667</v>
      </c>
      <c r="T98" s="541" t="e">
        <f t="shared" si="117"/>
        <v>#REF!</v>
      </c>
      <c r="U98" s="1339" t="e">
        <f t="shared" si="118"/>
        <v>#REF!</v>
      </c>
      <c r="V98" s="308" t="e">
        <f t="shared" si="119"/>
        <v>#REF!</v>
      </c>
      <c r="W98" s="680">
        <v>25</v>
      </c>
      <c r="X98" s="1552">
        <v>0.87921416444336653</v>
      </c>
    </row>
    <row r="99" spans="2:24">
      <c r="B99" s="248">
        <v>40862</v>
      </c>
      <c r="C99" s="15" t="e">
        <f>'Facebook Video'!C98+'Youtube Trueview'!#REF!+'IG Video'!C59+'Snapchat Image'!C59+GDN!#REF!+UAC!C60</f>
        <v>#REF!</v>
      </c>
      <c r="D99" s="15" t="e">
        <f>'Facebook Video'!D98+'Youtube Trueview'!#REF!+'IG Video'!D59+'Snapchat Image'!D59+GDN!#REF!+UAC!D60</f>
        <v>#REF!</v>
      </c>
      <c r="E99" s="15" t="e">
        <f>'Facebook Video'!E98+'Youtube Trueview'!#REF!+'IG Video'!E59</f>
        <v>#REF!</v>
      </c>
      <c r="F99" s="15" t="e">
        <f>'Facebook Video'!F98+'Youtube Trueview'!#REF!+'IG Video'!F59+'Snapchat Image'!F59+GDN!#REF!+UAC!F60</f>
        <v>#REF!</v>
      </c>
      <c r="G99" s="15" t="e">
        <f>'Facebook Video'!G98+'Youtube Trueview'!#REF!+'IG Video'!G59+'Snapchat Image'!G59+GDN!#REF!+UAC!G60</f>
        <v>#REF!</v>
      </c>
      <c r="H99" s="15" t="e">
        <f>'Facebook Video'!H98+'Youtube Trueview'!#REF!+'IG Video'!H59+'Snapchat Image'!H59+GDN!#REF!+UAC!H60</f>
        <v>#REF!</v>
      </c>
      <c r="I99" s="15" t="e">
        <f>'Facebook Video'!I98+'Youtube Trueview'!#REF!+'IG Video'!I59+'Snapchat Image'!I59+GDN!#REF!+UAC!I60</f>
        <v>#REF!</v>
      </c>
      <c r="J99" s="203" t="e">
        <f>'Facebook Video'!J98+'Youtube Trueview'!#REF!+'IG Video'!J59+'Snapchat Image'!E59+GDN!#REF!+UAC!J60</f>
        <v>#REF!</v>
      </c>
      <c r="K99" s="662" t="e">
        <f>SUM($J$67:$J$71,$J$80,$J$88,$J$96:J99)/$D$10</f>
        <v>#REF!</v>
      </c>
      <c r="L99" s="555" t="e">
        <f t="shared" si="114"/>
        <v>#REF!</v>
      </c>
      <c r="M99" s="1204">
        <f t="shared" si="90"/>
        <v>69940.733333333337</v>
      </c>
      <c r="N99" s="544" t="e">
        <f t="shared" si="115"/>
        <v>#REF!</v>
      </c>
      <c r="O99" s="1333" t="e">
        <f t="shared" si="116"/>
        <v>#REF!</v>
      </c>
      <c r="P99" s="143" t="e">
        <f>'Facebook Video'!Q98+'Youtube Trueview'!#REF!+'IG Video'!Q59+'Snapchat Video'!Q59+'Snapchat Image'!H59+GDN!#REF!</f>
        <v>#REF!</v>
      </c>
      <c r="Q99" s="52"/>
      <c r="R99" s="52"/>
      <c r="S99" s="293">
        <f t="shared" si="91"/>
        <v>4599.666666666667</v>
      </c>
      <c r="T99" s="541" t="e">
        <f t="shared" si="117"/>
        <v>#REF!</v>
      </c>
      <c r="U99" s="1339" t="e">
        <f t="shared" si="118"/>
        <v>#REF!</v>
      </c>
      <c r="V99" s="308" t="e">
        <f t="shared" si="119"/>
        <v>#REF!</v>
      </c>
      <c r="W99" s="680">
        <v>57</v>
      </c>
      <c r="X99" s="1552">
        <v>0.74095139607032057</v>
      </c>
    </row>
    <row r="100" spans="2:24">
      <c r="B100" s="248">
        <v>40863</v>
      </c>
      <c r="C100" s="15" t="e">
        <f>'Facebook Video'!C99+'Youtube Trueview'!#REF!+'IG Video'!C60+'Snapchat Image'!C60+GDN!#REF!+UAC!C61</f>
        <v>#REF!</v>
      </c>
      <c r="D100" s="15" t="e">
        <f>'Facebook Video'!D99+'Youtube Trueview'!#REF!+'IG Video'!D60+'Snapchat Image'!D60+GDN!#REF!+UAC!D61</f>
        <v>#REF!</v>
      </c>
      <c r="E100" s="15" t="e">
        <f>'Facebook Video'!E99+'Youtube Trueview'!#REF!+'IG Video'!E60</f>
        <v>#REF!</v>
      </c>
      <c r="F100" s="15" t="e">
        <f>'Facebook Video'!F99+'Youtube Trueview'!#REF!+'IG Video'!F60+'Snapchat Image'!F60+GDN!#REF!+UAC!F61</f>
        <v>#REF!</v>
      </c>
      <c r="G100" s="15" t="e">
        <f>'Facebook Video'!G99+'Youtube Trueview'!#REF!+'IG Video'!G60+'Snapchat Image'!G60+GDN!#REF!+UAC!G61</f>
        <v>#REF!</v>
      </c>
      <c r="H100" s="15" t="e">
        <f>'Facebook Video'!H99+'Youtube Trueview'!#REF!+'IG Video'!H60+'Snapchat Image'!H60+GDN!#REF!+UAC!H61</f>
        <v>#REF!</v>
      </c>
      <c r="I100" s="15" t="e">
        <f>'Facebook Video'!I99+'Youtube Trueview'!#REF!+'IG Video'!I60+'Snapchat Image'!I60+GDN!#REF!+UAC!I61</f>
        <v>#REF!</v>
      </c>
      <c r="J100" s="203" t="e">
        <f>'Facebook Video'!J99+'Youtube Trueview'!#REF!+'IG Video'!J60+'Snapchat Image'!E60+GDN!#REF!+UAC!J61</f>
        <v>#REF!</v>
      </c>
      <c r="K100" s="662" t="e">
        <f>SUM($J$67:$J$71,$J$80,$J$88,$J$96:J100)/$D$10</f>
        <v>#REF!</v>
      </c>
      <c r="L100" s="555" t="e">
        <f t="shared" si="114"/>
        <v>#REF!</v>
      </c>
      <c r="M100" s="1204">
        <f t="shared" si="90"/>
        <v>69940.733333333337</v>
      </c>
      <c r="N100" s="544" t="e">
        <f t="shared" si="115"/>
        <v>#REF!</v>
      </c>
      <c r="O100" s="1333" t="e">
        <f t="shared" si="116"/>
        <v>#REF!</v>
      </c>
      <c r="P100" s="143" t="e">
        <f>'Facebook Video'!Q99+'Youtube Trueview'!#REF!+'IG Video'!Q60+'Snapchat Video'!Q60+'Snapchat Image'!H60+GDN!#REF!</f>
        <v>#REF!</v>
      </c>
      <c r="Q100" s="52"/>
      <c r="R100" s="52"/>
      <c r="S100" s="293">
        <f t="shared" si="91"/>
        <v>4599.666666666667</v>
      </c>
      <c r="T100" s="541" t="e">
        <f t="shared" ref="T100" si="128">P100/S100</f>
        <v>#REF!</v>
      </c>
      <c r="U100" s="1339" t="e">
        <f t="shared" ref="U100" si="129">J100/P100</f>
        <v>#REF!</v>
      </c>
      <c r="V100" s="308" t="e">
        <f t="shared" ref="V100" si="130">P100/D100</f>
        <v>#REF!</v>
      </c>
      <c r="W100" s="680">
        <v>58</v>
      </c>
      <c r="X100" s="1552">
        <v>0.84278495227400341</v>
      </c>
    </row>
    <row r="101" spans="2:24">
      <c r="B101" s="248">
        <v>40864</v>
      </c>
      <c r="C101" s="15" t="e">
        <f>'Facebook Video'!C100+'Youtube Trueview'!#REF!+'IG Video'!C61+'Snapchat Image'!C61+GDN!#REF!+UAC!C62</f>
        <v>#REF!</v>
      </c>
      <c r="D101" s="15" t="e">
        <f>'Facebook Video'!D100+'Youtube Trueview'!#REF!+'IG Video'!D61+'Snapchat Image'!D61+GDN!#REF!+UAC!D62</f>
        <v>#REF!</v>
      </c>
      <c r="E101" s="15" t="e">
        <f>'Facebook Video'!E100+'Youtube Trueview'!#REF!+'IG Video'!E61</f>
        <v>#REF!</v>
      </c>
      <c r="F101" s="15" t="e">
        <f>'Facebook Video'!F100+'Youtube Trueview'!#REF!+'IG Video'!F61</f>
        <v>#REF!</v>
      </c>
      <c r="G101" s="15" t="e">
        <f>'Facebook Video'!G100+'Youtube Trueview'!#REF!+'IG Video'!G61</f>
        <v>#REF!</v>
      </c>
      <c r="H101" s="15" t="e">
        <f>'Facebook Video'!H100+'Youtube Trueview'!#REF!+'IG Video'!H61</f>
        <v>#REF!</v>
      </c>
      <c r="I101" s="15" t="e">
        <f>'Facebook Video'!I100+'Youtube Trueview'!#REF!+'IG Video'!I61</f>
        <v>#REF!</v>
      </c>
      <c r="J101" s="203" t="e">
        <f>'Facebook Video'!J100+'Youtube Trueview'!#REF!+'IG Video'!J61+'Snapchat Image'!E61+GDN!#REF!+UAC!J62</f>
        <v>#REF!</v>
      </c>
      <c r="K101" s="662" t="e">
        <f>SUM($J$67:$J$71,$J$80,$J$88,$J$96:J101)/$D$10</f>
        <v>#REF!</v>
      </c>
      <c r="L101" s="555" t="e">
        <f t="shared" ref="L101:L103" si="131">D101/C101</f>
        <v>#REF!</v>
      </c>
      <c r="M101" s="1204">
        <f t="shared" si="90"/>
        <v>69940.733333333337</v>
      </c>
      <c r="N101" s="544" t="e">
        <f t="shared" ref="N101:N103" si="132">E101/M101</f>
        <v>#REF!</v>
      </c>
      <c r="O101" s="1333" t="e">
        <f t="shared" ref="O101:O103" si="133">J101/D101</f>
        <v>#REF!</v>
      </c>
      <c r="P101" s="143" t="e">
        <f>'Facebook Video'!Q100+'Youtube Trueview'!#REF!+'IG Video'!Q61+'Snapchat Video'!Q61+'Snapchat Image'!H61+GDN!#REF!</f>
        <v>#REF!</v>
      </c>
      <c r="Q101" s="52"/>
      <c r="R101" s="52"/>
      <c r="S101" s="293">
        <f t="shared" si="91"/>
        <v>4599.666666666667</v>
      </c>
      <c r="T101" s="541" t="e">
        <f t="shared" ref="T101:T103" si="134">P101/S101</f>
        <v>#REF!</v>
      </c>
      <c r="U101" s="1339" t="e">
        <f t="shared" ref="U101:U103" si="135">J101/P101</f>
        <v>#REF!</v>
      </c>
      <c r="V101" s="308" t="e">
        <f t="shared" ref="V101:V109" si="136">P101/D101</f>
        <v>#REF!</v>
      </c>
      <c r="W101" s="680">
        <v>59</v>
      </c>
      <c r="X101" s="1552">
        <v>0.8276209677419355</v>
      </c>
    </row>
    <row r="102" spans="2:24">
      <c r="B102" s="253">
        <v>40865</v>
      </c>
      <c r="C102" s="15" t="e">
        <f>'Facebook Video'!C101+'Youtube Trueview'!#REF!+'IG Video'!C62+'Snapchat Image'!C62+GDN!#REF!+UAC!C63+'FB BoostUp'!C25</f>
        <v>#REF!</v>
      </c>
      <c r="D102" s="15" t="e">
        <f>'Facebook Video'!D101+'Youtube Trueview'!#REF!+'IG Video'!D62+'Snapchat Image'!D62+GDN!#REF!+UAC!D63+'FB BoostUp'!D25</f>
        <v>#REF!</v>
      </c>
      <c r="E102" s="15" t="e">
        <f>'Facebook Video'!E101+'Youtube Trueview'!#REF!+'IG Video'!E62</f>
        <v>#REF!</v>
      </c>
      <c r="F102" s="15" t="e">
        <f>'Facebook Video'!F101+'Youtube Trueview'!#REF!+'IG Video'!F62</f>
        <v>#REF!</v>
      </c>
      <c r="G102" s="15" t="e">
        <f>'Facebook Video'!G101+'Youtube Trueview'!#REF!+'IG Video'!G62</f>
        <v>#REF!</v>
      </c>
      <c r="H102" s="15" t="e">
        <f>'Facebook Video'!H101+'Youtube Trueview'!#REF!+'IG Video'!H62</f>
        <v>#REF!</v>
      </c>
      <c r="I102" s="15" t="e">
        <f>'Facebook Video'!I101+'Youtube Trueview'!#REF!+'IG Video'!I62</f>
        <v>#REF!</v>
      </c>
      <c r="J102" s="203" t="e">
        <f>'Facebook Video'!J101+'Youtube Trueview'!#REF!+'IG Video'!J62+'Snapchat Image'!E62+GDN!#REF!+UAC!J63+'FB BoostUp'!E25</f>
        <v>#REF!</v>
      </c>
      <c r="K102" s="662" t="e">
        <f>SUM($J$67:$J$71,$J$80,$J$88,$J$96:J102)/$D$10</f>
        <v>#REF!</v>
      </c>
      <c r="L102" s="555" t="e">
        <f t="shared" si="131"/>
        <v>#REF!</v>
      </c>
      <c r="M102" s="1204">
        <f t="shared" si="90"/>
        <v>69940.733333333337</v>
      </c>
      <c r="N102" s="544" t="e">
        <f t="shared" si="132"/>
        <v>#REF!</v>
      </c>
      <c r="O102" s="1333" t="e">
        <f t="shared" si="133"/>
        <v>#REF!</v>
      </c>
      <c r="P102" s="143" t="e">
        <f>'Facebook Video'!Q101+'Youtube Trueview'!#REF!+'IG Video'!Q62+'Snapchat Video'!Q62+'Snapchat Image'!H62+GDN!#REF!+'FB BoostUp'!H25</f>
        <v>#REF!</v>
      </c>
      <c r="Q102" s="52"/>
      <c r="R102" s="52"/>
      <c r="S102" s="293">
        <f t="shared" si="91"/>
        <v>4599.666666666667</v>
      </c>
      <c r="T102" s="541" t="e">
        <f t="shared" si="134"/>
        <v>#REF!</v>
      </c>
      <c r="U102" s="1339" t="e">
        <f t="shared" si="135"/>
        <v>#REF!</v>
      </c>
      <c r="V102" s="308" t="e">
        <f t="shared" si="136"/>
        <v>#REF!</v>
      </c>
      <c r="W102" s="680">
        <v>60</v>
      </c>
      <c r="X102" s="1552">
        <v>0.82878228782287822</v>
      </c>
    </row>
    <row r="103" spans="2:24">
      <c r="B103" s="253">
        <v>40866</v>
      </c>
      <c r="C103" s="15" t="e">
        <f>'Facebook Video'!C102+'Youtube Trueview'!#REF!+'IG Video'!C63+'Snapchat Image'!C63+GDN!#REF!+UAC!C64+'FB BoostUp'!C26</f>
        <v>#REF!</v>
      </c>
      <c r="D103" s="15" t="e">
        <f>'Facebook Video'!D102+'Youtube Trueview'!#REF!+'IG Video'!D63+'Snapchat Image'!D63+GDN!#REF!+UAC!D64+'FB BoostUp'!D26</f>
        <v>#REF!</v>
      </c>
      <c r="E103" s="15" t="e">
        <f>'Facebook Video'!E102+'Youtube Trueview'!#REF!+'IG Video'!E63</f>
        <v>#REF!</v>
      </c>
      <c r="F103" s="15" t="e">
        <f>'Facebook Video'!F102+'Youtube Trueview'!#REF!+'IG Video'!F63</f>
        <v>#REF!</v>
      </c>
      <c r="G103" s="15" t="e">
        <f>'Facebook Video'!G102+'Youtube Trueview'!#REF!+'IG Video'!G63</f>
        <v>#REF!</v>
      </c>
      <c r="H103" s="15" t="e">
        <f>'Facebook Video'!H102+'Youtube Trueview'!#REF!+'IG Video'!H63</f>
        <v>#REF!</v>
      </c>
      <c r="I103" s="15" t="e">
        <f>'Facebook Video'!I102+'Youtube Trueview'!#REF!+'IG Video'!I63</f>
        <v>#REF!</v>
      </c>
      <c r="J103" s="203" t="e">
        <f>'Facebook Video'!J102+'Youtube Trueview'!#REF!+'IG Video'!J63+'Snapchat Image'!E63+GDN!JE2+UAC!J64+'FB BoostUp'!E26</f>
        <v>#REF!</v>
      </c>
      <c r="K103" s="662" t="e">
        <f>SUM($J$67:$J$71,$J$80,$J$88,$J$96:J103)/$D$10</f>
        <v>#REF!</v>
      </c>
      <c r="L103" s="555" t="e">
        <f t="shared" si="131"/>
        <v>#REF!</v>
      </c>
      <c r="M103" s="1204">
        <f t="shared" si="90"/>
        <v>69940.733333333337</v>
      </c>
      <c r="N103" s="544" t="e">
        <f t="shared" si="132"/>
        <v>#REF!</v>
      </c>
      <c r="O103" s="1333" t="e">
        <f t="shared" si="133"/>
        <v>#REF!</v>
      </c>
      <c r="P103" s="143" t="e">
        <f>'Facebook Video'!Q102+'Youtube Trueview'!#REF!+'IG Video'!Q63+'Snapchat Video'!Q63+'Snapchat Image'!H63+GDN!#REF!+'FB BoostUp'!H26</f>
        <v>#REF!</v>
      </c>
      <c r="Q103" s="52"/>
      <c r="R103" s="52"/>
      <c r="S103" s="293">
        <f t="shared" si="91"/>
        <v>4599.666666666667</v>
      </c>
      <c r="T103" s="541" t="e">
        <f t="shared" si="134"/>
        <v>#REF!</v>
      </c>
      <c r="U103" s="1339" t="e">
        <f t="shared" si="135"/>
        <v>#REF!</v>
      </c>
      <c r="V103" s="308" t="e">
        <f t="shared" si="136"/>
        <v>#REF!</v>
      </c>
      <c r="W103" s="680">
        <v>61</v>
      </c>
      <c r="X103" s="1552">
        <v>0.79738968303293967</v>
      </c>
    </row>
    <row r="104" spans="2:24">
      <c r="B104" s="254" t="s">
        <v>160</v>
      </c>
      <c r="C104" s="27" t="e">
        <f>SUM(C97:C103)</f>
        <v>#REF!</v>
      </c>
      <c r="D104" s="27" t="e">
        <f t="shared" ref="D104:I104" si="137">SUM(D97:D103)</f>
        <v>#REF!</v>
      </c>
      <c r="E104" s="27" t="e">
        <f t="shared" si="137"/>
        <v>#REF!</v>
      </c>
      <c r="F104" s="27" t="e">
        <f t="shared" si="137"/>
        <v>#REF!</v>
      </c>
      <c r="G104" s="27" t="e">
        <f t="shared" si="137"/>
        <v>#REF!</v>
      </c>
      <c r="H104" s="27" t="e">
        <f t="shared" si="137"/>
        <v>#REF!</v>
      </c>
      <c r="I104" s="27" t="e">
        <f t="shared" si="137"/>
        <v>#REF!</v>
      </c>
      <c r="J104" s="965" t="e">
        <f>SUM(J97:J103)</f>
        <v>#REF!</v>
      </c>
      <c r="K104" s="1344" t="e">
        <f>SUM($J$67:$J$71,$J$80,$J$88,$J$96,J104)/$D$10</f>
        <v>#REF!</v>
      </c>
      <c r="L104" s="1317" t="e">
        <f>D104/C104</f>
        <v>#REF!</v>
      </c>
      <c r="M104" s="56">
        <f>SUM(M97:M103)</f>
        <v>489585.13333333336</v>
      </c>
      <c r="N104" s="1337" t="e">
        <f t="shared" ref="N104:N106" si="138">E104/M104</f>
        <v>#REF!</v>
      </c>
      <c r="O104" s="1334" t="e">
        <f>J104/I104</f>
        <v>#REF!</v>
      </c>
      <c r="P104" s="56" t="e">
        <f>SUM(P97:P103)</f>
        <v>#REF!</v>
      </c>
      <c r="Q104" s="56"/>
      <c r="R104" s="56"/>
      <c r="S104" s="56">
        <f>SUM(S97:S103)</f>
        <v>32197.666666666672</v>
      </c>
      <c r="T104" s="1165" t="e">
        <f>P104/S104</f>
        <v>#REF!</v>
      </c>
      <c r="U104" s="1166" t="e">
        <f t="shared" ref="U104:U105" si="139">J104/P104</f>
        <v>#REF!</v>
      </c>
      <c r="V104" s="1276" t="e">
        <f t="shared" ref="V104" si="140">P104/D104</f>
        <v>#REF!</v>
      </c>
      <c r="W104" s="679">
        <f>AVERAGE(W97:W103)</f>
        <v>50.285714285714285</v>
      </c>
      <c r="X104" s="397">
        <f>AVERAGE(X97:X103)</f>
        <v>0.83026956274916619</v>
      </c>
    </row>
    <row r="105" spans="2:24">
      <c r="B105" s="248">
        <v>44885</v>
      </c>
      <c r="C105" s="15" t="e">
        <f>'Youtube Trueview'!#REF!+'Snapchat Image'!C64+UAC!C65+'FB BoostUp'!C27</f>
        <v>#REF!</v>
      </c>
      <c r="D105" s="15" t="e">
        <f>'Youtube Trueview'!#REF!+'Snapchat Image'!D64+UAC!D65+'FB BoostUp'!D27</f>
        <v>#REF!</v>
      </c>
      <c r="E105" s="15" t="e">
        <f>'Youtube Trueview'!#REF!+'IG Video'!E64</f>
        <v>#REF!</v>
      </c>
      <c r="F105" s="15" t="e">
        <f>'Youtube Trueview'!#REF!+'IG Video'!F64</f>
        <v>#REF!</v>
      </c>
      <c r="G105" s="15" t="e">
        <f>'Youtube Trueview'!#REF!+'IG Video'!G64</f>
        <v>#REF!</v>
      </c>
      <c r="H105" s="15" t="e">
        <f>'Youtube Trueview'!#REF!+'IG Video'!H64</f>
        <v>#REF!</v>
      </c>
      <c r="I105" s="15" t="e">
        <f>'Youtube Trueview'!#REF!+'IG Video'!I64</f>
        <v>#REF!</v>
      </c>
      <c r="J105" s="203" t="e">
        <f>'Youtube Trueview'!#REF!+'IG Video'!J64+'Snapchat Image'!E64+UAC!J65+'FB BoostUp'!E27</f>
        <v>#REF!</v>
      </c>
      <c r="K105" s="662" t="e">
        <f>SUM($J$67:$J$71,$J$80,$J$88,$J$96,$J$104:J105)/$D$10</f>
        <v>#REF!</v>
      </c>
      <c r="L105" s="555" t="e">
        <f t="shared" ref="L105:L106" si="141">D105/C105</f>
        <v>#REF!</v>
      </c>
      <c r="M105" s="1204">
        <f t="shared" si="90"/>
        <v>69940.733333333337</v>
      </c>
      <c r="N105" s="544" t="e">
        <f t="shared" si="138"/>
        <v>#REF!</v>
      </c>
      <c r="O105" s="1333" t="e">
        <f t="shared" ref="O105:O109" si="142">J105/D105</f>
        <v>#REF!</v>
      </c>
      <c r="P105" s="143" t="e">
        <f>'Youtube Trueview'!#REF!+'IG Video'!Q64+'Snapchat Image'!H64+'FB BoostUp'!H27</f>
        <v>#REF!</v>
      </c>
      <c r="Q105" s="52"/>
      <c r="R105" s="52"/>
      <c r="S105" s="293">
        <f t="shared" si="91"/>
        <v>4599.666666666667</v>
      </c>
      <c r="T105" s="541" t="e">
        <f t="shared" ref="T105" si="143">P105/S105</f>
        <v>#REF!</v>
      </c>
      <c r="U105" s="1339" t="e">
        <f t="shared" si="139"/>
        <v>#REF!</v>
      </c>
      <c r="V105" s="308" t="e">
        <f t="shared" si="136"/>
        <v>#REF!</v>
      </c>
      <c r="W105" s="680"/>
      <c r="X105" s="1552"/>
    </row>
    <row r="106" spans="2:24">
      <c r="B106" s="248">
        <v>44886</v>
      </c>
      <c r="C106" s="15" t="e">
        <f>'Youtube Trueview'!#REF!+'Snapchat Image'!C65+UAC!C66+'FB BoostUp'!C28</f>
        <v>#REF!</v>
      </c>
      <c r="D106" s="15" t="e">
        <f>'Youtube Trueview'!#REF!+'Snapchat Image'!D65+UAC!D66+'FB BoostUp'!D28</f>
        <v>#REF!</v>
      </c>
      <c r="E106" s="15" t="e">
        <f>'Youtube Trueview'!#REF!+'IG Video'!E65</f>
        <v>#REF!</v>
      </c>
      <c r="F106" s="15" t="e">
        <f>'Youtube Trueview'!#REF!+'IG Video'!F65</f>
        <v>#REF!</v>
      </c>
      <c r="G106" s="15" t="e">
        <f>'Youtube Trueview'!#REF!+'IG Video'!G65</f>
        <v>#REF!</v>
      </c>
      <c r="H106" s="15" t="e">
        <f>'Youtube Trueview'!#REF!</f>
        <v>#REF!</v>
      </c>
      <c r="I106" s="15" t="e">
        <f>'Youtube Trueview'!#REF!+'IG Video'!I65</f>
        <v>#REF!</v>
      </c>
      <c r="J106" s="203" t="e">
        <f>'Youtube Trueview'!#REF!+'IG Video'!J65+'Snapchat Image'!E65+UAC!J66+'FB BoostUp'!E28</f>
        <v>#REF!</v>
      </c>
      <c r="K106" s="662" t="e">
        <f>SUM($J$67:$J$71,$J$80,$J$88,$J$96,$J$104:J106)/$D$10</f>
        <v>#REF!</v>
      </c>
      <c r="L106" s="555" t="e">
        <f t="shared" si="141"/>
        <v>#REF!</v>
      </c>
      <c r="M106" s="1204">
        <f t="shared" si="90"/>
        <v>69940.733333333337</v>
      </c>
      <c r="N106" s="544" t="e">
        <f t="shared" si="138"/>
        <v>#REF!</v>
      </c>
      <c r="O106" s="1333" t="e">
        <f t="shared" si="142"/>
        <v>#REF!</v>
      </c>
      <c r="P106" s="143" t="e">
        <f>'Youtube Trueview'!#REF!+'IG Video'!Q65+'Snapchat Image'!H65+'FB BoostUp'!H28</f>
        <v>#REF!</v>
      </c>
      <c r="Q106" s="52"/>
      <c r="R106" s="52"/>
      <c r="S106" s="293">
        <f t="shared" si="91"/>
        <v>4599.666666666667</v>
      </c>
      <c r="T106" s="541" t="e">
        <f t="shared" ref="T106" si="144">P106/S106</f>
        <v>#REF!</v>
      </c>
      <c r="U106" s="1339" t="e">
        <f t="shared" ref="U106" si="145">J106/P106</f>
        <v>#REF!</v>
      </c>
      <c r="V106" s="308" t="e">
        <f t="shared" si="136"/>
        <v>#REF!</v>
      </c>
      <c r="W106" s="680"/>
      <c r="X106" s="1552"/>
    </row>
    <row r="107" spans="2:24">
      <c r="B107" s="248">
        <v>44887</v>
      </c>
      <c r="C107" s="15" t="e">
        <f>'Youtube Trueview'!#REF!+'Snapchat Image'!C67+UAC!C68+'FB BoostUp'!C29</f>
        <v>#REF!</v>
      </c>
      <c r="D107" s="15" t="e">
        <f>'Youtube Trueview'!#REF!+'Snapchat Image'!D67+UAC!D67+'FB BoostUp'!D29</f>
        <v>#REF!</v>
      </c>
      <c r="E107" s="15" t="e">
        <f>'Youtube Trueview'!#REF!</f>
        <v>#REF!</v>
      </c>
      <c r="F107" s="15" t="e">
        <f>'Youtube Trueview'!#REF!</f>
        <v>#REF!</v>
      </c>
      <c r="G107" s="15" t="e">
        <f>'Youtube Trueview'!#REF!</f>
        <v>#REF!</v>
      </c>
      <c r="H107" s="15" t="e">
        <f>'Youtube Trueview'!#REF!</f>
        <v>#REF!</v>
      </c>
      <c r="I107" s="15" t="e">
        <f>'Youtube Trueview'!#REF!</f>
        <v>#REF!</v>
      </c>
      <c r="J107" s="203" t="e">
        <f>'Youtube Trueview'!#REF!+'Snapchat Image'!E67+UAC!J68+'FB BoostUp'!E29</f>
        <v>#REF!</v>
      </c>
      <c r="K107" s="662" t="e">
        <f>SUM($J$67:$J$71,$J$80,$J$88,$J$96,$J$104:J107)/$D$10</f>
        <v>#REF!</v>
      </c>
      <c r="L107" s="555" t="e">
        <f t="shared" ref="L107:L109" si="146">D107/C107</f>
        <v>#REF!</v>
      </c>
      <c r="M107" s="1204">
        <f t="shared" si="90"/>
        <v>69940.733333333337</v>
      </c>
      <c r="N107" s="544" t="e">
        <f t="shared" ref="N107:N109" si="147">E107/M107</f>
        <v>#REF!</v>
      </c>
      <c r="O107" s="1333" t="e">
        <f t="shared" si="142"/>
        <v>#REF!</v>
      </c>
      <c r="P107" s="143" t="e">
        <f>'Youtube Trueview'!#REF!+'Snapchat Image'!H67+'FB BoostUp'!H29</f>
        <v>#REF!</v>
      </c>
      <c r="Q107" s="52"/>
      <c r="R107" s="52"/>
      <c r="S107" s="293">
        <f t="shared" si="91"/>
        <v>4599.666666666667</v>
      </c>
      <c r="T107" s="541" t="e">
        <f t="shared" ref="T107:T109" si="148">P107/S107</f>
        <v>#REF!</v>
      </c>
      <c r="U107" s="1339" t="e">
        <f t="shared" ref="U107:U109" si="149">J107/P107</f>
        <v>#REF!</v>
      </c>
      <c r="V107" s="308" t="e">
        <f t="shared" si="136"/>
        <v>#REF!</v>
      </c>
      <c r="W107" s="680"/>
      <c r="X107" s="1552"/>
    </row>
    <row r="108" spans="2:24">
      <c r="B108" s="248">
        <v>44888</v>
      </c>
      <c r="C108" s="15" t="e">
        <f>'Youtube Trueview'!#REF!+'Snapchat Image'!C68+UAC!C69+'FB BoostUp'!C30</f>
        <v>#REF!</v>
      </c>
      <c r="D108" s="15" t="e">
        <f>'Youtube Trueview'!#REF!+'Snapchat Image'!D68+UAC!D68+'FB BoostUp'!D30</f>
        <v>#REF!</v>
      </c>
      <c r="E108" s="15" t="e">
        <f>'Youtube Trueview'!#REF!</f>
        <v>#REF!</v>
      </c>
      <c r="F108" s="15" t="e">
        <f>'Youtube Trueview'!#REF!</f>
        <v>#REF!</v>
      </c>
      <c r="G108" s="15" t="e">
        <f>'Youtube Trueview'!#REF!</f>
        <v>#REF!</v>
      </c>
      <c r="H108" s="15" t="e">
        <f>'Youtube Trueview'!#REF!</f>
        <v>#REF!</v>
      </c>
      <c r="I108" s="15" t="e">
        <f>'Youtube Trueview'!#REF!</f>
        <v>#REF!</v>
      </c>
      <c r="J108" s="203" t="e">
        <f>'Youtube Trueview'!#REF!+'Snapchat Image'!E68+UAC!J69+'FB BoostUp'!E30</f>
        <v>#REF!</v>
      </c>
      <c r="K108" s="662" t="e">
        <f>SUM($J$67:$J$71,$J$80,$J$88,$J$96,$J$104:J108)/$D$10</f>
        <v>#REF!</v>
      </c>
      <c r="L108" s="555" t="e">
        <f t="shared" si="146"/>
        <v>#REF!</v>
      </c>
      <c r="M108" s="1204">
        <f t="shared" si="90"/>
        <v>69940.733333333337</v>
      </c>
      <c r="N108" s="544" t="e">
        <f t="shared" si="147"/>
        <v>#REF!</v>
      </c>
      <c r="O108" s="1333" t="e">
        <f t="shared" si="142"/>
        <v>#REF!</v>
      </c>
      <c r="P108" s="143" t="e">
        <f>'Youtube Trueview'!#REF!+'Snapchat Image'!H68+'FB BoostUp'!H30</f>
        <v>#REF!</v>
      </c>
      <c r="Q108" s="52"/>
      <c r="R108" s="52"/>
      <c r="S108" s="293">
        <f t="shared" si="91"/>
        <v>4599.666666666667</v>
      </c>
      <c r="T108" s="541" t="e">
        <f t="shared" si="148"/>
        <v>#REF!</v>
      </c>
      <c r="U108" s="1339" t="e">
        <f t="shared" si="149"/>
        <v>#REF!</v>
      </c>
      <c r="V108" s="308" t="e">
        <f t="shared" si="136"/>
        <v>#REF!</v>
      </c>
      <c r="W108" s="680"/>
      <c r="X108" s="1552"/>
    </row>
    <row r="109" spans="2:24">
      <c r="B109" s="248">
        <v>44889</v>
      </c>
      <c r="C109" s="15" t="e">
        <f>'Youtube Trueview'!#REF!+'Snapchat Image'!C69+UAC!C70+'FB BoostUp'!C31</f>
        <v>#REF!</v>
      </c>
      <c r="D109" s="15" t="e">
        <f>'Youtube Trueview'!#REF!+'Snapchat Image'!D69+UAC!D69+'FB BoostUp'!D31</f>
        <v>#REF!</v>
      </c>
      <c r="E109" s="15" t="e">
        <f>'Youtube Trueview'!#REF!</f>
        <v>#REF!</v>
      </c>
      <c r="F109" s="15" t="e">
        <f>'Youtube Trueview'!#REF!</f>
        <v>#REF!</v>
      </c>
      <c r="G109" s="15" t="e">
        <f>'Youtube Trueview'!#REF!</f>
        <v>#REF!</v>
      </c>
      <c r="H109" s="15" t="e">
        <f>'Youtube Trueview'!#REF!</f>
        <v>#REF!</v>
      </c>
      <c r="I109" s="15" t="e">
        <f>'Youtube Trueview'!#REF!</f>
        <v>#REF!</v>
      </c>
      <c r="J109" s="203" t="e">
        <f>'Youtube Trueview'!#REF!+'Snapchat Image'!E69+UAC!J70+'FB BoostUp'!E31</f>
        <v>#REF!</v>
      </c>
      <c r="K109" s="662" t="e">
        <f>SUM($J$67:$J$71,$J$80,$J$88,$J$96,$J$104:J109)/$D$10</f>
        <v>#REF!</v>
      </c>
      <c r="L109" s="555" t="e">
        <f t="shared" si="146"/>
        <v>#REF!</v>
      </c>
      <c r="M109" s="1204">
        <f t="shared" si="90"/>
        <v>69940.733333333337</v>
      </c>
      <c r="N109" s="544" t="e">
        <f t="shared" si="147"/>
        <v>#REF!</v>
      </c>
      <c r="O109" s="1333" t="e">
        <f t="shared" si="142"/>
        <v>#REF!</v>
      </c>
      <c r="P109" s="143" t="e">
        <f>'Youtube Trueview'!#REF!+'Snapchat Image'!H69+'FB BoostUp'!H31</f>
        <v>#REF!</v>
      </c>
      <c r="Q109" s="52"/>
      <c r="R109" s="52"/>
      <c r="S109" s="293">
        <f t="shared" si="91"/>
        <v>4599.666666666667</v>
      </c>
      <c r="T109" s="541" t="e">
        <f t="shared" si="148"/>
        <v>#REF!</v>
      </c>
      <c r="U109" s="1339" t="e">
        <f t="shared" si="149"/>
        <v>#REF!</v>
      </c>
      <c r="V109" s="308" t="e">
        <f t="shared" si="136"/>
        <v>#REF!</v>
      </c>
      <c r="W109" s="680"/>
      <c r="X109" s="1552"/>
    </row>
    <row r="110" spans="2:24">
      <c r="B110" s="254" t="s">
        <v>160</v>
      </c>
      <c r="C110" s="27" t="e">
        <f>SUM(C105:C109)</f>
        <v>#REF!</v>
      </c>
      <c r="D110" s="27" t="e">
        <f t="shared" ref="D110:J110" si="150">SUM(D105:D109)</f>
        <v>#REF!</v>
      </c>
      <c r="E110" s="27" t="e">
        <f t="shared" si="150"/>
        <v>#REF!</v>
      </c>
      <c r="F110" s="27" t="e">
        <f t="shared" si="150"/>
        <v>#REF!</v>
      </c>
      <c r="G110" s="27" t="e">
        <f t="shared" si="150"/>
        <v>#REF!</v>
      </c>
      <c r="H110" s="27" t="e">
        <f t="shared" si="150"/>
        <v>#REF!</v>
      </c>
      <c r="I110" s="27" t="e">
        <f t="shared" si="150"/>
        <v>#REF!</v>
      </c>
      <c r="J110" s="74" t="e">
        <f t="shared" si="150"/>
        <v>#REF!</v>
      </c>
      <c r="K110" s="1344" t="e">
        <f>SUM($J$67:$J$71,$J$80,$J$88,$J$96,$J$104,$J$110)/$D$10</f>
        <v>#REF!</v>
      </c>
      <c r="L110" s="1317" t="e">
        <f>D110/C110</f>
        <v>#REF!</v>
      </c>
      <c r="M110" s="56">
        <f>SUM(M105:M109)</f>
        <v>349703.66666666669</v>
      </c>
      <c r="N110" s="1337" t="e">
        <f t="shared" ref="N110" si="151">E110/M110</f>
        <v>#REF!</v>
      </c>
      <c r="O110" s="1334" t="e">
        <f>J110/I110</f>
        <v>#REF!</v>
      </c>
      <c r="P110" s="56" t="e">
        <f>SUM(P105:P109)</f>
        <v>#REF!</v>
      </c>
      <c r="Q110" s="56"/>
      <c r="R110" s="56"/>
      <c r="S110" s="56">
        <f>SUM(S105:S109)</f>
        <v>22998.333333333336</v>
      </c>
      <c r="T110" s="1165" t="e">
        <f>P110/S110</f>
        <v>#REF!</v>
      </c>
      <c r="U110" s="1166" t="e">
        <f t="shared" ref="U110" si="152">J110/P110</f>
        <v>#REF!</v>
      </c>
      <c r="V110" s="1276" t="e">
        <f t="shared" ref="V110" si="153">P110/D110</f>
        <v>#REF!</v>
      </c>
      <c r="W110" s="679" t="e">
        <f>AVERAGE(W105:W109)</f>
        <v>#DIV/0!</v>
      </c>
      <c r="X110" s="397" t="e">
        <f>AVERAGE(X105:X109)</f>
        <v>#DIV/0!</v>
      </c>
    </row>
    <row r="111" spans="2:24">
      <c r="B111" s="1058" t="s">
        <v>161</v>
      </c>
      <c r="C111" s="1059" t="e">
        <f>SUM(C67:C71,C80,C88,C96,C104:C109)</f>
        <v>#REF!</v>
      </c>
      <c r="D111" s="1059" t="e">
        <f t="shared" ref="D111:J111" si="154">SUM(D67:D71,D80,D88,D96,D104:D109)</f>
        <v>#REF!</v>
      </c>
      <c r="E111" s="1059" t="e">
        <f t="shared" si="154"/>
        <v>#REF!</v>
      </c>
      <c r="F111" s="1059" t="e">
        <f t="shared" si="154"/>
        <v>#REF!</v>
      </c>
      <c r="G111" s="1059" t="e">
        <f t="shared" si="154"/>
        <v>#REF!</v>
      </c>
      <c r="H111" s="1059" t="e">
        <f t="shared" si="154"/>
        <v>#REF!</v>
      </c>
      <c r="I111" s="1059" t="e">
        <f>SUM(I67:I71,I80,I88,I96,I104:I109)</f>
        <v>#REF!</v>
      </c>
      <c r="J111" s="1756" t="e">
        <f t="shared" si="154"/>
        <v>#REF!</v>
      </c>
      <c r="K111" s="1061" t="e">
        <f>J111/$D$10</f>
        <v>#REF!</v>
      </c>
      <c r="L111" s="1503" t="e">
        <f>D111/C111</f>
        <v>#REF!</v>
      </c>
      <c r="M111" s="1059">
        <f>SUM(M67:M71,M80,M88,M96,M104:M109)</f>
        <v>2657747.8666666672</v>
      </c>
      <c r="N111" s="1504" t="e">
        <f t="shared" ref="N111" si="155">J111/E111</f>
        <v>#REF!</v>
      </c>
      <c r="O111" s="1505" t="e">
        <f>J111/I111</f>
        <v>#REF!</v>
      </c>
      <c r="P111" s="1059" t="e">
        <f>SUM(P67:P71,P80,P88,P96,P104:P109)</f>
        <v>#REF!</v>
      </c>
      <c r="Q111" s="1059" t="e">
        <f>SUM(Q67:Q71,Q80,Q88,Q96,Q97:Q102)</f>
        <v>#REF!</v>
      </c>
      <c r="R111" s="1059" t="e">
        <f>SUM(R67:R71,R80,R88,R96,R97:R102)</f>
        <v>#REF!</v>
      </c>
      <c r="S111" s="1059">
        <f>SUM(S67:S71,S80,S88,S96,S104:S109)</f>
        <v>174787.33333333331</v>
      </c>
      <c r="T111" s="1067" t="e">
        <f t="shared" ref="T111" si="156">P111/S111</f>
        <v>#REF!</v>
      </c>
      <c r="U111" s="1621" t="e">
        <f>J111/P111</f>
        <v>#REF!</v>
      </c>
      <c r="V111" s="1403" t="e">
        <f>P111/D111</f>
        <v>#REF!</v>
      </c>
      <c r="W111" s="1167">
        <f>AVERAGE(W32:W38,W40:W46,W48:W54,W56:W62,W64:W65,W67:W71,W73:W79,W81:W87,W89:W95,W97:W103,W105:W109)</f>
        <v>38.634109938580934</v>
      </c>
      <c r="X111" s="1506">
        <f>AVERAGE(X32:X38,X40:X46,X48:X54,X56:X62,X64:X65,X67:X71,X73:X79,X81:X87,X89:X95,X97:X103,X105:X109)</f>
        <v>0.85353996938084375</v>
      </c>
    </row>
    <row r="112" spans="2:24" ht="16.2" hidden="1" thickBot="1">
      <c r="B112" s="261" t="s">
        <v>36</v>
      </c>
      <c r="C112" s="262" t="e">
        <f>SUM(C39,C47,C55,C63,C72,C80,C88,C96,C104:C109)</f>
        <v>#REF!</v>
      </c>
      <c r="D112" s="262" t="e">
        <f t="shared" ref="D112:J112" si="157">SUM(D39,D47,D55,D63,D72,D80,D88,D96,D104:D109)</f>
        <v>#REF!</v>
      </c>
      <c r="E112" s="262" t="e">
        <f t="shared" si="157"/>
        <v>#REF!</v>
      </c>
      <c r="F112" s="262" t="e">
        <f t="shared" si="157"/>
        <v>#REF!</v>
      </c>
      <c r="G112" s="262" t="e">
        <f t="shared" si="157"/>
        <v>#REF!</v>
      </c>
      <c r="H112" s="262" t="e">
        <f t="shared" si="157"/>
        <v>#REF!</v>
      </c>
      <c r="I112" s="262" t="e">
        <f t="shared" si="157"/>
        <v>#REF!</v>
      </c>
      <c r="J112" s="1757" t="e">
        <f t="shared" si="157"/>
        <v>#REF!</v>
      </c>
      <c r="K112" s="611" t="e">
        <f>J112/(C$1+D10)</f>
        <v>#REF!</v>
      </c>
      <c r="L112" s="1502" t="e">
        <f>D112/C112</f>
        <v>#REF!</v>
      </c>
      <c r="M112" s="262">
        <f>SUM(M39,M47,M55,M63,M72,M80,M88,M96,M104)</f>
        <v>4779044.2000000011</v>
      </c>
      <c r="N112" s="669"/>
      <c r="O112" s="669"/>
      <c r="P112" s="262" t="e">
        <f>SUM(P39,P47,P55,P63,P72,P80,P88,P96,P111)</f>
        <v>#REF!</v>
      </c>
      <c r="Q112" s="263"/>
      <c r="R112" s="263"/>
      <c r="S112" s="263">
        <f>SUM(S39,S47,S55,S63,S72,S80,S88,S96,S111)</f>
        <v>353717.66666666669</v>
      </c>
      <c r="T112" s="345"/>
      <c r="U112" s="655"/>
      <c r="V112" s="264"/>
      <c r="W112" s="265"/>
      <c r="X112" s="273"/>
    </row>
  </sheetData>
  <mergeCells count="12">
    <mergeCell ref="B2:D2"/>
    <mergeCell ref="B29:X29"/>
    <mergeCell ref="Y32:Y55"/>
    <mergeCell ref="P30:X30"/>
    <mergeCell ref="C11:E11"/>
    <mergeCell ref="C30:O30"/>
    <mergeCell ref="B8:D8"/>
    <mergeCell ref="AD14:AF14"/>
    <mergeCell ref="Z14:AB14"/>
    <mergeCell ref="B13:X13"/>
    <mergeCell ref="P14:X14"/>
    <mergeCell ref="C14:O14"/>
  </mergeCells>
  <pageMargins left="0.75" right="0.75" top="1" bottom="1" header="0.5" footer="0.5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33"/>
  <sheetViews>
    <sheetView showGridLines="0" topLeftCell="A13" zoomScale="90" zoomScaleNormal="90" workbookViewId="0">
      <selection activeCell="D38" sqref="D38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6.3984375" style="17" customWidth="1"/>
    <col min="4" max="4" width="10.69921875" style="17" customWidth="1"/>
    <col min="5" max="5" width="12.296875" style="473" customWidth="1"/>
    <col min="6" max="6" width="10.69921875" style="60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486" customWidth="1"/>
    <col min="16" max="17" width="10.69921875" style="17" customWidth="1"/>
    <col min="18" max="18" width="14.69921875" style="17" customWidth="1"/>
    <col min="19" max="19" width="10.69921875" style="473" customWidth="1"/>
    <col min="20" max="21" width="10.69921875" style="17" customWidth="1"/>
    <col min="22" max="23" width="10.69921875" style="17" hidden="1" customWidth="1"/>
    <col min="24" max="24" width="10.69921875" style="473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473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473" hidden="1" customWidth="1"/>
    <col min="42" max="49" width="10.69921875" style="17" hidden="1" customWidth="1"/>
    <col min="50" max="16384" width="8.8984375" style="17"/>
  </cols>
  <sheetData>
    <row r="1" spans="2:41" s="2" customFormat="1">
      <c r="E1" s="472"/>
      <c r="F1" s="600"/>
      <c r="O1" s="485"/>
      <c r="S1" s="472"/>
      <c r="X1" s="472"/>
      <c r="AD1" s="472"/>
      <c r="AO1" s="472"/>
    </row>
    <row r="2" spans="2:41" s="2" customFormat="1">
      <c r="E2" s="472"/>
      <c r="F2" s="600"/>
      <c r="O2" s="485"/>
      <c r="S2" s="472"/>
      <c r="X2" s="472"/>
      <c r="AD2" s="472"/>
      <c r="AO2" s="472"/>
    </row>
    <row r="4" spans="2:41">
      <c r="B4" s="1282" t="s">
        <v>14</v>
      </c>
      <c r="C4" s="1283" t="s">
        <v>162</v>
      </c>
      <c r="D4" s="76"/>
      <c r="E4" s="474"/>
      <c r="F4" s="602"/>
      <c r="G4" s="19"/>
      <c r="H4" s="19"/>
      <c r="I4" s="19"/>
      <c r="J4" s="19"/>
      <c r="K4" s="19"/>
      <c r="L4" s="19"/>
      <c r="M4" s="19"/>
      <c r="N4" s="19"/>
      <c r="O4" s="487"/>
      <c r="P4" s="19"/>
    </row>
    <row r="5" spans="2:41" ht="16.2" thickBot="1">
      <c r="B5" s="1284" t="s">
        <v>113</v>
      </c>
      <c r="C5" s="1285">
        <v>1500</v>
      </c>
      <c r="D5" s="76"/>
      <c r="E5" s="474"/>
      <c r="F5" s="602"/>
      <c r="G5" s="19"/>
      <c r="H5" s="19"/>
      <c r="I5" s="19"/>
      <c r="J5" s="19"/>
      <c r="K5" s="19"/>
      <c r="L5" s="19"/>
      <c r="M5" s="19"/>
      <c r="N5" s="19"/>
      <c r="O5" s="487"/>
      <c r="P5" s="19"/>
      <c r="Q5" s="20"/>
      <c r="R5" s="20"/>
      <c r="S5" s="507"/>
      <c r="T5" s="20"/>
      <c r="U5" s="20"/>
      <c r="V5" s="20"/>
      <c r="W5" s="20"/>
      <c r="X5" s="507"/>
      <c r="Y5" s="20"/>
    </row>
    <row r="6" spans="2:41" ht="16.2" hidden="1" thickBot="1">
      <c r="B6" s="1309"/>
      <c r="C6" s="1308"/>
      <c r="D6" s="76"/>
      <c r="E6" s="474"/>
      <c r="F6" s="602"/>
      <c r="G6" s="19"/>
      <c r="H6" s="19"/>
      <c r="I6" s="19"/>
      <c r="J6" s="19"/>
      <c r="K6" s="19"/>
      <c r="L6" s="19"/>
      <c r="M6" s="19"/>
      <c r="N6" s="19"/>
      <c r="O6" s="487"/>
      <c r="P6" s="19"/>
      <c r="Q6" s="20"/>
      <c r="R6" s="20"/>
      <c r="S6" s="507"/>
      <c r="T6" s="20"/>
      <c r="U6" s="20"/>
      <c r="V6" s="20"/>
      <c r="W6" s="20"/>
      <c r="X6" s="507"/>
      <c r="Y6" s="20"/>
    </row>
    <row r="7" spans="2:41" hidden="1">
      <c r="B7" s="1282" t="s">
        <v>14</v>
      </c>
      <c r="C7" s="1283" t="s">
        <v>163</v>
      </c>
      <c r="D7" s="76"/>
      <c r="E7" s="474"/>
      <c r="F7" s="602"/>
      <c r="G7" s="19"/>
      <c r="H7" s="19"/>
      <c r="I7" s="19"/>
      <c r="J7" s="19"/>
      <c r="K7" s="19"/>
      <c r="L7" s="19"/>
      <c r="M7" s="19"/>
      <c r="N7" s="19"/>
      <c r="O7" s="487"/>
      <c r="P7" s="19"/>
      <c r="Q7" s="20"/>
      <c r="R7" s="20"/>
      <c r="S7" s="507"/>
      <c r="T7" s="20"/>
      <c r="U7" s="20"/>
      <c r="V7" s="20"/>
      <c r="W7" s="20"/>
      <c r="X7" s="507"/>
      <c r="Y7" s="20"/>
    </row>
    <row r="8" spans="2:41" ht="16.2" hidden="1" thickBot="1">
      <c r="B8" s="1284" t="s">
        <v>113</v>
      </c>
      <c r="C8" s="1285">
        <v>1416</v>
      </c>
      <c r="D8" s="76"/>
      <c r="E8" s="474"/>
      <c r="F8" s="602"/>
      <c r="G8" s="19"/>
      <c r="H8" s="19"/>
      <c r="I8" s="19"/>
      <c r="J8" s="19"/>
      <c r="K8" s="19"/>
      <c r="L8" s="19"/>
      <c r="M8" s="19"/>
      <c r="N8" s="19"/>
      <c r="O8" s="487"/>
      <c r="P8" s="19"/>
      <c r="Q8" s="20"/>
      <c r="R8" s="20"/>
      <c r="S8" s="507"/>
      <c r="T8" s="20"/>
      <c r="U8" s="20"/>
      <c r="V8" s="20"/>
      <c r="W8" s="20"/>
      <c r="X8" s="507"/>
      <c r="Y8" s="20"/>
    </row>
    <row r="9" spans="2:41">
      <c r="B9" s="1309"/>
      <c r="C9" s="1308"/>
      <c r="D9" s="76"/>
      <c r="E9" s="474"/>
      <c r="F9" s="602"/>
      <c r="G9" s="19"/>
      <c r="H9" s="19"/>
      <c r="I9" s="19"/>
      <c r="J9" s="19"/>
      <c r="K9" s="19"/>
      <c r="L9" s="19"/>
      <c r="M9" s="19"/>
      <c r="N9" s="19"/>
      <c r="O9" s="487"/>
      <c r="P9" s="19"/>
      <c r="Q9" s="20"/>
      <c r="R9" s="20"/>
      <c r="S9" s="507"/>
      <c r="T9" s="20"/>
      <c r="U9" s="20"/>
      <c r="V9" s="20"/>
      <c r="W9" s="20"/>
      <c r="X9" s="507"/>
      <c r="Y9" s="20"/>
    </row>
    <row r="10" spans="2:41" ht="16.2" thickBot="1">
      <c r="B10" s="21"/>
      <c r="C10" s="21"/>
      <c r="D10" s="21"/>
      <c r="E10" s="475"/>
      <c r="F10" s="603"/>
      <c r="G10" s="21"/>
      <c r="H10" s="21"/>
      <c r="I10" s="21"/>
      <c r="J10" s="21"/>
      <c r="K10" s="21"/>
      <c r="L10" s="21"/>
      <c r="M10" s="21"/>
      <c r="N10" s="21"/>
      <c r="O10" s="488"/>
      <c r="P10" s="21"/>
      <c r="Q10" s="20"/>
      <c r="R10" s="20"/>
      <c r="S10" s="507"/>
      <c r="T10" s="20"/>
      <c r="U10" s="20"/>
      <c r="V10" s="20"/>
      <c r="W10" s="20"/>
      <c r="X10" s="507"/>
      <c r="Y10" s="20"/>
    </row>
    <row r="11" spans="2:41">
      <c r="B11" s="2001" t="s">
        <v>115</v>
      </c>
      <c r="C11" s="2002"/>
      <c r="D11" s="2002"/>
      <c r="E11" s="2002"/>
      <c r="F11" s="2002"/>
      <c r="G11" s="2002"/>
      <c r="H11" s="2002"/>
      <c r="I11" s="2002"/>
      <c r="J11" s="2002"/>
      <c r="K11" s="2002"/>
      <c r="L11" s="2002"/>
      <c r="M11" s="2002"/>
      <c r="N11" s="2002"/>
      <c r="O11" s="2002"/>
      <c r="P11" s="2003"/>
      <c r="Q11" s="20"/>
      <c r="R11" s="20"/>
      <c r="S11" s="507"/>
      <c r="T11" s="20"/>
      <c r="U11" s="20"/>
      <c r="V11" s="20"/>
      <c r="W11" s="20"/>
      <c r="X11" s="507"/>
      <c r="Y11" s="20"/>
    </row>
    <row r="12" spans="2:41">
      <c r="B12" s="116"/>
      <c r="C12" s="2023" t="s">
        <v>14</v>
      </c>
      <c r="D12" s="2023"/>
      <c r="E12" s="2023"/>
      <c r="F12" s="2023"/>
      <c r="G12" s="2023"/>
      <c r="H12" s="2005" t="s">
        <v>116</v>
      </c>
      <c r="I12" s="2005"/>
      <c r="J12" s="2005"/>
      <c r="K12" s="2005"/>
      <c r="L12" s="2005"/>
      <c r="M12" s="2005"/>
      <c r="N12" s="2005"/>
      <c r="O12" s="2005"/>
      <c r="P12" s="2006"/>
      <c r="Q12" s="20"/>
      <c r="R12" s="2019" t="s">
        <v>164</v>
      </c>
      <c r="S12" s="2019"/>
      <c r="T12" s="2019"/>
      <c r="U12" s="20"/>
      <c r="Y12" s="20"/>
      <c r="Z12" s="20"/>
      <c r="AA12" s="20"/>
    </row>
    <row r="13" spans="2:41" s="22" customFormat="1" ht="46.8">
      <c r="B13" s="115" t="s">
        <v>119</v>
      </c>
      <c r="C13" s="438" t="s">
        <v>120</v>
      </c>
      <c r="D13" s="438" t="s">
        <v>121</v>
      </c>
      <c r="E13" s="476" t="s">
        <v>127</v>
      </c>
      <c r="F13" s="613" t="s">
        <v>128</v>
      </c>
      <c r="G13" s="439" t="s">
        <v>129</v>
      </c>
      <c r="H13" s="440" t="s">
        <v>132</v>
      </c>
      <c r="I13" s="440" t="s">
        <v>133</v>
      </c>
      <c r="J13" s="440" t="s">
        <v>134</v>
      </c>
      <c r="K13" s="440" t="s">
        <v>135</v>
      </c>
      <c r="L13" s="137" t="s">
        <v>165</v>
      </c>
      <c r="M13" s="441" t="s">
        <v>21</v>
      </c>
      <c r="N13" s="440" t="s">
        <v>137</v>
      </c>
      <c r="O13" s="489" t="s">
        <v>138</v>
      </c>
      <c r="P13" s="442" t="s">
        <v>23</v>
      </c>
      <c r="R13" s="199" t="s">
        <v>132</v>
      </c>
      <c r="S13" s="199" t="s">
        <v>166</v>
      </c>
      <c r="T13" s="962" t="s">
        <v>141</v>
      </c>
      <c r="X13" s="480"/>
      <c r="AD13" s="480"/>
      <c r="AO13" s="480"/>
    </row>
    <row r="14" spans="2:41" ht="31.8" thickBot="1">
      <c r="B14" s="103" t="s">
        <v>167</v>
      </c>
      <c r="C14" s="15">
        <f>SUM(C25:C31)</f>
        <v>363860</v>
      </c>
      <c r="D14" s="15">
        <f t="shared" ref="D14" si="0">SUM(D25:D31)</f>
        <v>6203</v>
      </c>
      <c r="E14" s="77">
        <f>SUM(E25:E31)</f>
        <v>268.48</v>
      </c>
      <c r="F14" s="73">
        <f>E14/$C$5</f>
        <v>0.17898666666666668</v>
      </c>
      <c r="G14" s="79">
        <f>D14/C14</f>
        <v>1.7047765624141155E-2</v>
      </c>
      <c r="H14" s="131">
        <f>SUM(H25:H31)</f>
        <v>176</v>
      </c>
      <c r="I14" s="132"/>
      <c r="J14" s="132"/>
      <c r="K14" s="293">
        <f>$S$14/30*7</f>
        <v>0</v>
      </c>
      <c r="L14" s="139" t="e">
        <f>H14/K14</f>
        <v>#DIV/0!</v>
      </c>
      <c r="M14" s="224">
        <f>E14/H14</f>
        <v>1.5254545454545456</v>
      </c>
      <c r="N14" s="333">
        <f>H14/D14</f>
        <v>2.8373367725294214E-2</v>
      </c>
      <c r="O14" s="382">
        <f t="shared" ref="O14:P14" si="1">O32</f>
        <v>32.98344598663747</v>
      </c>
      <c r="P14" s="348">
        <f t="shared" si="1"/>
        <v>0.43840786872701765</v>
      </c>
      <c r="R14" s="97"/>
      <c r="S14" s="97"/>
      <c r="T14" s="98"/>
    </row>
    <row r="15" spans="2:41" ht="31.2" hidden="1">
      <c r="B15" s="105" t="s">
        <v>168</v>
      </c>
      <c r="C15" s="15" t="e">
        <f>SUM(#REF!)</f>
        <v>#REF!</v>
      </c>
      <c r="D15" s="15" t="e">
        <f>SUM(#REF!)</f>
        <v>#REF!</v>
      </c>
      <c r="E15" s="77" t="e">
        <f>SUM(#REF!)</f>
        <v>#REF!</v>
      </c>
      <c r="F15" s="73" t="e">
        <f>E15/$C$5</f>
        <v>#REF!</v>
      </c>
      <c r="G15" s="79" t="e">
        <f>D15/C15</f>
        <v>#REF!</v>
      </c>
      <c r="H15" s="52" t="e">
        <f>SUM(#REF!)</f>
        <v>#REF!</v>
      </c>
      <c r="I15" s="52"/>
      <c r="J15" s="52"/>
      <c r="K15" s="293">
        <f>$S$14/30*7</f>
        <v>0</v>
      </c>
      <c r="L15" s="139" t="e">
        <f>H15/K15</f>
        <v>#REF!</v>
      </c>
      <c r="M15" s="224" t="e">
        <f>E15/H15</f>
        <v>#REF!</v>
      </c>
      <c r="N15" s="333" t="e">
        <f>H15/D15</f>
        <v>#REF!</v>
      </c>
      <c r="O15" s="705" t="e">
        <f>#REF!</f>
        <v>#REF!</v>
      </c>
      <c r="P15" s="617" t="e">
        <f>#REF!</f>
        <v>#REF!</v>
      </c>
      <c r="Q15" s="40"/>
      <c r="R15" s="961"/>
      <c r="S15" s="597"/>
      <c r="T15" s="40"/>
      <c r="U15" s="40"/>
    </row>
    <row r="16" spans="2:41" ht="46.8" hidden="1">
      <c r="B16" s="105" t="s">
        <v>169</v>
      </c>
      <c r="C16" s="15" t="e">
        <f>SUM(#REF!)</f>
        <v>#REF!</v>
      </c>
      <c r="D16" s="15" t="e">
        <f>SUM(#REF!)</f>
        <v>#REF!</v>
      </c>
      <c r="E16" s="72" t="e">
        <f>SUM(#REF!)</f>
        <v>#REF!</v>
      </c>
      <c r="F16" s="73" t="e">
        <f>E16/$C$5</f>
        <v>#REF!</v>
      </c>
      <c r="G16" s="79" t="e">
        <f>D16/C16</f>
        <v>#REF!</v>
      </c>
      <c r="H16" s="52" t="e">
        <f>SUM(#REF!)</f>
        <v>#REF!</v>
      </c>
      <c r="I16" s="52"/>
      <c r="J16" s="52"/>
      <c r="K16" s="293"/>
      <c r="L16" s="139"/>
      <c r="M16" s="224" t="e">
        <f>E16/H16</f>
        <v>#REF!</v>
      </c>
      <c r="N16" s="333" t="e">
        <f>H16/D16</f>
        <v>#REF!</v>
      </c>
      <c r="O16" s="705"/>
      <c r="P16" s="616"/>
    </row>
    <row r="17" spans="2:41" ht="46.8" hidden="1">
      <c r="B17" s="105" t="s">
        <v>170</v>
      </c>
      <c r="C17" s="15"/>
      <c r="D17" s="15"/>
      <c r="E17" s="77"/>
      <c r="F17" s="605"/>
      <c r="G17" s="52"/>
      <c r="H17" s="52"/>
      <c r="I17" s="52"/>
      <c r="J17" s="52"/>
      <c r="K17" s="52"/>
      <c r="L17" s="52"/>
      <c r="M17" s="52"/>
      <c r="N17" s="52"/>
      <c r="O17" s="622"/>
      <c r="P17" s="104"/>
    </row>
    <row r="18" spans="2:41" ht="16.2" thickBot="1">
      <c r="B18" s="107" t="s">
        <v>153</v>
      </c>
      <c r="C18" s="108">
        <f>C14</f>
        <v>363860</v>
      </c>
      <c r="D18" s="108">
        <f t="shared" ref="D18:P18" si="2">D14</f>
        <v>6203</v>
      </c>
      <c r="E18" s="1671">
        <f t="shared" si="2"/>
        <v>268.48</v>
      </c>
      <c r="F18" s="138">
        <f t="shared" si="2"/>
        <v>0.17898666666666668</v>
      </c>
      <c r="G18" s="138">
        <f t="shared" si="2"/>
        <v>1.7047765624141155E-2</v>
      </c>
      <c r="H18" s="108">
        <f t="shared" si="2"/>
        <v>176</v>
      </c>
      <c r="I18" s="108">
        <f t="shared" si="2"/>
        <v>0</v>
      </c>
      <c r="J18" s="108">
        <f t="shared" si="2"/>
        <v>0</v>
      </c>
      <c r="K18" s="108">
        <f t="shared" si="2"/>
        <v>0</v>
      </c>
      <c r="L18" s="108" t="e">
        <f t="shared" si="2"/>
        <v>#DIV/0!</v>
      </c>
      <c r="M18" s="1745">
        <f t="shared" si="2"/>
        <v>1.5254545454545456</v>
      </c>
      <c r="N18" s="138">
        <f t="shared" si="2"/>
        <v>2.8373367725294214E-2</v>
      </c>
      <c r="O18" s="108">
        <f t="shared" si="2"/>
        <v>32.98344598663747</v>
      </c>
      <c r="P18" s="138">
        <f t="shared" si="2"/>
        <v>0.43840786872701765</v>
      </c>
      <c r="Q18" s="18"/>
      <c r="R18" s="18"/>
      <c r="S18" s="508"/>
      <c r="T18" s="18"/>
      <c r="U18" s="18"/>
      <c r="V18" s="18"/>
      <c r="W18" s="18"/>
      <c r="X18" s="508"/>
      <c r="Y18" s="18"/>
      <c r="Z18" s="18"/>
      <c r="AA18" s="18"/>
    </row>
    <row r="19" spans="2:41" customFormat="1" ht="14.4">
      <c r="E19" s="477"/>
      <c r="F19" s="607"/>
      <c r="O19" s="482"/>
      <c r="S19" s="477"/>
      <c r="X19" s="477"/>
      <c r="AD19" s="477"/>
      <c r="AO19" s="477"/>
    </row>
    <row r="20" spans="2:41">
      <c r="L20" s="30"/>
      <c r="M20" s="30"/>
      <c r="N20" s="30"/>
      <c r="O20" s="490"/>
      <c r="P20" s="30"/>
      <c r="Q20" s="57" t="s">
        <v>171</v>
      </c>
      <c r="R20" s="57"/>
      <c r="S20" s="509"/>
      <c r="T20" s="57"/>
      <c r="U20" s="57" t="s">
        <v>29</v>
      </c>
      <c r="V20" s="57"/>
      <c r="W20" s="57"/>
      <c r="X20" s="509"/>
      <c r="Y20" s="57"/>
      <c r="Z20" s="57" t="s">
        <v>166</v>
      </c>
      <c r="AA20" s="57" t="s">
        <v>172</v>
      </c>
    </row>
    <row r="21" spans="2:41" ht="16.2" thickBot="1">
      <c r="L21" s="30"/>
      <c r="M21" s="30"/>
      <c r="N21" s="30"/>
      <c r="O21" s="490"/>
      <c r="P21" s="30"/>
      <c r="Q21" s="32"/>
      <c r="R21" s="32"/>
      <c r="S21" s="510"/>
      <c r="T21" s="32"/>
      <c r="U21" s="32"/>
      <c r="V21" s="32"/>
      <c r="W21" s="32"/>
      <c r="X21" s="510"/>
      <c r="Y21" s="32"/>
      <c r="Z21" s="32"/>
      <c r="AA21" s="33"/>
    </row>
    <row r="22" spans="2:41" ht="13.5" customHeight="1">
      <c r="B22" s="2020" t="s">
        <v>154</v>
      </c>
      <c r="C22" s="2021"/>
      <c r="D22" s="2021"/>
      <c r="E22" s="2021"/>
      <c r="F22" s="2021"/>
      <c r="G22" s="2021"/>
      <c r="H22" s="2021"/>
      <c r="I22" s="2021"/>
      <c r="J22" s="2021"/>
      <c r="K22" s="2021"/>
      <c r="L22" s="2021"/>
      <c r="M22" s="2021"/>
      <c r="N22" s="2021"/>
      <c r="O22" s="2021"/>
      <c r="P22" s="2022"/>
      <c r="S22" s="17"/>
      <c r="X22" s="17"/>
      <c r="AD22" s="17"/>
      <c r="AO22" s="17"/>
    </row>
    <row r="23" spans="2:41">
      <c r="B23" s="185"/>
      <c r="C23" s="2023" t="s">
        <v>14</v>
      </c>
      <c r="D23" s="2023"/>
      <c r="E23" s="2023"/>
      <c r="F23" s="2023"/>
      <c r="G23" s="2023"/>
      <c r="H23" s="2005" t="s">
        <v>116</v>
      </c>
      <c r="I23" s="2005"/>
      <c r="J23" s="2005"/>
      <c r="K23" s="2005"/>
      <c r="L23" s="2005"/>
      <c r="M23" s="2005"/>
      <c r="N23" s="2005"/>
      <c r="O23" s="2005"/>
      <c r="P23" s="2024"/>
      <c r="S23" s="17"/>
      <c r="X23" s="17"/>
      <c r="AD23" s="17"/>
      <c r="AO23" s="17"/>
    </row>
    <row r="24" spans="2:41" s="22" customFormat="1" ht="46.8">
      <c r="B24" s="186" t="s">
        <v>119</v>
      </c>
      <c r="C24" s="445" t="s">
        <v>120</v>
      </c>
      <c r="D24" s="445" t="s">
        <v>121</v>
      </c>
      <c r="E24" s="478" t="s">
        <v>127</v>
      </c>
      <c r="F24" s="614" t="s">
        <v>128</v>
      </c>
      <c r="G24" s="954" t="s">
        <v>129</v>
      </c>
      <c r="H24" s="443" t="s">
        <v>132</v>
      </c>
      <c r="I24" s="440" t="s">
        <v>133</v>
      </c>
      <c r="J24" s="440" t="s">
        <v>134</v>
      </c>
      <c r="K24" s="440" t="s">
        <v>157</v>
      </c>
      <c r="L24" s="137" t="s">
        <v>158</v>
      </c>
      <c r="M24" s="441" t="s">
        <v>21</v>
      </c>
      <c r="N24" s="440" t="s">
        <v>137</v>
      </c>
      <c r="O24" s="489" t="s">
        <v>173</v>
      </c>
      <c r="P24" s="447" t="s">
        <v>23</v>
      </c>
    </row>
    <row r="25" spans="2:41" s="26" customFormat="1">
      <c r="B25" s="295">
        <v>44883</v>
      </c>
      <c r="C25" s="303">
        <v>28322</v>
      </c>
      <c r="D25" s="303">
        <v>226</v>
      </c>
      <c r="E25" s="304">
        <v>16.96</v>
      </c>
      <c r="F25" s="308">
        <f>SUM($E$25)/$C$8</f>
        <v>1.1977401129943504E-2</v>
      </c>
      <c r="G25" s="955">
        <f t="shared" ref="G25:G32" si="3">D25/C25</f>
        <v>7.9796624532165808E-3</v>
      </c>
      <c r="H25" s="143">
        <v>25</v>
      </c>
      <c r="I25" s="132"/>
      <c r="J25" s="132"/>
      <c r="K25" s="1675"/>
      <c r="L25" s="1676"/>
      <c r="M25" s="225">
        <f t="shared" ref="M25:M32" si="4">E25/H25</f>
        <v>0.6784</v>
      </c>
      <c r="N25" s="316">
        <f t="shared" ref="N25:N32" si="5">H25/D25</f>
        <v>0.11061946902654868</v>
      </c>
      <c r="O25" s="681">
        <v>47.854166666666671</v>
      </c>
      <c r="P25" s="319">
        <v>0.27083333333333331</v>
      </c>
    </row>
    <row r="26" spans="2:41" s="26" customFormat="1">
      <c r="B26" s="295">
        <v>44884</v>
      </c>
      <c r="C26" s="303">
        <v>74920</v>
      </c>
      <c r="D26" s="303">
        <v>533</v>
      </c>
      <c r="E26" s="304">
        <v>45.32</v>
      </c>
      <c r="F26" s="308">
        <f>SUM($E$25:E26)/$C$8</f>
        <v>4.3983050847457628E-2</v>
      </c>
      <c r="G26" s="955">
        <f t="shared" si="3"/>
        <v>7.1142552055525896E-3</v>
      </c>
      <c r="H26" s="143">
        <v>55</v>
      </c>
      <c r="I26" s="132"/>
      <c r="J26" s="132"/>
      <c r="K26" s="1675"/>
      <c r="L26" s="1676"/>
      <c r="M26" s="225">
        <f t="shared" si="4"/>
        <v>0.82399999999999995</v>
      </c>
      <c r="N26" s="316">
        <f t="shared" si="5"/>
        <v>0.10318949343339587</v>
      </c>
      <c r="O26" s="681">
        <v>37.963636363636361</v>
      </c>
      <c r="P26" s="319">
        <v>0.49090909090909091</v>
      </c>
    </row>
    <row r="27" spans="2:41" s="26" customFormat="1">
      <c r="B27" s="188">
        <v>44885</v>
      </c>
      <c r="C27" s="303">
        <v>69206</v>
      </c>
      <c r="D27" s="303">
        <v>1134</v>
      </c>
      <c r="E27" s="304">
        <v>41.989999999999995</v>
      </c>
      <c r="F27" s="308">
        <f>SUM($E$25:E27)/$C$8</f>
        <v>7.3637005649717507E-2</v>
      </c>
      <c r="G27" s="955">
        <f t="shared" si="3"/>
        <v>1.6385862497471319E-2</v>
      </c>
      <c r="H27" s="143">
        <v>47</v>
      </c>
      <c r="I27" s="132"/>
      <c r="J27" s="132"/>
      <c r="K27" s="1675"/>
      <c r="L27" s="1676"/>
      <c r="M27" s="225">
        <f t="shared" si="4"/>
        <v>0.8934042553191488</v>
      </c>
      <c r="N27" s="316">
        <f t="shared" si="5"/>
        <v>4.1446208112874777E-2</v>
      </c>
      <c r="O27" s="681">
        <v>54.106382978723403</v>
      </c>
      <c r="P27" s="319">
        <v>0.51063829787234039</v>
      </c>
    </row>
    <row r="28" spans="2:41">
      <c r="B28" s="188">
        <v>44886</v>
      </c>
      <c r="C28" s="309">
        <v>50049</v>
      </c>
      <c r="D28" s="309">
        <v>1056</v>
      </c>
      <c r="E28" s="310">
        <v>41.230000000000004</v>
      </c>
      <c r="F28" s="308">
        <f>SUM($E$25:E28)/$C$8</f>
        <v>0.1027542372881356</v>
      </c>
      <c r="G28" s="955">
        <f t="shared" si="3"/>
        <v>2.1099322663789485E-2</v>
      </c>
      <c r="H28" s="34">
        <v>6</v>
      </c>
      <c r="I28" s="132"/>
      <c r="J28" s="132"/>
      <c r="K28" s="1675"/>
      <c r="L28" s="1676"/>
      <c r="M28" s="225">
        <f t="shared" si="4"/>
        <v>6.871666666666667</v>
      </c>
      <c r="N28" s="316">
        <f t="shared" si="5"/>
        <v>5.681818181818182E-3</v>
      </c>
      <c r="O28" s="681">
        <v>35.666666666666664</v>
      </c>
      <c r="P28" s="319">
        <v>0.16666666666666666</v>
      </c>
      <c r="S28" s="17"/>
      <c r="X28" s="17"/>
      <c r="AD28" s="17"/>
      <c r="AO28" s="17"/>
    </row>
    <row r="29" spans="2:41">
      <c r="B29" s="188">
        <v>44887</v>
      </c>
      <c r="C29" s="309">
        <v>49440</v>
      </c>
      <c r="D29" s="309">
        <v>1625</v>
      </c>
      <c r="E29" s="310">
        <v>43.230000000000004</v>
      </c>
      <c r="F29" s="308">
        <f>SUM($E$25:E29)/$C$8</f>
        <v>0.13328389830508475</v>
      </c>
      <c r="G29" s="955">
        <f t="shared" si="3"/>
        <v>3.286812297734628E-2</v>
      </c>
      <c r="H29" s="953">
        <v>14</v>
      </c>
      <c r="I29" s="132"/>
      <c r="J29" s="132"/>
      <c r="K29" s="1675"/>
      <c r="L29" s="1676"/>
      <c r="M29" s="225">
        <f t="shared" si="4"/>
        <v>3.0878571428571431</v>
      </c>
      <c r="N29" s="316">
        <f t="shared" si="5"/>
        <v>8.615384615384615E-3</v>
      </c>
      <c r="O29" s="681">
        <v>31</v>
      </c>
      <c r="P29" s="319">
        <v>0.5</v>
      </c>
      <c r="S29" s="17"/>
      <c r="X29" s="17"/>
      <c r="AD29" s="17"/>
      <c r="AO29" s="17"/>
    </row>
    <row r="30" spans="2:41">
      <c r="B30" s="188">
        <v>44888</v>
      </c>
      <c r="C30" s="309">
        <v>46713</v>
      </c>
      <c r="D30" s="309">
        <v>859</v>
      </c>
      <c r="E30" s="310">
        <v>39.64</v>
      </c>
      <c r="F30" s="308">
        <f>SUM($E$25:E30)/$C$8</f>
        <v>0.16127824858757062</v>
      </c>
      <c r="G30" s="955">
        <f t="shared" si="3"/>
        <v>1.8388885321002718E-2</v>
      </c>
      <c r="H30" s="953">
        <v>13</v>
      </c>
      <c r="I30" s="132"/>
      <c r="J30" s="132"/>
      <c r="K30" s="1675"/>
      <c r="L30" s="1676"/>
      <c r="M30" s="225">
        <f t="shared" si="4"/>
        <v>3.0492307692307694</v>
      </c>
      <c r="N30" s="316">
        <f t="shared" si="5"/>
        <v>1.5133876600698487E-2</v>
      </c>
      <c r="O30" s="681">
        <v>4.2307692307692308</v>
      </c>
      <c r="P30" s="319">
        <v>0.69230769230769229</v>
      </c>
      <c r="S30" s="17"/>
      <c r="X30" s="17"/>
      <c r="AD30" s="17"/>
      <c r="AO30" s="17"/>
    </row>
    <row r="31" spans="2:41">
      <c r="B31" s="188">
        <v>44889</v>
      </c>
      <c r="C31" s="309">
        <v>45210</v>
      </c>
      <c r="D31" s="309">
        <v>770</v>
      </c>
      <c r="E31" s="310">
        <v>40.11</v>
      </c>
      <c r="F31" s="308">
        <f>SUM($E$25:E31)/$C$8</f>
        <v>0.1896045197740113</v>
      </c>
      <c r="G31" s="955">
        <f t="shared" si="3"/>
        <v>1.7031630170316302E-2</v>
      </c>
      <c r="H31" s="457">
        <v>16</v>
      </c>
      <c r="I31" s="132"/>
      <c r="J31" s="132"/>
      <c r="K31" s="1675"/>
      <c r="L31" s="1676"/>
      <c r="M31" s="225">
        <f t="shared" si="4"/>
        <v>2.506875</v>
      </c>
      <c r="N31" s="316">
        <f t="shared" si="5"/>
        <v>2.0779220779220779E-2</v>
      </c>
      <c r="O31" s="681">
        <v>20.0625</v>
      </c>
      <c r="P31" s="319">
        <v>0.4375</v>
      </c>
      <c r="S31" s="17"/>
      <c r="X31" s="17"/>
      <c r="AD31" s="17"/>
      <c r="AO31" s="17"/>
    </row>
    <row r="32" spans="2:41">
      <c r="B32" s="190" t="s">
        <v>160</v>
      </c>
      <c r="C32" s="298">
        <f>SUM(C25:C31)</f>
        <v>363860</v>
      </c>
      <c r="D32" s="298">
        <f t="shared" ref="D32:E32" si="6">SUM(D25:D31)</f>
        <v>6203</v>
      </c>
      <c r="E32" s="479">
        <f t="shared" si="6"/>
        <v>268.48</v>
      </c>
      <c r="F32" s="599">
        <f>E32/$C$8</f>
        <v>0.1896045197740113</v>
      </c>
      <c r="G32" s="956">
        <f t="shared" si="3"/>
        <v>1.7047765624141155E-2</v>
      </c>
      <c r="H32" s="121">
        <f>SUM(H25:H31)</f>
        <v>176</v>
      </c>
      <c r="I32" s="27"/>
      <c r="J32" s="27"/>
      <c r="K32" s="1677"/>
      <c r="L32" s="1678"/>
      <c r="M32" s="237">
        <f t="shared" si="4"/>
        <v>1.5254545454545456</v>
      </c>
      <c r="N32" s="317">
        <f t="shared" si="5"/>
        <v>2.8373367725294214E-2</v>
      </c>
      <c r="O32" s="682">
        <f>AVERAGE(O25:O31)</f>
        <v>32.98344598663747</v>
      </c>
      <c r="P32" s="317">
        <f>AVERAGE(P25:P31)</f>
        <v>0.43840786872701765</v>
      </c>
      <c r="S32" s="17"/>
      <c r="X32" s="17"/>
      <c r="AD32" s="17"/>
      <c r="AO32" s="17"/>
    </row>
    <row r="33" spans="2:16" s="17" customFormat="1" ht="16.2" thickBot="1">
      <c r="B33" s="191" t="s">
        <v>36</v>
      </c>
      <c r="C33" s="1672">
        <f>C32</f>
        <v>363860</v>
      </c>
      <c r="D33" s="1672">
        <f t="shared" ref="D33:P33" si="7">D32</f>
        <v>6203</v>
      </c>
      <c r="E33" s="1673">
        <f t="shared" si="7"/>
        <v>268.48</v>
      </c>
      <c r="F33" s="1674">
        <f t="shared" si="7"/>
        <v>0.1896045197740113</v>
      </c>
      <c r="G33" s="1746">
        <f t="shared" si="7"/>
        <v>1.7047765624141155E-2</v>
      </c>
      <c r="H33" s="1672">
        <f t="shared" si="7"/>
        <v>176</v>
      </c>
      <c r="I33" s="1672">
        <f t="shared" si="7"/>
        <v>0</v>
      </c>
      <c r="J33" s="1672">
        <f t="shared" si="7"/>
        <v>0</v>
      </c>
      <c r="K33" s="1672">
        <f t="shared" si="7"/>
        <v>0</v>
      </c>
      <c r="L33" s="1672">
        <f t="shared" si="7"/>
        <v>0</v>
      </c>
      <c r="M33" s="1673">
        <f t="shared" si="7"/>
        <v>1.5254545454545456</v>
      </c>
      <c r="N33" s="1744">
        <f t="shared" si="7"/>
        <v>2.8373367725294214E-2</v>
      </c>
      <c r="O33" s="1672">
        <f t="shared" si="7"/>
        <v>32.98344598663747</v>
      </c>
      <c r="P33" s="1744">
        <f t="shared" si="7"/>
        <v>0.43840786872701765</v>
      </c>
    </row>
  </sheetData>
  <mergeCells count="7">
    <mergeCell ref="R12:T12"/>
    <mergeCell ref="B22:P22"/>
    <mergeCell ref="C23:G23"/>
    <mergeCell ref="H23:P23"/>
    <mergeCell ref="B11:P11"/>
    <mergeCell ref="C12:G12"/>
    <mergeCell ref="H12:P12"/>
  </mergeCells>
  <conditionalFormatting sqref="AA21">
    <cfRule type="cellIs" dxfId="8" priority="1" stopIfTrue="1" operator="greaterThan">
      <formula>1</formula>
    </cfRule>
  </conditionalFormatting>
  <pageMargins left="0.75" right="0.75" top="1" bottom="1" header="0.5" footer="0.5"/>
  <pageSetup paperSize="9" scale="4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AW63"/>
  <sheetViews>
    <sheetView showGridLines="0" topLeftCell="A49" zoomScale="90" zoomScaleNormal="90" workbookViewId="0">
      <selection activeCell="A7" sqref="A7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5.3984375" style="17" customWidth="1"/>
    <col min="4" max="4" width="10.69921875" style="17" customWidth="1"/>
    <col min="5" max="5" width="12.296875" style="473" customWidth="1"/>
    <col min="6" max="6" width="10.69921875" style="601" customWidth="1"/>
    <col min="7" max="8" width="10.69921875" style="17" customWidth="1"/>
    <col min="9" max="10" width="10.69921875" style="17" hidden="1" customWidth="1"/>
    <col min="11" max="14" width="10.69921875" style="17" customWidth="1"/>
    <col min="15" max="15" width="10.69921875" style="486" customWidth="1"/>
    <col min="16" max="17" width="10.69921875" style="17" customWidth="1"/>
    <col min="18" max="18" width="14.69921875" style="17" customWidth="1"/>
    <col min="19" max="19" width="10.69921875" style="473" customWidth="1"/>
    <col min="20" max="21" width="10.69921875" style="17" customWidth="1"/>
    <col min="22" max="23" width="10.69921875" style="17" hidden="1" customWidth="1"/>
    <col min="24" max="24" width="10.69921875" style="473" customWidth="1"/>
    <col min="25" max="25" width="10.69921875" style="17" customWidth="1"/>
    <col min="26" max="27" width="10.69921875" style="17" hidden="1" customWidth="1"/>
    <col min="28" max="29" width="10.69921875" style="17" customWidth="1"/>
    <col min="30" max="30" width="10.69921875" style="473" customWidth="1"/>
    <col min="31" max="32" width="10.69921875" style="17" customWidth="1"/>
    <col min="33" max="34" width="10.69921875" style="17" hidden="1" customWidth="1"/>
    <col min="35" max="36" width="10.69921875" style="17" customWidth="1"/>
    <col min="37" max="40" width="10.69921875" style="17" hidden="1" customWidth="1"/>
    <col min="41" max="41" width="10.69921875" style="473" hidden="1" customWidth="1"/>
    <col min="42" max="49" width="10.69921875" style="17" hidden="1" customWidth="1"/>
    <col min="50" max="16384" width="8.8984375" style="17"/>
  </cols>
  <sheetData>
    <row r="1" spans="2:41" s="2" customFormat="1">
      <c r="E1" s="472"/>
      <c r="F1" s="600"/>
      <c r="O1" s="485"/>
      <c r="S1" s="472"/>
      <c r="X1" s="472"/>
      <c r="AD1" s="472"/>
      <c r="AO1" s="472"/>
    </row>
    <row r="2" spans="2:41" s="2" customFormat="1">
      <c r="E2" s="472"/>
      <c r="F2" s="600"/>
      <c r="O2" s="485"/>
      <c r="S2" s="472"/>
      <c r="X2" s="472"/>
      <c r="AD2" s="472"/>
      <c r="AO2" s="472"/>
    </row>
    <row r="3" spans="2:41" ht="16.2" thickBot="1"/>
    <row r="4" spans="2:41">
      <c r="B4" s="1282" t="s">
        <v>14</v>
      </c>
      <c r="C4" s="1283" t="s">
        <v>48</v>
      </c>
      <c r="D4" s="76"/>
      <c r="E4" s="474"/>
      <c r="F4" s="602"/>
      <c r="G4" s="19"/>
      <c r="H4" s="19"/>
      <c r="I4" s="19"/>
      <c r="J4" s="19"/>
      <c r="K4" s="19"/>
      <c r="L4" s="19"/>
      <c r="M4" s="19"/>
      <c r="N4" s="19"/>
      <c r="O4" s="487"/>
      <c r="P4" s="19"/>
    </row>
    <row r="5" spans="2:41" ht="16.2" thickBot="1">
      <c r="B5" s="1284" t="s">
        <v>113</v>
      </c>
      <c r="C5" s="1285">
        <v>3400</v>
      </c>
      <c r="D5" s="76"/>
      <c r="E5" s="474"/>
      <c r="F5" s="602"/>
      <c r="G5" s="19"/>
      <c r="H5" s="19"/>
      <c r="I5" s="19"/>
      <c r="J5" s="19"/>
      <c r="K5" s="19"/>
      <c r="L5" s="19"/>
      <c r="M5" s="19"/>
      <c r="N5" s="19"/>
      <c r="O5" s="487"/>
      <c r="P5" s="19"/>
      <c r="Q5" s="20"/>
      <c r="R5" s="20"/>
      <c r="S5" s="507"/>
      <c r="T5" s="20"/>
      <c r="U5" s="20"/>
      <c r="V5" s="20"/>
      <c r="W5" s="20"/>
      <c r="X5" s="507"/>
      <c r="Y5" s="20"/>
    </row>
    <row r="6" spans="2:41">
      <c r="B6" s="1309"/>
      <c r="C6" s="1308"/>
      <c r="D6" s="76"/>
      <c r="E6" s="474"/>
      <c r="F6" s="602"/>
      <c r="G6" s="19"/>
      <c r="H6" s="19"/>
      <c r="I6" s="19"/>
      <c r="J6" s="19"/>
      <c r="K6" s="19"/>
      <c r="L6" s="19"/>
      <c r="M6" s="19"/>
      <c r="N6" s="19"/>
      <c r="O6" s="487"/>
      <c r="P6" s="19"/>
      <c r="Q6" s="20"/>
      <c r="R6" s="20"/>
      <c r="S6" s="507"/>
      <c r="T6" s="20"/>
      <c r="U6" s="20"/>
      <c r="V6" s="20"/>
      <c r="W6" s="20"/>
      <c r="X6" s="507"/>
      <c r="Y6" s="20"/>
    </row>
    <row r="7" spans="2:41" hidden="1">
      <c r="B7" s="1282" t="s">
        <v>14</v>
      </c>
      <c r="C7" s="1283" t="s">
        <v>48</v>
      </c>
      <c r="D7" s="76"/>
      <c r="E7" s="474"/>
      <c r="F7" s="602"/>
      <c r="G7" s="19"/>
      <c r="H7" s="19"/>
      <c r="I7" s="19"/>
      <c r="J7" s="19"/>
      <c r="K7" s="19"/>
      <c r="L7" s="19"/>
      <c r="M7" s="19"/>
      <c r="N7" s="19"/>
      <c r="O7" s="487"/>
      <c r="P7" s="19"/>
      <c r="Q7" s="20"/>
      <c r="R7" s="20"/>
      <c r="S7" s="507"/>
      <c r="T7" s="20"/>
      <c r="U7" s="20"/>
      <c r="V7" s="20"/>
      <c r="W7" s="20"/>
      <c r="X7" s="507"/>
      <c r="Y7" s="20"/>
    </row>
    <row r="8" spans="2:41" ht="16.2" hidden="1" thickBot="1">
      <c r="B8" s="1284" t="s">
        <v>113</v>
      </c>
      <c r="C8" s="1285">
        <v>2987.72</v>
      </c>
      <c r="D8" s="76"/>
      <c r="E8" s="474"/>
      <c r="F8" s="602"/>
      <c r="G8" s="19"/>
      <c r="H8" s="19"/>
      <c r="I8" s="19"/>
      <c r="J8" s="19"/>
      <c r="K8" s="19"/>
      <c r="L8" s="19"/>
      <c r="M8" s="19"/>
      <c r="N8" s="19"/>
      <c r="O8" s="487"/>
      <c r="P8" s="19"/>
      <c r="Q8" s="20"/>
      <c r="R8" s="20"/>
      <c r="S8" s="507"/>
      <c r="T8" s="20"/>
      <c r="U8" s="20"/>
      <c r="V8" s="20"/>
      <c r="W8" s="20"/>
      <c r="X8" s="507"/>
      <c r="Y8" s="20"/>
    </row>
    <row r="9" spans="2:41" hidden="1">
      <c r="B9" s="1309"/>
      <c r="C9" s="1308"/>
      <c r="D9" s="76"/>
      <c r="E9" s="474"/>
      <c r="F9" s="602"/>
      <c r="G9" s="19"/>
      <c r="H9" s="19"/>
      <c r="I9" s="19"/>
      <c r="J9" s="19"/>
      <c r="K9" s="19"/>
      <c r="L9" s="19"/>
      <c r="M9" s="19"/>
      <c r="N9" s="19"/>
      <c r="O9" s="487"/>
      <c r="P9" s="19"/>
      <c r="Q9" s="20"/>
      <c r="R9" s="20"/>
      <c r="S9" s="507"/>
      <c r="T9" s="20"/>
      <c r="U9" s="20"/>
      <c r="V9" s="20"/>
      <c r="W9" s="20"/>
      <c r="X9" s="507"/>
      <c r="Y9" s="20"/>
    </row>
    <row r="10" spans="2:41" ht="16.2" thickBot="1">
      <c r="B10" s="21"/>
      <c r="C10" s="21"/>
      <c r="D10" s="21"/>
      <c r="E10" s="475"/>
      <c r="F10" s="603"/>
      <c r="G10" s="21"/>
      <c r="H10" s="21"/>
      <c r="I10" s="21"/>
      <c r="J10" s="21"/>
      <c r="K10" s="21"/>
      <c r="L10" s="21"/>
      <c r="M10" s="21"/>
      <c r="N10" s="21"/>
      <c r="O10" s="488"/>
      <c r="P10" s="21"/>
      <c r="Q10" s="20"/>
      <c r="R10" s="20"/>
      <c r="S10" s="507"/>
      <c r="T10" s="20"/>
      <c r="U10" s="20"/>
      <c r="V10" s="20"/>
      <c r="W10" s="20"/>
      <c r="X10" s="507"/>
      <c r="Y10" s="20"/>
    </row>
    <row r="11" spans="2:41">
      <c r="B11" s="2001" t="s">
        <v>115</v>
      </c>
      <c r="C11" s="2002"/>
      <c r="D11" s="2002"/>
      <c r="E11" s="2002"/>
      <c r="F11" s="2002"/>
      <c r="G11" s="2002"/>
      <c r="H11" s="2002"/>
      <c r="I11" s="2002"/>
      <c r="J11" s="2002"/>
      <c r="K11" s="2002"/>
      <c r="L11" s="2002"/>
      <c r="M11" s="2002"/>
      <c r="N11" s="2002"/>
      <c r="O11" s="2002"/>
      <c r="P11" s="2003"/>
      <c r="Q11" s="20"/>
      <c r="R11" s="20"/>
      <c r="S11" s="507"/>
      <c r="T11" s="20"/>
      <c r="U11" s="20"/>
      <c r="V11" s="20"/>
      <c r="W11" s="20"/>
      <c r="X11" s="507"/>
      <c r="Y11" s="20"/>
    </row>
    <row r="12" spans="2:41">
      <c r="B12" s="116"/>
      <c r="C12" s="2023" t="s">
        <v>14</v>
      </c>
      <c r="D12" s="2023"/>
      <c r="E12" s="2023"/>
      <c r="F12" s="2023"/>
      <c r="G12" s="2023"/>
      <c r="H12" s="2005" t="s">
        <v>116</v>
      </c>
      <c r="I12" s="2005"/>
      <c r="J12" s="2005"/>
      <c r="K12" s="2005"/>
      <c r="L12" s="2005"/>
      <c r="M12" s="2005"/>
      <c r="N12" s="2005"/>
      <c r="O12" s="2005"/>
      <c r="P12" s="2006"/>
      <c r="Q12" s="20"/>
      <c r="R12" s="2019" t="s">
        <v>164</v>
      </c>
      <c r="S12" s="2019"/>
      <c r="T12" s="2019"/>
      <c r="U12" s="20"/>
      <c r="Y12" s="20"/>
      <c r="Z12" s="20"/>
      <c r="AA12" s="20"/>
    </row>
    <row r="13" spans="2:41" s="22" customFormat="1" ht="46.8">
      <c r="B13" s="115" t="s">
        <v>119</v>
      </c>
      <c r="C13" s="438" t="s">
        <v>120</v>
      </c>
      <c r="D13" s="438" t="s">
        <v>121</v>
      </c>
      <c r="E13" s="476" t="s">
        <v>127</v>
      </c>
      <c r="F13" s="613" t="s">
        <v>128</v>
      </c>
      <c r="G13" s="439" t="s">
        <v>129</v>
      </c>
      <c r="H13" s="440" t="s">
        <v>132</v>
      </c>
      <c r="I13" s="440" t="s">
        <v>133</v>
      </c>
      <c r="J13" s="440" t="s">
        <v>134</v>
      </c>
      <c r="K13" s="440" t="s">
        <v>135</v>
      </c>
      <c r="L13" s="137" t="s">
        <v>165</v>
      </c>
      <c r="M13" s="441" t="s">
        <v>21</v>
      </c>
      <c r="N13" s="440" t="s">
        <v>137</v>
      </c>
      <c r="O13" s="489" t="s">
        <v>138</v>
      </c>
      <c r="P13" s="442" t="s">
        <v>23</v>
      </c>
      <c r="R13" s="199" t="s">
        <v>132</v>
      </c>
      <c r="S13" s="199" t="s">
        <v>166</v>
      </c>
      <c r="T13" s="962" t="s">
        <v>141</v>
      </c>
      <c r="X13" s="480"/>
      <c r="AD13" s="480"/>
      <c r="AO13" s="480"/>
    </row>
    <row r="14" spans="2:41" ht="31.2">
      <c r="B14" s="103" t="s">
        <v>174</v>
      </c>
      <c r="C14" s="15">
        <f>SUM(C26:C32)</f>
        <v>1772973</v>
      </c>
      <c r="D14" s="15">
        <f t="shared" ref="D14" si="0">SUM(D26:D32)</f>
        <v>9724</v>
      </c>
      <c r="E14" s="77">
        <f>SUM(E26:E32)</f>
        <v>1498.79</v>
      </c>
      <c r="F14" s="73">
        <f>E14/$C$5</f>
        <v>0.44082058823529413</v>
      </c>
      <c r="G14" s="79">
        <f>D14/C14</f>
        <v>5.4845730871254106E-3</v>
      </c>
      <c r="H14" s="131">
        <f>SUM(H26:H32)</f>
        <v>421</v>
      </c>
      <c r="I14" s="132"/>
      <c r="J14" s="132"/>
      <c r="K14" s="293">
        <f>$S$14/30*7</f>
        <v>1223.0432748538012</v>
      </c>
      <c r="L14" s="139">
        <f>H14/K14</f>
        <v>0.34422330644868232</v>
      </c>
      <c r="M14" s="224">
        <f>E14/H14</f>
        <v>3.5600712589073633</v>
      </c>
      <c r="N14" s="333">
        <f>H14/D14</f>
        <v>4.3294940353763883E-2</v>
      </c>
      <c r="O14" s="382">
        <f t="shared" ref="O14:P14" si="1">O33</f>
        <v>12.214285714285714</v>
      </c>
      <c r="P14" s="348">
        <f t="shared" si="1"/>
        <v>0.8683871187444504</v>
      </c>
      <c r="R14" s="97">
        <f>H19</f>
        <v>930</v>
      </c>
      <c r="S14" s="97">
        <f>C8/0.57</f>
        <v>5241.6140350877195</v>
      </c>
      <c r="T14" s="98">
        <f>R14/S14</f>
        <v>0.17742626484409516</v>
      </c>
    </row>
    <row r="15" spans="2:41" ht="46.8">
      <c r="B15" s="103" t="s">
        <v>175</v>
      </c>
      <c r="C15" s="15">
        <f>SUM(C34:C40)</f>
        <v>2044499</v>
      </c>
      <c r="D15" s="15">
        <f>SUM(D34:D40)</f>
        <v>6787</v>
      </c>
      <c r="E15" s="77">
        <f>SUM(E34:E40)</f>
        <v>1633.95</v>
      </c>
      <c r="F15" s="73">
        <f>E15/$C$5</f>
        <v>0.48057352941176473</v>
      </c>
      <c r="G15" s="79">
        <f>D15/C15</f>
        <v>3.3196396770064449E-3</v>
      </c>
      <c r="H15" s="131">
        <f>SUM(H34:H40)</f>
        <v>435</v>
      </c>
      <c r="I15" s="132"/>
      <c r="J15" s="132"/>
      <c r="K15" s="293">
        <f>$S$14/30*7</f>
        <v>1223.0432748538012</v>
      </c>
      <c r="L15" s="139">
        <f>H15/K15</f>
        <v>0.35567016224507553</v>
      </c>
      <c r="M15" s="224">
        <f>E15/H15</f>
        <v>3.7562068965517241</v>
      </c>
      <c r="N15" s="333">
        <f>H15/D15</f>
        <v>6.4093119198467663E-2</v>
      </c>
      <c r="O15" s="382">
        <f>O41</f>
        <v>78.959326457840945</v>
      </c>
      <c r="P15" s="348">
        <f>P41</f>
        <v>0.87163007866718467</v>
      </c>
      <c r="R15" s="960" t="s">
        <v>132</v>
      </c>
    </row>
    <row r="16" spans="2:41" ht="31.2">
      <c r="B16" s="105" t="s">
        <v>168</v>
      </c>
      <c r="C16" s="15">
        <f>SUM(C42:C48)</f>
        <v>215236</v>
      </c>
      <c r="D16" s="15">
        <f t="shared" ref="D16" si="2">SUM(D42:D48)</f>
        <v>597</v>
      </c>
      <c r="E16" s="77">
        <f>SUM(E42:E48)</f>
        <v>150.07999999999998</v>
      </c>
      <c r="F16" s="73">
        <f>E16/$C$5</f>
        <v>4.4141176470588232E-2</v>
      </c>
      <c r="G16" s="79">
        <f>D16/C16</f>
        <v>2.7736995669869354E-3</v>
      </c>
      <c r="H16" s="52">
        <f>SUM(H42:H48)</f>
        <v>74</v>
      </c>
      <c r="I16" s="52"/>
      <c r="J16" s="52"/>
      <c r="K16" s="293">
        <f>$S$14/30*7</f>
        <v>1223.0432748538012</v>
      </c>
      <c r="L16" s="139">
        <f>H16/K16</f>
        <v>6.0504809209507106E-2</v>
      </c>
      <c r="M16" s="224">
        <f>E16/H16</f>
        <v>2.0281081081081078</v>
      </c>
      <c r="N16" s="333">
        <f>H16/D16</f>
        <v>0.12395309882747069</v>
      </c>
      <c r="O16" s="705">
        <f>O49</f>
        <v>212.32448979591837</v>
      </c>
      <c r="P16" s="617">
        <f>P49</f>
        <v>0.82721088435374157</v>
      </c>
      <c r="Q16" s="40"/>
      <c r="R16" s="961"/>
      <c r="S16" s="597"/>
      <c r="T16" s="40"/>
      <c r="U16" s="40"/>
    </row>
    <row r="17" spans="2:49" ht="46.8">
      <c r="B17" s="105" t="s">
        <v>169</v>
      </c>
      <c r="C17" s="15">
        <f>SUM(C50:C56)</f>
        <v>0</v>
      </c>
      <c r="D17" s="15">
        <f t="shared" ref="D17:E17" si="3">SUM(D50:D56)</f>
        <v>0</v>
      </c>
      <c r="E17" s="72">
        <f t="shared" si="3"/>
        <v>0</v>
      </c>
      <c r="F17" s="73">
        <f>E17/$C$5</f>
        <v>0</v>
      </c>
      <c r="G17" s="79" t="e">
        <f>D17/C17</f>
        <v>#DIV/0!</v>
      </c>
      <c r="H17" s="52">
        <f>SUM(H50:H56)</f>
        <v>0</v>
      </c>
      <c r="I17" s="52"/>
      <c r="J17" s="52"/>
      <c r="K17" s="293"/>
      <c r="L17" s="139"/>
      <c r="M17" s="224" t="e">
        <f>E17/H17</f>
        <v>#DIV/0!</v>
      </c>
      <c r="N17" s="333" t="e">
        <f>H17/D17</f>
        <v>#DIV/0!</v>
      </c>
      <c r="O17" s="705"/>
      <c r="P17" s="616"/>
    </row>
    <row r="18" spans="2:49" ht="47.4" thickBot="1">
      <c r="B18" s="105" t="s">
        <v>170</v>
      </c>
      <c r="C18" s="15"/>
      <c r="D18" s="15"/>
      <c r="E18" s="77"/>
      <c r="F18" s="605"/>
      <c r="G18" s="52"/>
      <c r="H18" s="52"/>
      <c r="I18" s="52"/>
      <c r="J18" s="52"/>
      <c r="K18" s="52"/>
      <c r="L18" s="52"/>
      <c r="M18" s="52"/>
      <c r="N18" s="52"/>
      <c r="O18" s="622"/>
      <c r="P18" s="104"/>
    </row>
    <row r="19" spans="2:49" ht="16.2" thickBot="1">
      <c r="B19" s="107" t="s">
        <v>153</v>
      </c>
      <c r="C19" s="108">
        <f>SUM(C14:C18)</f>
        <v>4032708</v>
      </c>
      <c r="D19" s="108">
        <f>SUM(D14:D18)</f>
        <v>17108</v>
      </c>
      <c r="E19" s="109">
        <f>SUM(E14:E18)</f>
        <v>3282.8199999999997</v>
      </c>
      <c r="F19" s="111">
        <f>E19/C5</f>
        <v>0.96553529411764694</v>
      </c>
      <c r="G19" s="110">
        <f>D19/C19</f>
        <v>4.2423106260111075E-3</v>
      </c>
      <c r="H19" s="108">
        <f>SUM(H14:H18)</f>
        <v>930</v>
      </c>
      <c r="I19" s="112"/>
      <c r="J19" s="112"/>
      <c r="K19" s="108">
        <f>SUM(K14:K18)</f>
        <v>3669.1298245614034</v>
      </c>
      <c r="L19" s="138">
        <f>H19/K19</f>
        <v>0.25346609263442166</v>
      </c>
      <c r="M19" s="340">
        <f>E19/H19</f>
        <v>3.5299139784946232</v>
      </c>
      <c r="N19" s="336">
        <f>H19/D19</f>
        <v>5.4360533083937339E-2</v>
      </c>
      <c r="O19" s="623">
        <f>AVERAGE(O14:O18)</f>
        <v>101.16603398934835</v>
      </c>
      <c r="P19" s="618">
        <f>AVERAGE(P14:P18)</f>
        <v>0.85574269392179225</v>
      </c>
      <c r="Q19" s="18"/>
      <c r="R19" s="18"/>
      <c r="S19" s="508"/>
      <c r="T19" s="18"/>
      <c r="U19" s="18"/>
      <c r="V19" s="18"/>
      <c r="W19" s="18"/>
      <c r="X19" s="508"/>
      <c r="Y19" s="18"/>
      <c r="Z19" s="18"/>
      <c r="AA19" s="18"/>
    </row>
    <row r="20" spans="2:49" customFormat="1" ht="14.4">
      <c r="E20" s="477"/>
      <c r="F20" s="607"/>
      <c r="O20" s="482"/>
      <c r="S20" s="477"/>
      <c r="X20" s="477"/>
      <c r="AD20" s="477"/>
      <c r="AO20" s="477"/>
    </row>
    <row r="21" spans="2:49">
      <c r="L21" s="30"/>
      <c r="M21" s="30"/>
      <c r="N21" s="30"/>
      <c r="O21" s="490"/>
      <c r="P21" s="30"/>
      <c r="Q21" s="57" t="s">
        <v>171</v>
      </c>
      <c r="R21" s="57"/>
      <c r="S21" s="509"/>
      <c r="T21" s="57"/>
      <c r="U21" s="57" t="s">
        <v>29</v>
      </c>
      <c r="V21" s="57"/>
      <c r="W21" s="57"/>
      <c r="X21" s="509"/>
      <c r="Y21" s="57"/>
      <c r="Z21" s="57" t="s">
        <v>166</v>
      </c>
      <c r="AA21" s="57" t="s">
        <v>172</v>
      </c>
    </row>
    <row r="22" spans="2:49">
      <c r="L22" s="30"/>
      <c r="M22" s="30"/>
      <c r="N22" s="30"/>
      <c r="O22" s="490"/>
      <c r="P22" s="30"/>
      <c r="Q22" s="32"/>
      <c r="R22" s="32"/>
      <c r="S22" s="510"/>
      <c r="T22" s="32"/>
      <c r="U22" s="32"/>
      <c r="V22" s="32"/>
      <c r="W22" s="32"/>
      <c r="X22" s="510"/>
      <c r="Y22" s="32"/>
      <c r="Z22" s="32"/>
      <c r="AA22" s="33"/>
    </row>
    <row r="23" spans="2:49" ht="13.5" customHeight="1">
      <c r="B23" s="2020" t="s">
        <v>154</v>
      </c>
      <c r="C23" s="2021"/>
      <c r="D23" s="2021"/>
      <c r="E23" s="2021"/>
      <c r="F23" s="2021"/>
      <c r="G23" s="2021"/>
      <c r="H23" s="2021"/>
      <c r="I23" s="2021"/>
      <c r="J23" s="2021"/>
      <c r="K23" s="2021"/>
      <c r="L23" s="2021"/>
      <c r="M23" s="2021"/>
      <c r="N23" s="2021"/>
      <c r="O23" s="2021"/>
      <c r="P23" s="2022"/>
      <c r="Q23" s="2028" t="s">
        <v>70</v>
      </c>
      <c r="R23" s="2029"/>
      <c r="S23" s="2029"/>
      <c r="T23" s="2029"/>
      <c r="U23" s="2029"/>
      <c r="V23" s="2029"/>
      <c r="W23" s="2029"/>
      <c r="X23" s="2029"/>
      <c r="Y23" s="2029"/>
      <c r="Z23" s="2029"/>
      <c r="AA23" s="2030"/>
      <c r="AB23" s="2025" t="s">
        <v>72</v>
      </c>
      <c r="AC23" s="2026"/>
      <c r="AD23" s="2026"/>
      <c r="AE23" s="2026"/>
      <c r="AF23" s="2026"/>
      <c r="AG23" s="2026"/>
      <c r="AH23" s="2026"/>
      <c r="AI23" s="2026"/>
      <c r="AJ23" s="2026"/>
      <c r="AK23" s="2026"/>
      <c r="AL23" s="2027"/>
      <c r="AM23" s="2028" t="s">
        <v>73</v>
      </c>
      <c r="AN23" s="2029"/>
      <c r="AO23" s="2029"/>
      <c r="AP23" s="2029"/>
      <c r="AQ23" s="2029"/>
      <c r="AR23" s="2029"/>
      <c r="AS23" s="2029"/>
      <c r="AT23" s="2029"/>
      <c r="AU23" s="2029"/>
      <c r="AV23" s="2029"/>
      <c r="AW23" s="2030"/>
    </row>
    <row r="24" spans="2:49">
      <c r="B24" s="185"/>
      <c r="C24" s="2023" t="s">
        <v>14</v>
      </c>
      <c r="D24" s="2023"/>
      <c r="E24" s="2023"/>
      <c r="F24" s="2023"/>
      <c r="G24" s="2023"/>
      <c r="H24" s="2005" t="s">
        <v>116</v>
      </c>
      <c r="I24" s="2005"/>
      <c r="J24" s="2005"/>
      <c r="K24" s="2005"/>
      <c r="L24" s="2005"/>
      <c r="M24" s="2005"/>
      <c r="N24" s="2005"/>
      <c r="O24" s="2005"/>
      <c r="P24" s="2024"/>
      <c r="Q24" s="2031" t="s">
        <v>14</v>
      </c>
      <c r="R24" s="2032"/>
      <c r="S24" s="2032"/>
      <c r="T24" s="2032"/>
      <c r="U24" s="2032" t="s">
        <v>116</v>
      </c>
      <c r="V24" s="2032"/>
      <c r="W24" s="2032"/>
      <c r="X24" s="2032"/>
      <c r="Y24" s="2032"/>
      <c r="Z24" s="2032"/>
      <c r="AA24" s="2033"/>
      <c r="AB24" s="2034" t="s">
        <v>14</v>
      </c>
      <c r="AC24" s="2035"/>
      <c r="AD24" s="2035"/>
      <c r="AE24" s="2035"/>
      <c r="AF24" s="2035" t="s">
        <v>116</v>
      </c>
      <c r="AG24" s="2035"/>
      <c r="AH24" s="2035"/>
      <c r="AI24" s="2035"/>
      <c r="AJ24" s="2035"/>
      <c r="AK24" s="2035"/>
      <c r="AL24" s="2036"/>
      <c r="AM24" s="2031" t="s">
        <v>14</v>
      </c>
      <c r="AN24" s="2032"/>
      <c r="AO24" s="2032"/>
      <c r="AP24" s="2032"/>
      <c r="AQ24" s="2032" t="s">
        <v>116</v>
      </c>
      <c r="AR24" s="2032"/>
      <c r="AS24" s="2032"/>
      <c r="AT24" s="2032"/>
      <c r="AU24" s="2032"/>
      <c r="AV24" s="2032"/>
      <c r="AW24" s="2033"/>
    </row>
    <row r="25" spans="2:49" s="22" customFormat="1" ht="46.8">
      <c r="B25" s="186" t="s">
        <v>119</v>
      </c>
      <c r="C25" s="445" t="s">
        <v>120</v>
      </c>
      <c r="D25" s="445" t="s">
        <v>121</v>
      </c>
      <c r="E25" s="478" t="s">
        <v>127</v>
      </c>
      <c r="F25" s="614" t="s">
        <v>128</v>
      </c>
      <c r="G25" s="954" t="s">
        <v>129</v>
      </c>
      <c r="H25" s="443" t="s">
        <v>132</v>
      </c>
      <c r="I25" s="440" t="s">
        <v>133</v>
      </c>
      <c r="J25" s="440" t="s">
        <v>134</v>
      </c>
      <c r="K25" s="440" t="s">
        <v>157</v>
      </c>
      <c r="L25" s="137" t="s">
        <v>158</v>
      </c>
      <c r="M25" s="441" t="s">
        <v>21</v>
      </c>
      <c r="N25" s="440" t="s">
        <v>137</v>
      </c>
      <c r="O25" s="489" t="s">
        <v>173</v>
      </c>
      <c r="P25" s="447" t="s">
        <v>23</v>
      </c>
      <c r="Q25" s="155" t="s">
        <v>120</v>
      </c>
      <c r="R25" s="1183" t="s">
        <v>121</v>
      </c>
      <c r="S25" s="1185" t="s">
        <v>127</v>
      </c>
      <c r="T25" s="1196" t="s">
        <v>129</v>
      </c>
      <c r="U25" s="1197" t="s">
        <v>132</v>
      </c>
      <c r="V25" s="133" t="s">
        <v>133</v>
      </c>
      <c r="W25" s="133" t="s">
        <v>134</v>
      </c>
      <c r="X25" s="643" t="s">
        <v>21</v>
      </c>
      <c r="Y25" s="133" t="s">
        <v>137</v>
      </c>
      <c r="Z25" s="134" t="s">
        <v>138</v>
      </c>
      <c r="AA25" s="156" t="s">
        <v>23</v>
      </c>
      <c r="AB25" s="155" t="s">
        <v>120</v>
      </c>
      <c r="AC25" s="1183" t="s">
        <v>121</v>
      </c>
      <c r="AD25" s="1185" t="s">
        <v>127</v>
      </c>
      <c r="AE25" s="1196" t="s">
        <v>129</v>
      </c>
      <c r="AF25" s="1197" t="s">
        <v>132</v>
      </c>
      <c r="AG25" s="133" t="s">
        <v>133</v>
      </c>
      <c r="AH25" s="133" t="s">
        <v>134</v>
      </c>
      <c r="AI25" s="133" t="s">
        <v>21</v>
      </c>
      <c r="AJ25" s="133" t="s">
        <v>137</v>
      </c>
      <c r="AK25" s="134" t="s">
        <v>138</v>
      </c>
      <c r="AL25" s="156" t="s">
        <v>23</v>
      </c>
      <c r="AM25" s="155" t="s">
        <v>120</v>
      </c>
      <c r="AN25" s="113" t="s">
        <v>121</v>
      </c>
      <c r="AO25" s="481" t="s">
        <v>127</v>
      </c>
      <c r="AP25" s="145" t="s">
        <v>129</v>
      </c>
      <c r="AQ25" s="142" t="s">
        <v>132</v>
      </c>
      <c r="AR25" s="133" t="s">
        <v>133</v>
      </c>
      <c r="AS25" s="133" t="s">
        <v>134</v>
      </c>
      <c r="AT25" s="133" t="s">
        <v>21</v>
      </c>
      <c r="AU25" s="133" t="s">
        <v>137</v>
      </c>
      <c r="AV25" s="134" t="s">
        <v>138</v>
      </c>
      <c r="AW25" s="178" t="s">
        <v>23</v>
      </c>
    </row>
    <row r="26" spans="2:49">
      <c r="B26" s="188">
        <v>44852</v>
      </c>
      <c r="C26" s="303">
        <v>82843</v>
      </c>
      <c r="D26" s="303">
        <v>411</v>
      </c>
      <c r="E26" s="304">
        <v>66.05</v>
      </c>
      <c r="F26" s="308">
        <f>SUM($E$26)/$C$8</f>
        <v>2.2107158636016762E-2</v>
      </c>
      <c r="G26" s="955">
        <f t="shared" ref="G26:G57" si="4">D26/C26</f>
        <v>4.9611916516784762E-3</v>
      </c>
      <c r="H26" s="150">
        <v>31</v>
      </c>
      <c r="I26" s="132"/>
      <c r="J26" s="132"/>
      <c r="K26" s="293">
        <f>$S$14/30</f>
        <v>174.72046783625731</v>
      </c>
      <c r="L26" s="139">
        <f>H26/K26</f>
        <v>0.17742626484409516</v>
      </c>
      <c r="M26" s="225">
        <f t="shared" ref="M26:M57" si="5">E26/H26</f>
        <v>2.1306451612903223</v>
      </c>
      <c r="N26" s="316">
        <f t="shared" ref="N26:N57" si="6">H26/D26</f>
        <v>7.5425790754257913E-2</v>
      </c>
      <c r="O26" s="681">
        <v>6</v>
      </c>
      <c r="P26" s="318">
        <v>0.67741935483870963</v>
      </c>
      <c r="Q26" s="1208">
        <v>32174</v>
      </c>
      <c r="R26" s="1187">
        <v>143</v>
      </c>
      <c r="S26" s="554">
        <v>25.97</v>
      </c>
      <c r="T26" s="555">
        <f t="shared" ref="T26:T57" si="7">R26/Q26</f>
        <v>4.4445825822092373E-3</v>
      </c>
      <c r="U26" s="1187">
        <v>16</v>
      </c>
      <c r="V26" s="322"/>
      <c r="W26" s="132"/>
      <c r="X26" s="312">
        <f t="shared" ref="X26:X57" si="8">S26/U26</f>
        <v>1.6231249999999999</v>
      </c>
      <c r="Y26" s="316">
        <f t="shared" ref="Y26:Y57" si="9">U26/R26</f>
        <v>0.11188811188811189</v>
      </c>
      <c r="Z26" s="132"/>
      <c r="AA26" s="158"/>
      <c r="AB26" s="1208">
        <v>50669</v>
      </c>
      <c r="AC26" s="1187">
        <v>268</v>
      </c>
      <c r="AD26" s="554">
        <v>40.08</v>
      </c>
      <c r="AE26" s="555">
        <f t="shared" ref="AE26:AE57" si="10">AC26/AB26</f>
        <v>5.2892301012453374E-3</v>
      </c>
      <c r="AF26" s="1187">
        <v>15</v>
      </c>
      <c r="AG26" s="322"/>
      <c r="AH26" s="132"/>
      <c r="AI26" s="228">
        <f t="shared" ref="AI26:AI57" si="11">AD26/AF26</f>
        <v>2.6719999999999997</v>
      </c>
      <c r="AJ26" s="1168">
        <f t="shared" ref="AJ26:AJ57" si="12">AF26/AC26</f>
        <v>5.5970149253731345E-2</v>
      </c>
      <c r="AK26" s="322"/>
      <c r="AL26" s="158"/>
      <c r="AM26" s="157"/>
      <c r="AN26" s="50"/>
      <c r="AO26" s="70"/>
      <c r="AP26" s="146" t="e">
        <f t="shared" ref="AP26:AP57" si="13">AN26/AM26</f>
        <v>#DIV/0!</v>
      </c>
      <c r="AQ26" s="50"/>
      <c r="AR26" s="132"/>
      <c r="AS26" s="132"/>
      <c r="AT26" s="228" t="e">
        <f t="shared" ref="AT26:AT57" si="14">AO26/AQ26</f>
        <v>#DIV/0!</v>
      </c>
      <c r="AU26" s="316" t="e">
        <f t="shared" ref="AU26:AU57" si="15">AQ26/AN26</f>
        <v>#DIV/0!</v>
      </c>
      <c r="AV26" s="132"/>
      <c r="AW26" s="179"/>
    </row>
    <row r="27" spans="2:49" s="24" customFormat="1">
      <c r="B27" s="188">
        <v>44853</v>
      </c>
      <c r="C27" s="303">
        <v>267650</v>
      </c>
      <c r="D27" s="303">
        <v>1558</v>
      </c>
      <c r="E27" s="304">
        <v>233</v>
      </c>
      <c r="F27" s="308">
        <f>SUM($E$26:E27)/$C$8</f>
        <v>0.10009304754126894</v>
      </c>
      <c r="G27" s="955">
        <f t="shared" si="4"/>
        <v>5.8210349336820476E-3</v>
      </c>
      <c r="H27" s="143">
        <v>77</v>
      </c>
      <c r="I27" s="132"/>
      <c r="J27" s="132"/>
      <c r="K27" s="293">
        <f t="shared" ref="K27:K42" si="16">$S$14/30</f>
        <v>174.72046783625731</v>
      </c>
      <c r="L27" s="139">
        <f t="shared" ref="L27:L32" si="17">H27/K27</f>
        <v>0.44070394816113961</v>
      </c>
      <c r="M27" s="225">
        <f t="shared" si="5"/>
        <v>3.0259740259740258</v>
      </c>
      <c r="N27" s="316">
        <f t="shared" si="6"/>
        <v>4.9422336328626443E-2</v>
      </c>
      <c r="O27" s="681">
        <v>24.5</v>
      </c>
      <c r="P27" s="319">
        <v>0.92207792207792205</v>
      </c>
      <c r="Q27" s="1209">
        <v>39882</v>
      </c>
      <c r="R27" s="1187">
        <v>205</v>
      </c>
      <c r="S27" s="554">
        <v>31.74</v>
      </c>
      <c r="T27" s="555">
        <f t="shared" si="7"/>
        <v>5.1401634822727041E-3</v>
      </c>
      <c r="U27" s="1187">
        <v>20</v>
      </c>
      <c r="V27" s="322"/>
      <c r="W27" s="132"/>
      <c r="X27" s="312">
        <f t="shared" si="8"/>
        <v>1.587</v>
      </c>
      <c r="Y27" s="316">
        <f t="shared" si="9"/>
        <v>9.7560975609756101E-2</v>
      </c>
      <c r="Z27" s="132"/>
      <c r="AA27" s="158"/>
      <c r="AB27" s="1209">
        <v>227768</v>
      </c>
      <c r="AC27" s="1187">
        <v>1353</v>
      </c>
      <c r="AD27" s="554">
        <v>201.26</v>
      </c>
      <c r="AE27" s="555">
        <f t="shared" si="10"/>
        <v>5.9402549963120371E-3</v>
      </c>
      <c r="AF27" s="1187">
        <v>57</v>
      </c>
      <c r="AG27" s="322"/>
      <c r="AH27" s="132"/>
      <c r="AI27" s="228">
        <f t="shared" si="11"/>
        <v>3.5308771929824561</v>
      </c>
      <c r="AJ27" s="1169">
        <f t="shared" si="12"/>
        <v>4.2128603104212861E-2</v>
      </c>
      <c r="AK27" s="322"/>
      <c r="AL27" s="158"/>
      <c r="AM27" s="159"/>
      <c r="AN27" s="49"/>
      <c r="AO27" s="71"/>
      <c r="AP27" s="146" t="e">
        <f t="shared" si="13"/>
        <v>#DIV/0!</v>
      </c>
      <c r="AQ27" s="49"/>
      <c r="AR27" s="132"/>
      <c r="AS27" s="132"/>
      <c r="AT27" s="228" t="e">
        <f t="shared" si="14"/>
        <v>#DIV/0!</v>
      </c>
      <c r="AU27" s="316" t="e">
        <f t="shared" si="15"/>
        <v>#DIV/0!</v>
      </c>
      <c r="AV27" s="132"/>
      <c r="AW27" s="158"/>
    </row>
    <row r="28" spans="2:49" s="26" customFormat="1">
      <c r="B28" s="188">
        <v>44854</v>
      </c>
      <c r="C28" s="303">
        <v>248016</v>
      </c>
      <c r="D28" s="303">
        <v>1401</v>
      </c>
      <c r="E28" s="304">
        <v>224.66</v>
      </c>
      <c r="F28" s="308">
        <f>SUM($E$26:E28)/$C$8</f>
        <v>0.17528751020845329</v>
      </c>
      <c r="G28" s="955">
        <f t="shared" si="4"/>
        <v>5.6488291077994969E-3</v>
      </c>
      <c r="H28" s="143">
        <v>61</v>
      </c>
      <c r="I28" s="132"/>
      <c r="J28" s="132"/>
      <c r="K28" s="293">
        <f t="shared" si="16"/>
        <v>174.72046783625731</v>
      </c>
      <c r="L28" s="139">
        <f t="shared" si="17"/>
        <v>0.34912910178999368</v>
      </c>
      <c r="M28" s="225">
        <f t="shared" si="5"/>
        <v>3.682950819672131</v>
      </c>
      <c r="N28" s="316">
        <f t="shared" si="6"/>
        <v>4.3540328336902211E-2</v>
      </c>
      <c r="O28" s="681">
        <v>2.5</v>
      </c>
      <c r="P28" s="319">
        <v>0.93442622950819676</v>
      </c>
      <c r="Q28" s="1209">
        <v>28866</v>
      </c>
      <c r="R28" s="1187">
        <v>202</v>
      </c>
      <c r="S28" s="554">
        <v>26.31</v>
      </c>
      <c r="T28" s="555">
        <f t="shared" si="7"/>
        <v>6.997852144391325E-3</v>
      </c>
      <c r="U28" s="1187">
        <v>11</v>
      </c>
      <c r="V28" s="322"/>
      <c r="W28" s="132"/>
      <c r="X28" s="312">
        <f t="shared" si="8"/>
        <v>2.3918181818181816</v>
      </c>
      <c r="Y28" s="316">
        <f t="shared" si="9"/>
        <v>5.4455445544554455E-2</v>
      </c>
      <c r="Z28" s="132"/>
      <c r="AA28" s="158"/>
      <c r="AB28" s="1209">
        <v>219150</v>
      </c>
      <c r="AC28" s="1187">
        <v>1199</v>
      </c>
      <c r="AD28" s="554">
        <v>198.35</v>
      </c>
      <c r="AE28" s="555">
        <f t="shared" si="10"/>
        <v>5.471138489618982E-3</v>
      </c>
      <c r="AF28" s="1187">
        <v>50</v>
      </c>
      <c r="AG28" s="322"/>
      <c r="AH28" s="132"/>
      <c r="AI28" s="228">
        <f t="shared" si="11"/>
        <v>3.9670000000000001</v>
      </c>
      <c r="AJ28" s="1169">
        <f t="shared" si="12"/>
        <v>4.1701417848206836E-2</v>
      </c>
      <c r="AK28" s="322"/>
      <c r="AL28" s="158"/>
      <c r="AM28" s="157"/>
      <c r="AN28" s="50"/>
      <c r="AO28" s="70"/>
      <c r="AP28" s="146" t="e">
        <f t="shared" si="13"/>
        <v>#DIV/0!</v>
      </c>
      <c r="AQ28" s="50"/>
      <c r="AR28" s="132"/>
      <c r="AS28" s="132"/>
      <c r="AT28" s="228" t="e">
        <f t="shared" si="14"/>
        <v>#DIV/0!</v>
      </c>
      <c r="AU28" s="316" t="e">
        <f t="shared" si="15"/>
        <v>#DIV/0!</v>
      </c>
      <c r="AV28" s="132"/>
      <c r="AW28" s="158"/>
    </row>
    <row r="29" spans="2:49">
      <c r="B29" s="295">
        <v>44855</v>
      </c>
      <c r="C29" s="309">
        <v>311061</v>
      </c>
      <c r="D29" s="309">
        <v>1674</v>
      </c>
      <c r="E29" s="310">
        <v>259.5</v>
      </c>
      <c r="F29" s="308">
        <f>SUM($E$26:E29)/$C$8</f>
        <v>0.26214303883898094</v>
      </c>
      <c r="G29" s="955">
        <f t="shared" si="4"/>
        <v>5.3815811046707884E-3</v>
      </c>
      <c r="H29" s="34">
        <v>78</v>
      </c>
      <c r="I29" s="132"/>
      <c r="J29" s="132"/>
      <c r="K29" s="293">
        <f t="shared" si="16"/>
        <v>174.72046783625731</v>
      </c>
      <c r="L29" s="139">
        <f t="shared" si="17"/>
        <v>0.44642737605933619</v>
      </c>
      <c r="M29" s="225">
        <f t="shared" si="5"/>
        <v>3.3269230769230771</v>
      </c>
      <c r="N29" s="316">
        <f t="shared" si="6"/>
        <v>4.6594982078853049E-2</v>
      </c>
      <c r="O29" s="681">
        <v>2.5</v>
      </c>
      <c r="P29" s="319">
        <v>0.9358974358974359</v>
      </c>
      <c r="Q29" s="1209">
        <v>25255</v>
      </c>
      <c r="R29" s="1187">
        <v>150</v>
      </c>
      <c r="S29" s="554">
        <v>22.79</v>
      </c>
      <c r="T29" s="555">
        <f t="shared" si="7"/>
        <v>5.9394179370421702E-3</v>
      </c>
      <c r="U29" s="1187">
        <v>12</v>
      </c>
      <c r="V29" s="322"/>
      <c r="W29" s="132"/>
      <c r="X29" s="312">
        <f t="shared" si="8"/>
        <v>1.8991666666666667</v>
      </c>
      <c r="Y29" s="316">
        <f t="shared" si="9"/>
        <v>0.08</v>
      </c>
      <c r="Z29" s="132"/>
      <c r="AA29" s="158"/>
      <c r="AB29" s="1209">
        <v>285806</v>
      </c>
      <c r="AC29" s="1187">
        <v>1524</v>
      </c>
      <c r="AD29" s="554">
        <v>236.71</v>
      </c>
      <c r="AE29" s="555">
        <f t="shared" si="10"/>
        <v>5.3322883354443226E-3</v>
      </c>
      <c r="AF29" s="1187">
        <v>66</v>
      </c>
      <c r="AG29" s="322"/>
      <c r="AH29" s="132"/>
      <c r="AI29" s="228">
        <f t="shared" si="11"/>
        <v>3.5865151515151514</v>
      </c>
      <c r="AJ29" s="1169">
        <f t="shared" si="12"/>
        <v>4.3307086614173228E-2</v>
      </c>
      <c r="AK29" s="322"/>
      <c r="AL29" s="158"/>
      <c r="AM29" s="159"/>
      <c r="AN29" s="49"/>
      <c r="AO29" s="71"/>
      <c r="AP29" s="146" t="e">
        <f t="shared" si="13"/>
        <v>#DIV/0!</v>
      </c>
      <c r="AQ29" s="49"/>
      <c r="AR29" s="132"/>
      <c r="AS29" s="132"/>
      <c r="AT29" s="228" t="e">
        <f t="shared" si="14"/>
        <v>#DIV/0!</v>
      </c>
      <c r="AU29" s="316" t="e">
        <f t="shared" si="15"/>
        <v>#DIV/0!</v>
      </c>
      <c r="AV29" s="132"/>
      <c r="AW29" s="158"/>
    </row>
    <row r="30" spans="2:49">
      <c r="B30" s="295">
        <v>44856</v>
      </c>
      <c r="C30" s="309">
        <v>278390</v>
      </c>
      <c r="D30" s="309">
        <v>1596</v>
      </c>
      <c r="E30" s="310">
        <v>251.51000000000002</v>
      </c>
      <c r="F30" s="308">
        <f>SUM($E$26:E30)/$C$8</f>
        <v>0.34632428741649152</v>
      </c>
      <c r="G30" s="955">
        <f t="shared" si="4"/>
        <v>5.7329645461403067E-3</v>
      </c>
      <c r="H30" s="953">
        <v>54</v>
      </c>
      <c r="I30" s="132"/>
      <c r="J30" s="132"/>
      <c r="K30" s="293">
        <f t="shared" si="16"/>
        <v>174.72046783625731</v>
      </c>
      <c r="L30" s="139">
        <f t="shared" si="17"/>
        <v>0.30906510650261737</v>
      </c>
      <c r="M30" s="225">
        <f t="shared" si="5"/>
        <v>4.657592592592593</v>
      </c>
      <c r="N30" s="316">
        <f t="shared" si="6"/>
        <v>3.3834586466165412E-2</v>
      </c>
      <c r="O30" s="681">
        <v>7</v>
      </c>
      <c r="P30" s="319">
        <v>0.88888888888888884</v>
      </c>
      <c r="Q30" s="1209">
        <v>27438</v>
      </c>
      <c r="R30" s="1187">
        <v>159</v>
      </c>
      <c r="S30" s="554">
        <v>24.99</v>
      </c>
      <c r="T30" s="555">
        <f t="shared" si="7"/>
        <v>5.7948830089656683E-3</v>
      </c>
      <c r="U30" s="1187">
        <v>4</v>
      </c>
      <c r="V30" s="322"/>
      <c r="W30" s="132"/>
      <c r="X30" s="312">
        <f t="shared" si="8"/>
        <v>6.2474999999999996</v>
      </c>
      <c r="Y30" s="316">
        <f t="shared" si="9"/>
        <v>2.5157232704402517E-2</v>
      </c>
      <c r="Z30" s="132"/>
      <c r="AA30" s="158"/>
      <c r="AB30" s="1209">
        <v>250952</v>
      </c>
      <c r="AC30" s="1187">
        <v>1437</v>
      </c>
      <c r="AD30" s="554">
        <v>226.52</v>
      </c>
      <c r="AE30" s="555">
        <f t="shared" si="10"/>
        <v>5.7261946507698681E-3</v>
      </c>
      <c r="AF30" s="1187">
        <v>50</v>
      </c>
      <c r="AG30" s="322"/>
      <c r="AH30" s="132"/>
      <c r="AI30" s="228">
        <f t="shared" si="11"/>
        <v>4.5304000000000002</v>
      </c>
      <c r="AJ30" s="1169">
        <f t="shared" si="12"/>
        <v>3.4794711203897009E-2</v>
      </c>
      <c r="AK30" s="322"/>
      <c r="AL30" s="158"/>
      <c r="AM30" s="159"/>
      <c r="AN30" s="49"/>
      <c r="AO30" s="71"/>
      <c r="AP30" s="146" t="e">
        <f t="shared" si="13"/>
        <v>#DIV/0!</v>
      </c>
      <c r="AQ30" s="49"/>
      <c r="AR30" s="132"/>
      <c r="AS30" s="132"/>
      <c r="AT30" s="228" t="e">
        <f t="shared" si="14"/>
        <v>#DIV/0!</v>
      </c>
      <c r="AU30" s="316" t="e">
        <f t="shared" si="15"/>
        <v>#DIV/0!</v>
      </c>
      <c r="AV30" s="132"/>
      <c r="AW30" s="158"/>
    </row>
    <row r="31" spans="2:49">
      <c r="B31" s="188">
        <v>44857</v>
      </c>
      <c r="C31" s="309">
        <v>283918</v>
      </c>
      <c r="D31" s="309">
        <v>1537</v>
      </c>
      <c r="E31" s="310">
        <v>232.48</v>
      </c>
      <c r="F31" s="308">
        <f>SUM($E$26:E31)/$C$8</f>
        <v>0.42413613056109678</v>
      </c>
      <c r="G31" s="955">
        <f t="shared" si="4"/>
        <v>5.4135348938778097E-3</v>
      </c>
      <c r="H31" s="953">
        <v>59</v>
      </c>
      <c r="I31" s="132"/>
      <c r="J31" s="132"/>
      <c r="K31" s="293">
        <f t="shared" si="16"/>
        <v>174.72046783625731</v>
      </c>
      <c r="L31" s="139">
        <f t="shared" si="17"/>
        <v>0.33768224599360047</v>
      </c>
      <c r="M31" s="225">
        <f t="shared" si="5"/>
        <v>3.9403389830508471</v>
      </c>
      <c r="N31" s="316">
        <f t="shared" si="6"/>
        <v>3.8386467143786594E-2</v>
      </c>
      <c r="O31" s="681">
        <v>29</v>
      </c>
      <c r="P31" s="319">
        <v>0.91</v>
      </c>
      <c r="Q31" s="1209">
        <v>25132</v>
      </c>
      <c r="R31" s="1187">
        <v>186</v>
      </c>
      <c r="S31" s="554">
        <v>23.03</v>
      </c>
      <c r="T31" s="555">
        <f t="shared" si="7"/>
        <v>7.4009231258952727E-3</v>
      </c>
      <c r="U31" s="1187">
        <v>4</v>
      </c>
      <c r="V31" s="322"/>
      <c r="W31" s="132"/>
      <c r="X31" s="312">
        <f t="shared" si="8"/>
        <v>5.7575000000000003</v>
      </c>
      <c r="Y31" s="316">
        <f t="shared" si="9"/>
        <v>2.1505376344086023E-2</v>
      </c>
      <c r="Z31" s="132"/>
      <c r="AA31" s="158"/>
      <c r="AB31" s="1209">
        <v>258786</v>
      </c>
      <c r="AC31" s="1187">
        <v>1351</v>
      </c>
      <c r="AD31" s="554">
        <v>209.45</v>
      </c>
      <c r="AE31" s="555">
        <f t="shared" si="10"/>
        <v>5.2205297040798185E-3</v>
      </c>
      <c r="AF31" s="1187">
        <v>55</v>
      </c>
      <c r="AG31" s="322"/>
      <c r="AH31" s="132"/>
      <c r="AI31" s="228">
        <f t="shared" si="11"/>
        <v>3.8081818181818181</v>
      </c>
      <c r="AJ31" s="1169">
        <f t="shared" si="12"/>
        <v>4.0710584752035532E-2</v>
      </c>
      <c r="AK31" s="322"/>
      <c r="AL31" s="158"/>
      <c r="AM31" s="159"/>
      <c r="AN31" s="49"/>
      <c r="AO31" s="71"/>
      <c r="AP31" s="146" t="e">
        <f t="shared" si="13"/>
        <v>#DIV/0!</v>
      </c>
      <c r="AQ31" s="49"/>
      <c r="AR31" s="132"/>
      <c r="AS31" s="132"/>
      <c r="AT31" s="228" t="e">
        <f t="shared" si="14"/>
        <v>#DIV/0!</v>
      </c>
      <c r="AU31" s="316" t="e">
        <f t="shared" si="15"/>
        <v>#DIV/0!</v>
      </c>
      <c r="AV31" s="132"/>
      <c r="AW31" s="158"/>
    </row>
    <row r="32" spans="2:49">
      <c r="B32" s="188">
        <v>44858</v>
      </c>
      <c r="C32" s="309">
        <v>301095</v>
      </c>
      <c r="D32" s="309">
        <v>1547</v>
      </c>
      <c r="E32" s="310">
        <v>231.58999999999997</v>
      </c>
      <c r="F32" s="308">
        <f>SUM($E$26:E32)/$C$8</f>
        <v>0.50165008769228714</v>
      </c>
      <c r="G32" s="955">
        <f t="shared" si="4"/>
        <v>5.1379132831830482E-3</v>
      </c>
      <c r="H32" s="457">
        <v>61</v>
      </c>
      <c r="I32" s="132"/>
      <c r="J32" s="132"/>
      <c r="K32" s="293">
        <f t="shared" si="16"/>
        <v>174.72046783625731</v>
      </c>
      <c r="L32" s="139">
        <f t="shared" si="17"/>
        <v>0.34912910178999368</v>
      </c>
      <c r="M32" s="225">
        <f t="shared" si="5"/>
        <v>3.7965573770491798</v>
      </c>
      <c r="N32" s="316">
        <f t="shared" si="6"/>
        <v>3.94311570782159E-2</v>
      </c>
      <c r="O32" s="681">
        <v>14</v>
      </c>
      <c r="P32" s="319">
        <v>0.81</v>
      </c>
      <c r="Q32" s="1209">
        <v>32510</v>
      </c>
      <c r="R32" s="1187">
        <v>193</v>
      </c>
      <c r="S32" s="554">
        <v>28.83</v>
      </c>
      <c r="T32" s="555">
        <f t="shared" si="7"/>
        <v>5.9366348815749004E-3</v>
      </c>
      <c r="U32" s="1187">
        <v>6</v>
      </c>
      <c r="V32" s="322"/>
      <c r="W32" s="132"/>
      <c r="X32" s="312">
        <f t="shared" si="8"/>
        <v>4.8049999999999997</v>
      </c>
      <c r="Y32" s="316">
        <f t="shared" si="9"/>
        <v>3.1088082901554404E-2</v>
      </c>
      <c r="Z32" s="132"/>
      <c r="AA32" s="158"/>
      <c r="AB32" s="1209">
        <v>268585</v>
      </c>
      <c r="AC32" s="1187">
        <v>1354</v>
      </c>
      <c r="AD32" s="554">
        <v>202.76</v>
      </c>
      <c r="AE32" s="555">
        <f t="shared" si="10"/>
        <v>5.0412346184634284E-3</v>
      </c>
      <c r="AF32" s="1187">
        <v>55</v>
      </c>
      <c r="AG32" s="322"/>
      <c r="AH32" s="132"/>
      <c r="AI32" s="228">
        <f t="shared" si="11"/>
        <v>3.6865454545454543</v>
      </c>
      <c r="AJ32" s="1169">
        <f t="shared" si="12"/>
        <v>4.0620384047267359E-2</v>
      </c>
      <c r="AK32" s="322"/>
      <c r="AL32" s="158"/>
      <c r="AM32" s="162"/>
      <c r="AN32" s="51"/>
      <c r="AO32" s="311"/>
      <c r="AP32" s="146" t="e">
        <f t="shared" si="13"/>
        <v>#DIV/0!</v>
      </c>
      <c r="AQ32" s="51"/>
      <c r="AR32" s="132"/>
      <c r="AS32" s="132"/>
      <c r="AT32" s="228" t="e">
        <f t="shared" si="14"/>
        <v>#DIV/0!</v>
      </c>
      <c r="AU32" s="316" t="e">
        <f t="shared" si="15"/>
        <v>#DIV/0!</v>
      </c>
      <c r="AV32" s="132"/>
      <c r="AW32" s="158"/>
    </row>
    <row r="33" spans="2:49">
      <c r="B33" s="190" t="s">
        <v>160</v>
      </c>
      <c r="C33" s="298">
        <f>SUM(C26:C32)</f>
        <v>1772973</v>
      </c>
      <c r="D33" s="298">
        <f t="shared" ref="D33:E33" si="18">SUM(D26:D32)</f>
        <v>9724</v>
      </c>
      <c r="E33" s="479">
        <f t="shared" si="18"/>
        <v>1498.79</v>
      </c>
      <c r="F33" s="599">
        <f>E33/$C$8</f>
        <v>0.50165008769228714</v>
      </c>
      <c r="G33" s="956">
        <f t="shared" si="4"/>
        <v>5.4845730871254106E-3</v>
      </c>
      <c r="H33" s="121">
        <f>SUM(H26:H32)</f>
        <v>421</v>
      </c>
      <c r="I33" s="27"/>
      <c r="J33" s="27"/>
      <c r="K33" s="27">
        <f>SUM(K26:K32)</f>
        <v>1223.0432748538012</v>
      </c>
      <c r="L33" s="140">
        <f>H33/K33</f>
        <v>0.34422330644868232</v>
      </c>
      <c r="M33" s="237">
        <f t="shared" si="5"/>
        <v>3.5600712589073633</v>
      </c>
      <c r="N33" s="317">
        <f t="shared" si="6"/>
        <v>4.3294940353763883E-2</v>
      </c>
      <c r="O33" s="682">
        <f>AVERAGE(O26:O32)</f>
        <v>12.214285714285714</v>
      </c>
      <c r="P33" s="317">
        <f>AVERAGE(P26:P32)</f>
        <v>0.8683871187444504</v>
      </c>
      <c r="Q33" s="1186">
        <f>SUM(Q26:Q32)</f>
        <v>211257</v>
      </c>
      <c r="R33" s="298">
        <f t="shared" ref="R33:U33" si="19">SUM(R26:R32)</f>
        <v>1238</v>
      </c>
      <c r="S33" s="479">
        <f t="shared" si="19"/>
        <v>183.66000000000003</v>
      </c>
      <c r="T33" s="1180">
        <f t="shared" si="7"/>
        <v>5.8601608467411734E-3</v>
      </c>
      <c r="U33" s="551">
        <f t="shared" si="19"/>
        <v>73</v>
      </c>
      <c r="V33" s="27"/>
      <c r="W33" s="27"/>
      <c r="X33" s="227">
        <f t="shared" si="8"/>
        <v>2.5158904109589044</v>
      </c>
      <c r="Y33" s="147">
        <f t="shared" si="9"/>
        <v>5.8966074313408723E-2</v>
      </c>
      <c r="Z33" s="130"/>
      <c r="AA33" s="165"/>
      <c r="AB33" s="1186">
        <f>SUM(AB26:AB32)</f>
        <v>1561716</v>
      </c>
      <c r="AC33" s="298">
        <f t="shared" ref="AC33:AD33" si="20">SUM(AC26:AC32)</f>
        <v>8486</v>
      </c>
      <c r="AD33" s="479">
        <f t="shared" si="20"/>
        <v>1315.1299999999999</v>
      </c>
      <c r="AE33" s="1180">
        <f t="shared" si="10"/>
        <v>5.4337664466522721E-3</v>
      </c>
      <c r="AF33" s="551">
        <f t="shared" ref="AF33" si="21">SUM(AF26:AF32)</f>
        <v>348</v>
      </c>
      <c r="AG33" s="27"/>
      <c r="AH33" s="27"/>
      <c r="AI33" s="227">
        <f t="shared" si="11"/>
        <v>3.7791091954022984</v>
      </c>
      <c r="AJ33" s="147">
        <f t="shared" si="12"/>
        <v>4.1008720245109591E-2</v>
      </c>
      <c r="AK33" s="130"/>
      <c r="AL33" s="165"/>
      <c r="AM33" s="164">
        <f>SUM(AM26:AM32)</f>
        <v>0</v>
      </c>
      <c r="AN33" s="27">
        <f t="shared" ref="AN33:AO33" si="22">SUM(AN26:AN32)</f>
        <v>0</v>
      </c>
      <c r="AO33" s="74">
        <f t="shared" si="22"/>
        <v>0</v>
      </c>
      <c r="AP33" s="147" t="e">
        <f t="shared" si="13"/>
        <v>#DIV/0!</v>
      </c>
      <c r="AQ33" s="121">
        <f t="shared" ref="AQ33" si="23">SUM(AQ26:AQ32)</f>
        <v>0</v>
      </c>
      <c r="AR33" s="27"/>
      <c r="AS33" s="27"/>
      <c r="AT33" s="227" t="e">
        <f t="shared" si="14"/>
        <v>#DIV/0!</v>
      </c>
      <c r="AU33" s="147" t="e">
        <f t="shared" si="15"/>
        <v>#DIV/0!</v>
      </c>
      <c r="AV33" s="130"/>
      <c r="AW33" s="165"/>
    </row>
    <row r="34" spans="2:49">
      <c r="B34" s="187">
        <v>44859</v>
      </c>
      <c r="C34" s="15">
        <v>305440</v>
      </c>
      <c r="D34" s="15">
        <v>1612</v>
      </c>
      <c r="E34" s="77">
        <v>235</v>
      </c>
      <c r="F34" s="308">
        <f>SUM($E$33:E34)/$C$8</f>
        <v>0.58030538336925819</v>
      </c>
      <c r="G34" s="955">
        <f t="shared" si="4"/>
        <v>5.2776322682032478E-3</v>
      </c>
      <c r="H34" s="143">
        <v>47</v>
      </c>
      <c r="I34" s="52"/>
      <c r="J34" s="52"/>
      <c r="K34" s="293">
        <f t="shared" si="16"/>
        <v>174.72046783625731</v>
      </c>
      <c r="L34" s="455">
        <f>H34/K34</f>
        <v>0.26900111121524106</v>
      </c>
      <c r="M34" s="225">
        <f t="shared" si="5"/>
        <v>5</v>
      </c>
      <c r="N34" s="560">
        <f t="shared" si="6"/>
        <v>2.9156327543424319E-2</v>
      </c>
      <c r="O34" s="683">
        <v>1</v>
      </c>
      <c r="P34" s="458">
        <v>0.98</v>
      </c>
      <c r="Q34" s="166">
        <v>36140</v>
      </c>
      <c r="R34" s="102">
        <v>251</v>
      </c>
      <c r="S34" s="77">
        <v>34.14</v>
      </c>
      <c r="T34" s="555">
        <f t="shared" si="7"/>
        <v>6.9452130603209743E-3</v>
      </c>
      <c r="U34" s="1178">
        <v>3</v>
      </c>
      <c r="V34" s="132"/>
      <c r="W34" s="132"/>
      <c r="X34" s="312">
        <f t="shared" si="8"/>
        <v>11.38</v>
      </c>
      <c r="Y34" s="316">
        <f t="shared" si="9"/>
        <v>1.1952191235059761E-2</v>
      </c>
      <c r="Z34" s="122"/>
      <c r="AA34" s="167"/>
      <c r="AB34" s="166">
        <v>269300</v>
      </c>
      <c r="AC34" s="15">
        <v>1361</v>
      </c>
      <c r="AD34" s="77">
        <v>200.86</v>
      </c>
      <c r="AE34" s="555">
        <f t="shared" si="10"/>
        <v>5.0538432974378015E-3</v>
      </c>
      <c r="AF34" s="1178">
        <v>44</v>
      </c>
      <c r="AG34" s="132"/>
      <c r="AH34" s="132"/>
      <c r="AI34" s="228">
        <f t="shared" si="11"/>
        <v>4.5650000000000004</v>
      </c>
      <c r="AJ34" s="1314">
        <f t="shared" si="12"/>
        <v>3.2329169728141073E-2</v>
      </c>
      <c r="AK34" s="122"/>
      <c r="AL34" s="167"/>
      <c r="AM34" s="166"/>
      <c r="AN34" s="15"/>
      <c r="AO34" s="562"/>
      <c r="AP34" s="146" t="e">
        <f t="shared" si="13"/>
        <v>#DIV/0!</v>
      </c>
      <c r="AQ34" s="501"/>
      <c r="AR34" s="132"/>
      <c r="AS34" s="132"/>
      <c r="AT34" s="228" t="e">
        <f t="shared" si="14"/>
        <v>#DIV/0!</v>
      </c>
      <c r="AU34" s="316" t="e">
        <f t="shared" si="15"/>
        <v>#DIV/0!</v>
      </c>
      <c r="AV34" s="122"/>
      <c r="AW34" s="167"/>
    </row>
    <row r="35" spans="2:49" s="24" customFormat="1">
      <c r="B35" s="187">
        <v>44860</v>
      </c>
      <c r="C35" s="15">
        <v>275071</v>
      </c>
      <c r="D35" s="15">
        <v>944</v>
      </c>
      <c r="E35" s="77">
        <v>227.21</v>
      </c>
      <c r="F35" s="308">
        <f>SUM($E$33:E35)/$C$8</f>
        <v>0.65635333967038412</v>
      </c>
      <c r="G35" s="955">
        <f t="shared" si="4"/>
        <v>3.4318412337178399E-3</v>
      </c>
      <c r="H35" s="143">
        <v>65</v>
      </c>
      <c r="I35" s="52"/>
      <c r="J35" s="52"/>
      <c r="K35" s="293">
        <f t="shared" si="16"/>
        <v>174.72046783625731</v>
      </c>
      <c r="L35" s="463">
        <f t="shared" ref="L35:L40" si="24">H35/K35</f>
        <v>0.37202281338278015</v>
      </c>
      <c r="M35" s="225">
        <f t="shared" si="5"/>
        <v>3.4955384615384615</v>
      </c>
      <c r="N35" s="308">
        <f t="shared" si="6"/>
        <v>6.8855932203389827E-2</v>
      </c>
      <c r="O35" s="684">
        <v>37.510752688172047</v>
      </c>
      <c r="P35" s="392">
        <v>0.80107526881720426</v>
      </c>
      <c r="Q35" s="166">
        <v>25228</v>
      </c>
      <c r="R35" s="1313">
        <v>98</v>
      </c>
      <c r="S35" s="77">
        <v>25.53</v>
      </c>
      <c r="T35" s="555">
        <f t="shared" si="7"/>
        <v>3.8845726970033298E-3</v>
      </c>
      <c r="U35" s="1178">
        <v>3</v>
      </c>
      <c r="V35" s="132"/>
      <c r="W35" s="132"/>
      <c r="X35" s="312">
        <f t="shared" si="8"/>
        <v>8.51</v>
      </c>
      <c r="Y35" s="316">
        <f t="shared" si="9"/>
        <v>3.0612244897959183E-2</v>
      </c>
      <c r="Z35" s="123"/>
      <c r="AA35" s="168"/>
      <c r="AB35" s="166">
        <v>249843</v>
      </c>
      <c r="AC35" s="15">
        <v>846</v>
      </c>
      <c r="AD35" s="77">
        <v>201.68</v>
      </c>
      <c r="AE35" s="555">
        <f t="shared" si="10"/>
        <v>3.3861264874341084E-3</v>
      </c>
      <c r="AF35" s="1178">
        <v>62</v>
      </c>
      <c r="AG35" s="132"/>
      <c r="AH35" s="132"/>
      <c r="AI35" s="228">
        <f t="shared" si="11"/>
        <v>3.2529032258064516</v>
      </c>
      <c r="AJ35" s="1315">
        <f t="shared" si="12"/>
        <v>7.328605200945626E-2</v>
      </c>
      <c r="AK35" s="123"/>
      <c r="AL35" s="168"/>
      <c r="AM35" s="166"/>
      <c r="AN35" s="15"/>
      <c r="AO35" s="563"/>
      <c r="AP35" s="146" t="e">
        <f t="shared" si="13"/>
        <v>#DIV/0!</v>
      </c>
      <c r="AQ35" s="501"/>
      <c r="AR35" s="132"/>
      <c r="AS35" s="132"/>
      <c r="AT35" s="228" t="e">
        <f t="shared" si="14"/>
        <v>#DIV/0!</v>
      </c>
      <c r="AU35" s="316" t="e">
        <f t="shared" si="15"/>
        <v>#DIV/0!</v>
      </c>
      <c r="AV35" s="123"/>
      <c r="AW35" s="168"/>
    </row>
    <row r="36" spans="2:49" s="26" customFormat="1">
      <c r="B36" s="187">
        <v>44861</v>
      </c>
      <c r="C36" s="15">
        <v>242828</v>
      </c>
      <c r="D36" s="15">
        <v>738</v>
      </c>
      <c r="E36" s="77">
        <v>203.35</v>
      </c>
      <c r="F36" s="308">
        <f>SUM($E$33:E36)/$C$8</f>
        <v>0.72441527318490351</v>
      </c>
      <c r="G36" s="955">
        <f t="shared" si="4"/>
        <v>3.0391882319996048E-3</v>
      </c>
      <c r="H36" s="143">
        <v>45</v>
      </c>
      <c r="I36" s="52"/>
      <c r="J36" s="52"/>
      <c r="K36" s="293">
        <f t="shared" si="16"/>
        <v>174.72046783625731</v>
      </c>
      <c r="L36" s="139">
        <f t="shared" si="24"/>
        <v>0.2575542554188478</v>
      </c>
      <c r="M36" s="225">
        <f t="shared" si="5"/>
        <v>4.5188888888888892</v>
      </c>
      <c r="N36" s="308">
        <f t="shared" si="6"/>
        <v>6.097560975609756E-2</v>
      </c>
      <c r="O36" s="684">
        <v>419.85</v>
      </c>
      <c r="P36" s="392">
        <v>0.77499999999999991</v>
      </c>
      <c r="Q36" s="166">
        <v>28300</v>
      </c>
      <c r="R36" s="15">
        <v>116</v>
      </c>
      <c r="S36" s="77">
        <v>30.73</v>
      </c>
      <c r="T36" s="555">
        <f t="shared" si="7"/>
        <v>4.0989399293286221E-3</v>
      </c>
      <c r="U36" s="1178">
        <v>5</v>
      </c>
      <c r="V36" s="132"/>
      <c r="W36" s="132"/>
      <c r="X36" s="312">
        <f t="shared" si="8"/>
        <v>6.1459999999999999</v>
      </c>
      <c r="Y36" s="316">
        <f t="shared" si="9"/>
        <v>4.3103448275862072E-2</v>
      </c>
      <c r="Z36" s="124"/>
      <c r="AA36" s="169"/>
      <c r="AB36" s="166">
        <v>214528</v>
      </c>
      <c r="AC36" s="15">
        <v>622</v>
      </c>
      <c r="AD36" s="77">
        <v>172.62</v>
      </c>
      <c r="AE36" s="555">
        <f t="shared" si="10"/>
        <v>2.8993884248210023E-3</v>
      </c>
      <c r="AF36" s="1178">
        <v>40</v>
      </c>
      <c r="AG36" s="132"/>
      <c r="AH36" s="132"/>
      <c r="AI36" s="228">
        <f t="shared" si="11"/>
        <v>4.3155000000000001</v>
      </c>
      <c r="AJ36" s="1315">
        <f t="shared" si="12"/>
        <v>6.4308681672025719E-2</v>
      </c>
      <c r="AK36" s="124"/>
      <c r="AL36" s="169"/>
      <c r="AM36" s="166"/>
      <c r="AN36" s="15"/>
      <c r="AO36" s="77"/>
      <c r="AP36" s="146" t="e">
        <f t="shared" si="13"/>
        <v>#DIV/0!</v>
      </c>
      <c r="AQ36" s="501"/>
      <c r="AR36" s="132"/>
      <c r="AS36" s="132"/>
      <c r="AT36" s="228" t="e">
        <f t="shared" si="14"/>
        <v>#DIV/0!</v>
      </c>
      <c r="AU36" s="316" t="e">
        <f t="shared" si="15"/>
        <v>#DIV/0!</v>
      </c>
      <c r="AV36" s="124"/>
      <c r="AW36" s="169"/>
    </row>
    <row r="37" spans="2:49">
      <c r="B37" s="189">
        <v>44862</v>
      </c>
      <c r="C37" s="15">
        <v>326844</v>
      </c>
      <c r="D37" s="15">
        <v>1001</v>
      </c>
      <c r="E37" s="77">
        <v>262.10000000000002</v>
      </c>
      <c r="F37" s="308">
        <f>SUM($E$33:E37)/$C$8</f>
        <v>0.81214103061866572</v>
      </c>
      <c r="G37" s="955">
        <f t="shared" si="4"/>
        <v>3.0626231474342501E-3</v>
      </c>
      <c r="H37" s="143">
        <v>71</v>
      </c>
      <c r="I37" s="52"/>
      <c r="J37" s="52"/>
      <c r="K37" s="293">
        <f t="shared" si="16"/>
        <v>174.72046783625731</v>
      </c>
      <c r="L37" s="139">
        <f t="shared" si="24"/>
        <v>0.40636338077195988</v>
      </c>
      <c r="M37" s="225">
        <f t="shared" si="5"/>
        <v>3.6915492957746481</v>
      </c>
      <c r="N37" s="308">
        <f t="shared" si="6"/>
        <v>7.0929070929070928E-2</v>
      </c>
      <c r="O37" s="684">
        <v>8.3819672131147538</v>
      </c>
      <c r="P37" s="392">
        <v>0.87540983606557377</v>
      </c>
      <c r="Q37" s="166">
        <v>48473</v>
      </c>
      <c r="R37" s="15">
        <v>190</v>
      </c>
      <c r="S37" s="77">
        <v>50.26</v>
      </c>
      <c r="T37" s="555">
        <f t="shared" si="7"/>
        <v>3.9197078786128358E-3</v>
      </c>
      <c r="U37" s="1178">
        <v>10</v>
      </c>
      <c r="V37" s="132"/>
      <c r="W37" s="132"/>
      <c r="X37" s="312">
        <f t="shared" si="8"/>
        <v>5.0259999999999998</v>
      </c>
      <c r="Y37" s="316">
        <f t="shared" si="9"/>
        <v>5.2631578947368418E-2</v>
      </c>
      <c r="Z37" s="125"/>
      <c r="AA37" s="170"/>
      <c r="AB37" s="166">
        <v>278371</v>
      </c>
      <c r="AC37" s="15">
        <v>811</v>
      </c>
      <c r="AD37" s="77">
        <v>211.84</v>
      </c>
      <c r="AE37" s="555">
        <f t="shared" si="10"/>
        <v>2.9133781895384217E-3</v>
      </c>
      <c r="AF37" s="1178">
        <v>61</v>
      </c>
      <c r="AG37" s="132"/>
      <c r="AH37" s="132"/>
      <c r="AI37" s="228">
        <f t="shared" si="11"/>
        <v>3.4727868852459016</v>
      </c>
      <c r="AJ37" s="1315">
        <f t="shared" si="12"/>
        <v>7.52157829839704E-2</v>
      </c>
      <c r="AK37" s="125"/>
      <c r="AL37" s="170"/>
      <c r="AM37" s="166"/>
      <c r="AN37" s="15"/>
      <c r="AO37" s="77"/>
      <c r="AP37" s="146" t="e">
        <f t="shared" si="13"/>
        <v>#DIV/0!</v>
      </c>
      <c r="AQ37" s="501"/>
      <c r="AR37" s="132"/>
      <c r="AS37" s="132"/>
      <c r="AT37" s="228" t="e">
        <f t="shared" si="14"/>
        <v>#DIV/0!</v>
      </c>
      <c r="AU37" s="316" t="e">
        <f t="shared" si="15"/>
        <v>#DIV/0!</v>
      </c>
      <c r="AV37" s="125"/>
      <c r="AW37" s="170"/>
    </row>
    <row r="38" spans="2:49">
      <c r="B38" s="189">
        <v>44863</v>
      </c>
      <c r="C38" s="15">
        <v>303350</v>
      </c>
      <c r="D38" s="15">
        <v>855</v>
      </c>
      <c r="E38" s="77">
        <v>247.06</v>
      </c>
      <c r="F38" s="308">
        <f>SUM($E$33:E38)/$C$8</f>
        <v>0.89483284912910177</v>
      </c>
      <c r="G38" s="955">
        <f t="shared" si="4"/>
        <v>2.818526454590407E-3</v>
      </c>
      <c r="H38" s="143">
        <v>69</v>
      </c>
      <c r="I38" s="52"/>
      <c r="J38" s="52"/>
      <c r="K38" s="293">
        <f t="shared" si="16"/>
        <v>174.72046783625731</v>
      </c>
      <c r="L38" s="139">
        <f t="shared" si="24"/>
        <v>0.39491652497556662</v>
      </c>
      <c r="M38" s="225">
        <f t="shared" si="5"/>
        <v>3.5805797101449275</v>
      </c>
      <c r="N38" s="308">
        <f t="shared" si="6"/>
        <v>8.0701754385964913E-2</v>
      </c>
      <c r="O38" s="684">
        <v>29.576802507836987</v>
      </c>
      <c r="P38" s="392">
        <v>0.87460815047021945</v>
      </c>
      <c r="Q38" s="166">
        <v>45876</v>
      </c>
      <c r="R38" s="15">
        <v>151</v>
      </c>
      <c r="S38" s="77">
        <v>47.63</v>
      </c>
      <c r="T38" s="555">
        <f>R38/Q38</f>
        <v>3.2914813846019707E-3</v>
      </c>
      <c r="U38" s="1178">
        <v>11</v>
      </c>
      <c r="V38" s="132"/>
      <c r="W38" s="132"/>
      <c r="X38" s="312">
        <f t="shared" si="8"/>
        <v>4.33</v>
      </c>
      <c r="Y38" s="316">
        <f t="shared" si="9"/>
        <v>7.2847682119205295E-2</v>
      </c>
      <c r="Z38" s="125"/>
      <c r="AA38" s="170"/>
      <c r="AB38" s="166">
        <v>257474</v>
      </c>
      <c r="AC38" s="15">
        <v>704</v>
      </c>
      <c r="AD38" s="77">
        <v>199.43</v>
      </c>
      <c r="AE38" s="555">
        <f t="shared" si="10"/>
        <v>2.7342566628086721E-3</v>
      </c>
      <c r="AF38" s="1178">
        <v>58</v>
      </c>
      <c r="AG38" s="132"/>
      <c r="AH38" s="132"/>
      <c r="AI38" s="228">
        <f t="shared" si="11"/>
        <v>3.4384482758620689</v>
      </c>
      <c r="AJ38" s="1315">
        <f t="shared" si="12"/>
        <v>8.2386363636363633E-2</v>
      </c>
      <c r="AK38" s="125"/>
      <c r="AL38" s="170"/>
      <c r="AM38" s="166"/>
      <c r="AN38" s="15"/>
      <c r="AO38" s="564"/>
      <c r="AP38" s="146" t="e">
        <f t="shared" si="13"/>
        <v>#DIV/0!</v>
      </c>
      <c r="AQ38" s="501"/>
      <c r="AR38" s="132"/>
      <c r="AS38" s="132"/>
      <c r="AT38" s="228" t="e">
        <f t="shared" si="14"/>
        <v>#DIV/0!</v>
      </c>
      <c r="AU38" s="316" t="e">
        <f t="shared" si="15"/>
        <v>#DIV/0!</v>
      </c>
      <c r="AV38" s="125"/>
      <c r="AW38" s="170"/>
    </row>
    <row r="39" spans="2:49">
      <c r="B39" s="187">
        <v>44864</v>
      </c>
      <c r="C39" s="15">
        <v>290898</v>
      </c>
      <c r="D39" s="15">
        <v>802</v>
      </c>
      <c r="E39" s="77">
        <v>230.17</v>
      </c>
      <c r="F39" s="308">
        <f>SUM($E$33:E39)/$C$8</f>
        <v>0.97187152745237171</v>
      </c>
      <c r="G39" s="955">
        <f t="shared" si="4"/>
        <v>2.7569801098666887E-3</v>
      </c>
      <c r="H39" s="143">
        <v>52</v>
      </c>
      <c r="I39" s="52"/>
      <c r="J39" s="52"/>
      <c r="K39" s="293">
        <f t="shared" si="16"/>
        <v>174.72046783625731</v>
      </c>
      <c r="L39" s="139">
        <f t="shared" si="24"/>
        <v>0.29761825070622416</v>
      </c>
      <c r="M39" s="225">
        <f t="shared" si="5"/>
        <v>4.4263461538461533</v>
      </c>
      <c r="N39" s="308">
        <f t="shared" si="6"/>
        <v>6.4837905236907731E-2</v>
      </c>
      <c r="O39" s="684">
        <v>30.679279279279278</v>
      </c>
      <c r="P39" s="392">
        <v>0.87297297297297294</v>
      </c>
      <c r="Q39" s="166">
        <v>68490</v>
      </c>
      <c r="R39" s="15">
        <v>263</v>
      </c>
      <c r="S39" s="77">
        <v>68.25</v>
      </c>
      <c r="T39" s="555">
        <f t="shared" si="7"/>
        <v>3.8399766389253906E-3</v>
      </c>
      <c r="U39" s="1178">
        <v>15</v>
      </c>
      <c r="V39" s="132"/>
      <c r="W39" s="132"/>
      <c r="X39" s="312">
        <f t="shared" si="8"/>
        <v>4.55</v>
      </c>
      <c r="Y39" s="316">
        <f t="shared" si="9"/>
        <v>5.7034220532319393E-2</v>
      </c>
      <c r="Z39" s="125"/>
      <c r="AA39" s="170"/>
      <c r="AB39" s="166">
        <v>222408</v>
      </c>
      <c r="AC39" s="15">
        <v>539</v>
      </c>
      <c r="AD39" s="77">
        <v>161.91999999999999</v>
      </c>
      <c r="AE39" s="555">
        <f t="shared" si="10"/>
        <v>2.4234739757562677E-3</v>
      </c>
      <c r="AF39" s="1178">
        <v>37</v>
      </c>
      <c r="AG39" s="132"/>
      <c r="AH39" s="132"/>
      <c r="AI39" s="228">
        <f t="shared" si="11"/>
        <v>4.3762162162162159</v>
      </c>
      <c r="AJ39" s="1315">
        <f t="shared" si="12"/>
        <v>6.8645640074211506E-2</v>
      </c>
      <c r="AK39" s="125"/>
      <c r="AL39" s="170"/>
      <c r="AM39" s="166"/>
      <c r="AN39" s="15"/>
      <c r="AO39" s="338"/>
      <c r="AP39" s="146" t="e">
        <f t="shared" si="13"/>
        <v>#DIV/0!</v>
      </c>
      <c r="AQ39" s="501"/>
      <c r="AR39" s="132"/>
      <c r="AS39" s="132"/>
      <c r="AT39" s="228" t="e">
        <f t="shared" si="14"/>
        <v>#DIV/0!</v>
      </c>
      <c r="AU39" s="316" t="e">
        <f t="shared" si="15"/>
        <v>#DIV/0!</v>
      </c>
      <c r="AV39" s="125"/>
      <c r="AW39" s="170"/>
    </row>
    <row r="40" spans="2:49">
      <c r="B40" s="187">
        <v>44865</v>
      </c>
      <c r="C40" s="15">
        <v>300068</v>
      </c>
      <c r="D40" s="15">
        <v>835</v>
      </c>
      <c r="E40" s="77">
        <v>229.06</v>
      </c>
      <c r="F40" s="308">
        <f>SUM($E$33:E40)/$C$8</f>
        <v>1.0485386850173377</v>
      </c>
      <c r="G40" s="955">
        <f t="shared" si="4"/>
        <v>2.7827025874135195E-3</v>
      </c>
      <c r="H40" s="143">
        <v>86</v>
      </c>
      <c r="I40" s="52"/>
      <c r="J40" s="52"/>
      <c r="K40" s="293">
        <f t="shared" si="16"/>
        <v>174.72046783625731</v>
      </c>
      <c r="L40" s="139">
        <f t="shared" si="24"/>
        <v>0.49221479924490913</v>
      </c>
      <c r="M40" s="225">
        <f t="shared" si="5"/>
        <v>2.6634883720930231</v>
      </c>
      <c r="N40" s="308">
        <f t="shared" si="6"/>
        <v>0.10299401197604791</v>
      </c>
      <c r="O40" s="684">
        <v>25.716483516483517</v>
      </c>
      <c r="P40" s="392">
        <v>0.9223443223443224</v>
      </c>
      <c r="Q40" s="166">
        <v>97818</v>
      </c>
      <c r="R40" s="15">
        <v>343</v>
      </c>
      <c r="S40" s="77">
        <v>90.98</v>
      </c>
      <c r="T40" s="555">
        <f t="shared" si="7"/>
        <v>3.5065120938886502E-3</v>
      </c>
      <c r="U40" s="1178">
        <v>21</v>
      </c>
      <c r="V40" s="132"/>
      <c r="W40" s="132"/>
      <c r="X40" s="312">
        <f t="shared" si="8"/>
        <v>4.3323809523809524</v>
      </c>
      <c r="Y40" s="560">
        <f t="shared" si="9"/>
        <v>6.1224489795918366E-2</v>
      </c>
      <c r="Z40" s="125"/>
      <c r="AA40" s="170"/>
      <c r="AB40" s="166">
        <v>202250</v>
      </c>
      <c r="AC40" s="15">
        <v>492</v>
      </c>
      <c r="AD40" s="77">
        <v>138.08000000000001</v>
      </c>
      <c r="AE40" s="555">
        <f t="shared" si="10"/>
        <v>2.4326328800988875E-3</v>
      </c>
      <c r="AF40" s="1178">
        <v>65</v>
      </c>
      <c r="AG40" s="132"/>
      <c r="AH40" s="132"/>
      <c r="AI40" s="228">
        <f t="shared" si="11"/>
        <v>2.1243076923076925</v>
      </c>
      <c r="AJ40" s="1315">
        <f t="shared" si="12"/>
        <v>0.13211382113821138</v>
      </c>
      <c r="AK40" s="125"/>
      <c r="AL40" s="170"/>
      <c r="AM40" s="166"/>
      <c r="AN40" s="15"/>
      <c r="AO40" s="77"/>
      <c r="AP40" s="146" t="e">
        <f t="shared" si="13"/>
        <v>#DIV/0!</v>
      </c>
      <c r="AQ40" s="501"/>
      <c r="AR40" s="132"/>
      <c r="AS40" s="132"/>
      <c r="AT40" s="228" t="e">
        <f t="shared" si="14"/>
        <v>#DIV/0!</v>
      </c>
      <c r="AU40" s="316" t="e">
        <f t="shared" si="15"/>
        <v>#DIV/0!</v>
      </c>
      <c r="AV40" s="125"/>
      <c r="AW40" s="170"/>
    </row>
    <row r="41" spans="2:49">
      <c r="B41" s="190" t="s">
        <v>160</v>
      </c>
      <c r="C41" s="298">
        <f>SUM(C34:C40)</f>
        <v>2044499</v>
      </c>
      <c r="D41" s="298">
        <f t="shared" ref="D41:E41" si="25">SUM(D34:D40)</f>
        <v>6787</v>
      </c>
      <c r="E41" s="479">
        <f t="shared" si="25"/>
        <v>1633.95</v>
      </c>
      <c r="F41" s="599">
        <f>SUM($E$33,E41)/C$8</f>
        <v>1.0485386850173377</v>
      </c>
      <c r="G41" s="956">
        <f t="shared" si="4"/>
        <v>3.3196396770064449E-3</v>
      </c>
      <c r="H41" s="121">
        <f>SUM(H34:H40)</f>
        <v>435</v>
      </c>
      <c r="I41" s="27"/>
      <c r="J41" s="27"/>
      <c r="K41" s="27">
        <f>SUM(K34:K40)</f>
        <v>1223.0432748538012</v>
      </c>
      <c r="L41" s="140">
        <f>H41/K41</f>
        <v>0.35567016224507553</v>
      </c>
      <c r="M41" s="227">
        <f t="shared" si="5"/>
        <v>3.7562068965517241</v>
      </c>
      <c r="N41" s="437">
        <f t="shared" si="6"/>
        <v>6.4093119198467663E-2</v>
      </c>
      <c r="O41" s="685">
        <f>AVERAGE(O34:O40)</f>
        <v>78.959326457840945</v>
      </c>
      <c r="P41" s="566">
        <f>AVERAGE(P34:P40)</f>
        <v>0.87163007866718467</v>
      </c>
      <c r="Q41" s="164">
        <f>SUM(Q34:Q40)</f>
        <v>350325</v>
      </c>
      <c r="R41" s="27">
        <f t="shared" ref="R41:U41" si="26">SUM(R34:R40)</f>
        <v>1412</v>
      </c>
      <c r="S41" s="598">
        <f t="shared" si="26"/>
        <v>347.52</v>
      </c>
      <c r="T41" s="1180">
        <f t="shared" si="7"/>
        <v>4.03054306715193E-3</v>
      </c>
      <c r="U41" s="379">
        <f t="shared" si="26"/>
        <v>68</v>
      </c>
      <c r="V41" s="376"/>
      <c r="W41" s="376"/>
      <c r="X41" s="548">
        <f t="shared" si="8"/>
        <v>5.1105882352941174</v>
      </c>
      <c r="Y41" s="900">
        <f t="shared" si="9"/>
        <v>4.8158640226628892E-2</v>
      </c>
      <c r="Z41" s="130"/>
      <c r="AA41" s="165"/>
      <c r="AB41" s="164">
        <f>SUM(AB34:AB40)</f>
        <v>1694174</v>
      </c>
      <c r="AC41" s="27">
        <f t="shared" ref="AC41:AD41" si="27">SUM(AC34:AC40)</f>
        <v>5375</v>
      </c>
      <c r="AD41" s="74">
        <f t="shared" si="27"/>
        <v>1286.43</v>
      </c>
      <c r="AE41" s="1180">
        <f t="shared" si="10"/>
        <v>3.1726375212935624E-3</v>
      </c>
      <c r="AF41" s="379">
        <f t="shared" ref="AF41" si="28">SUM(AF34:AF40)</f>
        <v>367</v>
      </c>
      <c r="AG41" s="376"/>
      <c r="AH41" s="376"/>
      <c r="AI41" s="1356">
        <f t="shared" si="11"/>
        <v>3.5052588555858311</v>
      </c>
      <c r="AJ41" s="1357">
        <f t="shared" si="12"/>
        <v>6.8279069767441858E-2</v>
      </c>
      <c r="AK41" s="130"/>
      <c r="AL41" s="165"/>
      <c r="AM41" s="164">
        <f>SUM(AM34:AM40)</f>
        <v>0</v>
      </c>
      <c r="AN41" s="27">
        <f t="shared" ref="AN41:AO41" si="29">SUM(AN34:AN40)</f>
        <v>0</v>
      </c>
      <c r="AO41" s="74">
        <f t="shared" si="29"/>
        <v>0</v>
      </c>
      <c r="AP41" s="147" t="e">
        <f t="shared" si="13"/>
        <v>#DIV/0!</v>
      </c>
      <c r="AQ41" s="379">
        <f t="shared" ref="AQ41" si="30">SUM(AQ34:AQ40)</f>
        <v>0</v>
      </c>
      <c r="AR41" s="376"/>
      <c r="AS41" s="376"/>
      <c r="AT41" s="548" t="e">
        <f t="shared" si="14"/>
        <v>#DIV/0!</v>
      </c>
      <c r="AU41" s="547" t="e">
        <f t="shared" si="15"/>
        <v>#DIV/0!</v>
      </c>
      <c r="AV41" s="126"/>
      <c r="AW41" s="171"/>
    </row>
    <row r="42" spans="2:49">
      <c r="B42" s="187">
        <v>44866</v>
      </c>
      <c r="C42" s="15">
        <v>215236</v>
      </c>
      <c r="D42" s="15">
        <v>597</v>
      </c>
      <c r="E42" s="77">
        <v>150.07999999999998</v>
      </c>
      <c r="F42" s="308">
        <f>SUM($E$33,$E$41:E42)/$C$8</f>
        <v>1.0987709691671241</v>
      </c>
      <c r="G42" s="955">
        <f t="shared" si="4"/>
        <v>2.7736995669869354E-3</v>
      </c>
      <c r="H42" s="143">
        <v>63</v>
      </c>
      <c r="I42" s="52"/>
      <c r="J42" s="52"/>
      <c r="K42" s="293">
        <f t="shared" si="16"/>
        <v>174.72046783625731</v>
      </c>
      <c r="L42" s="455">
        <f>H42/K42</f>
        <v>0.36057595758638694</v>
      </c>
      <c r="M42" s="225">
        <f t="shared" si="5"/>
        <v>2.382222222222222</v>
      </c>
      <c r="N42" s="308">
        <f t="shared" si="6"/>
        <v>0.10552763819095477</v>
      </c>
      <c r="O42" s="684">
        <v>18.122448979591837</v>
      </c>
      <c r="P42" s="392">
        <v>0.96938775510204089</v>
      </c>
      <c r="Q42" s="166">
        <v>66371</v>
      </c>
      <c r="R42" s="15">
        <v>210</v>
      </c>
      <c r="S42" s="642">
        <v>54.03</v>
      </c>
      <c r="T42" s="555">
        <f t="shared" si="7"/>
        <v>3.1640324840668363E-3</v>
      </c>
      <c r="U42" s="565">
        <v>14</v>
      </c>
      <c r="V42" s="553"/>
      <c r="W42" s="553"/>
      <c r="X42" s="644">
        <f t="shared" si="8"/>
        <v>3.8592857142857144</v>
      </c>
      <c r="Y42" s="316">
        <f t="shared" si="9"/>
        <v>6.6666666666666666E-2</v>
      </c>
      <c r="Z42" s="125"/>
      <c r="AA42" s="170"/>
      <c r="AB42" s="166">
        <v>148865</v>
      </c>
      <c r="AC42" s="15">
        <v>387</v>
      </c>
      <c r="AD42" s="77">
        <v>96.05</v>
      </c>
      <c r="AE42" s="555">
        <f t="shared" si="10"/>
        <v>2.5996708427098378E-3</v>
      </c>
      <c r="AF42" s="902">
        <v>49</v>
      </c>
      <c r="AG42" s="553"/>
      <c r="AH42" s="553"/>
      <c r="AI42" s="228">
        <f t="shared" si="11"/>
        <v>1.9602040816326529</v>
      </c>
      <c r="AJ42" s="316">
        <f t="shared" si="12"/>
        <v>0.12661498708010335</v>
      </c>
      <c r="AK42" s="125"/>
      <c r="AL42" s="170"/>
      <c r="AM42" s="166"/>
      <c r="AN42" s="15"/>
      <c r="AO42" s="77"/>
      <c r="AP42" s="146" t="e">
        <f t="shared" si="13"/>
        <v>#DIV/0!</v>
      </c>
      <c r="AQ42" s="553"/>
      <c r="AR42" s="553"/>
      <c r="AS42" s="553"/>
      <c r="AT42" s="228" t="e">
        <f t="shared" si="14"/>
        <v>#DIV/0!</v>
      </c>
      <c r="AU42" s="316" t="e">
        <f t="shared" si="15"/>
        <v>#DIV/0!</v>
      </c>
      <c r="AV42" s="125"/>
      <c r="AW42" s="170"/>
    </row>
    <row r="43" spans="2:49" s="24" customFormat="1">
      <c r="B43" s="187">
        <v>44867</v>
      </c>
      <c r="C43" s="15"/>
      <c r="D43" s="15"/>
      <c r="E43" s="77"/>
      <c r="F43" s="73"/>
      <c r="G43" s="955" t="e">
        <f t="shared" si="4"/>
        <v>#DIV/0!</v>
      </c>
      <c r="H43" s="143">
        <v>6</v>
      </c>
      <c r="I43" s="52"/>
      <c r="J43" s="52"/>
      <c r="K43" s="293"/>
      <c r="L43" s="455" t="e">
        <f t="shared" ref="L43:L48" si="31">H43/K43</f>
        <v>#DIV/0!</v>
      </c>
      <c r="M43" s="225">
        <f t="shared" si="5"/>
        <v>0</v>
      </c>
      <c r="N43" s="308" t="e">
        <f t="shared" si="6"/>
        <v>#DIV/0!</v>
      </c>
      <c r="O43" s="684">
        <v>248</v>
      </c>
      <c r="P43" s="392">
        <v>0.66666666666666663</v>
      </c>
      <c r="Q43" s="166"/>
      <c r="R43" s="15"/>
      <c r="S43" s="642"/>
      <c r="T43" s="555" t="e">
        <f t="shared" si="7"/>
        <v>#DIV/0!</v>
      </c>
      <c r="U43" s="553">
        <v>3</v>
      </c>
      <c r="V43" s="553"/>
      <c r="W43" s="553"/>
      <c r="X43" s="312">
        <f t="shared" si="8"/>
        <v>0</v>
      </c>
      <c r="Y43" s="316" t="e">
        <f t="shared" si="9"/>
        <v>#DIV/0!</v>
      </c>
      <c r="Z43" s="123"/>
      <c r="AA43" s="168"/>
      <c r="AB43" s="166"/>
      <c r="AC43" s="15"/>
      <c r="AD43" s="77"/>
      <c r="AE43" s="555" t="e">
        <f t="shared" si="10"/>
        <v>#DIV/0!</v>
      </c>
      <c r="AF43" s="902">
        <v>3</v>
      </c>
      <c r="AG43" s="553"/>
      <c r="AH43" s="553"/>
      <c r="AI43" s="228">
        <f t="shared" si="11"/>
        <v>0</v>
      </c>
      <c r="AJ43" s="316" t="e">
        <f t="shared" si="12"/>
        <v>#DIV/0!</v>
      </c>
      <c r="AK43" s="123"/>
      <c r="AL43" s="168"/>
      <c r="AM43" s="166"/>
      <c r="AN43" s="15"/>
      <c r="AO43" s="77"/>
      <c r="AP43" s="146" t="e">
        <f t="shared" si="13"/>
        <v>#DIV/0!</v>
      </c>
      <c r="AQ43" s="553"/>
      <c r="AR43" s="553"/>
      <c r="AS43" s="553"/>
      <c r="AT43" s="228" t="e">
        <f t="shared" si="14"/>
        <v>#DIV/0!</v>
      </c>
      <c r="AU43" s="316" t="e">
        <f t="shared" si="15"/>
        <v>#DIV/0!</v>
      </c>
      <c r="AV43" s="123"/>
      <c r="AW43" s="168"/>
    </row>
    <row r="44" spans="2:49" s="26" customFormat="1">
      <c r="B44" s="187">
        <v>44868</v>
      </c>
      <c r="C44" s="15"/>
      <c r="D44" s="15"/>
      <c r="E44" s="77"/>
      <c r="F44" s="73"/>
      <c r="G44" s="955" t="e">
        <f t="shared" si="4"/>
        <v>#DIV/0!</v>
      </c>
      <c r="H44" s="143">
        <v>3</v>
      </c>
      <c r="I44" s="52"/>
      <c r="J44" s="52"/>
      <c r="K44" s="293"/>
      <c r="L44" s="455" t="e">
        <f t="shared" si="31"/>
        <v>#DIV/0!</v>
      </c>
      <c r="M44" s="225">
        <f t="shared" si="5"/>
        <v>0</v>
      </c>
      <c r="N44" s="308" t="e">
        <f t="shared" si="6"/>
        <v>#DIV/0!</v>
      </c>
      <c r="O44" s="684">
        <v>795.5</v>
      </c>
      <c r="P44" s="392">
        <v>0.5</v>
      </c>
      <c r="Q44" s="166"/>
      <c r="R44" s="15"/>
      <c r="S44" s="642"/>
      <c r="T44" s="555" t="e">
        <f t="shared" si="7"/>
        <v>#DIV/0!</v>
      </c>
      <c r="U44" s="553">
        <v>1</v>
      </c>
      <c r="V44" s="553"/>
      <c r="W44" s="553"/>
      <c r="X44" s="312">
        <f t="shared" si="8"/>
        <v>0</v>
      </c>
      <c r="Y44" s="316" t="e">
        <f t="shared" si="9"/>
        <v>#DIV/0!</v>
      </c>
      <c r="Z44" s="124"/>
      <c r="AA44" s="169"/>
      <c r="AB44" s="166"/>
      <c r="AC44" s="15"/>
      <c r="AD44" s="77"/>
      <c r="AE44" s="555" t="e">
        <f t="shared" si="10"/>
        <v>#DIV/0!</v>
      </c>
      <c r="AF44" s="902">
        <v>2</v>
      </c>
      <c r="AG44" s="553"/>
      <c r="AH44" s="553"/>
      <c r="AI44" s="228">
        <f t="shared" si="11"/>
        <v>0</v>
      </c>
      <c r="AJ44" s="316" t="e">
        <f t="shared" si="12"/>
        <v>#DIV/0!</v>
      </c>
      <c r="AK44" s="124"/>
      <c r="AL44" s="169"/>
      <c r="AM44" s="166"/>
      <c r="AN44" s="15"/>
      <c r="AO44" s="77"/>
      <c r="AP44" s="146" t="e">
        <f t="shared" si="13"/>
        <v>#DIV/0!</v>
      </c>
      <c r="AQ44" s="553"/>
      <c r="AR44" s="553"/>
      <c r="AS44" s="553"/>
      <c r="AT44" s="228" t="e">
        <f t="shared" si="14"/>
        <v>#DIV/0!</v>
      </c>
      <c r="AU44" s="316" t="e">
        <f t="shared" si="15"/>
        <v>#DIV/0!</v>
      </c>
      <c r="AV44" s="124"/>
      <c r="AW44" s="169"/>
    </row>
    <row r="45" spans="2:49">
      <c r="B45" s="189">
        <v>44869</v>
      </c>
      <c r="C45" s="15"/>
      <c r="D45" s="15"/>
      <c r="E45" s="77"/>
      <c r="F45" s="73"/>
      <c r="G45" s="955" t="e">
        <f t="shared" si="4"/>
        <v>#DIV/0!</v>
      </c>
      <c r="H45" s="143">
        <v>1</v>
      </c>
      <c r="I45" s="52"/>
      <c r="J45" s="52"/>
      <c r="K45" s="293"/>
      <c r="L45" s="455" t="e">
        <f t="shared" si="31"/>
        <v>#DIV/0!</v>
      </c>
      <c r="M45" s="225">
        <f t="shared" si="5"/>
        <v>0</v>
      </c>
      <c r="N45" s="308" t="e">
        <f t="shared" si="6"/>
        <v>#DIV/0!</v>
      </c>
      <c r="O45" s="684">
        <v>0</v>
      </c>
      <c r="P45" s="392">
        <v>1</v>
      </c>
      <c r="Q45" s="166"/>
      <c r="R45" s="15"/>
      <c r="S45" s="642"/>
      <c r="T45" s="555" t="e">
        <f t="shared" si="7"/>
        <v>#DIV/0!</v>
      </c>
      <c r="U45" s="553" t="s">
        <v>176</v>
      </c>
      <c r="V45" s="553"/>
      <c r="W45" s="553"/>
      <c r="X45" s="581" t="e">
        <f t="shared" si="8"/>
        <v>#VALUE!</v>
      </c>
      <c r="Y45" s="595" t="e">
        <f t="shared" si="9"/>
        <v>#VALUE!</v>
      </c>
      <c r="Z45" s="125"/>
      <c r="AA45" s="170"/>
      <c r="AB45" s="166"/>
      <c r="AC45" s="15"/>
      <c r="AD45" s="77"/>
      <c r="AE45" s="1177" t="e">
        <f t="shared" si="10"/>
        <v>#DIV/0!</v>
      </c>
      <c r="AF45" s="902">
        <v>1</v>
      </c>
      <c r="AG45" s="553"/>
      <c r="AH45" s="553"/>
      <c r="AI45" s="594">
        <f t="shared" si="11"/>
        <v>0</v>
      </c>
      <c r="AJ45" s="595" t="e">
        <f t="shared" si="12"/>
        <v>#DIV/0!</v>
      </c>
      <c r="AK45" s="125"/>
      <c r="AL45" s="170"/>
      <c r="AM45" s="166"/>
      <c r="AN45" s="15"/>
      <c r="AO45" s="77"/>
      <c r="AP45" s="577" t="e">
        <f t="shared" si="13"/>
        <v>#DIV/0!</v>
      </c>
      <c r="AQ45" s="553"/>
      <c r="AR45" s="553"/>
      <c r="AS45" s="553"/>
      <c r="AT45" s="594" t="e">
        <f t="shared" si="14"/>
        <v>#DIV/0!</v>
      </c>
      <c r="AU45" s="595" t="e">
        <f t="shared" si="15"/>
        <v>#DIV/0!</v>
      </c>
      <c r="AV45" s="125"/>
      <c r="AW45" s="170"/>
    </row>
    <row r="46" spans="2:49">
      <c r="B46" s="189">
        <v>44870</v>
      </c>
      <c r="C46" s="15"/>
      <c r="D46" s="15"/>
      <c r="E46" s="77"/>
      <c r="F46" s="73"/>
      <c r="G46" s="955" t="e">
        <f t="shared" si="4"/>
        <v>#DIV/0!</v>
      </c>
      <c r="H46" s="143">
        <v>1</v>
      </c>
      <c r="I46" s="52"/>
      <c r="J46" s="52"/>
      <c r="K46" s="293"/>
      <c r="L46" s="455" t="e">
        <f t="shared" si="31"/>
        <v>#DIV/0!</v>
      </c>
      <c r="M46" s="225">
        <f t="shared" si="5"/>
        <v>0</v>
      </c>
      <c r="N46" s="308" t="e">
        <f t="shared" si="6"/>
        <v>#DIV/0!</v>
      </c>
      <c r="O46" s="684">
        <v>0</v>
      </c>
      <c r="P46" s="392">
        <v>1</v>
      </c>
      <c r="Q46" s="166"/>
      <c r="R46" s="15"/>
      <c r="S46" s="642"/>
      <c r="T46" s="555" t="e">
        <f t="shared" si="7"/>
        <v>#DIV/0!</v>
      </c>
      <c r="U46" s="553" t="s">
        <v>176</v>
      </c>
      <c r="V46" s="553"/>
      <c r="W46" s="553"/>
      <c r="X46" s="581" t="e">
        <f t="shared" si="8"/>
        <v>#VALUE!</v>
      </c>
      <c r="Y46" s="595" t="e">
        <f t="shared" si="9"/>
        <v>#VALUE!</v>
      </c>
      <c r="Z46" s="125"/>
      <c r="AA46" s="170"/>
      <c r="AB46" s="166"/>
      <c r="AC46" s="15"/>
      <c r="AD46" s="77"/>
      <c r="AE46" s="1177" t="e">
        <f t="shared" si="10"/>
        <v>#DIV/0!</v>
      </c>
      <c r="AF46" s="902">
        <v>1</v>
      </c>
      <c r="AG46" s="553"/>
      <c r="AH46" s="553"/>
      <c r="AI46" s="594">
        <f t="shared" si="11"/>
        <v>0</v>
      </c>
      <c r="AJ46" s="595" t="e">
        <f t="shared" si="12"/>
        <v>#DIV/0!</v>
      </c>
      <c r="AK46" s="125"/>
      <c r="AL46" s="170"/>
      <c r="AM46" s="166"/>
      <c r="AN46" s="15"/>
      <c r="AO46" s="77"/>
      <c r="AP46" s="577" t="e">
        <f t="shared" si="13"/>
        <v>#DIV/0!</v>
      </c>
      <c r="AQ46" s="553"/>
      <c r="AR46" s="553"/>
      <c r="AS46" s="553"/>
      <c r="AT46" s="594" t="e">
        <f t="shared" si="14"/>
        <v>#DIV/0!</v>
      </c>
      <c r="AU46" s="595" t="e">
        <f t="shared" si="15"/>
        <v>#DIV/0!</v>
      </c>
      <c r="AV46" s="125"/>
      <c r="AW46" s="170"/>
    </row>
    <row r="47" spans="2:49">
      <c r="B47" s="187">
        <v>44871</v>
      </c>
      <c r="C47" s="15"/>
      <c r="D47" s="15"/>
      <c r="E47" s="77"/>
      <c r="F47" s="73"/>
      <c r="G47" s="955" t="e">
        <f t="shared" si="4"/>
        <v>#DIV/0!</v>
      </c>
      <c r="H47" s="143"/>
      <c r="I47" s="52"/>
      <c r="J47" s="52"/>
      <c r="K47" s="293"/>
      <c r="L47" s="455" t="e">
        <f t="shared" si="31"/>
        <v>#DIV/0!</v>
      </c>
      <c r="M47" s="225" t="e">
        <f t="shared" si="5"/>
        <v>#DIV/0!</v>
      </c>
      <c r="N47" s="316" t="e">
        <f t="shared" si="6"/>
        <v>#DIV/0!</v>
      </c>
      <c r="O47" s="686"/>
      <c r="P47" s="392"/>
      <c r="Q47" s="166"/>
      <c r="R47" s="15"/>
      <c r="S47" s="642"/>
      <c r="T47" s="555" t="e">
        <f t="shared" si="7"/>
        <v>#DIV/0!</v>
      </c>
      <c r="U47" s="553"/>
      <c r="V47" s="553"/>
      <c r="W47" s="553"/>
      <c r="X47" s="581" t="e">
        <f t="shared" si="8"/>
        <v>#DIV/0!</v>
      </c>
      <c r="Y47" s="595" t="e">
        <f t="shared" si="9"/>
        <v>#DIV/0!</v>
      </c>
      <c r="Z47" s="125"/>
      <c r="AA47" s="170"/>
      <c r="AB47" s="166"/>
      <c r="AC47" s="15"/>
      <c r="AD47" s="77"/>
      <c r="AE47" s="1177" t="e">
        <f t="shared" si="10"/>
        <v>#DIV/0!</v>
      </c>
      <c r="AF47" s="902"/>
      <c r="AG47" s="553"/>
      <c r="AH47" s="553"/>
      <c r="AI47" s="594" t="e">
        <f t="shared" si="11"/>
        <v>#DIV/0!</v>
      </c>
      <c r="AJ47" s="595" t="e">
        <f t="shared" si="12"/>
        <v>#DIV/0!</v>
      </c>
      <c r="AK47" s="125"/>
      <c r="AL47" s="170"/>
      <c r="AM47" s="166"/>
      <c r="AN47" s="15"/>
      <c r="AO47" s="77"/>
      <c r="AP47" s="577" t="e">
        <f t="shared" si="13"/>
        <v>#DIV/0!</v>
      </c>
      <c r="AQ47" s="553"/>
      <c r="AR47" s="553"/>
      <c r="AS47" s="553"/>
      <c r="AT47" s="594" t="e">
        <f t="shared" si="14"/>
        <v>#DIV/0!</v>
      </c>
      <c r="AU47" s="595" t="e">
        <f t="shared" si="15"/>
        <v>#DIV/0!</v>
      </c>
      <c r="AV47" s="125"/>
      <c r="AW47" s="170"/>
    </row>
    <row r="48" spans="2:49">
      <c r="B48" s="187">
        <v>44872</v>
      </c>
      <c r="C48" s="15"/>
      <c r="D48" s="15"/>
      <c r="E48" s="77"/>
      <c r="F48" s="73"/>
      <c r="G48" s="955" t="e">
        <f t="shared" si="4"/>
        <v>#DIV/0!</v>
      </c>
      <c r="H48" s="143"/>
      <c r="I48" s="52"/>
      <c r="J48" s="52"/>
      <c r="K48" s="293"/>
      <c r="L48" s="455" t="e">
        <f t="shared" si="31"/>
        <v>#DIV/0!</v>
      </c>
      <c r="M48" s="225" t="e">
        <f t="shared" si="5"/>
        <v>#DIV/0!</v>
      </c>
      <c r="N48" s="561" t="e">
        <f t="shared" si="6"/>
        <v>#DIV/0!</v>
      </c>
      <c r="O48" s="687"/>
      <c r="P48" s="392"/>
      <c r="Q48" s="166"/>
      <c r="R48" s="15"/>
      <c r="S48" s="642"/>
      <c r="T48" s="555" t="e">
        <f t="shared" si="7"/>
        <v>#DIV/0!</v>
      </c>
      <c r="U48" s="553"/>
      <c r="V48" s="553"/>
      <c r="W48" s="553"/>
      <c r="X48" s="581" t="e">
        <f t="shared" si="8"/>
        <v>#DIV/0!</v>
      </c>
      <c r="Y48" s="595" t="e">
        <f t="shared" si="9"/>
        <v>#DIV/0!</v>
      </c>
      <c r="Z48" s="125"/>
      <c r="AA48" s="170"/>
      <c r="AB48" s="166"/>
      <c r="AC48" s="15"/>
      <c r="AD48" s="77"/>
      <c r="AE48" s="1177" t="e">
        <f t="shared" si="10"/>
        <v>#DIV/0!</v>
      </c>
      <c r="AF48" s="902"/>
      <c r="AG48" s="553"/>
      <c r="AH48" s="553"/>
      <c r="AI48" s="594" t="e">
        <f t="shared" si="11"/>
        <v>#DIV/0!</v>
      </c>
      <c r="AJ48" s="595" t="e">
        <f t="shared" si="12"/>
        <v>#DIV/0!</v>
      </c>
      <c r="AK48" s="125"/>
      <c r="AL48" s="170"/>
      <c r="AM48" s="166"/>
      <c r="AN48" s="15"/>
      <c r="AO48" s="77"/>
      <c r="AP48" s="577" t="e">
        <f t="shared" si="13"/>
        <v>#DIV/0!</v>
      </c>
      <c r="AQ48" s="553"/>
      <c r="AR48" s="553"/>
      <c r="AS48" s="553"/>
      <c r="AT48" s="594" t="e">
        <f t="shared" si="14"/>
        <v>#DIV/0!</v>
      </c>
      <c r="AU48" s="595" t="e">
        <f t="shared" si="15"/>
        <v>#DIV/0!</v>
      </c>
      <c r="AV48" s="125"/>
      <c r="AW48" s="170"/>
    </row>
    <row r="49" spans="2:49">
      <c r="B49" s="190" t="s">
        <v>160</v>
      </c>
      <c r="C49" s="298">
        <f>SUM(C42:C48)</f>
        <v>215236</v>
      </c>
      <c r="D49" s="298">
        <f t="shared" ref="D49:E49" si="32">SUM(D42:D48)</f>
        <v>597</v>
      </c>
      <c r="E49" s="479">
        <f t="shared" si="32"/>
        <v>150.07999999999998</v>
      </c>
      <c r="F49" s="599">
        <f>SUM($E$33,$E$41:E48)/C$5</f>
        <v>0.96553529411764694</v>
      </c>
      <c r="G49" s="956">
        <f t="shared" si="4"/>
        <v>2.7736995669869354E-3</v>
      </c>
      <c r="H49" s="121">
        <f>SUM(H42:H48)</f>
        <v>74</v>
      </c>
      <c r="I49" s="27"/>
      <c r="J49" s="27"/>
      <c r="K49" s="27">
        <f>SUM(K42:K48)</f>
        <v>174.72046783625731</v>
      </c>
      <c r="L49" s="140">
        <f>H49/K49</f>
        <v>0.42353366446654972</v>
      </c>
      <c r="M49" s="237">
        <f t="shared" si="5"/>
        <v>2.0281081081081078</v>
      </c>
      <c r="N49" s="317">
        <f t="shared" si="6"/>
        <v>0.12395309882747069</v>
      </c>
      <c r="O49" s="682">
        <f>AVERAGE(O42:O48)</f>
        <v>212.32448979591837</v>
      </c>
      <c r="P49" s="317">
        <f>AVERAGE(P42:P48)</f>
        <v>0.82721088435374157</v>
      </c>
      <c r="Q49" s="164">
        <f>SUM(Q42:Q48)</f>
        <v>66371</v>
      </c>
      <c r="R49" s="27">
        <f t="shared" ref="R49:U49" si="33">SUM(R42:R48)</f>
        <v>210</v>
      </c>
      <c r="S49" s="479">
        <f t="shared" si="33"/>
        <v>54.03</v>
      </c>
      <c r="T49" s="550">
        <f t="shared" si="7"/>
        <v>3.1640324840668363E-3</v>
      </c>
      <c r="U49" s="551">
        <f t="shared" si="33"/>
        <v>18</v>
      </c>
      <c r="V49" s="298"/>
      <c r="W49" s="298"/>
      <c r="X49" s="552">
        <f t="shared" si="8"/>
        <v>3.0016666666666669</v>
      </c>
      <c r="Y49" s="550">
        <f t="shared" si="9"/>
        <v>8.5714285714285715E-2</v>
      </c>
      <c r="Z49" s="130"/>
      <c r="AA49" s="165"/>
      <c r="AB49" s="164">
        <f>SUM(AB42:AB48)</f>
        <v>148865</v>
      </c>
      <c r="AC49" s="27">
        <f t="shared" ref="AC49:AD49" si="34">SUM(AC42:AC48)</f>
        <v>387</v>
      </c>
      <c r="AD49" s="74">
        <f t="shared" si="34"/>
        <v>96.05</v>
      </c>
      <c r="AE49" s="1180">
        <f t="shared" si="10"/>
        <v>2.5996708427098378E-3</v>
      </c>
      <c r="AF49" s="1323">
        <f t="shared" ref="AF49" si="35">SUM(AF42:AF48)</f>
        <v>56</v>
      </c>
      <c r="AG49" s="298"/>
      <c r="AH49" s="298"/>
      <c r="AI49" s="552">
        <f t="shared" si="11"/>
        <v>1.7151785714285714</v>
      </c>
      <c r="AJ49" s="550">
        <f t="shared" si="12"/>
        <v>0.14470284237726097</v>
      </c>
      <c r="AK49" s="130"/>
      <c r="AL49" s="165"/>
      <c r="AM49" s="164">
        <f>SUM(AM42:AM48)</f>
        <v>0</v>
      </c>
      <c r="AN49" s="27">
        <f t="shared" ref="AN49:AO49" si="36">SUM(AN42:AN48)</f>
        <v>0</v>
      </c>
      <c r="AO49" s="74">
        <f t="shared" si="36"/>
        <v>0</v>
      </c>
      <c r="AP49" s="147" t="e">
        <f t="shared" si="13"/>
        <v>#DIV/0!</v>
      </c>
      <c r="AQ49" s="551">
        <f t="shared" ref="AQ49" si="37">SUM(AQ42:AQ48)</f>
        <v>0</v>
      </c>
      <c r="AR49" s="298"/>
      <c r="AS49" s="298"/>
      <c r="AT49" s="552" t="e">
        <f t="shared" si="14"/>
        <v>#DIV/0!</v>
      </c>
      <c r="AU49" s="547" t="e">
        <f t="shared" si="15"/>
        <v>#DIV/0!</v>
      </c>
      <c r="AV49" s="126"/>
      <c r="AW49" s="171"/>
    </row>
    <row r="50" spans="2:49">
      <c r="B50" s="187">
        <v>44873</v>
      </c>
      <c r="C50" s="15"/>
      <c r="D50" s="15"/>
      <c r="E50" s="77"/>
      <c r="F50" s="73"/>
      <c r="G50" s="955" t="e">
        <f t="shared" si="4"/>
        <v>#DIV/0!</v>
      </c>
      <c r="H50" s="143"/>
      <c r="I50" s="52"/>
      <c r="J50" s="52"/>
      <c r="K50" s="293"/>
      <c r="L50" s="139" t="e">
        <f>H50/K50</f>
        <v>#DIV/0!</v>
      </c>
      <c r="M50" s="225" t="e">
        <f t="shared" si="5"/>
        <v>#DIV/0!</v>
      </c>
      <c r="N50" s="561" t="e">
        <f t="shared" si="6"/>
        <v>#DIV/0!</v>
      </c>
      <c r="O50" s="687"/>
      <c r="P50" s="392"/>
      <c r="Q50" s="166"/>
      <c r="R50" s="15"/>
      <c r="S50" s="641"/>
      <c r="T50" s="715" t="e">
        <f t="shared" si="7"/>
        <v>#DIV/0!</v>
      </c>
      <c r="U50" s="143"/>
      <c r="V50" s="52"/>
      <c r="W50" s="52"/>
      <c r="X50" s="312" t="e">
        <f t="shared" si="8"/>
        <v>#DIV/0!</v>
      </c>
      <c r="Y50" s="316" t="e">
        <f t="shared" si="9"/>
        <v>#DIV/0!</v>
      </c>
      <c r="Z50" s="125"/>
      <c r="AA50" s="170"/>
      <c r="AB50" s="166"/>
      <c r="AC50" s="15"/>
      <c r="AD50" s="77"/>
      <c r="AE50" s="555" t="e">
        <f t="shared" si="10"/>
        <v>#DIV/0!</v>
      </c>
      <c r="AF50" s="553"/>
      <c r="AG50" s="143"/>
      <c r="AH50" s="52"/>
      <c r="AI50" s="228" t="e">
        <f t="shared" si="11"/>
        <v>#DIV/0!</v>
      </c>
      <c r="AJ50" s="316" t="e">
        <f t="shared" si="12"/>
        <v>#DIV/0!</v>
      </c>
      <c r="AK50" s="125"/>
      <c r="AL50" s="170"/>
      <c r="AM50" s="166"/>
      <c r="AN50" s="15"/>
      <c r="AO50" s="77"/>
      <c r="AP50" s="146" t="e">
        <f t="shared" si="13"/>
        <v>#DIV/0!</v>
      </c>
      <c r="AQ50" s="143"/>
      <c r="AR50" s="52"/>
      <c r="AS50" s="52"/>
      <c r="AT50" s="228" t="e">
        <f t="shared" si="14"/>
        <v>#DIV/0!</v>
      </c>
      <c r="AU50" s="316" t="e">
        <f t="shared" si="15"/>
        <v>#DIV/0!</v>
      </c>
      <c r="AV50" s="125"/>
      <c r="AW50" s="170"/>
    </row>
    <row r="51" spans="2:49" s="24" customFormat="1">
      <c r="B51" s="187">
        <v>44874</v>
      </c>
      <c r="C51" s="15"/>
      <c r="D51" s="15"/>
      <c r="E51" s="77"/>
      <c r="F51" s="73"/>
      <c r="G51" s="955" t="e">
        <f t="shared" si="4"/>
        <v>#DIV/0!</v>
      </c>
      <c r="H51" s="143"/>
      <c r="I51" s="52"/>
      <c r="J51" s="52"/>
      <c r="K51" s="293"/>
      <c r="L51" s="73" t="e">
        <f t="shared" ref="L51:L56" si="38">H51/K51</f>
        <v>#DIV/0!</v>
      </c>
      <c r="M51" s="225" t="e">
        <f t="shared" si="5"/>
        <v>#DIV/0!</v>
      </c>
      <c r="N51" s="710" t="e">
        <f t="shared" si="6"/>
        <v>#DIV/0!</v>
      </c>
      <c r="O51" s="687"/>
      <c r="P51" s="392"/>
      <c r="Q51" s="166"/>
      <c r="R51" s="15"/>
      <c r="S51" s="641"/>
      <c r="T51" s="719" t="e">
        <f t="shared" si="7"/>
        <v>#DIV/0!</v>
      </c>
      <c r="U51" s="143"/>
      <c r="V51" s="52"/>
      <c r="W51" s="52"/>
      <c r="X51" s="312" t="e">
        <f t="shared" si="8"/>
        <v>#DIV/0!</v>
      </c>
      <c r="Y51" s="316" t="e">
        <f t="shared" si="9"/>
        <v>#DIV/0!</v>
      </c>
      <c r="Z51" s="123"/>
      <c r="AA51" s="168"/>
      <c r="AB51" s="166"/>
      <c r="AC51" s="15"/>
      <c r="AD51" s="77"/>
      <c r="AE51" s="555" t="e">
        <f t="shared" si="10"/>
        <v>#DIV/0!</v>
      </c>
      <c r="AF51" s="553"/>
      <c r="AG51" s="143"/>
      <c r="AH51" s="52"/>
      <c r="AI51" s="228" t="e">
        <f t="shared" si="11"/>
        <v>#DIV/0!</v>
      </c>
      <c r="AJ51" s="316" t="e">
        <f t="shared" si="12"/>
        <v>#DIV/0!</v>
      </c>
      <c r="AK51" s="123"/>
      <c r="AL51" s="168"/>
      <c r="AM51" s="166"/>
      <c r="AN51" s="15"/>
      <c r="AO51" s="77"/>
      <c r="AP51" s="146" t="e">
        <f t="shared" si="13"/>
        <v>#DIV/0!</v>
      </c>
      <c r="AQ51" s="143"/>
      <c r="AR51" s="52"/>
      <c r="AS51" s="52"/>
      <c r="AT51" s="228" t="e">
        <f t="shared" si="14"/>
        <v>#DIV/0!</v>
      </c>
      <c r="AU51" s="316" t="e">
        <f t="shared" si="15"/>
        <v>#DIV/0!</v>
      </c>
      <c r="AV51" s="123"/>
      <c r="AW51" s="168"/>
    </row>
    <row r="52" spans="2:49" s="26" customFormat="1">
      <c r="B52" s="187">
        <v>44875</v>
      </c>
      <c r="C52" s="15"/>
      <c r="D52" s="15"/>
      <c r="E52" s="77"/>
      <c r="F52" s="73"/>
      <c r="G52" s="955" t="e">
        <f t="shared" si="4"/>
        <v>#DIV/0!</v>
      </c>
      <c r="H52" s="143"/>
      <c r="I52" s="52"/>
      <c r="J52" s="52"/>
      <c r="K52" s="293"/>
      <c r="L52" s="73" t="e">
        <f t="shared" si="38"/>
        <v>#DIV/0!</v>
      </c>
      <c r="M52" s="225" t="e">
        <f t="shared" si="5"/>
        <v>#DIV/0!</v>
      </c>
      <c r="N52" s="710" t="e">
        <f t="shared" si="6"/>
        <v>#DIV/0!</v>
      </c>
      <c r="O52" s="687"/>
      <c r="P52" s="392"/>
      <c r="Q52" s="166"/>
      <c r="R52" s="15"/>
      <c r="S52" s="641"/>
      <c r="T52" s="719" t="e">
        <f t="shared" si="7"/>
        <v>#DIV/0!</v>
      </c>
      <c r="U52" s="143"/>
      <c r="V52" s="52"/>
      <c r="W52" s="52"/>
      <c r="X52" s="312" t="e">
        <f t="shared" si="8"/>
        <v>#DIV/0!</v>
      </c>
      <c r="Y52" s="316" t="e">
        <f t="shared" si="9"/>
        <v>#DIV/0!</v>
      </c>
      <c r="Z52" s="124"/>
      <c r="AA52" s="169"/>
      <c r="AB52" s="166"/>
      <c r="AC52" s="15"/>
      <c r="AD52" s="77"/>
      <c r="AE52" s="555" t="e">
        <f t="shared" si="10"/>
        <v>#DIV/0!</v>
      </c>
      <c r="AF52" s="553"/>
      <c r="AG52" s="143"/>
      <c r="AH52" s="52"/>
      <c r="AI52" s="228" t="e">
        <f t="shared" si="11"/>
        <v>#DIV/0!</v>
      </c>
      <c r="AJ52" s="316" t="e">
        <f t="shared" si="12"/>
        <v>#DIV/0!</v>
      </c>
      <c r="AK52" s="124"/>
      <c r="AL52" s="169"/>
      <c r="AM52" s="166"/>
      <c r="AN52" s="15"/>
      <c r="AO52" s="77"/>
      <c r="AP52" s="146" t="e">
        <f t="shared" si="13"/>
        <v>#DIV/0!</v>
      </c>
      <c r="AQ52" s="143"/>
      <c r="AR52" s="52"/>
      <c r="AS52" s="52"/>
      <c r="AT52" s="228" t="e">
        <f t="shared" si="14"/>
        <v>#DIV/0!</v>
      </c>
      <c r="AU52" s="316" t="e">
        <f t="shared" si="15"/>
        <v>#DIV/0!</v>
      </c>
      <c r="AV52" s="124"/>
      <c r="AW52" s="169"/>
    </row>
    <row r="53" spans="2:49">
      <c r="B53" s="189">
        <v>44876</v>
      </c>
      <c r="C53" s="15"/>
      <c r="D53" s="15"/>
      <c r="E53" s="77"/>
      <c r="F53" s="73"/>
      <c r="G53" s="955" t="e">
        <f t="shared" si="4"/>
        <v>#DIV/0!</v>
      </c>
      <c r="H53" s="143"/>
      <c r="I53" s="52"/>
      <c r="J53" s="52"/>
      <c r="K53" s="293"/>
      <c r="L53" s="73" t="e">
        <f t="shared" si="38"/>
        <v>#DIV/0!</v>
      </c>
      <c r="M53" s="225" t="e">
        <f t="shared" si="5"/>
        <v>#DIV/0!</v>
      </c>
      <c r="N53" s="710" t="e">
        <f t="shared" si="6"/>
        <v>#DIV/0!</v>
      </c>
      <c r="O53" s="687"/>
      <c r="P53" s="392"/>
      <c r="Q53" s="166"/>
      <c r="R53" s="15"/>
      <c r="S53" s="641"/>
      <c r="T53" s="719" t="e">
        <f t="shared" si="7"/>
        <v>#DIV/0!</v>
      </c>
      <c r="U53" s="143"/>
      <c r="V53" s="52"/>
      <c r="W53" s="52"/>
      <c r="X53" s="312" t="e">
        <f t="shared" si="8"/>
        <v>#DIV/0!</v>
      </c>
      <c r="Y53" s="316" t="e">
        <f t="shared" si="9"/>
        <v>#DIV/0!</v>
      </c>
      <c r="Z53" s="125"/>
      <c r="AA53" s="170"/>
      <c r="AB53" s="166"/>
      <c r="AC53" s="15"/>
      <c r="AD53" s="77"/>
      <c r="AE53" s="555" t="e">
        <f t="shared" si="10"/>
        <v>#DIV/0!</v>
      </c>
      <c r="AF53" s="553"/>
      <c r="AG53" s="143"/>
      <c r="AH53" s="52"/>
      <c r="AI53" s="228" t="e">
        <f t="shared" si="11"/>
        <v>#DIV/0!</v>
      </c>
      <c r="AJ53" s="316" t="e">
        <f t="shared" si="12"/>
        <v>#DIV/0!</v>
      </c>
      <c r="AK53" s="125"/>
      <c r="AL53" s="170"/>
      <c r="AM53" s="166"/>
      <c r="AN53" s="15"/>
      <c r="AO53" s="77"/>
      <c r="AP53" s="146" t="e">
        <f t="shared" si="13"/>
        <v>#DIV/0!</v>
      </c>
      <c r="AQ53" s="143"/>
      <c r="AR53" s="52"/>
      <c r="AS53" s="52"/>
      <c r="AT53" s="228" t="e">
        <f t="shared" si="14"/>
        <v>#DIV/0!</v>
      </c>
      <c r="AU53" s="316" t="e">
        <f t="shared" si="15"/>
        <v>#DIV/0!</v>
      </c>
      <c r="AV53" s="125"/>
      <c r="AW53" s="170"/>
    </row>
    <row r="54" spans="2:49">
      <c r="B54" s="189">
        <v>44877</v>
      </c>
      <c r="C54" s="15"/>
      <c r="D54" s="15"/>
      <c r="E54" s="77"/>
      <c r="F54" s="73"/>
      <c r="G54" s="955" t="e">
        <f t="shared" si="4"/>
        <v>#DIV/0!</v>
      </c>
      <c r="H54" s="143"/>
      <c r="I54" s="52"/>
      <c r="J54" s="52"/>
      <c r="K54" s="293"/>
      <c r="L54" s="73" t="e">
        <f t="shared" si="38"/>
        <v>#DIV/0!</v>
      </c>
      <c r="M54" s="225" t="e">
        <f t="shared" si="5"/>
        <v>#DIV/0!</v>
      </c>
      <c r="N54" s="710" t="e">
        <f t="shared" si="6"/>
        <v>#DIV/0!</v>
      </c>
      <c r="O54" s="711"/>
      <c r="P54" s="392"/>
      <c r="Q54" s="166"/>
      <c r="R54" s="15"/>
      <c r="S54" s="641"/>
      <c r="T54" s="719" t="e">
        <f t="shared" si="7"/>
        <v>#DIV/0!</v>
      </c>
      <c r="U54" s="143"/>
      <c r="V54" s="52"/>
      <c r="W54" s="52"/>
      <c r="X54" s="312" t="e">
        <f t="shared" si="8"/>
        <v>#DIV/0!</v>
      </c>
      <c r="Y54" s="316" t="e">
        <f t="shared" si="9"/>
        <v>#DIV/0!</v>
      </c>
      <c r="Z54" s="125"/>
      <c r="AA54" s="170"/>
      <c r="AB54" s="166"/>
      <c r="AC54" s="15"/>
      <c r="AD54" s="77"/>
      <c r="AE54" s="555" t="e">
        <f t="shared" si="10"/>
        <v>#DIV/0!</v>
      </c>
      <c r="AF54" s="553"/>
      <c r="AG54" s="143"/>
      <c r="AH54" s="52"/>
      <c r="AI54" s="228" t="e">
        <f t="shared" si="11"/>
        <v>#DIV/0!</v>
      </c>
      <c r="AJ54" s="316" t="e">
        <f t="shared" si="12"/>
        <v>#DIV/0!</v>
      </c>
      <c r="AK54" s="125"/>
      <c r="AL54" s="170"/>
      <c r="AM54" s="166"/>
      <c r="AN54" s="15"/>
      <c r="AO54" s="77"/>
      <c r="AP54" s="146" t="e">
        <f t="shared" si="13"/>
        <v>#DIV/0!</v>
      </c>
      <c r="AQ54" s="143"/>
      <c r="AR54" s="52"/>
      <c r="AS54" s="52"/>
      <c r="AT54" s="228" t="e">
        <f t="shared" si="14"/>
        <v>#DIV/0!</v>
      </c>
      <c r="AU54" s="316" t="e">
        <f t="shared" si="15"/>
        <v>#DIV/0!</v>
      </c>
      <c r="AV54" s="125"/>
      <c r="AW54" s="170"/>
    </row>
    <row r="55" spans="2:49">
      <c r="B55" s="187">
        <v>44878</v>
      </c>
      <c r="C55" s="15"/>
      <c r="D55" s="15"/>
      <c r="E55" s="77"/>
      <c r="F55" s="73"/>
      <c r="G55" s="955" t="e">
        <f t="shared" si="4"/>
        <v>#DIV/0!</v>
      </c>
      <c r="H55" s="143"/>
      <c r="I55" s="52"/>
      <c r="J55" s="52"/>
      <c r="K55" s="293"/>
      <c r="L55" s="73" t="e">
        <f t="shared" si="38"/>
        <v>#DIV/0!</v>
      </c>
      <c r="M55" s="225" t="e">
        <f t="shared" si="5"/>
        <v>#DIV/0!</v>
      </c>
      <c r="N55" s="710" t="e">
        <f t="shared" si="6"/>
        <v>#DIV/0!</v>
      </c>
      <c r="O55" s="687"/>
      <c r="P55" s="392"/>
      <c r="Q55" s="166"/>
      <c r="R55" s="15"/>
      <c r="S55" s="641"/>
      <c r="T55" s="719" t="e">
        <f t="shared" si="7"/>
        <v>#DIV/0!</v>
      </c>
      <c r="U55" s="143"/>
      <c r="V55" s="52"/>
      <c r="W55" s="52"/>
      <c r="X55" s="312" t="e">
        <f t="shared" si="8"/>
        <v>#DIV/0!</v>
      </c>
      <c r="Y55" s="316" t="e">
        <f t="shared" si="9"/>
        <v>#DIV/0!</v>
      </c>
      <c r="Z55" s="125"/>
      <c r="AA55" s="170"/>
      <c r="AB55" s="166"/>
      <c r="AC55" s="15"/>
      <c r="AD55" s="77"/>
      <c r="AE55" s="555" t="e">
        <f t="shared" si="10"/>
        <v>#DIV/0!</v>
      </c>
      <c r="AF55" s="553"/>
      <c r="AG55" s="143"/>
      <c r="AH55" s="52"/>
      <c r="AI55" s="228" t="e">
        <f t="shared" si="11"/>
        <v>#DIV/0!</v>
      </c>
      <c r="AJ55" s="316" t="e">
        <f t="shared" si="12"/>
        <v>#DIV/0!</v>
      </c>
      <c r="AK55" s="125"/>
      <c r="AL55" s="170"/>
      <c r="AM55" s="166"/>
      <c r="AN55" s="15"/>
      <c r="AO55" s="77"/>
      <c r="AP55" s="146" t="e">
        <f t="shared" si="13"/>
        <v>#DIV/0!</v>
      </c>
      <c r="AQ55" s="143"/>
      <c r="AR55" s="52"/>
      <c r="AS55" s="52"/>
      <c r="AT55" s="228" t="e">
        <f t="shared" si="14"/>
        <v>#DIV/0!</v>
      </c>
      <c r="AU55" s="316" t="e">
        <f t="shared" si="15"/>
        <v>#DIV/0!</v>
      </c>
      <c r="AV55" s="125"/>
      <c r="AW55" s="170"/>
    </row>
    <row r="56" spans="2:49">
      <c r="B56" s="187">
        <v>44879</v>
      </c>
      <c r="C56" s="15"/>
      <c r="D56" s="15"/>
      <c r="E56" s="77"/>
      <c r="F56" s="73"/>
      <c r="G56" s="955" t="e">
        <f t="shared" si="4"/>
        <v>#DIV/0!</v>
      </c>
      <c r="H56" s="143"/>
      <c r="I56" s="52"/>
      <c r="J56" s="52"/>
      <c r="K56" s="293"/>
      <c r="L56" s="73" t="e">
        <f t="shared" si="38"/>
        <v>#DIV/0!</v>
      </c>
      <c r="M56" s="225" t="e">
        <f t="shared" si="5"/>
        <v>#DIV/0!</v>
      </c>
      <c r="N56" s="710" t="e">
        <f t="shared" si="6"/>
        <v>#DIV/0!</v>
      </c>
      <c r="O56" s="687"/>
      <c r="P56" s="392"/>
      <c r="Q56" s="166"/>
      <c r="R56" s="15"/>
      <c r="S56" s="641"/>
      <c r="T56" s="712" t="e">
        <f t="shared" si="7"/>
        <v>#DIV/0!</v>
      </c>
      <c r="U56" s="143"/>
      <c r="V56" s="52"/>
      <c r="W56" s="52"/>
      <c r="X56" s="312" t="e">
        <f t="shared" si="8"/>
        <v>#DIV/0!</v>
      </c>
      <c r="Y56" s="316" t="e">
        <f t="shared" si="9"/>
        <v>#DIV/0!</v>
      </c>
      <c r="Z56" s="125"/>
      <c r="AA56" s="170"/>
      <c r="AB56" s="166"/>
      <c r="AC56" s="15"/>
      <c r="AD56" s="77"/>
      <c r="AE56" s="555" t="e">
        <f t="shared" si="10"/>
        <v>#DIV/0!</v>
      </c>
      <c r="AF56" s="553"/>
      <c r="AG56" s="143"/>
      <c r="AH56" s="52"/>
      <c r="AI56" s="228" t="e">
        <f t="shared" si="11"/>
        <v>#DIV/0!</v>
      </c>
      <c r="AJ56" s="316" t="e">
        <f t="shared" si="12"/>
        <v>#DIV/0!</v>
      </c>
      <c r="AK56" s="125"/>
      <c r="AL56" s="170"/>
      <c r="AM56" s="166"/>
      <c r="AN56" s="15"/>
      <c r="AO56" s="77"/>
      <c r="AP56" s="146" t="e">
        <f t="shared" si="13"/>
        <v>#DIV/0!</v>
      </c>
      <c r="AQ56" s="143"/>
      <c r="AR56" s="52"/>
      <c r="AS56" s="52"/>
      <c r="AT56" s="228" t="e">
        <f t="shared" si="14"/>
        <v>#DIV/0!</v>
      </c>
      <c r="AU56" s="316" t="e">
        <f t="shared" si="15"/>
        <v>#DIV/0!</v>
      </c>
      <c r="AV56" s="125"/>
      <c r="AW56" s="170"/>
    </row>
    <row r="57" spans="2:49">
      <c r="B57" s="190" t="s">
        <v>160</v>
      </c>
      <c r="C57" s="298">
        <f>SUM(C50:C56)</f>
        <v>0</v>
      </c>
      <c r="D57" s="298">
        <f t="shared" ref="D57:E57" si="39">SUM(D50:D56)</f>
        <v>0</v>
      </c>
      <c r="E57" s="479">
        <f t="shared" si="39"/>
        <v>0</v>
      </c>
      <c r="F57" s="599">
        <f>SUM($E$33,$E$41,$E$49,$E$57)/$C$5</f>
        <v>0.96553529411764694</v>
      </c>
      <c r="G57" s="956" t="e">
        <f t="shared" si="4"/>
        <v>#DIV/0!</v>
      </c>
      <c r="H57" s="121">
        <f>SUM(H50:H56)</f>
        <v>0</v>
      </c>
      <c r="I57" s="27"/>
      <c r="J57" s="27"/>
      <c r="K57" s="27">
        <f>SUM(K50:K56)</f>
        <v>0</v>
      </c>
      <c r="L57" s="140" t="e">
        <f>H57/K57</f>
        <v>#DIV/0!</v>
      </c>
      <c r="M57" s="237" t="e">
        <f t="shared" si="5"/>
        <v>#DIV/0!</v>
      </c>
      <c r="N57" s="317" t="e">
        <f t="shared" si="6"/>
        <v>#DIV/0!</v>
      </c>
      <c r="O57" s="682" t="e">
        <f>AVERAGE(O50:O56)</f>
        <v>#DIV/0!</v>
      </c>
      <c r="P57" s="317" t="e">
        <f>AVERAGE(P50:P56)</f>
        <v>#DIV/0!</v>
      </c>
      <c r="Q57" s="164">
        <f>SUM(Q50:Q56)</f>
        <v>0</v>
      </c>
      <c r="R57" s="27">
        <f t="shared" ref="R57:U57" si="40">SUM(R50:R56)</f>
        <v>0</v>
      </c>
      <c r="S57" s="479">
        <f t="shared" si="40"/>
        <v>0</v>
      </c>
      <c r="T57" s="550" t="e">
        <f t="shared" si="7"/>
        <v>#DIV/0!</v>
      </c>
      <c r="U57" s="551">
        <f t="shared" si="40"/>
        <v>0</v>
      </c>
      <c r="V57" s="298"/>
      <c r="W57" s="298"/>
      <c r="X57" s="552" t="e">
        <f t="shared" si="8"/>
        <v>#DIV/0!</v>
      </c>
      <c r="Y57" s="550" t="e">
        <f t="shared" si="9"/>
        <v>#DIV/0!</v>
      </c>
      <c r="Z57" s="130"/>
      <c r="AA57" s="165"/>
      <c r="AB57" s="164">
        <f>SUM(AB50:AB56)</f>
        <v>0</v>
      </c>
      <c r="AC57" s="27">
        <f t="shared" ref="AC57:AD57" si="41">SUM(AC50:AC56)</f>
        <v>0</v>
      </c>
      <c r="AD57" s="74">
        <f t="shared" si="41"/>
        <v>0</v>
      </c>
      <c r="AE57" s="550" t="e">
        <f t="shared" si="10"/>
        <v>#DIV/0!</v>
      </c>
      <c r="AF57" s="551">
        <f t="shared" ref="AF57" si="42">SUM(AF50:AF56)</f>
        <v>0</v>
      </c>
      <c r="AG57" s="298"/>
      <c r="AH57" s="298"/>
      <c r="AI57" s="552" t="e">
        <f t="shared" si="11"/>
        <v>#DIV/0!</v>
      </c>
      <c r="AJ57" s="550" t="e">
        <f t="shared" si="12"/>
        <v>#DIV/0!</v>
      </c>
      <c r="AK57" s="130"/>
      <c r="AL57" s="165"/>
      <c r="AM57" s="164">
        <f>SUM(AM50:AM56)</f>
        <v>0</v>
      </c>
      <c r="AN57" s="27">
        <f t="shared" ref="AN57:AO57" si="43">SUM(AN50:AN56)</f>
        <v>0</v>
      </c>
      <c r="AO57" s="74">
        <f t="shared" si="43"/>
        <v>0</v>
      </c>
      <c r="AP57" s="147" t="e">
        <f t="shared" si="13"/>
        <v>#DIV/0!</v>
      </c>
      <c r="AQ57" s="551">
        <f t="shared" ref="AQ57" si="44">SUM(AQ50:AQ56)</f>
        <v>0</v>
      </c>
      <c r="AR57" s="298"/>
      <c r="AS57" s="298"/>
      <c r="AT57" s="552" t="e">
        <f t="shared" si="14"/>
        <v>#DIV/0!</v>
      </c>
      <c r="AU57" s="547" t="e">
        <f t="shared" si="15"/>
        <v>#DIV/0!</v>
      </c>
      <c r="AV57" s="126"/>
      <c r="AW57" s="171"/>
    </row>
    <row r="58" spans="2:49">
      <c r="B58" s="187">
        <v>44880</v>
      </c>
      <c r="C58" s="15"/>
      <c r="D58" s="15"/>
      <c r="E58" s="77"/>
      <c r="F58" s="605"/>
      <c r="G58" s="957"/>
      <c r="H58" s="143"/>
      <c r="I58" s="52"/>
      <c r="J58" s="52"/>
      <c r="K58" s="52"/>
      <c r="L58" s="117"/>
      <c r="M58" s="125"/>
      <c r="N58" s="125"/>
      <c r="O58" s="688"/>
      <c r="P58" s="170"/>
      <c r="Q58" s="166"/>
      <c r="R58" s="15"/>
      <c r="S58" s="77"/>
      <c r="T58" s="148"/>
      <c r="U58" s="143"/>
      <c r="V58" s="52"/>
      <c r="W58" s="52"/>
      <c r="X58" s="645"/>
      <c r="Y58" s="125"/>
      <c r="Z58" s="125"/>
      <c r="AA58" s="170"/>
      <c r="AB58" s="166"/>
      <c r="AC58" s="15"/>
      <c r="AD58" s="77"/>
      <c r="AE58" s="148"/>
      <c r="AF58" s="143"/>
      <c r="AG58" s="52"/>
      <c r="AH58" s="52"/>
      <c r="AI58" s="143"/>
      <c r="AJ58" s="125"/>
      <c r="AK58" s="125"/>
      <c r="AL58" s="170"/>
      <c r="AM58" s="166"/>
      <c r="AN58" s="15"/>
      <c r="AO58" s="77"/>
      <c r="AP58" s="148"/>
      <c r="AQ58" s="143"/>
      <c r="AR58" s="52"/>
      <c r="AS58" s="52"/>
      <c r="AT58" s="143"/>
      <c r="AU58" s="125"/>
      <c r="AV58" s="125"/>
      <c r="AW58" s="170"/>
    </row>
    <row r="59" spans="2:49" s="24" customFormat="1">
      <c r="B59" s="187">
        <v>44881</v>
      </c>
      <c r="C59" s="15"/>
      <c r="D59" s="15"/>
      <c r="E59" s="77"/>
      <c r="F59" s="605"/>
      <c r="G59" s="957"/>
      <c r="H59" s="143"/>
      <c r="I59" s="52"/>
      <c r="J59" s="52"/>
      <c r="K59" s="52"/>
      <c r="L59" s="118"/>
      <c r="M59" s="123"/>
      <c r="N59" s="123"/>
      <c r="O59" s="689"/>
      <c r="P59" s="168"/>
      <c r="Q59" s="166"/>
      <c r="R59" s="15"/>
      <c r="S59" s="77"/>
      <c r="T59" s="148"/>
      <c r="U59" s="143"/>
      <c r="V59" s="52"/>
      <c r="W59" s="52"/>
      <c r="X59" s="645"/>
      <c r="Y59" s="123"/>
      <c r="Z59" s="123"/>
      <c r="AA59" s="168"/>
      <c r="AB59" s="166"/>
      <c r="AC59" s="15"/>
      <c r="AD59" s="77"/>
      <c r="AE59" s="148"/>
      <c r="AF59" s="143"/>
      <c r="AG59" s="52"/>
      <c r="AH59" s="52"/>
      <c r="AI59" s="143"/>
      <c r="AJ59" s="123"/>
      <c r="AK59" s="123"/>
      <c r="AL59" s="168"/>
      <c r="AM59" s="166"/>
      <c r="AN59" s="15"/>
      <c r="AO59" s="77"/>
      <c r="AP59" s="148"/>
      <c r="AQ59" s="143"/>
      <c r="AR59" s="52"/>
      <c r="AS59" s="52"/>
      <c r="AT59" s="143"/>
      <c r="AU59" s="123"/>
      <c r="AV59" s="123"/>
      <c r="AW59" s="168"/>
    </row>
    <row r="60" spans="2:49" s="26" customFormat="1">
      <c r="B60" s="187">
        <v>44882</v>
      </c>
      <c r="C60" s="15"/>
      <c r="D60" s="15"/>
      <c r="E60" s="77"/>
      <c r="F60" s="605"/>
      <c r="G60" s="957"/>
      <c r="H60" s="143"/>
      <c r="I60" s="52"/>
      <c r="J60" s="52"/>
      <c r="K60" s="52"/>
      <c r="L60" s="119"/>
      <c r="M60" s="124"/>
      <c r="N60" s="124"/>
      <c r="O60" s="690"/>
      <c r="P60" s="169"/>
      <c r="Q60" s="166"/>
      <c r="R60" s="15"/>
      <c r="S60" s="77"/>
      <c r="T60" s="148"/>
      <c r="U60" s="143"/>
      <c r="V60" s="52"/>
      <c r="W60" s="52"/>
      <c r="X60" s="645"/>
      <c r="Y60" s="124"/>
      <c r="Z60" s="124"/>
      <c r="AA60" s="169"/>
      <c r="AB60" s="166"/>
      <c r="AC60" s="15"/>
      <c r="AD60" s="77"/>
      <c r="AE60" s="148"/>
      <c r="AF60" s="143"/>
      <c r="AG60" s="52"/>
      <c r="AH60" s="52"/>
      <c r="AI60" s="143"/>
      <c r="AJ60" s="124"/>
      <c r="AK60" s="124"/>
      <c r="AL60" s="169"/>
      <c r="AM60" s="166"/>
      <c r="AN60" s="15"/>
      <c r="AO60" s="77"/>
      <c r="AP60" s="148"/>
      <c r="AQ60" s="143"/>
      <c r="AR60" s="52"/>
      <c r="AS60" s="52"/>
      <c r="AT60" s="143"/>
      <c r="AU60" s="124"/>
      <c r="AV60" s="124"/>
      <c r="AW60" s="169"/>
    </row>
    <row r="61" spans="2:49">
      <c r="B61" s="189">
        <v>44883</v>
      </c>
      <c r="C61" s="15"/>
      <c r="D61" s="15"/>
      <c r="E61" s="77"/>
      <c r="F61" s="605"/>
      <c r="G61" s="957"/>
      <c r="H61" s="143"/>
      <c r="I61" s="52"/>
      <c r="J61" s="52"/>
      <c r="K61" s="52"/>
      <c r="L61" s="117"/>
      <c r="M61" s="125"/>
      <c r="N61" s="125"/>
      <c r="O61" s="688"/>
      <c r="P61" s="170"/>
      <c r="Q61" s="166"/>
      <c r="R61" s="15"/>
      <c r="S61" s="77"/>
      <c r="T61" s="148"/>
      <c r="U61" s="143"/>
      <c r="V61" s="52"/>
      <c r="W61" s="52"/>
      <c r="X61" s="645"/>
      <c r="Y61" s="125"/>
      <c r="Z61" s="125"/>
      <c r="AA61" s="170"/>
      <c r="AB61" s="166"/>
      <c r="AC61" s="15"/>
      <c r="AD61" s="77"/>
      <c r="AE61" s="148"/>
      <c r="AF61" s="143"/>
      <c r="AG61" s="52"/>
      <c r="AH61" s="52"/>
      <c r="AI61" s="143"/>
      <c r="AJ61" s="125"/>
      <c r="AK61" s="125"/>
      <c r="AL61" s="170"/>
      <c r="AM61" s="166"/>
      <c r="AN61" s="15"/>
      <c r="AO61" s="77"/>
      <c r="AP61" s="148"/>
      <c r="AQ61" s="143"/>
      <c r="AR61" s="52"/>
      <c r="AS61" s="52"/>
      <c r="AT61" s="143"/>
      <c r="AU61" s="125"/>
      <c r="AV61" s="125"/>
      <c r="AW61" s="170"/>
    </row>
    <row r="62" spans="2:49">
      <c r="B62" s="190" t="s">
        <v>160</v>
      </c>
      <c r="C62" s="27"/>
      <c r="D62" s="27"/>
      <c r="E62" s="227"/>
      <c r="F62" s="610"/>
      <c r="G62" s="958"/>
      <c r="H62" s="144"/>
      <c r="I62" s="56"/>
      <c r="J62" s="56"/>
      <c r="K62" s="56"/>
      <c r="L62" s="120"/>
      <c r="M62" s="126"/>
      <c r="N62" s="126"/>
      <c r="O62" s="691"/>
      <c r="P62" s="171"/>
      <c r="Q62" s="164"/>
      <c r="R62" s="27"/>
      <c r="S62" s="227"/>
      <c r="T62" s="149"/>
      <c r="U62" s="144"/>
      <c r="V62" s="56"/>
      <c r="W62" s="56"/>
      <c r="X62" s="646"/>
      <c r="Y62" s="126"/>
      <c r="Z62" s="126"/>
      <c r="AA62" s="171"/>
      <c r="AB62" s="164"/>
      <c r="AC62" s="27"/>
      <c r="AD62" s="227"/>
      <c r="AE62" s="149"/>
      <c r="AF62" s="144"/>
      <c r="AG62" s="56"/>
      <c r="AH62" s="56"/>
      <c r="AI62" s="144"/>
      <c r="AJ62" s="126"/>
      <c r="AK62" s="126"/>
      <c r="AL62" s="171"/>
      <c r="AM62" s="164"/>
      <c r="AN62" s="27"/>
      <c r="AO62" s="227"/>
      <c r="AP62" s="149"/>
      <c r="AQ62" s="144"/>
      <c r="AR62" s="56"/>
      <c r="AS62" s="56"/>
      <c r="AT62" s="144"/>
      <c r="AU62" s="126"/>
      <c r="AV62" s="126"/>
      <c r="AW62" s="171"/>
    </row>
    <row r="63" spans="2:49">
      <c r="B63" s="191" t="s">
        <v>36</v>
      </c>
      <c r="C63" s="173">
        <f>SUM(C33,C41,C49,C57,C62,)</f>
        <v>4032708</v>
      </c>
      <c r="D63" s="173">
        <f>SUM(D33,D41,D49,D57,D62,)</f>
        <v>17108</v>
      </c>
      <c r="E63" s="174">
        <f>SUM(E33,E41,E49,E57,E62,)</f>
        <v>3282.8199999999997</v>
      </c>
      <c r="F63" s="615">
        <f>E63/C5</f>
        <v>0.96553529411764694</v>
      </c>
      <c r="G63" s="959">
        <f>D63/C63</f>
        <v>4.2423106260111075E-3</v>
      </c>
      <c r="H63" s="176">
        <f>SUM(H33,H41,H49,H57,H62)</f>
        <v>930</v>
      </c>
      <c r="I63" s="181"/>
      <c r="J63" s="181"/>
      <c r="K63" s="173">
        <f>SUM(K33,K41,K49,K57,K62,)</f>
        <v>2620.8070175438597</v>
      </c>
      <c r="L63" s="192">
        <f>H63/K63</f>
        <v>0.35485252968819031</v>
      </c>
      <c r="M63" s="970">
        <f>E63/H63</f>
        <v>3.5299139784946232</v>
      </c>
      <c r="N63" s="971">
        <f>H63/D63</f>
        <v>5.4360533083937339E-2</v>
      </c>
      <c r="O63" s="692">
        <f>AVERAGE(O26:O32,O34:O40,O42:O48,O50:O56,O58:O61)</f>
        <v>89.465143904446236</v>
      </c>
      <c r="P63" s="982">
        <f>AVERAGE(P26:P32,P34:P40,P42:P48,P50:P56,P58:P61)</f>
        <v>0.8587460422973765</v>
      </c>
      <c r="Q63" s="173">
        <f>SUM(Q33,Q41,Q49,Q57,Q62,)</f>
        <v>627953</v>
      </c>
      <c r="R63" s="173">
        <f>SUM(R33,R41,R49,R57,R62,)</f>
        <v>2860</v>
      </c>
      <c r="S63" s="174">
        <f>SUM(S33,S41,S49,S57,S62,)</f>
        <v>585.21</v>
      </c>
      <c r="T63" s="180">
        <f>R63/Q63</f>
        <v>4.5544809882268255E-3</v>
      </c>
      <c r="U63" s="176">
        <f>SUM(U33,U41,U49,U57,U62)</f>
        <v>159</v>
      </c>
      <c r="V63" s="173" t="e">
        <f>SUM(V33,V41,V49,V57,V62,#REF!,#REF!,#REF!,#REF!)</f>
        <v>#REF!</v>
      </c>
      <c r="W63" s="173" t="e">
        <f>SUM(W33,W41,W49,W57,W62,#REF!,#REF!,#REF!,#REF!)</f>
        <v>#REF!</v>
      </c>
      <c r="X63" s="174">
        <f>U63/S63</f>
        <v>0.27169733941661967</v>
      </c>
      <c r="Y63" s="615">
        <f>U63/R63</f>
        <v>5.5594405594405594E-2</v>
      </c>
      <c r="Z63" s="173" t="e">
        <f>SUM(Z33,Z41,Z49,Z57,Z62,#REF!,#REF!,#REF!,#REF!)</f>
        <v>#REF!</v>
      </c>
      <c r="AA63" s="177" t="e">
        <f>SUM(AA33,AA41,AA49,AA57,AA62,#REF!,#REF!,#REF!,#REF!)</f>
        <v>#REF!</v>
      </c>
      <c r="AB63" s="173">
        <f>SUM(AB33,AB41,AB49,AB57,AB62,)</f>
        <v>3404755</v>
      </c>
      <c r="AC63" s="173">
        <f>SUM(AC33,AC41,AC49,AC57,AC62,)</f>
        <v>14248</v>
      </c>
      <c r="AD63" s="174">
        <f>SUM(AD33,AD41,AD49,AD57,AD62,)</f>
        <v>2697.61</v>
      </c>
      <c r="AE63" s="180">
        <f>AC63/AB63</f>
        <v>4.1847357592543367E-3</v>
      </c>
      <c r="AF63" s="176">
        <f>SUM(AF33,AF41,AF49,AF57,AF62)</f>
        <v>771</v>
      </c>
      <c r="AG63" s="173" t="e">
        <f>SUM(AG33,AG41,AG49,AG57,AG62,#REF!,#REF!,#REF!,#REF!)</f>
        <v>#REF!</v>
      </c>
      <c r="AH63" s="173" t="e">
        <f>SUM(AH33,AH41,AH49,AH57,AH62,#REF!,#REF!,#REF!,#REF!)</f>
        <v>#REF!</v>
      </c>
      <c r="AI63" s="174">
        <f>AF63/AD63</f>
        <v>0.28580854904897296</v>
      </c>
      <c r="AJ63" s="615">
        <f>AF63/AC63</f>
        <v>5.4112857944974731E-2</v>
      </c>
      <c r="AK63" s="173" t="e">
        <f>SUM(AK33,AK41,AK49,AK57,AK62,#REF!,#REF!,#REF!,#REF!)</f>
        <v>#REF!</v>
      </c>
      <c r="AL63" s="177" t="e">
        <f>SUM(AL33,AL41,AL49,AL57,AL62,#REF!,#REF!,#REF!,#REF!)</f>
        <v>#REF!</v>
      </c>
      <c r="AM63" s="173">
        <f>SUM(AM33,AM41,AM49,AM57,AM62,)</f>
        <v>0</v>
      </c>
      <c r="AN63" s="173">
        <f>SUM(AN33,AN41,AN49,AN57,AN62,)</f>
        <v>0</v>
      </c>
      <c r="AO63" s="174">
        <f>SUM(AO33,AO41,AO49,AO57,AO62,)</f>
        <v>0</v>
      </c>
      <c r="AP63" s="180" t="e">
        <f>AN63/AM63</f>
        <v>#DIV/0!</v>
      </c>
      <c r="AQ63" s="176">
        <f>SUM(AQ33,AQ41,AQ49,AQ57,AQ62)</f>
        <v>0</v>
      </c>
      <c r="AR63" s="173" t="e">
        <f>SUM(AR33,AR41,AR49,AR57,AR62,#REF!,#REF!,#REF!,#REF!)</f>
        <v>#REF!</v>
      </c>
      <c r="AS63" s="173" t="e">
        <f>SUM(AS33,AS41,AS49,AS57,AS62,#REF!,#REF!,#REF!,#REF!)</f>
        <v>#REF!</v>
      </c>
      <c r="AT63" s="174" t="e">
        <f>AQ63/AO63</f>
        <v>#DIV/0!</v>
      </c>
      <c r="AU63" s="615" t="e">
        <f>AQ63/AN63</f>
        <v>#DIV/0!</v>
      </c>
      <c r="AV63" s="183"/>
      <c r="AW63" s="184"/>
    </row>
  </sheetData>
  <mergeCells count="16">
    <mergeCell ref="B11:P11"/>
    <mergeCell ref="C12:G12"/>
    <mergeCell ref="H12:P12"/>
    <mergeCell ref="B23:P23"/>
    <mergeCell ref="Q23:AA23"/>
    <mergeCell ref="R12:T12"/>
    <mergeCell ref="AB23:AL23"/>
    <mergeCell ref="AM23:AW23"/>
    <mergeCell ref="C24:G24"/>
    <mergeCell ref="H24:P24"/>
    <mergeCell ref="Q24:T24"/>
    <mergeCell ref="U24:AA24"/>
    <mergeCell ref="AB24:AE24"/>
    <mergeCell ref="AF24:AL24"/>
    <mergeCell ref="AM24:AP24"/>
    <mergeCell ref="AQ24:AW24"/>
  </mergeCells>
  <conditionalFormatting sqref="AA22">
    <cfRule type="cellIs" dxfId="7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105"/>
  <sheetViews>
    <sheetView showGridLines="0" topLeftCell="A86" zoomScale="70" zoomScaleNormal="70" workbookViewId="0">
      <selection activeCell="Q99" sqref="Q99"/>
    </sheetView>
  </sheetViews>
  <sheetFormatPr defaultColWidth="8.8984375" defaultRowHeight="15.6"/>
  <cols>
    <col min="1" max="1" width="1.69921875" style="17" customWidth="1"/>
    <col min="2" max="2" width="17.3984375" style="17" customWidth="1"/>
    <col min="3" max="3" width="11.09765625" style="17" bestFit="1" customWidth="1"/>
    <col min="4" max="9" width="10.69921875" style="17" customWidth="1"/>
    <col min="10" max="10" width="12.296875" style="473" customWidth="1"/>
    <col min="11" max="11" width="10.69921875" style="60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486" customWidth="1"/>
    <col min="25" max="27" width="10.69921875" style="17" customWidth="1"/>
    <col min="28" max="28" width="15.3984375" style="17" bestFit="1" customWidth="1"/>
    <col min="29" max="31" width="10.69921875" style="17" customWidth="1"/>
    <col min="32" max="32" width="16.69921875" style="17" customWidth="1"/>
    <col min="33" max="33" width="10.69921875" style="473" customWidth="1"/>
    <col min="34" max="37" width="10.69921875" style="17" customWidth="1"/>
    <col min="38" max="39" width="10.69921875" style="17" hidden="1" customWidth="1"/>
    <col min="40" max="40" width="10.69921875" style="473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473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473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472"/>
      <c r="K1" s="600"/>
      <c r="X1" s="485"/>
      <c r="AG1" s="472"/>
      <c r="AN1" s="472"/>
      <c r="AY1" s="472"/>
      <c r="BQ1" s="472"/>
    </row>
    <row r="2" spans="2:69" s="2" customFormat="1" ht="16.2" thickBot="1">
      <c r="B2" s="2010" t="s">
        <v>114</v>
      </c>
      <c r="C2" s="2011"/>
      <c r="D2" s="2012"/>
      <c r="J2" s="472"/>
      <c r="K2" s="600"/>
      <c r="X2" s="485"/>
      <c r="AG2" s="472"/>
      <c r="AN2" s="472"/>
      <c r="AY2" s="472"/>
      <c r="BQ2" s="472"/>
    </row>
    <row r="3" spans="2:69" s="2" customFormat="1">
      <c r="B3" s="906" t="s">
        <v>112</v>
      </c>
      <c r="C3" s="907" t="s">
        <v>30</v>
      </c>
      <c r="D3" s="908" t="s">
        <v>47</v>
      </c>
      <c r="J3" s="472"/>
      <c r="K3" s="600"/>
      <c r="X3" s="485"/>
      <c r="AG3" s="472"/>
      <c r="AN3" s="472"/>
      <c r="AY3" s="472"/>
      <c r="BQ3" s="472"/>
    </row>
    <row r="4" spans="2:69" s="2" customFormat="1" ht="16.2" thickBot="1">
      <c r="B4" s="909" t="s">
        <v>113</v>
      </c>
      <c r="C4" s="910">
        <v>19800</v>
      </c>
      <c r="D4" s="911">
        <v>13400</v>
      </c>
      <c r="J4" s="472"/>
      <c r="K4" s="600"/>
      <c r="X4" s="485"/>
      <c r="AG4" s="472"/>
      <c r="AN4" s="472"/>
      <c r="AY4" s="472"/>
      <c r="BQ4" s="472"/>
    </row>
    <row r="5" spans="2:69" s="2" customFormat="1">
      <c r="J5" s="472"/>
      <c r="K5" s="600"/>
      <c r="X5" s="485"/>
      <c r="AG5" s="472"/>
      <c r="AN5" s="472"/>
      <c r="AY5" s="472"/>
      <c r="BQ5" s="472"/>
    </row>
    <row r="6" spans="2:69" s="2" customFormat="1" hidden="1">
      <c r="J6" s="472"/>
      <c r="K6" s="600"/>
      <c r="X6" s="485"/>
      <c r="AG6" s="472"/>
      <c r="AN6" s="472"/>
      <c r="AY6" s="472"/>
      <c r="BQ6" s="472"/>
    </row>
    <row r="7" spans="2:69" s="2" customFormat="1" ht="16.2" hidden="1" thickBot="1">
      <c r="J7" s="472"/>
      <c r="K7" s="600"/>
      <c r="X7" s="485"/>
      <c r="AG7" s="472"/>
      <c r="AN7" s="472"/>
      <c r="AY7" s="472"/>
      <c r="BQ7" s="472"/>
    </row>
    <row r="8" spans="2:69" ht="16.2" hidden="1" thickBot="1">
      <c r="B8" s="2010" t="s">
        <v>114</v>
      </c>
      <c r="C8" s="2011"/>
      <c r="D8" s="2012"/>
    </row>
    <row r="9" spans="2:69" hidden="1">
      <c r="B9" s="906" t="s">
        <v>112</v>
      </c>
      <c r="C9" s="907" t="s">
        <v>30</v>
      </c>
      <c r="D9" s="908" t="s">
        <v>47</v>
      </c>
      <c r="E9" s="76"/>
      <c r="F9" s="19"/>
      <c r="G9" s="19"/>
      <c r="H9" s="19"/>
      <c r="I9" s="19"/>
      <c r="J9" s="474"/>
      <c r="K9" s="602"/>
      <c r="L9" s="19"/>
      <c r="M9" s="19"/>
      <c r="N9" s="19"/>
      <c r="O9" s="223"/>
      <c r="P9" s="19"/>
      <c r="Q9" s="19"/>
      <c r="R9" s="19"/>
      <c r="S9" s="19"/>
      <c r="T9" s="19"/>
      <c r="U9" s="19"/>
      <c r="V9" s="19"/>
      <c r="W9" s="19"/>
      <c r="X9" s="487"/>
      <c r="Y9" s="19"/>
    </row>
    <row r="10" spans="2:69" ht="16.2" hidden="1" thickBot="1">
      <c r="B10" s="909" t="s">
        <v>113</v>
      </c>
      <c r="C10" s="910">
        <v>18696.900000000001</v>
      </c>
      <c r="D10" s="911">
        <f>13975.45-1372</f>
        <v>12603.45</v>
      </c>
      <c r="E10" s="76"/>
      <c r="F10" s="19"/>
      <c r="G10" s="19"/>
      <c r="H10" s="19"/>
      <c r="I10" s="19"/>
      <c r="J10" s="474"/>
      <c r="K10" s="602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487"/>
      <c r="Y10" s="19"/>
      <c r="Z10" s="20"/>
      <c r="AA10" s="20"/>
      <c r="AB10" s="20"/>
      <c r="AC10" s="20"/>
      <c r="AD10" s="20"/>
      <c r="AE10" s="20"/>
      <c r="AF10" s="20"/>
      <c r="AG10" s="507"/>
      <c r="AH10" s="20"/>
      <c r="AI10" s="20"/>
      <c r="AJ10" s="20"/>
      <c r="AK10" s="20"/>
      <c r="AL10" s="20"/>
      <c r="AM10" s="20"/>
      <c r="AN10" s="507"/>
      <c r="AO10" s="20"/>
    </row>
    <row r="11" spans="2:69" ht="16.2" thickBot="1">
      <c r="B11" s="21"/>
      <c r="C11" s="21"/>
      <c r="D11" s="21"/>
      <c r="E11" s="21"/>
      <c r="F11" s="21"/>
      <c r="G11" s="21"/>
      <c r="H11" s="21"/>
      <c r="I11" s="21"/>
      <c r="J11" s="475"/>
      <c r="K11" s="603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488"/>
      <c r="Y11" s="21"/>
      <c r="Z11" s="20"/>
      <c r="AA11" s="20"/>
      <c r="AB11" s="20"/>
      <c r="AC11" s="20"/>
      <c r="AD11" s="20"/>
      <c r="AE11" s="20"/>
      <c r="AF11" s="20"/>
      <c r="AG11" s="507"/>
      <c r="AH11" s="20"/>
      <c r="AI11" s="20"/>
      <c r="AJ11" s="20"/>
      <c r="AK11" s="20"/>
      <c r="AL11" s="20"/>
      <c r="AM11" s="20"/>
      <c r="AN11" s="507"/>
      <c r="AO11" s="20"/>
    </row>
    <row r="12" spans="2:69">
      <c r="B12" s="2001" t="s">
        <v>115</v>
      </c>
      <c r="C12" s="2002"/>
      <c r="D12" s="2002"/>
      <c r="E12" s="2002"/>
      <c r="F12" s="2002"/>
      <c r="G12" s="2002"/>
      <c r="H12" s="2002"/>
      <c r="I12" s="2002"/>
      <c r="J12" s="2002"/>
      <c r="K12" s="2002"/>
      <c r="L12" s="2002"/>
      <c r="M12" s="2002"/>
      <c r="N12" s="2002"/>
      <c r="O12" s="2002"/>
      <c r="P12" s="2002"/>
      <c r="Q12" s="2002"/>
      <c r="R12" s="2002"/>
      <c r="S12" s="2002"/>
      <c r="T12" s="2002"/>
      <c r="U12" s="2002"/>
      <c r="V12" s="2002"/>
      <c r="W12" s="2002"/>
      <c r="X12" s="2002"/>
      <c r="Y12" s="2003"/>
      <c r="Z12" s="20"/>
      <c r="AA12" s="20"/>
      <c r="AB12" s="20"/>
      <c r="AC12" s="20"/>
      <c r="AD12" s="20"/>
      <c r="AE12" s="20"/>
      <c r="AF12" s="20"/>
      <c r="AG12" s="507"/>
      <c r="AH12" s="20"/>
      <c r="AI12" s="20"/>
      <c r="AJ12" s="20"/>
      <c r="AK12" s="20"/>
      <c r="AL12" s="20"/>
      <c r="AM12" s="20"/>
      <c r="AN12" s="507"/>
      <c r="AO12" s="20"/>
    </row>
    <row r="13" spans="2:69">
      <c r="B13" s="116"/>
      <c r="C13" s="2023" t="s">
        <v>14</v>
      </c>
      <c r="D13" s="2023"/>
      <c r="E13" s="2023"/>
      <c r="F13" s="2023"/>
      <c r="G13" s="2023"/>
      <c r="H13" s="2023"/>
      <c r="I13" s="2023"/>
      <c r="J13" s="2023"/>
      <c r="K13" s="2023"/>
      <c r="L13" s="2023"/>
      <c r="M13" s="2023"/>
      <c r="N13" s="2023"/>
      <c r="O13" s="2023"/>
      <c r="P13" s="2023"/>
      <c r="Q13" s="2005" t="s">
        <v>116</v>
      </c>
      <c r="R13" s="2005"/>
      <c r="S13" s="2005"/>
      <c r="T13" s="2005"/>
      <c r="U13" s="2005"/>
      <c r="V13" s="2005"/>
      <c r="W13" s="2005"/>
      <c r="X13" s="2005"/>
      <c r="Y13" s="2006"/>
      <c r="Z13" s="20"/>
      <c r="AA13" s="1999" t="s">
        <v>117</v>
      </c>
      <c r="AB13" s="2000"/>
      <c r="AC13" s="2000"/>
      <c r="AD13" s="20"/>
      <c r="AE13" s="1999" t="s">
        <v>118</v>
      </c>
      <c r="AF13" s="2000"/>
      <c r="AG13" s="2000"/>
      <c r="AH13" s="20"/>
      <c r="AI13" s="20"/>
      <c r="AJ13" s="20"/>
      <c r="AK13" s="20"/>
      <c r="AO13" s="20"/>
      <c r="AP13" s="20"/>
      <c r="AQ13" s="20"/>
    </row>
    <row r="14" spans="2:69" s="22" customFormat="1" ht="46.8">
      <c r="B14" s="115" t="s">
        <v>119</v>
      </c>
      <c r="C14" s="438" t="s">
        <v>120</v>
      </c>
      <c r="D14" s="438" t="s">
        <v>121</v>
      </c>
      <c r="E14" s="288" t="s">
        <v>177</v>
      </c>
      <c r="F14" s="439" t="s">
        <v>123</v>
      </c>
      <c r="G14" s="439" t="s">
        <v>124</v>
      </c>
      <c r="H14" s="439" t="s">
        <v>125</v>
      </c>
      <c r="I14" s="439" t="s">
        <v>126</v>
      </c>
      <c r="J14" s="476" t="s">
        <v>127</v>
      </c>
      <c r="K14" s="613" t="s">
        <v>128</v>
      </c>
      <c r="L14" s="439" t="s">
        <v>129</v>
      </c>
      <c r="M14" s="439" t="s">
        <v>130</v>
      </c>
      <c r="N14" s="439" t="s">
        <v>178</v>
      </c>
      <c r="O14" s="439" t="s">
        <v>179</v>
      </c>
      <c r="P14" s="141" t="s">
        <v>180</v>
      </c>
      <c r="Q14" s="440" t="s">
        <v>132</v>
      </c>
      <c r="R14" s="440" t="s">
        <v>133</v>
      </c>
      <c r="S14" s="440" t="s">
        <v>134</v>
      </c>
      <c r="T14" s="440" t="s">
        <v>135</v>
      </c>
      <c r="U14" s="137" t="s">
        <v>165</v>
      </c>
      <c r="V14" s="441" t="s">
        <v>21</v>
      </c>
      <c r="W14" s="440" t="s">
        <v>137</v>
      </c>
      <c r="X14" s="489" t="s">
        <v>138</v>
      </c>
      <c r="Y14" s="442" t="s">
        <v>23</v>
      </c>
      <c r="AA14" s="193" t="s">
        <v>139</v>
      </c>
      <c r="AB14" s="193" t="s">
        <v>140</v>
      </c>
      <c r="AC14" s="198" t="s">
        <v>141</v>
      </c>
      <c r="AE14" s="193" t="s">
        <v>139</v>
      </c>
      <c r="AF14" s="193" t="s">
        <v>140</v>
      </c>
      <c r="AG14" s="198" t="s">
        <v>141</v>
      </c>
      <c r="AN14" s="480"/>
      <c r="AY14" s="480"/>
      <c r="BQ14" s="480"/>
    </row>
    <row r="15" spans="2:69" ht="31.2">
      <c r="B15" s="103" t="s">
        <v>142</v>
      </c>
      <c r="C15" s="15">
        <f>SUM(C31:C37)</f>
        <v>2618632</v>
      </c>
      <c r="D15" s="15">
        <f t="shared" ref="D15:I15" si="0">SUM(D31:D37)</f>
        <v>12385</v>
      </c>
      <c r="E15" s="15">
        <f t="shared" si="0"/>
        <v>451549</v>
      </c>
      <c r="F15" s="15">
        <f t="shared" si="0"/>
        <v>82732</v>
      </c>
      <c r="G15" s="15">
        <f t="shared" si="0"/>
        <v>33643</v>
      </c>
      <c r="H15" s="15">
        <f t="shared" si="0"/>
        <v>19795</v>
      </c>
      <c r="I15" s="15">
        <f t="shared" si="0"/>
        <v>9929</v>
      </c>
      <c r="J15" s="77">
        <f>SUM(J31:J37)</f>
        <v>3438.92</v>
      </c>
      <c r="K15" s="73">
        <f>J15/$C$10</f>
        <v>0.1839299563029165</v>
      </c>
      <c r="L15" s="79">
        <f t="shared" ref="L15:L20" si="1">D15/C15</f>
        <v>4.7295687213781855E-3</v>
      </c>
      <c r="M15" s="202">
        <f>$AB$15/30*7</f>
        <v>154000</v>
      </c>
      <c r="N15" s="77">
        <f t="shared" ref="N15:N20" si="2">J15/E15</f>
        <v>7.6158290683846054E-3</v>
      </c>
      <c r="O15" s="77">
        <f t="shared" ref="O15:O20" si="3">J15/I15</f>
        <v>0.34635109275858594</v>
      </c>
      <c r="P15" s="73">
        <f t="shared" ref="P15:P20" si="4">E15/M15</f>
        <v>2.9321363636363635</v>
      </c>
      <c r="Q15" s="131">
        <f>SUM(Q31:Q37)</f>
        <v>982</v>
      </c>
      <c r="R15" s="132"/>
      <c r="S15" s="132"/>
      <c r="T15" s="293">
        <f>$AB$17/30*7</f>
        <v>2670.5</v>
      </c>
      <c r="U15" s="139">
        <f t="shared" ref="U15:U20" si="5">Q15/T15</f>
        <v>0.36772140048680024</v>
      </c>
      <c r="V15" s="224">
        <f t="shared" ref="V15:V23" si="6">J15/Q15</f>
        <v>3.5019551934826882</v>
      </c>
      <c r="W15" s="333">
        <f t="shared" ref="W15:W23" si="7">Q15/D15</f>
        <v>7.9289463060153414E-2</v>
      </c>
      <c r="X15" s="382">
        <f t="shared" ref="X15:Y15" si="8">X38</f>
        <v>6.6666666666666661</v>
      </c>
      <c r="Y15" s="348">
        <f t="shared" si="8"/>
        <v>0.93845346677332464</v>
      </c>
      <c r="AA15" s="97">
        <f>E65</f>
        <v>2397050</v>
      </c>
      <c r="AB15" s="97">
        <v>660000</v>
      </c>
      <c r="AC15" s="98">
        <f>AA15/AB15</f>
        <v>3.6318939393939393</v>
      </c>
      <c r="AE15" s="97">
        <f>E104</f>
        <v>547264</v>
      </c>
      <c r="AF15" s="97">
        <f>D10/0.03</f>
        <v>420115.00000000006</v>
      </c>
      <c r="AG15" s="98">
        <f>AE15/AF15</f>
        <v>1.3026528450543302</v>
      </c>
    </row>
    <row r="16" spans="2:69" ht="31.2">
      <c r="B16" s="103" t="s">
        <v>143</v>
      </c>
      <c r="C16" s="15">
        <f>SUM(C39:C45)</f>
        <v>3104884</v>
      </c>
      <c r="D16" s="15">
        <f>SUM(D39:D45)</f>
        <v>13544</v>
      </c>
      <c r="E16" s="15">
        <f t="shared" ref="E16:I16" si="9">SUM(E39:E45)</f>
        <v>490912</v>
      </c>
      <c r="F16" s="15">
        <f t="shared" si="9"/>
        <v>102263</v>
      </c>
      <c r="G16" s="15">
        <f t="shared" si="9"/>
        <v>40854</v>
      </c>
      <c r="H16" s="15">
        <f t="shared" si="9"/>
        <v>24010</v>
      </c>
      <c r="I16" s="15">
        <f t="shared" si="9"/>
        <v>12260</v>
      </c>
      <c r="J16" s="77">
        <f>SUM(J39:J45)</f>
        <v>3998.8500000000004</v>
      </c>
      <c r="K16" s="73">
        <f>J16/$C$10</f>
        <v>0.21387770165107586</v>
      </c>
      <c r="L16" s="79">
        <f t="shared" si="1"/>
        <v>4.3621597457425138E-3</v>
      </c>
      <c r="M16" s="202">
        <f>$AB$15/30*7</f>
        <v>154000</v>
      </c>
      <c r="N16" s="77">
        <f t="shared" si="2"/>
        <v>8.1457572844012786E-3</v>
      </c>
      <c r="O16" s="77">
        <f t="shared" si="3"/>
        <v>0.32617047308319741</v>
      </c>
      <c r="P16" s="73">
        <f t="shared" si="4"/>
        <v>3.1877402597402598</v>
      </c>
      <c r="Q16" s="131">
        <f>SUM(Q39:Q45)</f>
        <v>1153</v>
      </c>
      <c r="R16" s="132"/>
      <c r="S16" s="132"/>
      <c r="T16" s="293">
        <f>$AB$17/30*7</f>
        <v>2670.5</v>
      </c>
      <c r="U16" s="139">
        <f t="shared" si="5"/>
        <v>0.43175435311739374</v>
      </c>
      <c r="V16" s="224">
        <f t="shared" si="6"/>
        <v>3.4682133564614053</v>
      </c>
      <c r="W16" s="333">
        <f t="shared" si="7"/>
        <v>8.5129946839929124E-2</v>
      </c>
      <c r="X16" s="382">
        <f>X46</f>
        <v>5.5714285714285712</v>
      </c>
      <c r="Y16" s="348">
        <f>Y46</f>
        <v>0.93820220127816645</v>
      </c>
      <c r="AA16" s="199" t="s">
        <v>132</v>
      </c>
      <c r="AB16" s="199" t="s">
        <v>144</v>
      </c>
      <c r="AC16" s="198" t="s">
        <v>141</v>
      </c>
      <c r="AE16" s="199" t="s">
        <v>132</v>
      </c>
      <c r="AF16" s="199" t="s">
        <v>144</v>
      </c>
      <c r="AG16" s="198" t="s">
        <v>141</v>
      </c>
    </row>
    <row r="17" spans="2:79" ht="31.2">
      <c r="B17" s="105" t="s">
        <v>145</v>
      </c>
      <c r="C17" s="15">
        <f>SUM(C47:C53)</f>
        <v>4861347</v>
      </c>
      <c r="D17" s="15">
        <f t="shared" ref="D17:I17" si="10">SUM(D47:D53)</f>
        <v>22490</v>
      </c>
      <c r="E17" s="15">
        <f t="shared" si="10"/>
        <v>722072</v>
      </c>
      <c r="F17" s="15">
        <f t="shared" si="10"/>
        <v>167599</v>
      </c>
      <c r="G17" s="15">
        <f t="shared" si="10"/>
        <v>66508</v>
      </c>
      <c r="H17" s="15">
        <f t="shared" si="10"/>
        <v>36708</v>
      </c>
      <c r="I17" s="15">
        <f t="shared" si="10"/>
        <v>19837</v>
      </c>
      <c r="J17" s="77">
        <f>SUM(J47:J53)</f>
        <v>5522.35</v>
      </c>
      <c r="K17" s="73">
        <f>J17/$C$10</f>
        <v>0.29536179794511391</v>
      </c>
      <c r="L17" s="79">
        <f t="shared" si="1"/>
        <v>4.6262897916976506E-3</v>
      </c>
      <c r="M17" s="202">
        <f>$AB$15/30*7</f>
        <v>154000</v>
      </c>
      <c r="N17" s="77">
        <f t="shared" si="2"/>
        <v>7.6479215369104469E-3</v>
      </c>
      <c r="O17" s="77">
        <f t="shared" si="3"/>
        <v>0.27838634874224932</v>
      </c>
      <c r="P17" s="73">
        <f t="shared" si="4"/>
        <v>4.6887792207792209</v>
      </c>
      <c r="Q17" s="52">
        <f>SUM(Q47:Q53)</f>
        <v>1744</v>
      </c>
      <c r="R17" s="52"/>
      <c r="S17" s="52"/>
      <c r="T17" s="293">
        <f>$AB$17/30*7</f>
        <v>2670.5</v>
      </c>
      <c r="U17" s="139">
        <f t="shared" si="5"/>
        <v>0.65306122448979587</v>
      </c>
      <c r="V17" s="224">
        <f t="shared" si="6"/>
        <v>3.1664850917431195</v>
      </c>
      <c r="W17" s="333">
        <f t="shared" si="7"/>
        <v>7.754557581147177E-2</v>
      </c>
      <c r="X17" s="705">
        <f>X54</f>
        <v>5.3333333333333339</v>
      </c>
      <c r="Y17" s="617">
        <f>Y54</f>
        <v>0.94262186930285341</v>
      </c>
      <c r="Z17" s="40"/>
      <c r="AA17" s="97">
        <f>Q65</f>
        <v>5449</v>
      </c>
      <c r="AB17" s="97">
        <v>11445</v>
      </c>
      <c r="AC17" s="98">
        <f>AA17/AB17</f>
        <v>0.47610310179117521</v>
      </c>
      <c r="AD17" s="40"/>
      <c r="AE17" s="97">
        <f>Q104</f>
        <v>4478</v>
      </c>
      <c r="AF17" s="97">
        <f>D10/1.73</f>
        <v>7285.231213872833</v>
      </c>
      <c r="AG17" s="98">
        <f>AE17/AF17</f>
        <v>0.61466820592774196</v>
      </c>
      <c r="AH17" s="40"/>
      <c r="AI17" s="40"/>
      <c r="AJ17" s="40"/>
      <c r="AK17" s="40"/>
    </row>
    <row r="18" spans="2:79" ht="31.2">
      <c r="B18" s="105" t="s">
        <v>146</v>
      </c>
      <c r="C18" s="15">
        <f>SUM(C55:C61)</f>
        <v>4179391</v>
      </c>
      <c r="D18" s="15">
        <f t="shared" ref="D18:J18" si="11">SUM(D55:D61)</f>
        <v>18220</v>
      </c>
      <c r="E18" s="15">
        <f t="shared" si="11"/>
        <v>600550</v>
      </c>
      <c r="F18" s="15">
        <f t="shared" si="11"/>
        <v>137176</v>
      </c>
      <c r="G18" s="15">
        <f t="shared" si="11"/>
        <v>54665</v>
      </c>
      <c r="H18" s="15">
        <f t="shared" si="11"/>
        <v>30459</v>
      </c>
      <c r="I18" s="15">
        <f t="shared" si="11"/>
        <v>16788</v>
      </c>
      <c r="J18" s="72">
        <f t="shared" si="11"/>
        <v>4656.63</v>
      </c>
      <c r="K18" s="73">
        <f>J18/$C$10</f>
        <v>0.24905893490364711</v>
      </c>
      <c r="L18" s="79">
        <f t="shared" si="1"/>
        <v>4.3594868247550898E-3</v>
      </c>
      <c r="M18" s="202">
        <f>$AB$15/30*7</f>
        <v>154000</v>
      </c>
      <c r="N18" s="77">
        <f t="shared" si="2"/>
        <v>7.7539422196320042E-3</v>
      </c>
      <c r="O18" s="77">
        <f t="shared" si="3"/>
        <v>0.27737848463187992</v>
      </c>
      <c r="P18" s="73">
        <f t="shared" si="4"/>
        <v>3.8996753246753246</v>
      </c>
      <c r="Q18" s="52">
        <f>SUM(Q55:Q61)</f>
        <v>1315</v>
      </c>
      <c r="R18" s="52"/>
      <c r="S18" s="52"/>
      <c r="T18" s="293">
        <f>$AB$17/30*7</f>
        <v>2670.5</v>
      </c>
      <c r="U18" s="139">
        <f t="shared" si="5"/>
        <v>0.49241715034637706</v>
      </c>
      <c r="V18" s="224">
        <f t="shared" si="6"/>
        <v>3.5411634980988596</v>
      </c>
      <c r="W18" s="333">
        <f t="shared" si="7"/>
        <v>7.2173435784851817E-2</v>
      </c>
      <c r="X18" s="705">
        <f>X62</f>
        <v>5.761904761904761</v>
      </c>
      <c r="Y18" s="616">
        <f>Y62</f>
        <v>0.94067789865642759</v>
      </c>
    </row>
    <row r="19" spans="2:79" ht="46.8">
      <c r="B19" s="105" t="s">
        <v>181</v>
      </c>
      <c r="C19" s="15">
        <f>SUM(C63:C64,C66:C70)</f>
        <v>2092644</v>
      </c>
      <c r="D19" s="15">
        <f t="shared" ref="D19:I19" si="12">SUM(D63:D64,D66:D70)</f>
        <v>26435</v>
      </c>
      <c r="E19" s="15">
        <f t="shared" si="12"/>
        <v>226660</v>
      </c>
      <c r="F19" s="15">
        <f t="shared" si="12"/>
        <v>61626</v>
      </c>
      <c r="G19" s="15">
        <f t="shared" si="12"/>
        <v>24624</v>
      </c>
      <c r="H19" s="15">
        <f t="shared" si="12"/>
        <v>13259</v>
      </c>
      <c r="I19" s="15">
        <f t="shared" si="12"/>
        <v>7749</v>
      </c>
      <c r="J19" s="77">
        <f>SUM(J63:J64,J66:J70)</f>
        <v>2999.12</v>
      </c>
      <c r="K19" s="662">
        <f>K71</f>
        <v>0.23796024104511065</v>
      </c>
      <c r="L19" s="79">
        <f t="shared" si="1"/>
        <v>1.2632344536385549E-2</v>
      </c>
      <c r="M19" s="52">
        <f>M71</f>
        <v>114019.16666666669</v>
      </c>
      <c r="N19" s="77">
        <f t="shared" si="2"/>
        <v>1.3231800935321626E-2</v>
      </c>
      <c r="O19" s="77">
        <f t="shared" si="3"/>
        <v>0.38703316556975093</v>
      </c>
      <c r="P19" s="73">
        <f t="shared" si="4"/>
        <v>1.9879113891670257</v>
      </c>
      <c r="Q19" s="15">
        <f t="shared" ref="Q19" si="13">SUM(Q63:Q64,Q66:Q70)</f>
        <v>858</v>
      </c>
      <c r="R19" s="52"/>
      <c r="S19" s="52"/>
      <c r="T19" s="52">
        <f>T71</f>
        <v>1977.2052023121391</v>
      </c>
      <c r="U19" s="73">
        <f t="shared" si="5"/>
        <v>0.43394585397441643</v>
      </c>
      <c r="V19" s="224">
        <f t="shared" si="6"/>
        <v>3.4954778554778554</v>
      </c>
      <c r="W19" s="333">
        <f t="shared" si="7"/>
        <v>3.2456969926234161E-2</v>
      </c>
      <c r="X19" s="705">
        <f>X71</f>
        <v>9.6666666666666661</v>
      </c>
      <c r="Y19" s="617">
        <f>Y71</f>
        <v>0.90668682318900584</v>
      </c>
    </row>
    <row r="20" spans="2:79" ht="46.8">
      <c r="B20" s="103" t="s">
        <v>148</v>
      </c>
      <c r="C20" s="15">
        <f>SUM(C72:C78)</f>
        <v>1983030</v>
      </c>
      <c r="D20" s="15">
        <f t="shared" ref="D20:I20" si="14">SUM(D72:D78)</f>
        <v>26766</v>
      </c>
      <c r="E20" s="15">
        <f t="shared" si="14"/>
        <v>192587</v>
      </c>
      <c r="F20" s="15">
        <f t="shared" si="14"/>
        <v>49863</v>
      </c>
      <c r="G20" s="15">
        <f t="shared" si="14"/>
        <v>22709</v>
      </c>
      <c r="H20" s="15">
        <f t="shared" si="14"/>
        <v>12252</v>
      </c>
      <c r="I20" s="15">
        <f t="shared" si="14"/>
        <v>8583</v>
      </c>
      <c r="J20" s="77">
        <f>SUM(J72:J78)</f>
        <v>3419.77</v>
      </c>
      <c r="K20" s="662">
        <f>K79</f>
        <v>0.43457069294518563</v>
      </c>
      <c r="L20" s="79">
        <f t="shared" si="1"/>
        <v>1.3497526512458207E-2</v>
      </c>
      <c r="M20" s="52">
        <f>M79</f>
        <v>98026.833333333372</v>
      </c>
      <c r="N20" s="77">
        <f t="shared" si="2"/>
        <v>1.7757013713282827E-2</v>
      </c>
      <c r="O20" s="77">
        <f t="shared" si="3"/>
        <v>0.39843527903996273</v>
      </c>
      <c r="P20" s="73">
        <f t="shared" si="4"/>
        <v>1.9646355334678762</v>
      </c>
      <c r="Q20" s="15">
        <f>SUM(Q72:Q78)</f>
        <v>711</v>
      </c>
      <c r="R20" s="52"/>
      <c r="S20" s="52"/>
      <c r="T20" s="52">
        <f>T79</f>
        <v>1699.8872832369946</v>
      </c>
      <c r="U20" s="73">
        <f t="shared" si="5"/>
        <v>0.41826302662026205</v>
      </c>
      <c r="V20" s="224">
        <f t="shared" si="6"/>
        <v>4.809803094233474</v>
      </c>
      <c r="W20" s="333">
        <f t="shared" si="7"/>
        <v>2.65635507733692E-2</v>
      </c>
      <c r="X20" s="705">
        <f>X79</f>
        <v>4.4227720566930646</v>
      </c>
      <c r="Y20" s="616">
        <f>Y79</f>
        <v>0.92672170403267573</v>
      </c>
    </row>
    <row r="21" spans="2:79" ht="46.8">
      <c r="B21" s="103" t="s">
        <v>149</v>
      </c>
      <c r="C21" s="15">
        <f>SUM(C80:C86)</f>
        <v>1895910</v>
      </c>
      <c r="D21" s="15">
        <f t="shared" ref="D21:I21" si="15">SUM(D80:D86)</f>
        <v>48945</v>
      </c>
      <c r="E21" s="15">
        <f t="shared" si="15"/>
        <v>113692</v>
      </c>
      <c r="F21" s="15">
        <f t="shared" si="15"/>
        <v>39903</v>
      </c>
      <c r="G21" s="15">
        <f t="shared" si="15"/>
        <v>15411</v>
      </c>
      <c r="H21" s="15">
        <f t="shared" si="15"/>
        <v>7884</v>
      </c>
      <c r="I21" s="15">
        <f t="shared" si="15"/>
        <v>4721</v>
      </c>
      <c r="J21" s="203">
        <f t="shared" ref="J21" si="16">SUM(J72:J78)</f>
        <v>3419.77</v>
      </c>
      <c r="K21" s="662">
        <f>K87</f>
        <v>0.68992855130936359</v>
      </c>
      <c r="L21" s="79">
        <f t="shared" ref="L21:L23" si="17">D21/C21</f>
        <v>2.5816098865452473E-2</v>
      </c>
      <c r="M21" s="52">
        <f>M87</f>
        <v>98026.833333333372</v>
      </c>
      <c r="N21" s="77">
        <f t="shared" ref="N21:N23" si="18">J21/E21</f>
        <v>3.007924919959188E-2</v>
      </c>
      <c r="O21" s="77">
        <f t="shared" ref="O21:O23" si="19">J21/I21</f>
        <v>0.72437407328955727</v>
      </c>
      <c r="P21" s="73">
        <f t="shared" ref="P21:P23" si="20">E21/M21</f>
        <v>1.1598048833567676</v>
      </c>
      <c r="Q21" s="15">
        <f>SUM(Q72:Q78)</f>
        <v>711</v>
      </c>
      <c r="R21" s="52"/>
      <c r="S21" s="52"/>
      <c r="T21" s="52">
        <f>T87</f>
        <v>1699.8872832369946</v>
      </c>
      <c r="U21" s="73">
        <f t="shared" ref="U21" si="21">Q21/T21</f>
        <v>0.41826302662026205</v>
      </c>
      <c r="V21" s="224">
        <f t="shared" si="6"/>
        <v>4.809803094233474</v>
      </c>
      <c r="W21" s="333">
        <f t="shared" si="7"/>
        <v>1.4526509347226478E-2</v>
      </c>
      <c r="X21" s="705">
        <f>X87</f>
        <v>7.5861595237928965</v>
      </c>
      <c r="Y21" s="616">
        <f>Y87</f>
        <v>0.90218255182358698</v>
      </c>
    </row>
    <row r="22" spans="2:79" ht="46.8">
      <c r="B22" s="1623" t="s">
        <v>150</v>
      </c>
      <c r="C22" s="15">
        <f>SUM(C88:C94)</f>
        <v>1918676</v>
      </c>
      <c r="D22" s="15">
        <f t="shared" ref="D22:J22" si="22">SUM(D88:D94)</f>
        <v>42091</v>
      </c>
      <c r="E22" s="15">
        <f t="shared" si="22"/>
        <v>112728</v>
      </c>
      <c r="F22" s="15">
        <f t="shared" si="22"/>
        <v>39394</v>
      </c>
      <c r="G22" s="15">
        <f t="shared" si="22"/>
        <v>15077</v>
      </c>
      <c r="H22" s="15">
        <f t="shared" si="22"/>
        <v>7701</v>
      </c>
      <c r="I22" s="15">
        <f t="shared" si="22"/>
        <v>4508</v>
      </c>
      <c r="J22" s="203">
        <f t="shared" si="22"/>
        <v>3189.02</v>
      </c>
      <c r="K22" s="662">
        <f>K95</f>
        <v>0.94295609535484326</v>
      </c>
      <c r="L22" s="79">
        <f t="shared" si="17"/>
        <v>2.1937523583971448E-2</v>
      </c>
      <c r="M22" s="52">
        <f>M95</f>
        <v>98026.833333333372</v>
      </c>
      <c r="N22" s="77">
        <f t="shared" si="18"/>
        <v>2.8289511035412676E-2</v>
      </c>
      <c r="O22" s="77">
        <f t="shared" si="19"/>
        <v>0.707413487133984</v>
      </c>
      <c r="P22" s="73">
        <f t="shared" si="20"/>
        <v>1.149970841317258</v>
      </c>
      <c r="Q22" s="15">
        <f>SUM(Q88:Q94)</f>
        <v>1307</v>
      </c>
      <c r="R22" s="52"/>
      <c r="S22" s="52"/>
      <c r="T22" s="52">
        <f>T95</f>
        <v>1699.8872832369946</v>
      </c>
      <c r="U22" s="73">
        <f>Q22/T22</f>
        <v>0.76887450885046771</v>
      </c>
      <c r="V22" s="224">
        <f t="shared" si="6"/>
        <v>2.4399540933435349</v>
      </c>
      <c r="W22" s="333">
        <f t="shared" si="7"/>
        <v>3.1051768786676488E-2</v>
      </c>
      <c r="X22" s="705">
        <f>X95</f>
        <v>5.0296253475038109</v>
      </c>
      <c r="Y22" s="616">
        <f>Y95</f>
        <v>0.90698729617870522</v>
      </c>
    </row>
    <row r="23" spans="2:79" ht="47.4" thickBot="1">
      <c r="B23" s="1623" t="s">
        <v>151</v>
      </c>
      <c r="C23" s="15">
        <f>SUM(C96:C102)</f>
        <v>518773</v>
      </c>
      <c r="D23" s="15">
        <f t="shared" ref="D23:J23" si="23">SUM(D96:D102)</f>
        <v>10371</v>
      </c>
      <c r="E23" s="15">
        <f t="shared" si="23"/>
        <v>33564</v>
      </c>
      <c r="F23" s="15">
        <f t="shared" si="23"/>
        <v>11535</v>
      </c>
      <c r="G23" s="15">
        <f t="shared" si="23"/>
        <v>4454</v>
      </c>
      <c r="H23" s="15">
        <f t="shared" si="23"/>
        <v>2224</v>
      </c>
      <c r="I23" s="15">
        <f t="shared" si="23"/>
        <v>1342</v>
      </c>
      <c r="J23" s="72">
        <f t="shared" si="23"/>
        <v>792.19999999999993</v>
      </c>
      <c r="K23" s="1617">
        <f>K103</f>
        <v>1.0058119007097264</v>
      </c>
      <c r="L23" s="79">
        <f t="shared" si="17"/>
        <v>1.9991402790816022E-2</v>
      </c>
      <c r="M23" s="52">
        <f>M103</f>
        <v>42011.500000000007</v>
      </c>
      <c r="N23" s="77">
        <f t="shared" si="18"/>
        <v>2.360266952687403E-2</v>
      </c>
      <c r="O23" s="77">
        <f t="shared" si="19"/>
        <v>0.59031296572280179</v>
      </c>
      <c r="P23" s="73">
        <f t="shared" si="20"/>
        <v>0.79892410411434955</v>
      </c>
      <c r="Q23" s="15">
        <f t="shared" ref="Q23" si="24">SUM(Q96:Q102)</f>
        <v>339</v>
      </c>
      <c r="R23" s="1618"/>
      <c r="S23" s="1618"/>
      <c r="T23" s="1618">
        <f>T103</f>
        <v>728.52312138728325</v>
      </c>
      <c r="U23" s="73">
        <f>Q23/T23</f>
        <v>0.46532497054377969</v>
      </c>
      <c r="V23" s="224">
        <f t="shared" si="6"/>
        <v>2.3368731563421825</v>
      </c>
      <c r="W23" s="333">
        <f t="shared" si="7"/>
        <v>3.2687301128145795E-2</v>
      </c>
      <c r="X23" s="1619">
        <f>X103</f>
        <v>1.6869664385793419</v>
      </c>
      <c r="Y23" s="1622">
        <f>Y103</f>
        <v>0.96469262517649623</v>
      </c>
    </row>
    <row r="24" spans="2:79" ht="16.2" thickBot="1">
      <c r="B24" s="107" t="s">
        <v>153</v>
      </c>
      <c r="C24" s="108">
        <f t="shared" ref="C24:J24" si="25">SUM(C15:C23)</f>
        <v>23173287</v>
      </c>
      <c r="D24" s="108">
        <f t="shared" si="25"/>
        <v>221247</v>
      </c>
      <c r="E24" s="108">
        <f t="shared" si="25"/>
        <v>2944314</v>
      </c>
      <c r="F24" s="108">
        <f t="shared" si="25"/>
        <v>692091</v>
      </c>
      <c r="G24" s="108">
        <f t="shared" si="25"/>
        <v>277945</v>
      </c>
      <c r="H24" s="108">
        <f t="shared" si="25"/>
        <v>154292</v>
      </c>
      <c r="I24" s="108">
        <f t="shared" si="25"/>
        <v>85717</v>
      </c>
      <c r="J24" s="109">
        <f t="shared" si="25"/>
        <v>31436.63</v>
      </c>
      <c r="K24" s="111">
        <v>1.01</v>
      </c>
      <c r="L24" s="110">
        <f>D24/C24</f>
        <v>9.5475018282904795E-3</v>
      </c>
      <c r="M24" s="108">
        <f>SUM(M15:M23)</f>
        <v>1066111.166666667</v>
      </c>
      <c r="N24" s="229">
        <f>J24/E24</f>
        <v>1.0677064334850156E-2</v>
      </c>
      <c r="O24" s="229">
        <f>J24/I24</f>
        <v>0.36674906961279563</v>
      </c>
      <c r="P24" s="111">
        <f>E24/M24</f>
        <v>2.761732633573077</v>
      </c>
      <c r="Q24" s="108">
        <f>SUM(Q15:Q23)</f>
        <v>9120</v>
      </c>
      <c r="R24" s="112"/>
      <c r="S24" s="112"/>
      <c r="T24" s="108">
        <f>SUM(T15:T23)</f>
        <v>18487.390173410407</v>
      </c>
      <c r="U24" s="138">
        <f>Q24/T24</f>
        <v>0.49330921857844984</v>
      </c>
      <c r="V24" s="340">
        <f>J24/Q24</f>
        <v>3.446998903508772</v>
      </c>
      <c r="W24" s="336">
        <f>Q24/D24</f>
        <v>4.1220897910480142E-2</v>
      </c>
      <c r="X24" s="623">
        <f>AVERAGE(X2:X15)</f>
        <v>6.6666666666666661</v>
      </c>
      <c r="Y24" s="618">
        <f>AVERAGE(Y15:Y23)</f>
        <v>0.9296918262679158</v>
      </c>
      <c r="Z24" s="18"/>
      <c r="AA24" s="18"/>
      <c r="AB24" s="18"/>
      <c r="AC24" s="18"/>
      <c r="AD24" s="18"/>
      <c r="AE24" s="18"/>
      <c r="AF24" s="18"/>
      <c r="AG24" s="508"/>
      <c r="AH24" s="18"/>
      <c r="AI24" s="18"/>
      <c r="AJ24" s="18"/>
      <c r="AK24" s="18"/>
      <c r="AL24" s="18"/>
      <c r="AM24" s="18"/>
      <c r="AN24" s="508"/>
      <c r="AO24" s="18"/>
      <c r="AP24" s="18"/>
      <c r="AQ24" s="18"/>
    </row>
    <row r="25" spans="2:79" customFormat="1" ht="14.4">
      <c r="J25" s="477"/>
      <c r="K25" s="607"/>
      <c r="X25" s="482"/>
      <c r="AG25" s="477"/>
      <c r="AN25" s="477"/>
      <c r="AY25" s="477"/>
      <c r="BQ25" s="477"/>
    </row>
    <row r="26" spans="2:79">
      <c r="U26" s="30"/>
      <c r="V26" s="30"/>
      <c r="W26" s="30"/>
      <c r="X26" s="490"/>
      <c r="Y26" s="30"/>
      <c r="Z26" s="57" t="s">
        <v>171</v>
      </c>
      <c r="AA26" s="57"/>
      <c r="AB26" s="57"/>
      <c r="AC26" s="57"/>
      <c r="AD26" s="57"/>
      <c r="AE26" s="57"/>
      <c r="AF26" s="57"/>
      <c r="AG26" s="509"/>
      <c r="AH26" s="57"/>
      <c r="AI26" s="57"/>
      <c r="AJ26" s="57"/>
      <c r="AK26" s="57" t="s">
        <v>29</v>
      </c>
      <c r="AL26" s="57"/>
      <c r="AM26" s="57"/>
      <c r="AN26" s="509"/>
      <c r="AO26" s="57"/>
      <c r="AP26" s="57" t="s">
        <v>166</v>
      </c>
      <c r="AQ26" s="57" t="s">
        <v>172</v>
      </c>
    </row>
    <row r="27" spans="2:79">
      <c r="U27" s="30"/>
      <c r="V27" s="30"/>
      <c r="W27" s="30"/>
      <c r="X27" s="490"/>
      <c r="Y27" s="30"/>
      <c r="Z27" s="32"/>
      <c r="AA27" s="32"/>
      <c r="AB27" s="32"/>
      <c r="AC27" s="32"/>
      <c r="AD27" s="32"/>
      <c r="AE27" s="32"/>
      <c r="AF27" s="32"/>
      <c r="AG27" s="510"/>
      <c r="AH27" s="32"/>
      <c r="AI27" s="32"/>
      <c r="AJ27" s="32"/>
      <c r="AK27" s="32"/>
      <c r="AL27" s="32"/>
      <c r="AM27" s="32"/>
      <c r="AN27" s="510"/>
      <c r="AO27" s="32"/>
      <c r="AP27" s="32"/>
      <c r="AQ27" s="33"/>
    </row>
    <row r="28" spans="2:79" ht="13.5" customHeight="1" thickBot="1">
      <c r="B28" s="2020" t="s">
        <v>154</v>
      </c>
      <c r="C28" s="2021"/>
      <c r="D28" s="2021"/>
      <c r="E28" s="2021"/>
      <c r="F28" s="2021"/>
      <c r="G28" s="2021"/>
      <c r="H28" s="2021"/>
      <c r="I28" s="2021"/>
      <c r="J28" s="2021"/>
      <c r="K28" s="2021"/>
      <c r="L28" s="2021"/>
      <c r="M28" s="2021"/>
      <c r="N28" s="2021"/>
      <c r="O28" s="2021"/>
      <c r="P28" s="2021"/>
      <c r="Q28" s="2021"/>
      <c r="R28" s="2021"/>
      <c r="S28" s="2021"/>
      <c r="T28" s="2021"/>
      <c r="U28" s="2021"/>
      <c r="V28" s="2021"/>
      <c r="W28" s="2021"/>
      <c r="X28" s="2021"/>
      <c r="Y28" s="2022"/>
      <c r="Z28" s="2028" t="s">
        <v>70</v>
      </c>
      <c r="AA28" s="2029"/>
      <c r="AB28" s="2029"/>
      <c r="AC28" s="2029"/>
      <c r="AD28" s="2029"/>
      <c r="AE28" s="2029"/>
      <c r="AF28" s="2029"/>
      <c r="AG28" s="2029"/>
      <c r="AH28" s="2029"/>
      <c r="AI28" s="2029"/>
      <c r="AJ28" s="2029"/>
      <c r="AK28" s="2029"/>
      <c r="AL28" s="2029"/>
      <c r="AM28" s="2029"/>
      <c r="AN28" s="2029"/>
      <c r="AO28" s="2029"/>
      <c r="AP28" s="2029"/>
      <c r="AQ28" s="2030"/>
      <c r="AR28" s="2025" t="s">
        <v>72</v>
      </c>
      <c r="AS28" s="2026"/>
      <c r="AT28" s="2026"/>
      <c r="AU28" s="2026"/>
      <c r="AV28" s="2026"/>
      <c r="AW28" s="2026"/>
      <c r="AX28" s="2026"/>
      <c r="AY28" s="2026"/>
      <c r="AZ28" s="2026"/>
      <c r="BA28" s="2026"/>
      <c r="BB28" s="2026"/>
      <c r="BC28" s="2026"/>
      <c r="BD28" s="2026"/>
      <c r="BE28" s="2026"/>
      <c r="BF28" s="2026"/>
      <c r="BG28" s="2026"/>
      <c r="BH28" s="2026"/>
      <c r="BI28" s="2027"/>
      <c r="BJ28" s="2028" t="s">
        <v>182</v>
      </c>
      <c r="BK28" s="2029"/>
      <c r="BL28" s="2029"/>
      <c r="BM28" s="2029"/>
      <c r="BN28" s="2029"/>
      <c r="BO28" s="2029"/>
      <c r="BP28" s="2029"/>
      <c r="BQ28" s="2029"/>
      <c r="BR28" s="2029"/>
      <c r="BS28" s="2029"/>
      <c r="BT28" s="2029"/>
      <c r="BU28" s="2029"/>
      <c r="BV28" s="2029"/>
      <c r="BW28" s="2029"/>
      <c r="BX28" s="2029"/>
      <c r="BY28" s="2029"/>
      <c r="BZ28" s="2029"/>
      <c r="CA28" s="2030"/>
    </row>
    <row r="29" spans="2:79" ht="13.5" customHeight="1">
      <c r="B29" s="185"/>
      <c r="C29" s="2023" t="s">
        <v>14</v>
      </c>
      <c r="D29" s="2023"/>
      <c r="E29" s="2023"/>
      <c r="F29" s="2023"/>
      <c r="G29" s="2023"/>
      <c r="H29" s="2023"/>
      <c r="I29" s="2023"/>
      <c r="J29" s="2023"/>
      <c r="K29" s="2023"/>
      <c r="L29" s="2023"/>
      <c r="M29" s="2023"/>
      <c r="N29" s="2023"/>
      <c r="O29" s="2023"/>
      <c r="P29" s="2023"/>
      <c r="Q29" s="2005" t="s">
        <v>116</v>
      </c>
      <c r="R29" s="2005"/>
      <c r="S29" s="2005"/>
      <c r="T29" s="2005"/>
      <c r="U29" s="2005"/>
      <c r="V29" s="2005"/>
      <c r="W29" s="2005"/>
      <c r="X29" s="2005"/>
      <c r="Y29" s="2024"/>
      <c r="Z29" s="2031" t="s">
        <v>14</v>
      </c>
      <c r="AA29" s="2032"/>
      <c r="AB29" s="2032"/>
      <c r="AC29" s="2032"/>
      <c r="AD29" s="2032"/>
      <c r="AE29" s="2032"/>
      <c r="AF29" s="2032"/>
      <c r="AG29" s="2032"/>
      <c r="AH29" s="2032"/>
      <c r="AI29" s="2032"/>
      <c r="AJ29" s="2032"/>
      <c r="AK29" s="2032" t="s">
        <v>116</v>
      </c>
      <c r="AL29" s="2032"/>
      <c r="AM29" s="2032"/>
      <c r="AN29" s="2032"/>
      <c r="AO29" s="2032"/>
      <c r="AP29" s="2032"/>
      <c r="AQ29" s="2033"/>
      <c r="AR29" s="2034" t="s">
        <v>14</v>
      </c>
      <c r="AS29" s="2035"/>
      <c r="AT29" s="2035"/>
      <c r="AU29" s="2035"/>
      <c r="AV29" s="2035"/>
      <c r="AW29" s="2035"/>
      <c r="AX29" s="2035"/>
      <c r="AY29" s="2035"/>
      <c r="AZ29" s="2035"/>
      <c r="BA29" s="2035"/>
      <c r="BB29" s="2035"/>
      <c r="BC29" s="2035" t="s">
        <v>116</v>
      </c>
      <c r="BD29" s="2035"/>
      <c r="BE29" s="2035"/>
      <c r="BF29" s="2035"/>
      <c r="BG29" s="2035"/>
      <c r="BH29" s="2035"/>
      <c r="BI29" s="2036"/>
      <c r="BJ29" s="2031" t="s">
        <v>14</v>
      </c>
      <c r="BK29" s="2032"/>
      <c r="BL29" s="2032"/>
      <c r="BM29" s="2032"/>
      <c r="BN29" s="2032"/>
      <c r="BO29" s="2032"/>
      <c r="BP29" s="2032"/>
      <c r="BQ29" s="2032"/>
      <c r="BR29" s="2032"/>
      <c r="BS29" s="2032"/>
      <c r="BT29" s="2032"/>
      <c r="BU29" s="2032" t="s">
        <v>116</v>
      </c>
      <c r="BV29" s="2032"/>
      <c r="BW29" s="2032"/>
      <c r="BX29" s="2032"/>
      <c r="BY29" s="2032"/>
      <c r="BZ29" s="2032"/>
      <c r="CA29" s="2033"/>
    </row>
    <row r="30" spans="2:79" s="22" customFormat="1" ht="46.8">
      <c r="B30" s="186" t="s">
        <v>119</v>
      </c>
      <c r="C30" s="445" t="s">
        <v>120</v>
      </c>
      <c r="D30" s="445" t="s">
        <v>121</v>
      </c>
      <c r="E30" s="296" t="s">
        <v>177</v>
      </c>
      <c r="F30" s="446" t="s">
        <v>123</v>
      </c>
      <c r="G30" s="446" t="s">
        <v>124</v>
      </c>
      <c r="H30" s="446" t="s">
        <v>125</v>
      </c>
      <c r="I30" s="446" t="s">
        <v>126</v>
      </c>
      <c r="J30" s="478" t="s">
        <v>127</v>
      </c>
      <c r="K30" s="614" t="s">
        <v>128</v>
      </c>
      <c r="L30" s="446" t="s">
        <v>129</v>
      </c>
      <c r="M30" s="446" t="s">
        <v>155</v>
      </c>
      <c r="N30" s="446" t="s">
        <v>178</v>
      </c>
      <c r="O30" s="446" t="s">
        <v>179</v>
      </c>
      <c r="P30" s="297" t="s">
        <v>156</v>
      </c>
      <c r="Q30" s="443" t="s">
        <v>132</v>
      </c>
      <c r="R30" s="440" t="s">
        <v>133</v>
      </c>
      <c r="S30" s="440" t="s">
        <v>134</v>
      </c>
      <c r="T30" s="440" t="s">
        <v>157</v>
      </c>
      <c r="U30" s="137" t="s">
        <v>158</v>
      </c>
      <c r="V30" s="441" t="s">
        <v>21</v>
      </c>
      <c r="W30" s="440" t="s">
        <v>137</v>
      </c>
      <c r="X30" s="489" t="s">
        <v>173</v>
      </c>
      <c r="Y30" s="447" t="s">
        <v>23</v>
      </c>
      <c r="Z30" s="155" t="s">
        <v>120</v>
      </c>
      <c r="AA30" s="113" t="s">
        <v>121</v>
      </c>
      <c r="AB30" s="113" t="s">
        <v>177</v>
      </c>
      <c r="AC30" s="114" t="s">
        <v>123</v>
      </c>
      <c r="AD30" s="114" t="s">
        <v>124</v>
      </c>
      <c r="AE30" s="114" t="s">
        <v>125</v>
      </c>
      <c r="AF30" s="114" t="s">
        <v>126</v>
      </c>
      <c r="AG30" s="481" t="s">
        <v>127</v>
      </c>
      <c r="AH30" s="114" t="s">
        <v>178</v>
      </c>
      <c r="AI30" s="114" t="s">
        <v>179</v>
      </c>
      <c r="AJ30" s="145" t="s">
        <v>129</v>
      </c>
      <c r="AK30" s="142" t="s">
        <v>132</v>
      </c>
      <c r="AL30" s="133" t="s">
        <v>133</v>
      </c>
      <c r="AM30" s="133" t="s">
        <v>134</v>
      </c>
      <c r="AN30" s="643" t="s">
        <v>21</v>
      </c>
      <c r="AO30" s="133" t="s">
        <v>137</v>
      </c>
      <c r="AP30" s="134" t="s">
        <v>138</v>
      </c>
      <c r="AQ30" s="156" t="s">
        <v>23</v>
      </c>
      <c r="AR30" s="1182" t="s">
        <v>120</v>
      </c>
      <c r="AS30" s="1183" t="s">
        <v>121</v>
      </c>
      <c r="AT30" s="1183" t="s">
        <v>177</v>
      </c>
      <c r="AU30" s="1184" t="s">
        <v>123</v>
      </c>
      <c r="AV30" s="1184" t="s">
        <v>124</v>
      </c>
      <c r="AW30" s="1184" t="s">
        <v>125</v>
      </c>
      <c r="AX30" s="1184" t="s">
        <v>126</v>
      </c>
      <c r="AY30" s="1185" t="s">
        <v>127</v>
      </c>
      <c r="AZ30" s="114" t="s">
        <v>178</v>
      </c>
      <c r="BA30" s="114" t="s">
        <v>179</v>
      </c>
      <c r="BB30" s="145" t="s">
        <v>129</v>
      </c>
      <c r="BC30" s="142" t="s">
        <v>132</v>
      </c>
      <c r="BD30" s="133" t="s">
        <v>133</v>
      </c>
      <c r="BE30" s="133" t="s">
        <v>134</v>
      </c>
      <c r="BF30" s="133" t="s">
        <v>21</v>
      </c>
      <c r="BG30" s="133" t="s">
        <v>137</v>
      </c>
      <c r="BH30" s="134" t="s">
        <v>138</v>
      </c>
      <c r="BI30" s="156" t="s">
        <v>23</v>
      </c>
      <c r="BJ30" s="1182" t="s">
        <v>120</v>
      </c>
      <c r="BK30" s="1183" t="s">
        <v>121</v>
      </c>
      <c r="BL30" s="1183" t="s">
        <v>177</v>
      </c>
      <c r="BM30" s="1184" t="s">
        <v>123</v>
      </c>
      <c r="BN30" s="1184" t="s">
        <v>124</v>
      </c>
      <c r="BO30" s="1184" t="s">
        <v>125</v>
      </c>
      <c r="BP30" s="1184" t="s">
        <v>126</v>
      </c>
      <c r="BQ30" s="1185" t="s">
        <v>127</v>
      </c>
      <c r="BR30" s="1184" t="s">
        <v>178</v>
      </c>
      <c r="BS30" s="1184" t="s">
        <v>179</v>
      </c>
      <c r="BT30" s="1196" t="s">
        <v>129</v>
      </c>
      <c r="BU30" s="1197" t="s">
        <v>132</v>
      </c>
      <c r="BV30" s="133" t="s">
        <v>133</v>
      </c>
      <c r="BW30" s="133" t="s">
        <v>134</v>
      </c>
      <c r="BX30" s="133" t="s">
        <v>21</v>
      </c>
      <c r="BY30" s="133" t="s">
        <v>137</v>
      </c>
      <c r="BZ30" s="134" t="s">
        <v>138</v>
      </c>
      <c r="CA30" s="178" t="s">
        <v>23</v>
      </c>
    </row>
    <row r="31" spans="2:79">
      <c r="B31" s="188">
        <v>44822</v>
      </c>
      <c r="C31" s="303">
        <v>168909</v>
      </c>
      <c r="D31" s="303">
        <v>683</v>
      </c>
      <c r="E31" s="303">
        <v>28627</v>
      </c>
      <c r="F31" s="303">
        <v>4329</v>
      </c>
      <c r="G31" s="303">
        <v>1716</v>
      </c>
      <c r="H31" s="303">
        <v>994</v>
      </c>
      <c r="I31" s="303">
        <v>582</v>
      </c>
      <c r="J31" s="963">
        <v>166.89</v>
      </c>
      <c r="K31" s="308">
        <f>SUM($J$31)/$C$10</f>
        <v>8.926078654750251E-3</v>
      </c>
      <c r="L31" s="305">
        <f>D31/C31</f>
        <v>4.0435974400416796E-3</v>
      </c>
      <c r="M31" s="306">
        <f>$AB$15/30</f>
        <v>22000</v>
      </c>
      <c r="N31" s="307">
        <f>J31/E31</f>
        <v>5.829811017570824E-3</v>
      </c>
      <c r="O31" s="307">
        <f>J31/I31</f>
        <v>0.28675257731958759</v>
      </c>
      <c r="P31" s="380">
        <f>E31/M31</f>
        <v>1.3012272727272727</v>
      </c>
      <c r="Q31" s="150">
        <v>45</v>
      </c>
      <c r="R31" s="132"/>
      <c r="S31" s="132"/>
      <c r="T31" s="293">
        <f>$AB$17/30</f>
        <v>381.5</v>
      </c>
      <c r="U31" s="139">
        <f>Q31/T31</f>
        <v>0.11795543905635648</v>
      </c>
      <c r="V31" s="225">
        <f>J31/Q31</f>
        <v>3.7086666666666663</v>
      </c>
      <c r="W31" s="316">
        <f>Q31/D31</f>
        <v>6.5885797950219621E-2</v>
      </c>
      <c r="X31" s="681">
        <v>23.666666666666668</v>
      </c>
      <c r="Y31" s="318">
        <v>0.8666666666666667</v>
      </c>
      <c r="Z31" s="854">
        <v>22820</v>
      </c>
      <c r="AA31" s="855">
        <v>87</v>
      </c>
      <c r="AB31" s="459">
        <v>3525</v>
      </c>
      <c r="AC31" s="459">
        <v>710</v>
      </c>
      <c r="AD31" s="459">
        <v>278</v>
      </c>
      <c r="AE31" s="459">
        <v>163</v>
      </c>
      <c r="AF31" s="459">
        <v>99</v>
      </c>
      <c r="AG31" s="856">
        <v>22.2</v>
      </c>
      <c r="AH31" s="856">
        <f>AG31/AB31</f>
        <v>6.2978723404255319E-3</v>
      </c>
      <c r="AI31" s="856">
        <f>AG31/AF31</f>
        <v>0.22424242424242424</v>
      </c>
      <c r="AJ31" s="712">
        <f>AA31/Z31</f>
        <v>3.8124452234881683E-3</v>
      </c>
      <c r="AK31" s="857">
        <v>9</v>
      </c>
      <c r="AL31" s="858"/>
      <c r="AM31" s="858"/>
      <c r="AN31" s="859">
        <f>AG31/AK31</f>
        <v>2.4666666666666668</v>
      </c>
      <c r="AO31" s="860">
        <f>AK31/AA31</f>
        <v>0.10344827586206896</v>
      </c>
      <c r="AP31" s="132"/>
      <c r="AQ31" s="132"/>
      <c r="AR31" s="1187">
        <v>129685</v>
      </c>
      <c r="AS31" s="1187">
        <v>560</v>
      </c>
      <c r="AT31" s="1187">
        <v>22105</v>
      </c>
      <c r="AU31" s="1187">
        <v>2475</v>
      </c>
      <c r="AV31" s="1187">
        <v>959</v>
      </c>
      <c r="AW31" s="1187">
        <v>604</v>
      </c>
      <c r="AX31" s="1187">
        <v>325</v>
      </c>
      <c r="AY31" s="554">
        <v>125.47</v>
      </c>
      <c r="AZ31" s="70">
        <f>AY31/AT31</f>
        <v>5.6760913820402626E-3</v>
      </c>
      <c r="BA31" s="70">
        <f>AY31/AX31</f>
        <v>0.38606153846153846</v>
      </c>
      <c r="BB31" s="1188">
        <f>AS31/AR31</f>
        <v>4.3181555307090259E-3</v>
      </c>
      <c r="BC31" s="1187">
        <v>33</v>
      </c>
      <c r="BD31" s="322"/>
      <c r="BE31" s="132"/>
      <c r="BF31" s="228">
        <f>AY31/BC31</f>
        <v>3.8021212121212122</v>
      </c>
      <c r="BG31" s="316">
        <f>BC31/AS31</f>
        <v>5.8928571428571427E-2</v>
      </c>
      <c r="BH31" s="132"/>
      <c r="BI31" s="132"/>
      <c r="BJ31" s="1187">
        <v>16404</v>
      </c>
      <c r="BK31" s="1187">
        <v>36</v>
      </c>
      <c r="BL31" s="1187">
        <v>2997</v>
      </c>
      <c r="BM31" s="1187">
        <v>1144</v>
      </c>
      <c r="BN31" s="1187">
        <v>479</v>
      </c>
      <c r="BO31" s="1187">
        <v>227</v>
      </c>
      <c r="BP31" s="1187">
        <v>158</v>
      </c>
      <c r="BQ31" s="554">
        <v>19.22</v>
      </c>
      <c r="BR31" s="554">
        <f>BQ31/BL31</f>
        <v>6.4130797464130793E-3</v>
      </c>
      <c r="BS31" s="554">
        <f>BQ31/BP31</f>
        <v>0.12164556962025316</v>
      </c>
      <c r="BT31" s="555">
        <f>BK31/BJ31</f>
        <v>2.1945866861741038E-3</v>
      </c>
      <c r="BU31" s="1187">
        <v>3</v>
      </c>
      <c r="BV31" s="322"/>
      <c r="BW31" s="132"/>
      <c r="BX31" s="228">
        <f>BQ31/BU31</f>
        <v>6.4066666666666663</v>
      </c>
      <c r="BY31" s="870">
        <f>BU31/BK31</f>
        <v>8.3333333333333329E-2</v>
      </c>
      <c r="BZ31" s="322"/>
      <c r="CA31" s="179"/>
    </row>
    <row r="32" spans="2:79" s="24" customFormat="1">
      <c r="B32" s="188">
        <v>44823</v>
      </c>
      <c r="C32" s="303">
        <v>451789</v>
      </c>
      <c r="D32" s="303">
        <v>2319</v>
      </c>
      <c r="E32" s="303">
        <v>85573</v>
      </c>
      <c r="F32" s="303">
        <v>13947</v>
      </c>
      <c r="G32" s="303">
        <v>5550</v>
      </c>
      <c r="H32" s="303">
        <v>3276</v>
      </c>
      <c r="I32" s="303">
        <v>1767</v>
      </c>
      <c r="J32" s="963">
        <v>581.69000000000005</v>
      </c>
      <c r="K32" s="308">
        <f>SUM($J$31:J32)/$C$10</f>
        <v>4.0037653300814574E-2</v>
      </c>
      <c r="L32" s="305">
        <f>D32/C32</f>
        <v>5.1329270964985867E-3</v>
      </c>
      <c r="M32" s="306">
        <f t="shared" ref="M32:M37" si="26">$AB$15/30</f>
        <v>22000</v>
      </c>
      <c r="N32" s="307">
        <f>J32/E32</f>
        <v>6.7975880242599892E-3</v>
      </c>
      <c r="O32" s="307">
        <f t="shared" ref="O32:O34" si="27">J32/I32</f>
        <v>0.3291963780418789</v>
      </c>
      <c r="P32" s="380">
        <f>E32/M32</f>
        <v>3.8896818181818182</v>
      </c>
      <c r="Q32" s="143">
        <v>169</v>
      </c>
      <c r="R32" s="132"/>
      <c r="S32" s="132"/>
      <c r="T32" s="293">
        <f t="shared" ref="T32:T37" si="28">$AB$17/30</f>
        <v>381.5</v>
      </c>
      <c r="U32" s="73">
        <f t="shared" ref="U32:U34" si="29">Q32/T32</f>
        <v>0.44298820445609438</v>
      </c>
      <c r="V32" s="225">
        <f t="shared" ref="V32:V37" si="30">J32/Q32</f>
        <v>3.4419526627218939</v>
      </c>
      <c r="W32" s="316">
        <f t="shared" ref="W32:W37" si="31">Q32/D32</f>
        <v>7.2876239758516606E-2</v>
      </c>
      <c r="X32" s="681">
        <v>3.3333333333333335</v>
      </c>
      <c r="Y32" s="319">
        <v>0.95857988165680474</v>
      </c>
      <c r="Z32" s="861">
        <v>10179</v>
      </c>
      <c r="AA32" s="862">
        <v>40</v>
      </c>
      <c r="AB32" s="863">
        <v>1695</v>
      </c>
      <c r="AC32" s="863">
        <v>393</v>
      </c>
      <c r="AD32" s="863">
        <v>160</v>
      </c>
      <c r="AE32" s="863">
        <v>90</v>
      </c>
      <c r="AF32" s="863">
        <v>51</v>
      </c>
      <c r="AG32" s="718">
        <v>12.62</v>
      </c>
      <c r="AH32" s="718">
        <f t="shared" ref="AH32:AH33" si="32">AG32/AB32</f>
        <v>7.4454277286135689E-3</v>
      </c>
      <c r="AI32" s="718">
        <f t="shared" ref="AI32:AI33" si="33">AG32/AF32</f>
        <v>0.24745098039215685</v>
      </c>
      <c r="AJ32" s="719">
        <f>AA32/Z32</f>
        <v>3.9296591020728956E-3</v>
      </c>
      <c r="AK32" s="864">
        <v>3</v>
      </c>
      <c r="AL32" s="132"/>
      <c r="AM32" s="132"/>
      <c r="AN32" s="312">
        <f t="shared" ref="AN32:AN37" si="34">AG32/AK32</f>
        <v>4.2066666666666661</v>
      </c>
      <c r="AO32" s="316">
        <f t="shared" ref="AO32:AO37" si="35">AK32/AA32</f>
        <v>7.4999999999999997E-2</v>
      </c>
      <c r="AP32" s="132"/>
      <c r="AQ32" s="132"/>
      <c r="AR32" s="1187">
        <v>386030</v>
      </c>
      <c r="AS32" s="1187">
        <v>2130</v>
      </c>
      <c r="AT32" s="1187">
        <v>73973</v>
      </c>
      <c r="AU32" s="1187">
        <v>9548</v>
      </c>
      <c r="AV32" s="1187">
        <v>3614</v>
      </c>
      <c r="AW32" s="1187">
        <v>2255</v>
      </c>
      <c r="AX32" s="1187">
        <v>1146</v>
      </c>
      <c r="AY32" s="554">
        <v>497.36</v>
      </c>
      <c r="AZ32" s="1181">
        <f t="shared" ref="AZ32:AZ33" si="36">AY32/AT32</f>
        <v>6.7235342625011829E-3</v>
      </c>
      <c r="BA32" s="554">
        <f t="shared" ref="BA32:BA33" si="37">AY32/AX32</f>
        <v>0.43399650959860386</v>
      </c>
      <c r="BB32" s="1189">
        <f>AS32/AR32</f>
        <v>5.5177058777815197E-3</v>
      </c>
      <c r="BC32" s="1187">
        <v>148</v>
      </c>
      <c r="BD32" s="322"/>
      <c r="BE32" s="132"/>
      <c r="BF32" s="228">
        <f t="shared" ref="BF32:BF37" si="38">AY32/BC32</f>
        <v>3.3605405405405406</v>
      </c>
      <c r="BG32" s="316">
        <f t="shared" ref="BG32:BG37" si="39">BC32/AS32</f>
        <v>6.9483568075117366E-2</v>
      </c>
      <c r="BH32" s="132"/>
      <c r="BI32" s="132"/>
      <c r="BJ32" s="1187">
        <v>55580</v>
      </c>
      <c r="BK32" s="1187">
        <v>149</v>
      </c>
      <c r="BL32" s="1187">
        <v>9905</v>
      </c>
      <c r="BM32" s="1187">
        <v>4006</v>
      </c>
      <c r="BN32" s="1187">
        <v>1776</v>
      </c>
      <c r="BO32" s="1187">
        <v>931</v>
      </c>
      <c r="BP32" s="1187">
        <v>570</v>
      </c>
      <c r="BQ32" s="554">
        <v>71.709999999999994</v>
      </c>
      <c r="BR32" s="554">
        <f t="shared" ref="BR32:BR33" si="40">BQ32/BL32</f>
        <v>7.2397778899545677E-3</v>
      </c>
      <c r="BS32" s="554">
        <f t="shared" ref="BS32:BS33" si="41">BQ32/BP32</f>
        <v>0.12580701754385964</v>
      </c>
      <c r="BT32" s="555">
        <f>BK32/BJ32</f>
        <v>2.680820439006837E-3</v>
      </c>
      <c r="BU32" s="1187">
        <v>18</v>
      </c>
      <c r="BV32" s="322"/>
      <c r="BW32" s="132"/>
      <c r="BX32" s="228">
        <f t="shared" ref="BX32:BX37" si="42">BQ32/BU32</f>
        <v>3.9838888888888886</v>
      </c>
      <c r="BY32" s="561">
        <f t="shared" ref="BY32:BY37" si="43">BU32/BK32</f>
        <v>0.12080536912751678</v>
      </c>
      <c r="BZ32" s="322"/>
      <c r="CA32" s="158"/>
    </row>
    <row r="33" spans="2:79" s="26" customFormat="1">
      <c r="B33" s="188">
        <v>44824</v>
      </c>
      <c r="C33" s="303">
        <v>319938</v>
      </c>
      <c r="D33" s="303">
        <v>1461</v>
      </c>
      <c r="E33" s="303">
        <v>56345</v>
      </c>
      <c r="F33" s="303">
        <v>10681</v>
      </c>
      <c r="G33" s="303">
        <v>4392</v>
      </c>
      <c r="H33" s="303">
        <v>2477</v>
      </c>
      <c r="I33" s="303">
        <v>1345</v>
      </c>
      <c r="J33" s="963">
        <v>408.74</v>
      </c>
      <c r="K33" s="308">
        <f>SUM($J$31:J33)/$C$10</f>
        <v>6.1899031390230473E-2</v>
      </c>
      <c r="L33" s="305">
        <f>D33/C33</f>
        <v>4.5665097612662452E-3</v>
      </c>
      <c r="M33" s="306">
        <f t="shared" si="26"/>
        <v>22000</v>
      </c>
      <c r="N33" s="307">
        <f>J33/E33</f>
        <v>7.2542372881355937E-3</v>
      </c>
      <c r="O33" s="307">
        <f t="shared" si="27"/>
        <v>0.30389591078066913</v>
      </c>
      <c r="P33" s="380">
        <f>E33/M33</f>
        <v>2.5611363636363635</v>
      </c>
      <c r="Q33" s="143">
        <v>182</v>
      </c>
      <c r="R33" s="132"/>
      <c r="S33" s="132"/>
      <c r="T33" s="293">
        <f t="shared" si="28"/>
        <v>381.5</v>
      </c>
      <c r="U33" s="73">
        <f t="shared" si="29"/>
        <v>0.47706422018348627</v>
      </c>
      <c r="V33" s="225">
        <f t="shared" si="30"/>
        <v>2.2458241758241759</v>
      </c>
      <c r="W33" s="316">
        <f t="shared" si="31"/>
        <v>0.12457221081451061</v>
      </c>
      <c r="X33" s="681">
        <v>1</v>
      </c>
      <c r="Y33" s="319">
        <v>0.93406593406593408</v>
      </c>
      <c r="Z33" s="861">
        <v>3464</v>
      </c>
      <c r="AA33" s="863">
        <v>16</v>
      </c>
      <c r="AB33" s="863">
        <v>580</v>
      </c>
      <c r="AC33" s="863">
        <v>137</v>
      </c>
      <c r="AD33" s="863">
        <v>57</v>
      </c>
      <c r="AE33" s="863">
        <v>35</v>
      </c>
      <c r="AF33" s="863">
        <v>14</v>
      </c>
      <c r="AG33" s="718">
        <v>4.5999999999999996</v>
      </c>
      <c r="AH33" s="718">
        <f t="shared" si="32"/>
        <v>7.9310344827586195E-3</v>
      </c>
      <c r="AI33" s="718">
        <f t="shared" si="33"/>
        <v>0.32857142857142857</v>
      </c>
      <c r="AJ33" s="719">
        <f>AA33/Z33</f>
        <v>4.6189376443418013E-3</v>
      </c>
      <c r="AK33" s="865">
        <v>5</v>
      </c>
      <c r="AL33" s="132"/>
      <c r="AM33" s="132"/>
      <c r="AN33" s="312">
        <f t="shared" si="34"/>
        <v>0.91999999999999993</v>
      </c>
      <c r="AO33" s="316">
        <f t="shared" si="35"/>
        <v>0.3125</v>
      </c>
      <c r="AP33" s="132"/>
      <c r="AQ33" s="132"/>
      <c r="AR33" s="1187">
        <v>245440</v>
      </c>
      <c r="AS33" s="1187">
        <v>1272</v>
      </c>
      <c r="AT33" s="1187">
        <v>43370</v>
      </c>
      <c r="AU33" s="1187">
        <v>5503</v>
      </c>
      <c r="AV33" s="1187">
        <v>2091</v>
      </c>
      <c r="AW33" s="1187">
        <v>1290</v>
      </c>
      <c r="AX33" s="1187">
        <v>662</v>
      </c>
      <c r="AY33" s="554">
        <v>307.75</v>
      </c>
      <c r="AZ33" s="1181">
        <f t="shared" si="36"/>
        <v>7.0959188379063872E-3</v>
      </c>
      <c r="BA33" s="554">
        <f t="shared" si="37"/>
        <v>0.46487915407854985</v>
      </c>
      <c r="BB33" s="1189">
        <f>AS33/AR33</f>
        <v>5.1825293350717082E-3</v>
      </c>
      <c r="BC33" s="1187">
        <v>136</v>
      </c>
      <c r="BD33" s="322"/>
      <c r="BE33" s="132"/>
      <c r="BF33" s="228">
        <f t="shared" si="38"/>
        <v>2.2628676470588234</v>
      </c>
      <c r="BG33" s="316">
        <f t="shared" si="39"/>
        <v>0.1069182389937107</v>
      </c>
      <c r="BH33" s="132"/>
      <c r="BI33" s="132"/>
      <c r="BJ33" s="1187">
        <v>71034</v>
      </c>
      <c r="BK33" s="1187">
        <v>173</v>
      </c>
      <c r="BL33" s="1187">
        <v>12395</v>
      </c>
      <c r="BM33" s="1187">
        <v>5041</v>
      </c>
      <c r="BN33" s="1187">
        <v>2244</v>
      </c>
      <c r="BO33" s="1187">
        <v>1152</v>
      </c>
      <c r="BP33" s="1187">
        <v>669</v>
      </c>
      <c r="BQ33" s="554">
        <v>96.39</v>
      </c>
      <c r="BR33" s="554">
        <f t="shared" si="40"/>
        <v>7.7765227914481649E-3</v>
      </c>
      <c r="BS33" s="554">
        <f t="shared" si="41"/>
        <v>0.14408071748878923</v>
      </c>
      <c r="BT33" s="555">
        <f>BK33/BJ33</f>
        <v>2.4354534448292366E-3</v>
      </c>
      <c r="BU33" s="1187">
        <v>41</v>
      </c>
      <c r="BV33" s="322"/>
      <c r="BW33" s="132"/>
      <c r="BX33" s="228">
        <f t="shared" si="42"/>
        <v>2.3509756097560977</v>
      </c>
      <c r="BY33" s="710">
        <f t="shared" si="43"/>
        <v>0.23699421965317918</v>
      </c>
      <c r="BZ33" s="322"/>
      <c r="CA33" s="158"/>
    </row>
    <row r="34" spans="2:79">
      <c r="B34" s="188">
        <v>44825</v>
      </c>
      <c r="C34" s="309">
        <v>437130</v>
      </c>
      <c r="D34" s="309">
        <v>1996</v>
      </c>
      <c r="E34" s="309">
        <v>76070</v>
      </c>
      <c r="F34" s="309">
        <v>13238</v>
      </c>
      <c r="G34" s="309">
        <v>5315</v>
      </c>
      <c r="H34" s="309">
        <v>3107</v>
      </c>
      <c r="I34" s="309">
        <v>1642</v>
      </c>
      <c r="J34" s="964">
        <v>551.40000000000009</v>
      </c>
      <c r="K34" s="308">
        <f>SUM($J$31:J34)/$C$10</f>
        <v>9.1390551374826851E-2</v>
      </c>
      <c r="L34" s="305">
        <f t="shared" ref="L34:L37" si="44">D34/C34</f>
        <v>4.5661473703474936E-3</v>
      </c>
      <c r="M34" s="306">
        <f t="shared" si="26"/>
        <v>22000</v>
      </c>
      <c r="N34" s="307">
        <f t="shared" ref="N34:N37" si="45">J34/E34</f>
        <v>7.2485868279216527E-3</v>
      </c>
      <c r="O34" s="307">
        <f t="shared" si="27"/>
        <v>0.33580998781973209</v>
      </c>
      <c r="P34" s="380">
        <f t="shared" ref="P34:P37" si="46">E34/M34</f>
        <v>3.4577272727272725</v>
      </c>
      <c r="Q34" s="34">
        <v>149</v>
      </c>
      <c r="R34" s="132"/>
      <c r="S34" s="132"/>
      <c r="T34" s="293">
        <f t="shared" si="28"/>
        <v>381.5</v>
      </c>
      <c r="U34" s="139">
        <f t="shared" si="29"/>
        <v>0.39056356487549149</v>
      </c>
      <c r="V34" s="225">
        <f t="shared" si="30"/>
        <v>3.700671140939598</v>
      </c>
      <c r="W34" s="316">
        <f t="shared" si="31"/>
        <v>7.4649298597194394E-2</v>
      </c>
      <c r="X34" s="681">
        <v>2</v>
      </c>
      <c r="Y34" s="319">
        <v>0.97315436241610742</v>
      </c>
      <c r="Z34" s="861">
        <v>40346</v>
      </c>
      <c r="AA34" s="863">
        <v>216</v>
      </c>
      <c r="AB34" s="863">
        <v>7477</v>
      </c>
      <c r="AC34" s="863">
        <v>1809</v>
      </c>
      <c r="AD34" s="863">
        <v>799</v>
      </c>
      <c r="AE34" s="863">
        <v>516</v>
      </c>
      <c r="AF34" s="863">
        <v>251</v>
      </c>
      <c r="AG34" s="718">
        <v>54.08</v>
      </c>
      <c r="AH34" s="718">
        <f>AG34/AB34</f>
        <v>7.2328473986893139E-3</v>
      </c>
      <c r="AI34" s="718">
        <f t="shared" ref="AI34:AI37" si="47">AG34/AF34</f>
        <v>0.2154581673306773</v>
      </c>
      <c r="AJ34" s="719">
        <f t="shared" ref="AJ34:AJ37" si="48">AA34/Z34</f>
        <v>5.3536905765131614E-3</v>
      </c>
      <c r="AK34" s="865">
        <v>15</v>
      </c>
      <c r="AL34" s="132"/>
      <c r="AM34" s="132"/>
      <c r="AN34" s="312">
        <f t="shared" si="34"/>
        <v>3.6053333333333333</v>
      </c>
      <c r="AO34" s="316">
        <f t="shared" si="35"/>
        <v>6.9444444444444448E-2</v>
      </c>
      <c r="AP34" s="132"/>
      <c r="AQ34" s="132"/>
      <c r="AR34" s="1187">
        <v>331194</v>
      </c>
      <c r="AS34" s="1187">
        <v>1613</v>
      </c>
      <c r="AT34" s="1187">
        <v>57012</v>
      </c>
      <c r="AU34" s="1187">
        <v>6916</v>
      </c>
      <c r="AV34" s="1187">
        <v>2595</v>
      </c>
      <c r="AW34" s="1187">
        <v>1605</v>
      </c>
      <c r="AX34" s="1187">
        <v>806</v>
      </c>
      <c r="AY34" s="554">
        <v>410.6</v>
      </c>
      <c r="AZ34" s="1181">
        <f t="shared" ref="AZ34:AZ37" si="49">AY34/AT34</f>
        <v>7.2019925629691998E-3</v>
      </c>
      <c r="BA34" s="554">
        <f t="shared" ref="BA34:BA37" si="50">AY34/AX34</f>
        <v>0.5094292803970224</v>
      </c>
      <c r="BB34" s="1189">
        <f t="shared" ref="BB34:BB37" si="51">AS34/AR34</f>
        <v>4.8702573114247239E-3</v>
      </c>
      <c r="BC34" s="1187">
        <v>112</v>
      </c>
      <c r="BD34" s="322"/>
      <c r="BE34" s="132"/>
      <c r="BF34" s="228">
        <f t="shared" si="38"/>
        <v>3.6660714285714286</v>
      </c>
      <c r="BG34" s="316">
        <f t="shared" si="39"/>
        <v>6.9435833849969E-2</v>
      </c>
      <c r="BH34" s="132"/>
      <c r="BI34" s="132"/>
      <c r="BJ34" s="1187">
        <v>65590</v>
      </c>
      <c r="BK34" s="1187">
        <v>167</v>
      </c>
      <c r="BL34" s="1187">
        <v>11581</v>
      </c>
      <c r="BM34" s="1187">
        <v>4513</v>
      </c>
      <c r="BN34" s="1187">
        <v>1921</v>
      </c>
      <c r="BO34" s="1187">
        <v>986</v>
      </c>
      <c r="BP34" s="1187">
        <v>585</v>
      </c>
      <c r="BQ34" s="554">
        <v>86.72</v>
      </c>
      <c r="BR34" s="554">
        <f t="shared" ref="BR34:BR37" si="52">BQ34/BL34</f>
        <v>7.4881271047405234E-3</v>
      </c>
      <c r="BS34" s="554">
        <f t="shared" ref="BS34:BS37" si="53">BQ34/BP34</f>
        <v>0.14823931623931624</v>
      </c>
      <c r="BT34" s="555">
        <f t="shared" ref="BT34:BT37" si="54">BK34/BJ34</f>
        <v>2.5461198353407531E-3</v>
      </c>
      <c r="BU34" s="1187">
        <v>22</v>
      </c>
      <c r="BV34" s="322"/>
      <c r="BW34" s="132"/>
      <c r="BX34" s="228">
        <f t="shared" si="42"/>
        <v>3.9418181818181819</v>
      </c>
      <c r="BY34" s="710">
        <f t="shared" si="43"/>
        <v>0.1317365269461078</v>
      </c>
      <c r="BZ34" s="322"/>
      <c r="CA34" s="158"/>
    </row>
    <row r="35" spans="2:79">
      <c r="B35" s="188">
        <v>44826</v>
      </c>
      <c r="C35" s="309">
        <v>428867</v>
      </c>
      <c r="D35" s="309">
        <v>2058</v>
      </c>
      <c r="E35" s="309">
        <v>72226</v>
      </c>
      <c r="F35" s="309">
        <v>12597</v>
      </c>
      <c r="G35" s="309">
        <v>5009</v>
      </c>
      <c r="H35" s="309">
        <v>2999</v>
      </c>
      <c r="I35" s="309">
        <v>1424</v>
      </c>
      <c r="J35" s="964">
        <v>585.92999999999995</v>
      </c>
      <c r="K35" s="308">
        <f>SUM($J$31:J35)/$C$10</f>
        <v>0.12272890158261529</v>
      </c>
      <c r="L35" s="305">
        <f t="shared" si="44"/>
        <v>4.7986905031163511E-3</v>
      </c>
      <c r="M35" s="306">
        <f t="shared" si="26"/>
        <v>22000</v>
      </c>
      <c r="N35" s="307">
        <f t="shared" si="45"/>
        <v>8.1124525794035382E-3</v>
      </c>
      <c r="O35" s="307">
        <f t="shared" ref="O35:O37" si="55">J35/I35</f>
        <v>0.41146769662921345</v>
      </c>
      <c r="P35" s="380">
        <f t="shared" si="46"/>
        <v>3.2829999999999999</v>
      </c>
      <c r="Q35" s="456">
        <v>142</v>
      </c>
      <c r="R35" s="132"/>
      <c r="S35" s="132"/>
      <c r="T35" s="293">
        <f t="shared" si="28"/>
        <v>381.5</v>
      </c>
      <c r="U35" s="73">
        <f t="shared" ref="U35:U37" si="56">Q35/T35</f>
        <v>0.37221494102228048</v>
      </c>
      <c r="V35" s="225">
        <f t="shared" si="30"/>
        <v>4.1262676056338021</v>
      </c>
      <c r="W35" s="316">
        <f t="shared" si="31"/>
        <v>6.8999028182701649E-2</v>
      </c>
      <c r="X35" s="681">
        <v>2.6666666666666665</v>
      </c>
      <c r="Y35" s="319">
        <v>0.96478873239436624</v>
      </c>
      <c r="Z35" s="861">
        <v>135225</v>
      </c>
      <c r="AA35" s="863">
        <v>863</v>
      </c>
      <c r="AB35" s="863">
        <v>24548</v>
      </c>
      <c r="AC35" s="863">
        <v>6088</v>
      </c>
      <c r="AD35" s="863">
        <v>2592</v>
      </c>
      <c r="AE35" s="863">
        <v>1586</v>
      </c>
      <c r="AF35" s="863">
        <v>678</v>
      </c>
      <c r="AG35" s="718">
        <v>204.06</v>
      </c>
      <c r="AH35" s="718">
        <f t="shared" ref="AH35:AH37" si="57">AG35/AB35</f>
        <v>8.3126934984520118E-3</v>
      </c>
      <c r="AI35" s="718">
        <f t="shared" si="47"/>
        <v>0.30097345132743364</v>
      </c>
      <c r="AJ35" s="719">
        <f t="shared" si="48"/>
        <v>6.381955999260492E-3</v>
      </c>
      <c r="AK35" s="865">
        <v>33</v>
      </c>
      <c r="AL35" s="132"/>
      <c r="AM35" s="132"/>
      <c r="AN35" s="312">
        <f t="shared" si="34"/>
        <v>6.1836363636363636</v>
      </c>
      <c r="AO35" s="316">
        <f t="shared" si="35"/>
        <v>3.8238702201622246E-2</v>
      </c>
      <c r="AP35" s="132"/>
      <c r="AQ35" s="132"/>
      <c r="AR35" s="1187">
        <v>272005</v>
      </c>
      <c r="AS35" s="1187">
        <v>1133</v>
      </c>
      <c r="AT35" s="1187">
        <v>44039</v>
      </c>
      <c r="AU35" s="1187">
        <v>5092</v>
      </c>
      <c r="AV35" s="1187">
        <v>1770</v>
      </c>
      <c r="AW35" s="1187">
        <v>1081</v>
      </c>
      <c r="AX35" s="1187">
        <v>538</v>
      </c>
      <c r="AY35" s="554">
        <v>352.46</v>
      </c>
      <c r="AZ35" s="1181">
        <f t="shared" si="49"/>
        <v>8.0033606575989451E-3</v>
      </c>
      <c r="BA35" s="554">
        <f t="shared" si="50"/>
        <v>0.65513011152416356</v>
      </c>
      <c r="BB35" s="1189">
        <f t="shared" si="51"/>
        <v>4.1653646072682491E-3</v>
      </c>
      <c r="BC35" s="1187">
        <v>101</v>
      </c>
      <c r="BD35" s="322"/>
      <c r="BE35" s="132"/>
      <c r="BF35" s="228">
        <f t="shared" si="38"/>
        <v>3.4897029702970297</v>
      </c>
      <c r="BG35" s="316">
        <f t="shared" si="39"/>
        <v>8.9143865842894965E-2</v>
      </c>
      <c r="BH35" s="132"/>
      <c r="BI35" s="132"/>
      <c r="BJ35" s="1187">
        <v>21637</v>
      </c>
      <c r="BK35" s="1187">
        <v>62</v>
      </c>
      <c r="BL35" s="1187">
        <v>3639</v>
      </c>
      <c r="BM35" s="1187">
        <v>1417</v>
      </c>
      <c r="BN35" s="1187">
        <v>647</v>
      </c>
      <c r="BO35" s="1187">
        <v>332</v>
      </c>
      <c r="BP35" s="1187">
        <v>208</v>
      </c>
      <c r="BQ35" s="554">
        <v>29.41</v>
      </c>
      <c r="BR35" s="554">
        <f t="shared" si="52"/>
        <v>8.0818906292937625E-3</v>
      </c>
      <c r="BS35" s="554">
        <f t="shared" si="53"/>
        <v>0.14139423076923077</v>
      </c>
      <c r="BT35" s="555">
        <f t="shared" si="54"/>
        <v>2.8654619401950361E-3</v>
      </c>
      <c r="BU35" s="1187">
        <v>8</v>
      </c>
      <c r="BV35" s="322"/>
      <c r="BW35" s="132"/>
      <c r="BX35" s="228">
        <f t="shared" si="42"/>
        <v>3.67625</v>
      </c>
      <c r="BY35" s="710">
        <f t="shared" si="43"/>
        <v>0.12903225806451613</v>
      </c>
      <c r="BZ35" s="322"/>
      <c r="CA35" s="158"/>
    </row>
    <row r="36" spans="2:79">
      <c r="B36" s="295">
        <v>44827</v>
      </c>
      <c r="C36" s="309">
        <v>411300</v>
      </c>
      <c r="D36" s="309">
        <v>1998</v>
      </c>
      <c r="E36" s="309">
        <v>67935</v>
      </c>
      <c r="F36" s="309">
        <v>13842</v>
      </c>
      <c r="G36" s="309">
        <v>5777</v>
      </c>
      <c r="H36" s="309">
        <v>3424</v>
      </c>
      <c r="I36" s="309">
        <v>1611</v>
      </c>
      <c r="J36" s="964">
        <v>556.30999999999995</v>
      </c>
      <c r="K36" s="308">
        <f>SUM($J$31:J36)/$C$10</f>
        <v>0.15248303194647239</v>
      </c>
      <c r="L36" s="305">
        <f t="shared" si="44"/>
        <v>4.8577680525164115E-3</v>
      </c>
      <c r="M36" s="306">
        <f t="shared" si="26"/>
        <v>22000</v>
      </c>
      <c r="N36" s="307">
        <f t="shared" si="45"/>
        <v>8.1888569956576132E-3</v>
      </c>
      <c r="O36" s="307">
        <f t="shared" si="55"/>
        <v>0.34531967721911855</v>
      </c>
      <c r="P36" s="380">
        <f t="shared" si="46"/>
        <v>3.0879545454545454</v>
      </c>
      <c r="Q36" s="456">
        <v>144</v>
      </c>
      <c r="R36" s="132"/>
      <c r="S36" s="132"/>
      <c r="T36" s="293">
        <f t="shared" si="28"/>
        <v>381.5</v>
      </c>
      <c r="U36" s="73">
        <f t="shared" si="56"/>
        <v>0.37745740498034075</v>
      </c>
      <c r="V36" s="225">
        <f t="shared" si="30"/>
        <v>3.8632638888888886</v>
      </c>
      <c r="W36" s="316">
        <f t="shared" si="31"/>
        <v>7.2072072072072071E-2</v>
      </c>
      <c r="X36" s="681">
        <v>3.3333333333333335</v>
      </c>
      <c r="Y36" s="319">
        <v>0.95138888888888884</v>
      </c>
      <c r="Z36" s="861">
        <v>215695</v>
      </c>
      <c r="AA36" s="863">
        <v>1310</v>
      </c>
      <c r="AB36" s="863">
        <v>36156</v>
      </c>
      <c r="AC36" s="863">
        <v>8493</v>
      </c>
      <c r="AD36" s="863">
        <v>3733</v>
      </c>
      <c r="AE36" s="863">
        <v>2324</v>
      </c>
      <c r="AF36" s="863">
        <v>971</v>
      </c>
      <c r="AG36" s="718">
        <v>303.88</v>
      </c>
      <c r="AH36" s="718">
        <f t="shared" si="57"/>
        <v>8.4046907843788026E-3</v>
      </c>
      <c r="AI36" s="718">
        <f t="shared" si="47"/>
        <v>0.31295571575695158</v>
      </c>
      <c r="AJ36" s="719">
        <f t="shared" si="48"/>
        <v>6.073390667377547E-3</v>
      </c>
      <c r="AK36" s="865">
        <v>68</v>
      </c>
      <c r="AL36" s="132"/>
      <c r="AM36" s="132"/>
      <c r="AN36" s="312">
        <f t="shared" si="34"/>
        <v>4.4688235294117646</v>
      </c>
      <c r="AO36" s="316">
        <f t="shared" si="35"/>
        <v>5.1908396946564885E-2</v>
      </c>
      <c r="AP36" s="132"/>
      <c r="AQ36" s="132"/>
      <c r="AR36" s="1187">
        <v>157712</v>
      </c>
      <c r="AS36" s="1187">
        <v>593</v>
      </c>
      <c r="AT36" s="1187">
        <v>25297</v>
      </c>
      <c r="AU36" s="1187">
        <v>2849</v>
      </c>
      <c r="AV36" s="1187">
        <v>1038</v>
      </c>
      <c r="AW36" s="1187">
        <v>598</v>
      </c>
      <c r="AX36" s="1187">
        <v>298</v>
      </c>
      <c r="AY36" s="554">
        <v>199.27</v>
      </c>
      <c r="AZ36" s="1181">
        <f t="shared" si="49"/>
        <v>7.8772186425267818E-3</v>
      </c>
      <c r="BA36" s="554">
        <f t="shared" si="50"/>
        <v>0.66869127516778526</v>
      </c>
      <c r="BB36" s="1189">
        <f t="shared" si="51"/>
        <v>3.7600182611342192E-3</v>
      </c>
      <c r="BC36" s="1187">
        <v>65</v>
      </c>
      <c r="BD36" s="322"/>
      <c r="BE36" s="132"/>
      <c r="BF36" s="228">
        <f t="shared" si="38"/>
        <v>3.0656923076923079</v>
      </c>
      <c r="BG36" s="316">
        <f t="shared" si="39"/>
        <v>0.10961214165261383</v>
      </c>
      <c r="BH36" s="132"/>
      <c r="BI36" s="132"/>
      <c r="BJ36" s="1187">
        <v>37893</v>
      </c>
      <c r="BK36" s="1187">
        <v>95</v>
      </c>
      <c r="BL36" s="1187">
        <v>6482</v>
      </c>
      <c r="BM36" s="1187">
        <v>2500</v>
      </c>
      <c r="BN36" s="1187">
        <v>1006</v>
      </c>
      <c r="BO36" s="1187">
        <v>502</v>
      </c>
      <c r="BP36" s="1187">
        <v>342</v>
      </c>
      <c r="BQ36" s="554">
        <v>53.16</v>
      </c>
      <c r="BR36" s="554">
        <f t="shared" si="52"/>
        <v>8.2011724776303602E-3</v>
      </c>
      <c r="BS36" s="554">
        <f t="shared" si="53"/>
        <v>0.15543859649122807</v>
      </c>
      <c r="BT36" s="555">
        <f t="shared" si="54"/>
        <v>2.5070593513313805E-3</v>
      </c>
      <c r="BU36" s="1187">
        <v>11</v>
      </c>
      <c r="BV36" s="322"/>
      <c r="BW36" s="132"/>
      <c r="BX36" s="228">
        <f t="shared" si="42"/>
        <v>4.8327272727272721</v>
      </c>
      <c r="BY36" s="710">
        <f t="shared" si="43"/>
        <v>0.11578947368421053</v>
      </c>
      <c r="BZ36" s="322"/>
      <c r="CA36" s="158"/>
    </row>
    <row r="37" spans="2:79">
      <c r="B37" s="295">
        <v>44828</v>
      </c>
      <c r="C37" s="309">
        <v>400699</v>
      </c>
      <c r="D37" s="309">
        <v>1870</v>
      </c>
      <c r="E37" s="309">
        <v>64773</v>
      </c>
      <c r="F37" s="309">
        <v>14098</v>
      </c>
      <c r="G37" s="309">
        <v>5884</v>
      </c>
      <c r="H37" s="309">
        <v>3518</v>
      </c>
      <c r="I37" s="309">
        <v>1558</v>
      </c>
      <c r="J37" s="964">
        <v>587.96</v>
      </c>
      <c r="K37" s="308">
        <f>SUM($J$31:J37)/$C$10</f>
        <v>0.1839299563029165</v>
      </c>
      <c r="L37" s="305">
        <f t="shared" si="44"/>
        <v>4.6668446889061369E-3</v>
      </c>
      <c r="M37" s="306">
        <f t="shared" si="26"/>
        <v>22000</v>
      </c>
      <c r="N37" s="307">
        <f t="shared" si="45"/>
        <v>9.0772389730288863E-3</v>
      </c>
      <c r="O37" s="307">
        <f t="shared" si="55"/>
        <v>0.37738125802310657</v>
      </c>
      <c r="P37" s="380">
        <f t="shared" si="46"/>
        <v>2.9442272727272729</v>
      </c>
      <c r="Q37" s="457">
        <v>151</v>
      </c>
      <c r="R37" s="132"/>
      <c r="S37" s="132"/>
      <c r="T37" s="293">
        <f t="shared" si="28"/>
        <v>381.5</v>
      </c>
      <c r="U37" s="462">
        <f t="shared" si="56"/>
        <v>0.39580602883355176</v>
      </c>
      <c r="V37" s="225">
        <f t="shared" si="30"/>
        <v>3.8937748344370862</v>
      </c>
      <c r="W37" s="316">
        <f t="shared" si="31"/>
        <v>8.0748663101604279E-2</v>
      </c>
      <c r="X37" s="681">
        <v>10.666666666666666</v>
      </c>
      <c r="Y37" s="319">
        <v>0.92052980132450335</v>
      </c>
      <c r="Z37" s="853">
        <v>278937</v>
      </c>
      <c r="AA37" s="866">
        <v>1432</v>
      </c>
      <c r="AB37" s="866">
        <v>44564</v>
      </c>
      <c r="AC37" s="866">
        <v>10210</v>
      </c>
      <c r="AD37" s="866">
        <v>4327</v>
      </c>
      <c r="AE37" s="866">
        <v>2652</v>
      </c>
      <c r="AF37" s="866">
        <v>1083</v>
      </c>
      <c r="AG37" s="867">
        <v>409.92</v>
      </c>
      <c r="AH37" s="716">
        <f t="shared" si="57"/>
        <v>9.1984561529485694E-3</v>
      </c>
      <c r="AI37" s="716">
        <f t="shared" si="47"/>
        <v>0.37850415512465374</v>
      </c>
      <c r="AJ37" s="146">
        <f t="shared" si="48"/>
        <v>5.1337757271355177E-3</v>
      </c>
      <c r="AK37" s="866">
        <v>83</v>
      </c>
      <c r="AL37" s="132"/>
      <c r="AM37" s="132"/>
      <c r="AN37" s="312">
        <f t="shared" si="34"/>
        <v>4.9387951807228916</v>
      </c>
      <c r="AO37" s="316">
        <f t="shared" si="35"/>
        <v>5.7960893854748605E-2</v>
      </c>
      <c r="AP37" s="132"/>
      <c r="AQ37" s="132"/>
      <c r="AR37" s="1187">
        <v>84733</v>
      </c>
      <c r="AS37" s="1187">
        <v>334</v>
      </c>
      <c r="AT37" s="1187">
        <v>14189</v>
      </c>
      <c r="AU37" s="1187">
        <v>1586</v>
      </c>
      <c r="AV37" s="1187">
        <v>576</v>
      </c>
      <c r="AW37" s="1187">
        <v>358</v>
      </c>
      <c r="AX37" s="1187">
        <v>188</v>
      </c>
      <c r="AY37" s="554">
        <v>123.62</v>
      </c>
      <c r="AZ37" s="1181">
        <f t="shared" si="49"/>
        <v>8.7123828317710907E-3</v>
      </c>
      <c r="BA37" s="554">
        <f t="shared" si="50"/>
        <v>0.65755319148936175</v>
      </c>
      <c r="BB37" s="1189">
        <f t="shared" si="51"/>
        <v>3.9417936341212987E-3</v>
      </c>
      <c r="BC37" s="1187">
        <v>54</v>
      </c>
      <c r="BD37" s="322"/>
      <c r="BE37" s="132"/>
      <c r="BF37" s="228">
        <f t="shared" si="38"/>
        <v>2.2892592592592593</v>
      </c>
      <c r="BG37" s="316">
        <f t="shared" si="39"/>
        <v>0.16167664670658682</v>
      </c>
      <c r="BH37" s="132"/>
      <c r="BI37" s="132"/>
      <c r="BJ37" s="1187">
        <v>37029</v>
      </c>
      <c r="BK37" s="1187">
        <v>104</v>
      </c>
      <c r="BL37" s="1187">
        <v>6020</v>
      </c>
      <c r="BM37" s="1187">
        <v>2302</v>
      </c>
      <c r="BN37" s="1187">
        <v>981</v>
      </c>
      <c r="BO37" s="1187">
        <v>508</v>
      </c>
      <c r="BP37" s="1187">
        <v>287</v>
      </c>
      <c r="BQ37" s="554">
        <v>54.42</v>
      </c>
      <c r="BR37" s="554">
        <f t="shared" si="52"/>
        <v>9.0398671096345515E-3</v>
      </c>
      <c r="BS37" s="554">
        <f t="shared" si="53"/>
        <v>0.18961672473867597</v>
      </c>
      <c r="BT37" s="555">
        <f t="shared" si="54"/>
        <v>2.8086094682546114E-3</v>
      </c>
      <c r="BU37" s="1187">
        <v>14</v>
      </c>
      <c r="BV37" s="322"/>
      <c r="BW37" s="132"/>
      <c r="BX37" s="228">
        <f t="shared" si="42"/>
        <v>3.8871428571428575</v>
      </c>
      <c r="BY37" s="710">
        <f t="shared" si="43"/>
        <v>0.13461538461538461</v>
      </c>
      <c r="BZ37" s="322"/>
      <c r="CA37" s="158"/>
    </row>
    <row r="38" spans="2:79">
      <c r="B38" s="190" t="s">
        <v>160</v>
      </c>
      <c r="C38" s="298">
        <f>SUM(C31:C37)</f>
        <v>2618632</v>
      </c>
      <c r="D38" s="298">
        <f t="shared" ref="D38:J38" si="58">SUM(D31:D37)</f>
        <v>12385</v>
      </c>
      <c r="E38" s="298">
        <f t="shared" si="58"/>
        <v>451549</v>
      </c>
      <c r="F38" s="298">
        <f t="shared" si="58"/>
        <v>82732</v>
      </c>
      <c r="G38" s="298">
        <f t="shared" si="58"/>
        <v>33643</v>
      </c>
      <c r="H38" s="298">
        <f t="shared" si="58"/>
        <v>19795</v>
      </c>
      <c r="I38" s="298">
        <f t="shared" si="58"/>
        <v>9929</v>
      </c>
      <c r="J38" s="965">
        <f t="shared" si="58"/>
        <v>3438.92</v>
      </c>
      <c r="K38" s="599">
        <f>J38/$C$10</f>
        <v>0.1839299563029165</v>
      </c>
      <c r="L38" s="299">
        <f>D38/C38</f>
        <v>4.7295687213781855E-3</v>
      </c>
      <c r="M38" s="300">
        <f>SUM(M31:M37)</f>
        <v>154000</v>
      </c>
      <c r="N38" s="301">
        <f>J38/E38</f>
        <v>7.6158290683846054E-3</v>
      </c>
      <c r="O38" s="301">
        <f>J38/I38</f>
        <v>0.34635109275858594</v>
      </c>
      <c r="P38" s="302">
        <f>E38/M38</f>
        <v>2.9321363636363635</v>
      </c>
      <c r="Q38" s="121">
        <f>SUM(Q31:Q37)</f>
        <v>982</v>
      </c>
      <c r="R38" s="27"/>
      <c r="S38" s="27"/>
      <c r="T38" s="27">
        <f>SUM(T31:T37)</f>
        <v>2670.5</v>
      </c>
      <c r="U38" s="140">
        <f>Q38/T38</f>
        <v>0.36772140048680024</v>
      </c>
      <c r="V38" s="237">
        <f>J38/Q38</f>
        <v>3.5019551934826882</v>
      </c>
      <c r="W38" s="317">
        <f>Q38/D38</f>
        <v>7.9289463060153414E-2</v>
      </c>
      <c r="X38" s="682">
        <f>AVERAGE(X31:X37)</f>
        <v>6.6666666666666661</v>
      </c>
      <c r="Y38" s="317">
        <f>AVERAGE(Y31:Y37)</f>
        <v>0.93845346677332464</v>
      </c>
      <c r="Z38" s="164">
        <f>SUM(Z31:Z37)</f>
        <v>706666</v>
      </c>
      <c r="AA38" s="27">
        <f t="shared" ref="AA38:AK38" si="59">SUM(AA31:AA37)</f>
        <v>3964</v>
      </c>
      <c r="AB38" s="27">
        <f t="shared" si="59"/>
        <v>118545</v>
      </c>
      <c r="AC38" s="27">
        <f t="shared" si="59"/>
        <v>27840</v>
      </c>
      <c r="AD38" s="27">
        <f t="shared" si="59"/>
        <v>11946</v>
      </c>
      <c r="AE38" s="27">
        <f t="shared" si="59"/>
        <v>7366</v>
      </c>
      <c r="AF38" s="27">
        <f t="shared" si="59"/>
        <v>3147</v>
      </c>
      <c r="AG38" s="74">
        <f t="shared" si="59"/>
        <v>1011.3600000000001</v>
      </c>
      <c r="AH38" s="226">
        <f>AG38/AB38</f>
        <v>8.5314437555358731E-3</v>
      </c>
      <c r="AI38" s="546">
        <f>AG38/AF38</f>
        <v>0.32137273593898957</v>
      </c>
      <c r="AJ38" s="547">
        <f>AA38/Z38</f>
        <v>5.6094392541879753E-3</v>
      </c>
      <c r="AK38" s="121">
        <f t="shared" si="59"/>
        <v>216</v>
      </c>
      <c r="AL38" s="27"/>
      <c r="AM38" s="27"/>
      <c r="AN38" s="227">
        <f>AG38/AK38</f>
        <v>4.6822222222222232</v>
      </c>
      <c r="AO38" s="147">
        <f>AK38/AA38</f>
        <v>5.4490413723511606E-2</v>
      </c>
      <c r="AP38" s="130"/>
      <c r="AQ38" s="165"/>
      <c r="AR38" s="1186">
        <f>SUM(AR31:AR37)</f>
        <v>1606799</v>
      </c>
      <c r="AS38" s="298">
        <f t="shared" ref="AS38:AY38" si="60">SUM(AS31:AS37)</f>
        <v>7635</v>
      </c>
      <c r="AT38" s="298">
        <f t="shared" si="60"/>
        <v>279985</v>
      </c>
      <c r="AU38" s="298">
        <f t="shared" si="60"/>
        <v>33969</v>
      </c>
      <c r="AV38" s="298">
        <f t="shared" si="60"/>
        <v>12643</v>
      </c>
      <c r="AW38" s="298">
        <f t="shared" si="60"/>
        <v>7791</v>
      </c>
      <c r="AX38" s="298">
        <f t="shared" si="60"/>
        <v>3963</v>
      </c>
      <c r="AY38" s="479">
        <f t="shared" si="60"/>
        <v>2016.5300000000002</v>
      </c>
      <c r="AZ38" s="1179">
        <f>AY38/AT38</f>
        <v>7.202278693501438E-3</v>
      </c>
      <c r="BA38" s="1179">
        <f>AY38/AX38</f>
        <v>0.50883926318445627</v>
      </c>
      <c r="BB38" s="1180">
        <f>AS38/AR38</f>
        <v>4.7516833157103039E-3</v>
      </c>
      <c r="BC38" s="551">
        <f t="shared" ref="BC38" si="61">SUM(BC31:BC37)</f>
        <v>649</v>
      </c>
      <c r="BD38" s="27"/>
      <c r="BE38" s="27"/>
      <c r="BF38" s="227">
        <f>AY38/BC38</f>
        <v>3.10713405238829</v>
      </c>
      <c r="BG38" s="147">
        <f>BC38/AS38</f>
        <v>8.5003274394237063E-2</v>
      </c>
      <c r="BH38" s="130"/>
      <c r="BI38" s="165"/>
      <c r="BJ38" s="1186">
        <f>SUM(BJ31:BJ37)</f>
        <v>305167</v>
      </c>
      <c r="BK38" s="298">
        <f t="shared" ref="BK38:BQ38" si="62">SUM(BK31:BK37)</f>
        <v>786</v>
      </c>
      <c r="BL38" s="298">
        <f t="shared" si="62"/>
        <v>53019</v>
      </c>
      <c r="BM38" s="298">
        <f t="shared" si="62"/>
        <v>20923</v>
      </c>
      <c r="BN38" s="298">
        <f t="shared" si="62"/>
        <v>9054</v>
      </c>
      <c r="BO38" s="298">
        <f t="shared" si="62"/>
        <v>4638</v>
      </c>
      <c r="BP38" s="298">
        <f t="shared" si="62"/>
        <v>2819</v>
      </c>
      <c r="BQ38" s="479">
        <f t="shared" si="62"/>
        <v>411.03000000000003</v>
      </c>
      <c r="BR38" s="1179">
        <f>BQ38/BL38</f>
        <v>7.7525038193855039E-3</v>
      </c>
      <c r="BS38" s="1179">
        <f>BQ38/BP38</f>
        <v>0.14580702376729338</v>
      </c>
      <c r="BT38" s="1180">
        <f>BK38/BJ38</f>
        <v>2.5756389124643227E-3</v>
      </c>
      <c r="BU38" s="551">
        <f t="shared" ref="BU38" si="63">SUM(BU31:BU37)</f>
        <v>117</v>
      </c>
      <c r="BV38" s="27"/>
      <c r="BW38" s="27"/>
      <c r="BX38" s="227">
        <f>BQ38/BU38</f>
        <v>3.5130769230769232</v>
      </c>
      <c r="BY38" s="868">
        <f>BU38/BK38</f>
        <v>0.14885496183206107</v>
      </c>
      <c r="BZ38" s="130"/>
      <c r="CA38" s="165"/>
    </row>
    <row r="39" spans="2:79">
      <c r="B39" s="187">
        <v>40811</v>
      </c>
      <c r="C39" s="15">
        <v>425984</v>
      </c>
      <c r="D39" s="15">
        <v>1780</v>
      </c>
      <c r="E39" s="15">
        <v>67097</v>
      </c>
      <c r="F39" s="52">
        <v>13516</v>
      </c>
      <c r="G39" s="52">
        <v>5508</v>
      </c>
      <c r="H39" s="52">
        <v>3308</v>
      </c>
      <c r="I39" s="52">
        <v>1588</v>
      </c>
      <c r="J39" s="904">
        <v>575.14</v>
      </c>
      <c r="K39" s="308">
        <f>SUM($J$38:J39)/$C$10</f>
        <v>0.21469120549395887</v>
      </c>
      <c r="L39" s="305">
        <f>D39/C39</f>
        <v>4.1785606971153849E-3</v>
      </c>
      <c r="M39" s="306">
        <f>$AB$15/30</f>
        <v>22000</v>
      </c>
      <c r="N39" s="307">
        <f>J39/E39</f>
        <v>8.5717692296227842E-3</v>
      </c>
      <c r="O39" s="307">
        <f>J39/I39</f>
        <v>0.3621788413098237</v>
      </c>
      <c r="P39" s="380">
        <f>E39/M39</f>
        <v>3.0498636363636362</v>
      </c>
      <c r="Q39" s="143">
        <v>125</v>
      </c>
      <c r="R39" s="52"/>
      <c r="S39" s="52"/>
      <c r="T39" s="293">
        <f>$AB$17/30</f>
        <v>381.5</v>
      </c>
      <c r="U39" s="455">
        <f>Q39/T39</f>
        <v>0.32765399737876805</v>
      </c>
      <c r="V39" s="225">
        <f>J39/Q39</f>
        <v>4.6011199999999999</v>
      </c>
      <c r="W39" s="560">
        <f>Q39/D39</f>
        <v>7.02247191011236E-2</v>
      </c>
      <c r="X39" s="683">
        <v>3.6666666666666665</v>
      </c>
      <c r="Y39" s="458">
        <v>0.91200000000000003</v>
      </c>
      <c r="Z39" s="166">
        <v>267903</v>
      </c>
      <c r="AA39" s="15">
        <v>1234</v>
      </c>
      <c r="AB39" s="15">
        <v>40463</v>
      </c>
      <c r="AC39" s="52">
        <v>9163</v>
      </c>
      <c r="AD39" s="52">
        <v>3808</v>
      </c>
      <c r="AE39" s="52">
        <v>2399</v>
      </c>
      <c r="AF39" s="52">
        <v>1065</v>
      </c>
      <c r="AG39" s="641">
        <v>352.54</v>
      </c>
      <c r="AH39" s="461">
        <f>AG39/AB39</f>
        <v>8.7126510639349529E-3</v>
      </c>
      <c r="AI39" s="554">
        <f>AG39/AF39</f>
        <v>0.33102347417840378</v>
      </c>
      <c r="AJ39" s="555">
        <f>AA39/Z39</f>
        <v>4.6061447613501899E-3</v>
      </c>
      <c r="AK39" s="1178">
        <v>67</v>
      </c>
      <c r="AL39" s="132"/>
      <c r="AM39" s="132"/>
      <c r="AN39" s="312">
        <f>AG39/AK39</f>
        <v>5.2617910447761194</v>
      </c>
      <c r="AO39" s="316">
        <f>AK39/AA39</f>
        <v>5.4294975688816853E-2</v>
      </c>
      <c r="AP39" s="122"/>
      <c r="AQ39" s="167"/>
      <c r="AR39" s="166">
        <v>129048</v>
      </c>
      <c r="AS39" s="15">
        <v>485</v>
      </c>
      <c r="AT39" s="15">
        <v>21768</v>
      </c>
      <c r="AU39" s="52">
        <v>2495</v>
      </c>
      <c r="AV39" s="52">
        <v>922</v>
      </c>
      <c r="AW39" s="52">
        <v>530</v>
      </c>
      <c r="AX39" s="52">
        <v>286</v>
      </c>
      <c r="AY39" s="77">
        <v>180.97</v>
      </c>
      <c r="AZ39" s="554">
        <f>AY39/AT39</f>
        <v>8.313579566335905E-3</v>
      </c>
      <c r="BA39" s="554">
        <f>AY39/AX39</f>
        <v>0.63276223776223772</v>
      </c>
      <c r="BB39" s="555">
        <f>AS39/AR39</f>
        <v>3.7582914884384104E-3</v>
      </c>
      <c r="BC39" s="1178">
        <v>56</v>
      </c>
      <c r="BD39" s="132"/>
      <c r="BE39" s="132"/>
      <c r="BF39" s="228">
        <f>AY39/BC39</f>
        <v>3.2316071428571429</v>
      </c>
      <c r="BG39" s="316">
        <f>BC39/AS39</f>
        <v>0.1154639175257732</v>
      </c>
      <c r="BH39" s="122"/>
      <c r="BI39" s="167"/>
      <c r="BJ39" s="166">
        <v>29033</v>
      </c>
      <c r="BK39" s="15">
        <v>61</v>
      </c>
      <c r="BL39" s="15">
        <v>4866</v>
      </c>
      <c r="BM39" s="52">
        <v>1858</v>
      </c>
      <c r="BN39" s="52">
        <v>778</v>
      </c>
      <c r="BO39" s="52">
        <v>379</v>
      </c>
      <c r="BP39" s="52">
        <v>237</v>
      </c>
      <c r="BQ39" s="562">
        <v>41.63</v>
      </c>
      <c r="BR39" s="554">
        <f>BQ39/BL39</f>
        <v>8.5552815454171816E-3</v>
      </c>
      <c r="BS39" s="554">
        <f>BQ39/BP39</f>
        <v>0.17565400843881857</v>
      </c>
      <c r="BT39" s="555">
        <f>BK39/BJ39</f>
        <v>2.1010574174215547E-3</v>
      </c>
      <c r="BU39" s="1195">
        <v>2</v>
      </c>
      <c r="BV39" s="132"/>
      <c r="BW39" s="132"/>
      <c r="BX39" s="228">
        <f>BQ39/BU39</f>
        <v>20.815000000000001</v>
      </c>
      <c r="BY39" s="710">
        <f>BU39/BK39</f>
        <v>3.2786885245901641E-2</v>
      </c>
      <c r="BZ39" s="122"/>
      <c r="CA39" s="167"/>
    </row>
    <row r="40" spans="2:79" s="24" customFormat="1">
      <c r="B40" s="187">
        <v>40812</v>
      </c>
      <c r="C40" s="15">
        <v>433812</v>
      </c>
      <c r="D40" s="15">
        <v>1761</v>
      </c>
      <c r="E40" s="15">
        <v>68088</v>
      </c>
      <c r="F40" s="52">
        <v>13494</v>
      </c>
      <c r="G40" s="52">
        <v>5367</v>
      </c>
      <c r="H40" s="52">
        <v>3105</v>
      </c>
      <c r="I40" s="52">
        <v>1577</v>
      </c>
      <c r="J40" s="904">
        <v>560.5</v>
      </c>
      <c r="K40" s="308">
        <f>SUM($J$38:J40)/$C$10</f>
        <v>0.24466943717942541</v>
      </c>
      <c r="L40" s="305">
        <f>D40/C40</f>
        <v>4.0593621199966805E-3</v>
      </c>
      <c r="M40" s="306">
        <f t="shared" ref="M40:M45" si="64">$AB$15/30</f>
        <v>22000</v>
      </c>
      <c r="N40" s="307">
        <f>J40/E40</f>
        <v>8.2319938902596645E-3</v>
      </c>
      <c r="O40" s="307">
        <f t="shared" ref="O40:O41" si="65">J40/I40</f>
        <v>0.35542168674698793</v>
      </c>
      <c r="P40" s="380">
        <f>E40/M40</f>
        <v>3.0949090909090908</v>
      </c>
      <c r="Q40" s="143">
        <v>167</v>
      </c>
      <c r="R40" s="52"/>
      <c r="S40" s="52"/>
      <c r="T40" s="293">
        <f t="shared" ref="T40:T45" si="66">$AB$17/30</f>
        <v>381.5</v>
      </c>
      <c r="U40" s="463">
        <f t="shared" ref="U40:U41" si="67">Q40/T40</f>
        <v>0.43774574049803405</v>
      </c>
      <c r="V40" s="225">
        <f t="shared" ref="V40:V41" si="68">J40/Q40</f>
        <v>3.3562874251497008</v>
      </c>
      <c r="W40" s="308">
        <f t="shared" ref="W40:W41" si="69">Q40/D40</f>
        <v>9.4832481544576949E-2</v>
      </c>
      <c r="X40" s="684">
        <v>4</v>
      </c>
      <c r="Y40" s="392">
        <v>0.93413173652694614</v>
      </c>
      <c r="Z40" s="166">
        <v>268062</v>
      </c>
      <c r="AA40" s="15">
        <v>1130</v>
      </c>
      <c r="AB40" s="15">
        <v>41883</v>
      </c>
      <c r="AC40" s="52">
        <v>9644</v>
      </c>
      <c r="AD40" s="52">
        <v>3945</v>
      </c>
      <c r="AE40" s="52">
        <v>2325</v>
      </c>
      <c r="AF40" s="52">
        <v>1116</v>
      </c>
      <c r="AG40" s="77">
        <v>353.53</v>
      </c>
      <c r="AH40" s="460">
        <f t="shared" ref="AH40:AH41" si="70">AG40/AB40</f>
        <v>8.4408948738151513E-3</v>
      </c>
      <c r="AI40" s="554">
        <f t="shared" ref="AI40:AI41" si="71">AG40/AF40</f>
        <v>0.31678315412186375</v>
      </c>
      <c r="AJ40" s="555">
        <f>AA40/Z40</f>
        <v>4.2154426960926946E-3</v>
      </c>
      <c r="AK40" s="1178">
        <v>94</v>
      </c>
      <c r="AL40" s="132"/>
      <c r="AM40" s="132"/>
      <c r="AN40" s="312">
        <f t="shared" ref="AN40:AN41" si="72">AG40/AK40</f>
        <v>3.7609574468085105</v>
      </c>
      <c r="AO40" s="316">
        <f t="shared" ref="AO40:AO41" si="73">AK40/AA40</f>
        <v>8.3185840707964601E-2</v>
      </c>
      <c r="AP40" s="123"/>
      <c r="AQ40" s="168"/>
      <c r="AR40" s="166">
        <v>145386</v>
      </c>
      <c r="AS40" s="15">
        <v>586</v>
      </c>
      <c r="AT40" s="15">
        <v>22891</v>
      </c>
      <c r="AU40" s="52">
        <v>2596</v>
      </c>
      <c r="AV40" s="52">
        <v>895</v>
      </c>
      <c r="AW40" s="52">
        <v>513</v>
      </c>
      <c r="AX40" s="52">
        <v>307</v>
      </c>
      <c r="AY40" s="77">
        <v>179.8</v>
      </c>
      <c r="AZ40" s="554">
        <f t="shared" ref="AZ40:AZ41" si="74">AY40/AT40</f>
        <v>7.8546153510113143E-3</v>
      </c>
      <c r="BA40" s="554">
        <f t="shared" ref="BA40:BA41" si="75">AY40/AX40</f>
        <v>0.58566775244299674</v>
      </c>
      <c r="BB40" s="555">
        <f>AS40/AR40</f>
        <v>4.0306494435502728E-3</v>
      </c>
      <c r="BC40" s="1178">
        <v>70</v>
      </c>
      <c r="BD40" s="132"/>
      <c r="BE40" s="132"/>
      <c r="BF40" s="228">
        <f t="shared" ref="BF40:BF41" si="76">AY40/BC40</f>
        <v>2.5685714285714289</v>
      </c>
      <c r="BG40" s="316">
        <f t="shared" ref="BG40:BG41" si="77">BC40/AS40</f>
        <v>0.11945392491467577</v>
      </c>
      <c r="BH40" s="123"/>
      <c r="BI40" s="168"/>
      <c r="BJ40" s="166">
        <v>20364</v>
      </c>
      <c r="BK40" s="15">
        <v>45</v>
      </c>
      <c r="BL40" s="15">
        <v>3314</v>
      </c>
      <c r="BM40" s="52">
        <v>1254</v>
      </c>
      <c r="BN40" s="52">
        <v>527</v>
      </c>
      <c r="BO40" s="52">
        <v>267</v>
      </c>
      <c r="BP40" s="52">
        <v>154</v>
      </c>
      <c r="BQ40" s="563">
        <v>27.17</v>
      </c>
      <c r="BR40" s="554">
        <f t="shared" ref="BR40:BR41" si="78">BQ40/BL40</f>
        <v>8.198551599275801E-3</v>
      </c>
      <c r="BS40" s="554">
        <f t="shared" ref="BS40:BS41" si="79">BQ40/BP40</f>
        <v>0.17642857142857143</v>
      </c>
      <c r="BT40" s="555">
        <f>BK40/BJ40</f>
        <v>2.2097819681791398E-3</v>
      </c>
      <c r="BU40" s="1195">
        <v>3</v>
      </c>
      <c r="BV40" s="132"/>
      <c r="BW40" s="132"/>
      <c r="BX40" s="228">
        <f t="shared" ref="BX40:BX41" si="80">BQ40/BU40</f>
        <v>9.0566666666666666</v>
      </c>
      <c r="BY40" s="710">
        <f t="shared" ref="BY40:BY41" si="81">BU40/BK40</f>
        <v>6.6666666666666666E-2</v>
      </c>
      <c r="BZ40" s="123"/>
      <c r="CA40" s="168"/>
    </row>
    <row r="41" spans="2:79" s="26" customFormat="1">
      <c r="B41" s="187">
        <v>40813</v>
      </c>
      <c r="C41" s="15">
        <v>416115</v>
      </c>
      <c r="D41" s="15">
        <v>1771</v>
      </c>
      <c r="E41" s="15">
        <v>66232</v>
      </c>
      <c r="F41" s="52">
        <v>14235</v>
      </c>
      <c r="G41" s="52">
        <v>5642</v>
      </c>
      <c r="H41" s="52">
        <v>3387</v>
      </c>
      <c r="I41" s="52">
        <v>1689</v>
      </c>
      <c r="J41" s="904">
        <v>549.71</v>
      </c>
      <c r="K41" s="308">
        <f>SUM($J$38:J41)/$C$10</f>
        <v>0.27407056784814593</v>
      </c>
      <c r="L41" s="305">
        <f>D41/C41</f>
        <v>4.2560349903271932E-3</v>
      </c>
      <c r="M41" s="306">
        <f t="shared" si="64"/>
        <v>22000</v>
      </c>
      <c r="N41" s="307">
        <f>J41/E41</f>
        <v>8.2997644643072847E-3</v>
      </c>
      <c r="O41" s="307">
        <f t="shared" si="65"/>
        <v>0.32546477205447011</v>
      </c>
      <c r="P41" s="381">
        <f>E41/M41</f>
        <v>3.0105454545454546</v>
      </c>
      <c r="Q41" s="143">
        <v>181</v>
      </c>
      <c r="R41" s="52"/>
      <c r="S41" s="52"/>
      <c r="T41" s="293">
        <f t="shared" si="66"/>
        <v>381.5</v>
      </c>
      <c r="U41" s="139">
        <f t="shared" si="67"/>
        <v>0.47444298820445607</v>
      </c>
      <c r="V41" s="225">
        <f t="shared" si="68"/>
        <v>3.0370718232044203</v>
      </c>
      <c r="W41" s="308">
        <f t="shared" si="69"/>
        <v>0.10220214568040654</v>
      </c>
      <c r="X41" s="684">
        <v>2</v>
      </c>
      <c r="Y41" s="392">
        <v>0.97237569060773477</v>
      </c>
      <c r="Z41" s="166">
        <v>298593</v>
      </c>
      <c r="AA41" s="15">
        <v>1342</v>
      </c>
      <c r="AB41" s="15">
        <v>47603</v>
      </c>
      <c r="AC41" s="52">
        <v>10919</v>
      </c>
      <c r="AD41" s="52">
        <v>4347</v>
      </c>
      <c r="AE41" s="52">
        <v>2644</v>
      </c>
      <c r="AF41" s="52">
        <v>1281</v>
      </c>
      <c r="AG41" s="77">
        <v>399.59</v>
      </c>
      <c r="AH41" s="1358">
        <f t="shared" si="70"/>
        <v>8.3942188517530398E-3</v>
      </c>
      <c r="AI41" s="554">
        <f t="shared" si="71"/>
        <v>0.31193598750975798</v>
      </c>
      <c r="AJ41" s="555">
        <f>AA41/Z41</f>
        <v>4.4944121262052361E-3</v>
      </c>
      <c r="AK41" s="1178">
        <v>124</v>
      </c>
      <c r="AL41" s="132"/>
      <c r="AM41" s="132"/>
      <c r="AN41" s="312">
        <f t="shared" si="72"/>
        <v>3.2224999999999997</v>
      </c>
      <c r="AO41" s="316">
        <f t="shared" si="73"/>
        <v>9.2399403874813713E-2</v>
      </c>
      <c r="AP41" s="124"/>
      <c r="AQ41" s="169"/>
      <c r="AR41" s="166">
        <v>89734</v>
      </c>
      <c r="AS41" s="15">
        <v>355</v>
      </c>
      <c r="AT41" s="15">
        <v>14121</v>
      </c>
      <c r="AU41" s="52">
        <v>1587</v>
      </c>
      <c r="AV41" s="52">
        <v>573</v>
      </c>
      <c r="AW41" s="52">
        <v>359</v>
      </c>
      <c r="AX41" s="52">
        <v>170</v>
      </c>
      <c r="AY41" s="77">
        <v>113.09</v>
      </c>
      <c r="AZ41" s="554">
        <f t="shared" si="74"/>
        <v>8.0086396147581625E-3</v>
      </c>
      <c r="BA41" s="554">
        <f t="shared" si="75"/>
        <v>0.66523529411764704</v>
      </c>
      <c r="BB41" s="555">
        <f>AS41/AR41</f>
        <v>3.9561370272137653E-3</v>
      </c>
      <c r="BC41" s="1178">
        <v>44</v>
      </c>
      <c r="BD41" s="132"/>
      <c r="BE41" s="132"/>
      <c r="BF41" s="228">
        <f t="shared" si="76"/>
        <v>2.5702272727272728</v>
      </c>
      <c r="BG41" s="316">
        <f t="shared" si="77"/>
        <v>0.12394366197183099</v>
      </c>
      <c r="BH41" s="124"/>
      <c r="BI41" s="169"/>
      <c r="BJ41" s="166">
        <v>27788</v>
      </c>
      <c r="BK41" s="15">
        <v>74</v>
      </c>
      <c r="BL41" s="15">
        <v>4508</v>
      </c>
      <c r="BM41" s="52">
        <v>1729</v>
      </c>
      <c r="BN41" s="52">
        <v>722</v>
      </c>
      <c r="BO41" s="52">
        <v>384</v>
      </c>
      <c r="BP41" s="52">
        <v>238</v>
      </c>
      <c r="BQ41" s="77">
        <v>37.03</v>
      </c>
      <c r="BR41" s="554">
        <f t="shared" si="78"/>
        <v>8.2142857142857139E-3</v>
      </c>
      <c r="BS41" s="554">
        <f t="shared" si="79"/>
        <v>0.15558823529411764</v>
      </c>
      <c r="BT41" s="555">
        <f>BK41/BJ41</f>
        <v>2.6630200086368216E-3</v>
      </c>
      <c r="BU41" s="1195">
        <v>13</v>
      </c>
      <c r="BV41" s="132"/>
      <c r="BW41" s="132"/>
      <c r="BX41" s="228">
        <f t="shared" si="80"/>
        <v>2.8484615384615384</v>
      </c>
      <c r="BY41" s="710">
        <f t="shared" si="81"/>
        <v>0.17567567567567569</v>
      </c>
      <c r="BZ41" s="124"/>
      <c r="CA41" s="169"/>
    </row>
    <row r="42" spans="2:79">
      <c r="B42" s="187">
        <v>40814</v>
      </c>
      <c r="C42" s="15">
        <v>413526</v>
      </c>
      <c r="D42" s="15">
        <v>1765</v>
      </c>
      <c r="E42" s="15">
        <v>65249</v>
      </c>
      <c r="F42" s="52">
        <v>13975</v>
      </c>
      <c r="G42" s="52">
        <v>5530</v>
      </c>
      <c r="H42" s="52">
        <v>3267</v>
      </c>
      <c r="I42" s="52">
        <v>1716</v>
      </c>
      <c r="J42" s="904">
        <v>551.54999999999995</v>
      </c>
      <c r="K42" s="308">
        <f>SUM($J$38:J42)/$C$10</f>
        <v>0.3035701105530863</v>
      </c>
      <c r="L42" s="305">
        <f t="shared" ref="L42:L45" si="82">D42/C42</f>
        <v>4.2681717715451987E-3</v>
      </c>
      <c r="M42" s="306">
        <f t="shared" si="64"/>
        <v>22000</v>
      </c>
      <c r="N42" s="307">
        <f t="shared" ref="N42:N45" si="83">J42/E42</f>
        <v>8.4530031111587911E-3</v>
      </c>
      <c r="O42" s="307">
        <f t="shared" ref="O42:O45" si="84">J42/I42</f>
        <v>0.32141608391608389</v>
      </c>
      <c r="P42" s="381">
        <f t="shared" ref="P42:P45" si="85">E42/M42</f>
        <v>2.9658636363636361</v>
      </c>
      <c r="Q42" s="143">
        <v>130</v>
      </c>
      <c r="R42" s="52"/>
      <c r="S42" s="52"/>
      <c r="T42" s="293">
        <f t="shared" si="66"/>
        <v>381.5</v>
      </c>
      <c r="U42" s="139">
        <f t="shared" ref="U42:U45" si="86">Q42/T42</f>
        <v>0.34076015727391873</v>
      </c>
      <c r="V42" s="225">
        <f t="shared" ref="V42:V45" si="87">J42/Q42</f>
        <v>4.2426923076923071</v>
      </c>
      <c r="W42" s="308">
        <f t="shared" ref="W42:W45" si="88">Q42/D42</f>
        <v>7.3654390934844188E-2</v>
      </c>
      <c r="X42" s="684">
        <v>10.333333333333334</v>
      </c>
      <c r="Y42" s="392">
        <v>0.96153846153846156</v>
      </c>
      <c r="Z42" s="166">
        <v>247862</v>
      </c>
      <c r="AA42" s="15">
        <v>1171</v>
      </c>
      <c r="AB42" s="15">
        <v>38309</v>
      </c>
      <c r="AC42" s="52">
        <v>8823</v>
      </c>
      <c r="AD42" s="52">
        <v>3523</v>
      </c>
      <c r="AE42" s="52">
        <v>2122</v>
      </c>
      <c r="AF42" s="52">
        <v>1038</v>
      </c>
      <c r="AG42" s="77">
        <v>330.27</v>
      </c>
      <c r="AH42" s="1358">
        <f t="shared" ref="AH42:AH45" si="89">AG42/AB42</f>
        <v>8.6212117257041428E-3</v>
      </c>
      <c r="AI42" s="554">
        <f t="shared" ref="AI42:AI45" si="90">AG42/AF42</f>
        <v>0.31817919075144507</v>
      </c>
      <c r="AJ42" s="555">
        <f t="shared" ref="AJ42:AJ45" si="91">AA42/Z42</f>
        <v>4.7244030952707551E-3</v>
      </c>
      <c r="AK42" s="1178">
        <v>84</v>
      </c>
      <c r="AL42" s="132"/>
      <c r="AM42" s="132"/>
      <c r="AN42" s="312">
        <f t="shared" ref="AN42:AN45" si="92">AG42/AK42</f>
        <v>3.9317857142857142</v>
      </c>
      <c r="AO42" s="316">
        <f t="shared" ref="AO42:AO45" si="93">AK42/AA42</f>
        <v>7.1733561058923992E-2</v>
      </c>
      <c r="AP42" s="125"/>
      <c r="AQ42" s="170"/>
      <c r="AR42" s="166">
        <v>120909</v>
      </c>
      <c r="AS42" s="15">
        <v>470</v>
      </c>
      <c r="AT42" s="15">
        <v>19428</v>
      </c>
      <c r="AU42" s="52">
        <v>2236</v>
      </c>
      <c r="AV42" s="52">
        <v>825</v>
      </c>
      <c r="AW42" s="52">
        <v>514</v>
      </c>
      <c r="AX42" s="52">
        <v>280</v>
      </c>
      <c r="AY42" s="77">
        <v>158.30000000000001</v>
      </c>
      <c r="AZ42" s="554">
        <f t="shared" ref="AZ42:AZ45" si="94">AY42/AT42</f>
        <v>8.148033765698991E-3</v>
      </c>
      <c r="BA42" s="554">
        <f t="shared" ref="BA42:BA45" si="95">AY42/AX42</f>
        <v>0.56535714285714289</v>
      </c>
      <c r="BB42" s="555">
        <f t="shared" ref="BB42:BB45" si="96">AS42/AR42</f>
        <v>3.8872209678353143E-3</v>
      </c>
      <c r="BC42" s="1178">
        <v>32</v>
      </c>
      <c r="BD42" s="132"/>
      <c r="BE42" s="132"/>
      <c r="BF42" s="228">
        <f t="shared" ref="BF42:BF45" si="97">AY42/BC42</f>
        <v>4.9468750000000004</v>
      </c>
      <c r="BG42" s="316">
        <f t="shared" ref="BG42:BG45" si="98">BC42/AS42</f>
        <v>6.8085106382978725E-2</v>
      </c>
      <c r="BH42" s="125"/>
      <c r="BI42" s="170"/>
      <c r="BJ42" s="166">
        <v>44755</v>
      </c>
      <c r="BK42" s="15">
        <v>124</v>
      </c>
      <c r="BL42" s="15">
        <v>7512</v>
      </c>
      <c r="BM42" s="52">
        <v>2916</v>
      </c>
      <c r="BN42" s="52">
        <v>1182</v>
      </c>
      <c r="BO42" s="52">
        <v>631</v>
      </c>
      <c r="BP42" s="52">
        <v>398</v>
      </c>
      <c r="BQ42" s="77">
        <v>62.98</v>
      </c>
      <c r="BR42" s="554">
        <f t="shared" ref="BR42:BR45" si="99">BQ42/BL42</f>
        <v>8.3839190628327998E-3</v>
      </c>
      <c r="BS42" s="554">
        <f t="shared" ref="BS42:BS45" si="100">BQ42/BP42</f>
        <v>0.15824120603015074</v>
      </c>
      <c r="BT42" s="555">
        <f t="shared" ref="BT42:BT45" si="101">BK42/BJ42</f>
        <v>2.7706401519383308E-3</v>
      </c>
      <c r="BU42" s="1195">
        <v>14</v>
      </c>
      <c r="BV42" s="132"/>
      <c r="BW42" s="132"/>
      <c r="BX42" s="228">
        <f t="shared" ref="BX42:BX45" si="102">BQ42/BU42</f>
        <v>4.4985714285714282</v>
      </c>
      <c r="BY42" s="710">
        <f t="shared" ref="BY42:BY45" si="103">BU42/BK42</f>
        <v>0.11290322580645161</v>
      </c>
      <c r="BZ42" s="125"/>
      <c r="CA42" s="170"/>
    </row>
    <row r="43" spans="2:79">
      <c r="B43" s="187">
        <v>40815</v>
      </c>
      <c r="C43" s="15">
        <v>421339</v>
      </c>
      <c r="D43" s="15">
        <v>1935</v>
      </c>
      <c r="E43" s="15">
        <v>69047</v>
      </c>
      <c r="F43" s="52">
        <v>14177</v>
      </c>
      <c r="G43" s="52">
        <v>5751</v>
      </c>
      <c r="H43" s="52">
        <v>3366</v>
      </c>
      <c r="I43" s="52">
        <v>1769</v>
      </c>
      <c r="J43" s="904">
        <v>579.22</v>
      </c>
      <c r="K43" s="308">
        <f>SUM($J$38:J43)/$C$10</f>
        <v>0.33454957773748589</v>
      </c>
      <c r="L43" s="305">
        <f t="shared" si="82"/>
        <v>4.5925015249003772E-3</v>
      </c>
      <c r="M43" s="306">
        <f t="shared" si="64"/>
        <v>22000</v>
      </c>
      <c r="N43" s="307">
        <f t="shared" si="83"/>
        <v>8.3887786580155548E-3</v>
      </c>
      <c r="O43" s="307">
        <f t="shared" si="84"/>
        <v>0.32742792538157151</v>
      </c>
      <c r="P43" s="381">
        <f t="shared" si="85"/>
        <v>3.1385000000000001</v>
      </c>
      <c r="Q43" s="143">
        <v>178</v>
      </c>
      <c r="R43" s="52"/>
      <c r="S43" s="52"/>
      <c r="T43" s="293">
        <f t="shared" si="66"/>
        <v>381.5</v>
      </c>
      <c r="U43" s="139">
        <f t="shared" si="86"/>
        <v>0.46657929226736566</v>
      </c>
      <c r="V43" s="225">
        <f t="shared" si="87"/>
        <v>3.254044943820225</v>
      </c>
      <c r="W43" s="308">
        <f t="shared" si="88"/>
        <v>9.1989664082687342E-2</v>
      </c>
      <c r="X43" s="684">
        <v>9</v>
      </c>
      <c r="Y43" s="392">
        <v>0.9269662921348315</v>
      </c>
      <c r="Z43" s="166">
        <v>222887</v>
      </c>
      <c r="AA43" s="15">
        <v>1099</v>
      </c>
      <c r="AB43" s="15">
        <v>35611</v>
      </c>
      <c r="AC43" s="52">
        <v>8103</v>
      </c>
      <c r="AD43" s="52">
        <v>3345</v>
      </c>
      <c r="AE43" s="52">
        <v>2049</v>
      </c>
      <c r="AF43" s="52">
        <v>991</v>
      </c>
      <c r="AG43" s="77">
        <v>305.13</v>
      </c>
      <c r="AH43" s="1358">
        <f t="shared" si="89"/>
        <v>8.5684198702648054E-3</v>
      </c>
      <c r="AI43" s="554">
        <f t="shared" si="90"/>
        <v>0.30790110998990916</v>
      </c>
      <c r="AJ43" s="555">
        <f t="shared" si="91"/>
        <v>4.9307496623849758E-3</v>
      </c>
      <c r="AK43" s="1178">
        <v>96</v>
      </c>
      <c r="AL43" s="132"/>
      <c r="AM43" s="132"/>
      <c r="AN43" s="312">
        <f t="shared" si="92"/>
        <v>3.1784374999999998</v>
      </c>
      <c r="AO43" s="316">
        <f t="shared" si="93"/>
        <v>8.7352138307552327E-2</v>
      </c>
      <c r="AP43" s="125"/>
      <c r="AQ43" s="170"/>
      <c r="AR43" s="166">
        <v>152359</v>
      </c>
      <c r="AS43" s="15">
        <v>694</v>
      </c>
      <c r="AT43" s="15">
        <v>25261</v>
      </c>
      <c r="AU43" s="52">
        <v>2891</v>
      </c>
      <c r="AV43" s="52">
        <v>1070</v>
      </c>
      <c r="AW43" s="52">
        <v>654</v>
      </c>
      <c r="AX43" s="52">
        <v>375</v>
      </c>
      <c r="AY43" s="77">
        <v>206.44</v>
      </c>
      <c r="AZ43" s="554">
        <f t="shared" si="94"/>
        <v>8.1722813823680764E-3</v>
      </c>
      <c r="BA43" s="554">
        <f t="shared" si="95"/>
        <v>0.5505066666666667</v>
      </c>
      <c r="BB43" s="555">
        <f t="shared" si="96"/>
        <v>4.5550312091835734E-3</v>
      </c>
      <c r="BC43" s="1178">
        <v>72</v>
      </c>
      <c r="BD43" s="132"/>
      <c r="BE43" s="132"/>
      <c r="BF43" s="228">
        <f t="shared" si="97"/>
        <v>2.8672222222222223</v>
      </c>
      <c r="BG43" s="316">
        <f t="shared" si="98"/>
        <v>0.1037463976945245</v>
      </c>
      <c r="BH43" s="125"/>
      <c r="BI43" s="170"/>
      <c r="BJ43" s="166">
        <v>46093</v>
      </c>
      <c r="BK43" s="15">
        <v>142</v>
      </c>
      <c r="BL43" s="15">
        <v>8175</v>
      </c>
      <c r="BM43" s="52">
        <v>3183</v>
      </c>
      <c r="BN43" s="52">
        <v>1336</v>
      </c>
      <c r="BO43" s="52">
        <v>663</v>
      </c>
      <c r="BP43" s="52">
        <v>403</v>
      </c>
      <c r="BQ43" s="564">
        <v>67.650000000000006</v>
      </c>
      <c r="BR43" s="554">
        <f t="shared" si="99"/>
        <v>8.2752293577981664E-3</v>
      </c>
      <c r="BS43" s="554">
        <f t="shared" si="100"/>
        <v>0.16786600496277918</v>
      </c>
      <c r="BT43" s="555">
        <f t="shared" si="101"/>
        <v>3.0807280932028725E-3</v>
      </c>
      <c r="BU43" s="1195">
        <v>10</v>
      </c>
      <c r="BV43" s="132"/>
      <c r="BW43" s="132"/>
      <c r="BX43" s="228">
        <f t="shared" si="102"/>
        <v>6.7650000000000006</v>
      </c>
      <c r="BY43" s="710">
        <f t="shared" si="103"/>
        <v>7.0422535211267609E-2</v>
      </c>
      <c r="BZ43" s="125"/>
      <c r="CA43" s="170"/>
    </row>
    <row r="44" spans="2:79">
      <c r="B44" s="189">
        <v>40816</v>
      </c>
      <c r="C44" s="15">
        <v>459908</v>
      </c>
      <c r="D44" s="15">
        <v>2137</v>
      </c>
      <c r="E44" s="15">
        <v>73238</v>
      </c>
      <c r="F44" s="52">
        <v>15030</v>
      </c>
      <c r="G44" s="52">
        <v>5974</v>
      </c>
      <c r="H44" s="52">
        <v>3523</v>
      </c>
      <c r="I44" s="52">
        <v>1798</v>
      </c>
      <c r="J44" s="904">
        <v>597.72</v>
      </c>
      <c r="K44" s="308">
        <f>SUM($J$38:J44)/$C$10</f>
        <v>0.36651851376431388</v>
      </c>
      <c r="L44" s="305">
        <f t="shared" si="82"/>
        <v>4.6465814902110856E-3</v>
      </c>
      <c r="M44" s="306">
        <f t="shared" si="64"/>
        <v>22000</v>
      </c>
      <c r="N44" s="307">
        <f t="shared" si="83"/>
        <v>8.1613370108413671E-3</v>
      </c>
      <c r="O44" s="307">
        <f t="shared" si="84"/>
        <v>0.3324360400444939</v>
      </c>
      <c r="P44" s="381">
        <f t="shared" si="85"/>
        <v>3.3290000000000002</v>
      </c>
      <c r="Q44" s="143">
        <v>181</v>
      </c>
      <c r="R44" s="52"/>
      <c r="S44" s="52"/>
      <c r="T44" s="293">
        <f t="shared" si="66"/>
        <v>381.5</v>
      </c>
      <c r="U44" s="139">
        <f t="shared" si="86"/>
        <v>0.47444298820445607</v>
      </c>
      <c r="V44" s="225">
        <f t="shared" si="87"/>
        <v>3.3023204419889503</v>
      </c>
      <c r="W44" s="308">
        <f t="shared" si="88"/>
        <v>8.4698175011698643E-2</v>
      </c>
      <c r="X44" s="684">
        <v>6</v>
      </c>
      <c r="Y44" s="392">
        <v>0.93370165745856348</v>
      </c>
      <c r="Z44" s="166">
        <v>202652</v>
      </c>
      <c r="AA44" s="15">
        <v>1052</v>
      </c>
      <c r="AB44" s="15">
        <v>30491</v>
      </c>
      <c r="AC44" s="52">
        <v>6792</v>
      </c>
      <c r="AD44" s="52">
        <v>2785</v>
      </c>
      <c r="AE44" s="52">
        <v>1735</v>
      </c>
      <c r="AF44" s="52">
        <v>809</v>
      </c>
      <c r="AG44" s="77">
        <v>258.35000000000002</v>
      </c>
      <c r="AH44" s="1358">
        <f t="shared" si="89"/>
        <v>8.4729920304352103E-3</v>
      </c>
      <c r="AI44" s="554">
        <f t="shared" si="90"/>
        <v>0.31934487021013602</v>
      </c>
      <c r="AJ44" s="555">
        <f t="shared" si="91"/>
        <v>5.1911651501095474E-3</v>
      </c>
      <c r="AK44" s="1178">
        <v>109</v>
      </c>
      <c r="AL44" s="132"/>
      <c r="AM44" s="132"/>
      <c r="AN44" s="312">
        <f t="shared" si="92"/>
        <v>2.3701834862385325</v>
      </c>
      <c r="AO44" s="316">
        <f t="shared" si="93"/>
        <v>0.10361216730038023</v>
      </c>
      <c r="AP44" s="125"/>
      <c r="AQ44" s="170"/>
      <c r="AR44" s="166">
        <v>184904</v>
      </c>
      <c r="AS44" s="15">
        <v>900</v>
      </c>
      <c r="AT44" s="15">
        <v>30236</v>
      </c>
      <c r="AU44" s="52">
        <v>3515</v>
      </c>
      <c r="AV44" s="52">
        <v>1291</v>
      </c>
      <c r="AW44" s="52">
        <v>797</v>
      </c>
      <c r="AX44" s="52">
        <v>405</v>
      </c>
      <c r="AY44" s="77">
        <v>239.79</v>
      </c>
      <c r="AZ44" s="554">
        <f t="shared" si="94"/>
        <v>7.9306125148829211E-3</v>
      </c>
      <c r="BA44" s="554">
        <f t="shared" si="95"/>
        <v>0.59207407407407409</v>
      </c>
      <c r="BB44" s="555">
        <f t="shared" si="96"/>
        <v>4.8673906459568211E-3</v>
      </c>
      <c r="BC44" s="1178">
        <v>54</v>
      </c>
      <c r="BD44" s="132"/>
      <c r="BE44" s="132"/>
      <c r="BF44" s="228">
        <f t="shared" si="97"/>
        <v>4.4405555555555551</v>
      </c>
      <c r="BG44" s="316">
        <f t="shared" si="98"/>
        <v>0.06</v>
      </c>
      <c r="BH44" s="125"/>
      <c r="BI44" s="170"/>
      <c r="BJ44" s="166">
        <v>72352</v>
      </c>
      <c r="BK44" s="15">
        <v>185</v>
      </c>
      <c r="BL44" s="15">
        <v>12511</v>
      </c>
      <c r="BM44" s="52">
        <v>4723</v>
      </c>
      <c r="BN44" s="52">
        <v>1898</v>
      </c>
      <c r="BO44" s="52">
        <v>991</v>
      </c>
      <c r="BP44" s="52">
        <v>584</v>
      </c>
      <c r="BQ44" s="338">
        <v>99.58</v>
      </c>
      <c r="BR44" s="554">
        <f t="shared" si="99"/>
        <v>7.9593957317560544E-3</v>
      </c>
      <c r="BS44" s="554">
        <f t="shared" si="100"/>
        <v>0.17051369863013699</v>
      </c>
      <c r="BT44" s="555">
        <f t="shared" si="101"/>
        <v>2.5569438301636443E-3</v>
      </c>
      <c r="BU44" s="1195">
        <v>18</v>
      </c>
      <c r="BV44" s="132"/>
      <c r="BW44" s="132"/>
      <c r="BX44" s="228">
        <f t="shared" si="102"/>
        <v>5.5322222222222219</v>
      </c>
      <c r="BY44" s="710">
        <f t="shared" si="103"/>
        <v>9.7297297297297303E-2</v>
      </c>
      <c r="BZ44" s="125"/>
      <c r="CA44" s="170"/>
    </row>
    <row r="45" spans="2:79">
      <c r="B45" s="189">
        <v>40817</v>
      </c>
      <c r="C45" s="15">
        <v>534200</v>
      </c>
      <c r="D45" s="15">
        <v>2395</v>
      </c>
      <c r="E45" s="15">
        <v>81961</v>
      </c>
      <c r="F45" s="52">
        <v>17836</v>
      </c>
      <c r="G45" s="52">
        <v>7082</v>
      </c>
      <c r="H45" s="52">
        <v>4054</v>
      </c>
      <c r="I45" s="52">
        <v>2123</v>
      </c>
      <c r="J45" s="904">
        <v>585.01</v>
      </c>
      <c r="K45" s="308">
        <f>SUM($J$38:J45)/$C$10</f>
        <v>0.39780765795399237</v>
      </c>
      <c r="L45" s="305">
        <f t="shared" si="82"/>
        <v>4.4833395731935606E-3</v>
      </c>
      <c r="M45" s="306">
        <f t="shared" si="64"/>
        <v>22000</v>
      </c>
      <c r="N45" s="307">
        <f t="shared" si="83"/>
        <v>7.1376630348580425E-3</v>
      </c>
      <c r="O45" s="307">
        <f t="shared" si="84"/>
        <v>0.27555817239755065</v>
      </c>
      <c r="P45" s="381">
        <f t="shared" si="85"/>
        <v>3.7254999999999998</v>
      </c>
      <c r="Q45" s="143">
        <v>191</v>
      </c>
      <c r="R45" s="52"/>
      <c r="S45" s="52"/>
      <c r="T45" s="293">
        <f t="shared" si="66"/>
        <v>381.5</v>
      </c>
      <c r="U45" s="139">
        <f t="shared" si="86"/>
        <v>0.50065530799475755</v>
      </c>
      <c r="V45" s="225">
        <f t="shared" si="87"/>
        <v>3.0628795811518326</v>
      </c>
      <c r="W45" s="308">
        <f t="shared" si="88"/>
        <v>7.9749478079331942E-2</v>
      </c>
      <c r="X45" s="684">
        <v>4</v>
      </c>
      <c r="Y45" s="392">
        <v>0.92670157068062831</v>
      </c>
      <c r="Z45" s="166">
        <v>281054</v>
      </c>
      <c r="AA45" s="15">
        <v>1300</v>
      </c>
      <c r="AB45" s="15">
        <v>40722</v>
      </c>
      <c r="AC45" s="52">
        <v>9044</v>
      </c>
      <c r="AD45" s="52">
        <v>3668</v>
      </c>
      <c r="AE45" s="52">
        <v>2219</v>
      </c>
      <c r="AF45" s="52">
        <v>1071</v>
      </c>
      <c r="AG45" s="77">
        <v>293.81</v>
      </c>
      <c r="AH45" s="1358">
        <f t="shared" si="89"/>
        <v>7.2150189086980015E-3</v>
      </c>
      <c r="AI45" s="554">
        <f t="shared" si="90"/>
        <v>0.27433239962651729</v>
      </c>
      <c r="AJ45" s="555">
        <f t="shared" si="91"/>
        <v>4.6254456438976138E-3</v>
      </c>
      <c r="AK45" s="1178">
        <v>101</v>
      </c>
      <c r="AL45" s="132"/>
      <c r="AM45" s="132"/>
      <c r="AN45" s="312">
        <f t="shared" si="92"/>
        <v>2.9090099009900992</v>
      </c>
      <c r="AO45" s="316">
        <f t="shared" si="93"/>
        <v>7.7692307692307686E-2</v>
      </c>
      <c r="AP45" s="125"/>
      <c r="AQ45" s="170"/>
      <c r="AR45" s="166">
        <v>163371</v>
      </c>
      <c r="AS45" s="15">
        <v>867</v>
      </c>
      <c r="AT45" s="15">
        <v>26001</v>
      </c>
      <c r="AU45" s="52">
        <v>3104</v>
      </c>
      <c r="AV45" s="52">
        <v>1180</v>
      </c>
      <c r="AW45" s="52">
        <v>716</v>
      </c>
      <c r="AX45" s="52">
        <v>373</v>
      </c>
      <c r="AY45" s="77">
        <v>184.79</v>
      </c>
      <c r="AZ45" s="554">
        <f t="shared" si="94"/>
        <v>7.1070343448328905E-3</v>
      </c>
      <c r="BA45" s="554">
        <f t="shared" si="95"/>
        <v>0.49541554959785522</v>
      </c>
      <c r="BB45" s="555">
        <f t="shared" si="96"/>
        <v>5.3069394200929172E-3</v>
      </c>
      <c r="BC45" s="1178">
        <v>65</v>
      </c>
      <c r="BD45" s="132"/>
      <c r="BE45" s="132"/>
      <c r="BF45" s="976">
        <f t="shared" si="97"/>
        <v>2.8429230769230767</v>
      </c>
      <c r="BG45" s="560">
        <f t="shared" si="98"/>
        <v>7.4971164936562862E-2</v>
      </c>
      <c r="BH45" s="125"/>
      <c r="BI45" s="170"/>
      <c r="BJ45" s="166">
        <v>89775</v>
      </c>
      <c r="BK45" s="15">
        <v>228</v>
      </c>
      <c r="BL45" s="15">
        <v>15238</v>
      </c>
      <c r="BM45" s="52">
        <v>5688</v>
      </c>
      <c r="BN45" s="52">
        <v>2234</v>
      </c>
      <c r="BO45" s="52">
        <v>1119</v>
      </c>
      <c r="BP45" s="52">
        <v>679</v>
      </c>
      <c r="BQ45" s="77">
        <v>106.41</v>
      </c>
      <c r="BR45" s="554">
        <f t="shared" si="99"/>
        <v>6.9831998949993436E-3</v>
      </c>
      <c r="BS45" s="554">
        <f t="shared" si="100"/>
        <v>0.15671575846833577</v>
      </c>
      <c r="BT45" s="555">
        <f t="shared" si="101"/>
        <v>2.5396825396825397E-3</v>
      </c>
      <c r="BU45" s="1195">
        <v>25</v>
      </c>
      <c r="BV45" s="132"/>
      <c r="BW45" s="132"/>
      <c r="BX45" s="976">
        <f t="shared" si="102"/>
        <v>4.2564000000000002</v>
      </c>
      <c r="BY45" s="977">
        <f t="shared" si="103"/>
        <v>0.10964912280701754</v>
      </c>
      <c r="BZ45" s="125"/>
      <c r="CA45" s="170"/>
    </row>
    <row r="46" spans="2:79">
      <c r="B46" s="190" t="s">
        <v>160</v>
      </c>
      <c r="C46" s="298">
        <f>SUM(C39:C45)</f>
        <v>3104884</v>
      </c>
      <c r="D46" s="298">
        <f t="shared" ref="D46:J46" si="104">SUM(D39:D45)</f>
        <v>13544</v>
      </c>
      <c r="E46" s="298">
        <f t="shared" si="104"/>
        <v>490912</v>
      </c>
      <c r="F46" s="298">
        <f t="shared" si="104"/>
        <v>102263</v>
      </c>
      <c r="G46" s="298">
        <f t="shared" si="104"/>
        <v>40854</v>
      </c>
      <c r="H46" s="298">
        <f t="shared" si="104"/>
        <v>24010</v>
      </c>
      <c r="I46" s="298">
        <f t="shared" si="104"/>
        <v>12260</v>
      </c>
      <c r="J46" s="965">
        <f t="shared" si="104"/>
        <v>3998.8500000000004</v>
      </c>
      <c r="K46" s="599">
        <f>SUM($J$38,J46)/C$10</f>
        <v>0.39780765795399237</v>
      </c>
      <c r="L46" s="299">
        <f>D46/C46</f>
        <v>4.3621597457425138E-3</v>
      </c>
      <c r="M46" s="300">
        <f>SUM(M39:M45)</f>
        <v>154000</v>
      </c>
      <c r="N46" s="301">
        <f>J46/E46</f>
        <v>8.1457572844012786E-3</v>
      </c>
      <c r="O46" s="301">
        <f>J46/I46</f>
        <v>0.32617047308319741</v>
      </c>
      <c r="P46" s="302">
        <f>E46/M46</f>
        <v>3.1877402597402598</v>
      </c>
      <c r="Q46" s="121">
        <f>SUM(Q39:Q45)</f>
        <v>1153</v>
      </c>
      <c r="R46" s="27"/>
      <c r="S46" s="27"/>
      <c r="T46" s="27">
        <f>SUM(T39:T45)</f>
        <v>2670.5</v>
      </c>
      <c r="U46" s="140">
        <f>Q46/T46</f>
        <v>0.43175435311739374</v>
      </c>
      <c r="V46" s="227">
        <f>J46/Q46</f>
        <v>3.4682133564614053</v>
      </c>
      <c r="W46" s="437">
        <f>Q46/D46</f>
        <v>8.5129946839929124E-2</v>
      </c>
      <c r="X46" s="685">
        <f>AVERAGE(X39:X45)</f>
        <v>5.5714285714285712</v>
      </c>
      <c r="Y46" s="566">
        <f>AVERAGE(Y39:Y45)</f>
        <v>0.93820220127816645</v>
      </c>
      <c r="Z46" s="164">
        <f>SUM(Z39:Z45)</f>
        <v>1789013</v>
      </c>
      <c r="AA46" s="27">
        <f t="shared" ref="AA46:AK46" si="105">SUM(AA39:AA45)</f>
        <v>8328</v>
      </c>
      <c r="AB46" s="27">
        <f t="shared" si="105"/>
        <v>275082</v>
      </c>
      <c r="AC46" s="27">
        <f t="shared" si="105"/>
        <v>62488</v>
      </c>
      <c r="AD46" s="27">
        <f t="shared" si="105"/>
        <v>25421</v>
      </c>
      <c r="AE46" s="27">
        <f t="shared" si="105"/>
        <v>15493</v>
      </c>
      <c r="AF46" s="27">
        <f t="shared" si="105"/>
        <v>7371</v>
      </c>
      <c r="AG46" s="598">
        <f t="shared" si="105"/>
        <v>2293.2199999999998</v>
      </c>
      <c r="AH46" s="546">
        <f>AG46/AB46</f>
        <v>8.3364960266393284E-3</v>
      </c>
      <c r="AI46" s="1179">
        <f>AG46/AF46</f>
        <v>0.31111382444715774</v>
      </c>
      <c r="AJ46" s="1180">
        <f>AA46/Z46</f>
        <v>4.6550807624092163E-3</v>
      </c>
      <c r="AK46" s="379">
        <f t="shared" si="105"/>
        <v>675</v>
      </c>
      <c r="AL46" s="376"/>
      <c r="AM46" s="376"/>
      <c r="AN46" s="548">
        <f>AG46/AK46</f>
        <v>3.3973629629629625</v>
      </c>
      <c r="AO46" s="1454">
        <f>AK46/AA46</f>
        <v>8.1051873198847268E-2</v>
      </c>
      <c r="AP46" s="130"/>
      <c r="AQ46" s="165"/>
      <c r="AR46" s="164">
        <f>SUM(AR39:AR45)</f>
        <v>985711</v>
      </c>
      <c r="AS46" s="27">
        <f t="shared" ref="AS46:AY46" si="106">SUM(AS39:AS45)</f>
        <v>4357</v>
      </c>
      <c r="AT46" s="27">
        <f t="shared" si="106"/>
        <v>159706</v>
      </c>
      <c r="AU46" s="27">
        <f t="shared" si="106"/>
        <v>18424</v>
      </c>
      <c r="AV46" s="27">
        <f t="shared" si="106"/>
        <v>6756</v>
      </c>
      <c r="AW46" s="27">
        <f t="shared" si="106"/>
        <v>4083</v>
      </c>
      <c r="AX46" s="27">
        <f t="shared" si="106"/>
        <v>2196</v>
      </c>
      <c r="AY46" s="74">
        <f t="shared" si="106"/>
        <v>1263.18</v>
      </c>
      <c r="AZ46" s="1179">
        <f>AY46/AT46</f>
        <v>7.909408538188922E-3</v>
      </c>
      <c r="BA46" s="1179">
        <f>AY46/AX46</f>
        <v>0.57521857923497266</v>
      </c>
      <c r="BB46" s="1180">
        <f t="shared" ref="BB46:BB54" si="107">AS46/AR46</f>
        <v>4.4201596614017701E-3</v>
      </c>
      <c r="BC46" s="379">
        <f t="shared" ref="BC46" si="108">SUM(BC39:BC45)</f>
        <v>393</v>
      </c>
      <c r="BD46" s="376"/>
      <c r="BE46" s="1190"/>
      <c r="BF46" s="899">
        <f>AY46/BC46</f>
        <v>3.2141984732824431</v>
      </c>
      <c r="BG46" s="900">
        <f>BC46/AS46</f>
        <v>9.0199678677989448E-2</v>
      </c>
      <c r="BH46" s="130"/>
      <c r="BI46" s="165"/>
      <c r="BJ46" s="164">
        <f>SUM(BJ39:BJ45)</f>
        <v>330160</v>
      </c>
      <c r="BK46" s="27">
        <f t="shared" ref="BK46:BQ46" si="109">SUM(BK39:BK45)</f>
        <v>859</v>
      </c>
      <c r="BL46" s="27">
        <f t="shared" si="109"/>
        <v>56124</v>
      </c>
      <c r="BM46" s="27">
        <f t="shared" si="109"/>
        <v>21351</v>
      </c>
      <c r="BN46" s="27">
        <f t="shared" si="109"/>
        <v>8677</v>
      </c>
      <c r="BO46" s="27">
        <f t="shared" si="109"/>
        <v>4434</v>
      </c>
      <c r="BP46" s="27">
        <f t="shared" si="109"/>
        <v>2693</v>
      </c>
      <c r="BQ46" s="74">
        <f t="shared" si="109"/>
        <v>442.45000000000005</v>
      </c>
      <c r="BR46" s="1179">
        <f>BQ46/BL46</f>
        <v>7.8834366759318666E-3</v>
      </c>
      <c r="BS46" s="1179">
        <f>BQ46/BP46</f>
        <v>0.16429632380245082</v>
      </c>
      <c r="BT46" s="1180">
        <f t="shared" ref="BT46:BT54" si="110">BK46/BJ46</f>
        <v>2.6017688393506181E-3</v>
      </c>
      <c r="BU46" s="379">
        <f t="shared" ref="BU46" si="111">SUM(BU39:BU45)</f>
        <v>85</v>
      </c>
      <c r="BV46" s="376"/>
      <c r="BW46" s="1190"/>
      <c r="BX46" s="899">
        <f>BQ46/BU46</f>
        <v>5.2052941176470595</v>
      </c>
      <c r="BY46" s="900">
        <f>BU46/BK46</f>
        <v>9.8952270081490101E-2</v>
      </c>
      <c r="BZ46" s="126"/>
      <c r="CA46" s="171"/>
    </row>
    <row r="47" spans="2:79">
      <c r="B47" s="187">
        <v>40818</v>
      </c>
      <c r="C47" s="15">
        <v>534269</v>
      </c>
      <c r="D47" s="15">
        <v>2488</v>
      </c>
      <c r="E47" s="15">
        <v>81936</v>
      </c>
      <c r="F47" s="52">
        <v>17869</v>
      </c>
      <c r="G47" s="52">
        <v>7019</v>
      </c>
      <c r="H47" s="52">
        <v>4048</v>
      </c>
      <c r="I47" s="52">
        <v>2045</v>
      </c>
      <c r="J47" s="904">
        <v>553.06000000000006</v>
      </c>
      <c r="K47" s="73">
        <f>SUM($J$38,$J$46:J47)/$C$10</f>
        <v>0.42738796271039586</v>
      </c>
      <c r="L47" s="305">
        <f>D47/C47</f>
        <v>4.6568301735642531E-3</v>
      </c>
      <c r="M47" s="306">
        <f>$AB$15/30</f>
        <v>22000</v>
      </c>
      <c r="N47" s="307">
        <f>J47/E47</f>
        <v>6.7499023628197624E-3</v>
      </c>
      <c r="O47" s="307">
        <f>J47/I47</f>
        <v>0.27044498777506115</v>
      </c>
      <c r="P47" s="380">
        <f>E47/M47</f>
        <v>3.7243636363636363</v>
      </c>
      <c r="Q47" s="143">
        <v>195</v>
      </c>
      <c r="R47" s="52"/>
      <c r="S47" s="52"/>
      <c r="T47" s="293">
        <f>$AB$17/30</f>
        <v>381.5</v>
      </c>
      <c r="U47" s="455">
        <f>Q47/T47</f>
        <v>0.51114023591087809</v>
      </c>
      <c r="V47" s="225">
        <f>J47/Q47</f>
        <v>2.8362051282051284</v>
      </c>
      <c r="W47" s="308">
        <f>Q47/D47</f>
        <v>7.8376205787781345E-2</v>
      </c>
      <c r="X47" s="684">
        <v>2</v>
      </c>
      <c r="Y47" s="392">
        <v>0.96923076923076923</v>
      </c>
      <c r="Z47" s="166">
        <v>359907</v>
      </c>
      <c r="AA47" s="15">
        <v>1715</v>
      </c>
      <c r="AB47" s="15">
        <v>54145</v>
      </c>
      <c r="AC47" s="52">
        <v>12233</v>
      </c>
      <c r="AD47" s="52">
        <v>4852</v>
      </c>
      <c r="AE47" s="52">
        <v>2899</v>
      </c>
      <c r="AF47" s="52">
        <v>1430</v>
      </c>
      <c r="AG47" s="642">
        <v>369.66</v>
      </c>
      <c r="AH47" s="554">
        <f>AG47/AB47</f>
        <v>6.8272231969710969E-3</v>
      </c>
      <c r="AI47" s="554">
        <f>AG47/AF47</f>
        <v>0.25850349650349652</v>
      </c>
      <c r="AJ47" s="555">
        <f>AA47/Z47</f>
        <v>4.7651198781907544E-3</v>
      </c>
      <c r="AK47" s="565">
        <v>147</v>
      </c>
      <c r="AL47" s="553"/>
      <c r="AM47" s="553"/>
      <c r="AN47" s="644">
        <f>AG47/AK47</f>
        <v>2.5146938775510206</v>
      </c>
      <c r="AO47" s="316">
        <f>AK47/AA47</f>
        <v>8.5714285714285715E-2</v>
      </c>
      <c r="AP47" s="125"/>
      <c r="AQ47" s="170"/>
      <c r="AR47" s="166">
        <v>113777</v>
      </c>
      <c r="AS47" s="15">
        <v>608</v>
      </c>
      <c r="AT47" s="15">
        <v>17773</v>
      </c>
      <c r="AU47" s="52">
        <v>1989</v>
      </c>
      <c r="AV47" s="52">
        <v>725</v>
      </c>
      <c r="AW47" s="52">
        <v>440</v>
      </c>
      <c r="AX47" s="52">
        <v>207</v>
      </c>
      <c r="AY47" s="77">
        <v>120.84</v>
      </c>
      <c r="AZ47" s="554">
        <f>AY47/AT47</f>
        <v>6.7990772520114783E-3</v>
      </c>
      <c r="BA47" s="554">
        <f>AY47/AX47</f>
        <v>0.58376811594202904</v>
      </c>
      <c r="BB47" s="555">
        <f t="shared" si="107"/>
        <v>5.3437865297907309E-3</v>
      </c>
      <c r="BC47" s="902">
        <v>33</v>
      </c>
      <c r="BD47" s="553"/>
      <c r="BE47" s="553"/>
      <c r="BF47" s="228">
        <f>AY47/BC47</f>
        <v>3.6618181818181821</v>
      </c>
      <c r="BG47" s="316">
        <f>BC47/AS47</f>
        <v>5.4276315789473686E-2</v>
      </c>
      <c r="BH47" s="125"/>
      <c r="BI47" s="170"/>
      <c r="BJ47" s="166">
        <v>60585</v>
      </c>
      <c r="BK47" s="15">
        <v>165</v>
      </c>
      <c r="BL47" s="15">
        <v>10018</v>
      </c>
      <c r="BM47" s="52">
        <v>3647</v>
      </c>
      <c r="BN47" s="52">
        <v>1442</v>
      </c>
      <c r="BO47" s="52">
        <v>709</v>
      </c>
      <c r="BP47" s="52">
        <v>408</v>
      </c>
      <c r="BQ47" s="77">
        <v>62.56</v>
      </c>
      <c r="BR47" s="554">
        <f>BQ47/BL47</f>
        <v>6.2447594330205629E-3</v>
      </c>
      <c r="BS47" s="554">
        <f>BQ47/BP47</f>
        <v>0.15333333333333335</v>
      </c>
      <c r="BT47" s="555">
        <f t="shared" si="110"/>
        <v>2.723446397623174E-3</v>
      </c>
      <c r="BU47" s="902">
        <v>15</v>
      </c>
      <c r="BV47" s="553"/>
      <c r="BW47" s="553"/>
      <c r="BX47" s="228">
        <f>BQ47/BU47</f>
        <v>4.1706666666666665</v>
      </c>
      <c r="BY47" s="710">
        <f>BU47/BK47</f>
        <v>9.0909090909090912E-2</v>
      </c>
      <c r="BZ47" s="125"/>
      <c r="CA47" s="170"/>
    </row>
    <row r="48" spans="2:79" s="24" customFormat="1">
      <c r="B48" s="187">
        <v>40819</v>
      </c>
      <c r="C48" s="15">
        <v>615081</v>
      </c>
      <c r="D48" s="15">
        <v>2781</v>
      </c>
      <c r="E48" s="15">
        <v>92557</v>
      </c>
      <c r="F48" s="52">
        <v>22352</v>
      </c>
      <c r="G48" s="52">
        <v>8741</v>
      </c>
      <c r="H48" s="52">
        <v>4903</v>
      </c>
      <c r="I48" s="52">
        <v>2669</v>
      </c>
      <c r="J48" s="904">
        <v>619.65</v>
      </c>
      <c r="K48" s="73">
        <f>SUM($J$38,$J$46:J48)/$C$10</f>
        <v>0.46052982045151875</v>
      </c>
      <c r="L48" s="305">
        <f t="shared" ref="L48:L53" si="112">D48/C48</f>
        <v>4.5213557238802694E-3</v>
      </c>
      <c r="M48" s="306">
        <f t="shared" ref="M48:M53" si="113">$AB$15/30</f>
        <v>22000</v>
      </c>
      <c r="N48" s="307">
        <f t="shared" ref="N48:N53" si="114">J48/E48</f>
        <v>6.6947934786131787E-3</v>
      </c>
      <c r="O48" s="307">
        <f t="shared" ref="O48:O53" si="115">J48/I48</f>
        <v>0.23216560509554141</v>
      </c>
      <c r="P48" s="380">
        <f t="shared" ref="P48:P53" si="116">E48/M48</f>
        <v>4.2071363636363639</v>
      </c>
      <c r="Q48" s="143">
        <v>253</v>
      </c>
      <c r="R48" s="52"/>
      <c r="S48" s="52"/>
      <c r="T48" s="293">
        <f t="shared" ref="T48:T53" si="117">$AB$17/30</f>
        <v>381.5</v>
      </c>
      <c r="U48" s="455">
        <f t="shared" ref="U48:U53" si="118">Q48/T48</f>
        <v>0.66317169069462645</v>
      </c>
      <c r="V48" s="225">
        <f t="shared" ref="V48:V53" si="119">J48/Q48</f>
        <v>2.4492094861660076</v>
      </c>
      <c r="W48" s="308">
        <f t="shared" ref="W48:W53" si="120">Q48/D48</f>
        <v>9.0974469615246314E-2</v>
      </c>
      <c r="X48" s="684">
        <v>5</v>
      </c>
      <c r="Y48" s="392">
        <v>0.94466403162055335</v>
      </c>
      <c r="Z48" s="166">
        <v>377406</v>
      </c>
      <c r="AA48" s="15">
        <v>1862</v>
      </c>
      <c r="AB48" s="15">
        <v>55167</v>
      </c>
      <c r="AC48" s="52">
        <v>12317</v>
      </c>
      <c r="AD48" s="52">
        <v>4809</v>
      </c>
      <c r="AE48" s="52">
        <v>2817</v>
      </c>
      <c r="AF48" s="52">
        <v>1457</v>
      </c>
      <c r="AG48" s="642">
        <v>375.11</v>
      </c>
      <c r="AH48" s="554">
        <f t="shared" ref="AH48:AH53" si="121">AG48/AB48</f>
        <v>6.7995359544655324E-3</v>
      </c>
      <c r="AI48" s="554">
        <f t="shared" ref="AI48:AI53" si="122">AG48/AF48</f>
        <v>0.25745367192862045</v>
      </c>
      <c r="AJ48" s="555">
        <f t="shared" ref="AJ48:AJ53" si="123">AA48/Z48</f>
        <v>4.9336788498328061E-3</v>
      </c>
      <c r="AK48" s="553">
        <v>156</v>
      </c>
      <c r="AL48" s="553"/>
      <c r="AM48" s="553"/>
      <c r="AN48" s="312">
        <f t="shared" ref="AN48:AN49" si="124">AG48/AK48</f>
        <v>2.404551282051282</v>
      </c>
      <c r="AO48" s="316">
        <f t="shared" ref="AO48:AO49" si="125">AK48/AA48</f>
        <v>8.3780880773361974E-2</v>
      </c>
      <c r="AP48" s="123"/>
      <c r="AQ48" s="168"/>
      <c r="AR48" s="166">
        <v>99446</v>
      </c>
      <c r="AS48" s="15">
        <v>526</v>
      </c>
      <c r="AT48" s="15">
        <v>15143</v>
      </c>
      <c r="AU48" s="52">
        <v>1819</v>
      </c>
      <c r="AV48" s="52">
        <v>709</v>
      </c>
      <c r="AW48" s="52">
        <v>438</v>
      </c>
      <c r="AX48" s="52">
        <v>230</v>
      </c>
      <c r="AY48" s="77">
        <v>104.15</v>
      </c>
      <c r="AZ48" s="554">
        <f t="shared" ref="AZ48:AZ49" si="126">AY48/AT48</f>
        <v>6.8777653041009051E-3</v>
      </c>
      <c r="BA48" s="554">
        <f t="shared" ref="BA48:BA49" si="127">AY48/AX48</f>
        <v>0.45282608695652177</v>
      </c>
      <c r="BB48" s="555">
        <f t="shared" si="107"/>
        <v>5.2893027371638882E-3</v>
      </c>
      <c r="BC48" s="902">
        <v>46</v>
      </c>
      <c r="BD48" s="553"/>
      <c r="BE48" s="553"/>
      <c r="BF48" s="228">
        <f t="shared" ref="BF48:BF49" si="128">AY48/BC48</f>
        <v>2.2641304347826088</v>
      </c>
      <c r="BG48" s="316">
        <f t="shared" ref="BG48:BG49" si="129">BC48/AS48</f>
        <v>8.7452471482889732E-2</v>
      </c>
      <c r="BH48" s="123"/>
      <c r="BI48" s="168"/>
      <c r="BJ48" s="166">
        <v>138229</v>
      </c>
      <c r="BK48" s="15">
        <v>393</v>
      </c>
      <c r="BL48" s="15">
        <v>22247</v>
      </c>
      <c r="BM48" s="52">
        <v>8216</v>
      </c>
      <c r="BN48" s="52">
        <v>3223</v>
      </c>
      <c r="BO48" s="52">
        <v>1648</v>
      </c>
      <c r="BP48" s="52">
        <v>982</v>
      </c>
      <c r="BQ48" s="77">
        <v>140.38999999999999</v>
      </c>
      <c r="BR48" s="554">
        <f t="shared" ref="BR48:BR49" si="130">BQ48/BL48</f>
        <v>6.3105137771384901E-3</v>
      </c>
      <c r="BS48" s="554">
        <f t="shared" ref="BS48:BS49" si="131">BQ48/BP48</f>
        <v>0.14296334012219958</v>
      </c>
      <c r="BT48" s="555">
        <f t="shared" si="110"/>
        <v>2.8431081755637385E-3</v>
      </c>
      <c r="BU48" s="902">
        <v>51</v>
      </c>
      <c r="BV48" s="553"/>
      <c r="BW48" s="553"/>
      <c r="BX48" s="228">
        <f t="shared" ref="BX48:BX49" si="132">BQ48/BU48</f>
        <v>2.7527450980392154</v>
      </c>
      <c r="BY48" s="710">
        <f t="shared" ref="BY48:BY49" si="133">BU48/BK48</f>
        <v>0.12977099236641221</v>
      </c>
      <c r="BZ48" s="123"/>
      <c r="CA48" s="168"/>
    </row>
    <row r="49" spans="2:79" s="26" customFormat="1">
      <c r="B49" s="187">
        <v>40820</v>
      </c>
      <c r="C49" s="15">
        <v>747130</v>
      </c>
      <c r="D49" s="15">
        <v>3335</v>
      </c>
      <c r="E49" s="15">
        <v>113085</v>
      </c>
      <c r="F49" s="52">
        <v>29929</v>
      </c>
      <c r="G49" s="52">
        <v>12120</v>
      </c>
      <c r="H49" s="52">
        <v>6597</v>
      </c>
      <c r="I49" s="52">
        <v>3557</v>
      </c>
      <c r="J49" s="904">
        <v>839.03</v>
      </c>
      <c r="K49" s="73">
        <f>SUM($J$38,$J$46:J49)/$C$10</f>
        <v>0.50540517411977393</v>
      </c>
      <c r="L49" s="305">
        <f t="shared" si="112"/>
        <v>4.4637479421251987E-3</v>
      </c>
      <c r="M49" s="306">
        <f t="shared" si="113"/>
        <v>22000</v>
      </c>
      <c r="N49" s="307">
        <f t="shared" si="114"/>
        <v>7.4194632356192241E-3</v>
      </c>
      <c r="O49" s="307">
        <f t="shared" si="115"/>
        <v>0.23588136069721674</v>
      </c>
      <c r="P49" s="380">
        <f t="shared" si="116"/>
        <v>5.1402272727272731</v>
      </c>
      <c r="Q49" s="143">
        <v>235</v>
      </c>
      <c r="R49" s="52"/>
      <c r="S49" s="52"/>
      <c r="T49" s="293">
        <f t="shared" si="117"/>
        <v>381.5</v>
      </c>
      <c r="U49" s="455">
        <f t="shared" si="118"/>
        <v>0.61598951507208388</v>
      </c>
      <c r="V49" s="225">
        <f t="shared" si="119"/>
        <v>3.5703404255319149</v>
      </c>
      <c r="W49" s="308">
        <f t="shared" si="120"/>
        <v>7.0464767616191901E-2</v>
      </c>
      <c r="X49" s="684">
        <v>7.666666666666667</v>
      </c>
      <c r="Y49" s="392">
        <v>0.91914893617021276</v>
      </c>
      <c r="Z49" s="166">
        <v>372495</v>
      </c>
      <c r="AA49" s="15">
        <v>1987</v>
      </c>
      <c r="AB49" s="15">
        <v>53343</v>
      </c>
      <c r="AC49" s="52">
        <v>12260</v>
      </c>
      <c r="AD49" s="52">
        <v>4953</v>
      </c>
      <c r="AE49" s="52">
        <v>2990</v>
      </c>
      <c r="AF49" s="52">
        <v>1485</v>
      </c>
      <c r="AG49" s="642">
        <v>407.15</v>
      </c>
      <c r="AH49" s="554">
        <f t="shared" si="121"/>
        <v>7.6326790769173083E-3</v>
      </c>
      <c r="AI49" s="554">
        <f t="shared" si="122"/>
        <v>0.27417508417508418</v>
      </c>
      <c r="AJ49" s="555">
        <f t="shared" si="123"/>
        <v>5.3342997892589158E-3</v>
      </c>
      <c r="AK49" s="553">
        <v>129</v>
      </c>
      <c r="AL49" s="553"/>
      <c r="AM49" s="553"/>
      <c r="AN49" s="312">
        <f t="shared" si="124"/>
        <v>3.1562015503875966</v>
      </c>
      <c r="AO49" s="316">
        <f t="shared" si="125"/>
        <v>6.4921992954202312E-2</v>
      </c>
      <c r="AP49" s="124"/>
      <c r="AQ49" s="169"/>
      <c r="AR49" s="166">
        <v>120194</v>
      </c>
      <c r="AS49" s="15">
        <v>655</v>
      </c>
      <c r="AT49" s="15">
        <v>18365</v>
      </c>
      <c r="AU49" s="52">
        <v>2173</v>
      </c>
      <c r="AV49" s="52">
        <v>817</v>
      </c>
      <c r="AW49" s="52">
        <v>508</v>
      </c>
      <c r="AX49" s="52">
        <v>257</v>
      </c>
      <c r="AY49" s="77">
        <v>140.61000000000001</v>
      </c>
      <c r="AZ49" s="554">
        <f t="shared" si="126"/>
        <v>7.6564116526000548E-3</v>
      </c>
      <c r="BA49" s="554">
        <f t="shared" si="127"/>
        <v>0.54712062256809346</v>
      </c>
      <c r="BB49" s="555">
        <f t="shared" si="107"/>
        <v>5.4495232707123488E-3</v>
      </c>
      <c r="BC49" s="902">
        <v>33</v>
      </c>
      <c r="BD49" s="553"/>
      <c r="BE49" s="553"/>
      <c r="BF49" s="228">
        <f t="shared" si="128"/>
        <v>4.2609090909090916</v>
      </c>
      <c r="BG49" s="316">
        <f t="shared" si="129"/>
        <v>5.0381679389312976E-2</v>
      </c>
      <c r="BH49" s="124"/>
      <c r="BI49" s="169"/>
      <c r="BJ49" s="166">
        <v>254441</v>
      </c>
      <c r="BK49" s="15">
        <v>693</v>
      </c>
      <c r="BL49" s="15">
        <v>41377</v>
      </c>
      <c r="BM49" s="52">
        <v>15496</v>
      </c>
      <c r="BN49" s="52">
        <v>6350</v>
      </c>
      <c r="BO49" s="52">
        <v>3099</v>
      </c>
      <c r="BP49" s="52">
        <v>1815</v>
      </c>
      <c r="BQ49" s="77">
        <v>291.27</v>
      </c>
      <c r="BR49" s="554">
        <f t="shared" si="130"/>
        <v>7.0394180341735741E-3</v>
      </c>
      <c r="BS49" s="554">
        <f t="shared" si="131"/>
        <v>0.16047933884297519</v>
      </c>
      <c r="BT49" s="555">
        <f t="shared" si="110"/>
        <v>2.7236176559595347E-3</v>
      </c>
      <c r="BU49" s="902">
        <v>73</v>
      </c>
      <c r="BV49" s="553"/>
      <c r="BW49" s="553"/>
      <c r="BX49" s="228">
        <f t="shared" si="132"/>
        <v>3.9899999999999998</v>
      </c>
      <c r="BY49" s="710">
        <f t="shared" si="133"/>
        <v>0.10533910533910534</v>
      </c>
      <c r="BZ49" s="124"/>
      <c r="CA49" s="169"/>
    </row>
    <row r="50" spans="2:79">
      <c r="B50" s="187">
        <v>40821</v>
      </c>
      <c r="C50" s="15">
        <v>746436</v>
      </c>
      <c r="D50" s="15">
        <v>3314</v>
      </c>
      <c r="E50" s="15">
        <v>111451</v>
      </c>
      <c r="F50" s="52">
        <v>28130</v>
      </c>
      <c r="G50" s="52">
        <v>11075</v>
      </c>
      <c r="H50" s="52">
        <v>5906</v>
      </c>
      <c r="I50" s="52">
        <v>3294</v>
      </c>
      <c r="J50" s="904">
        <v>860.66000000000008</v>
      </c>
      <c r="K50" s="73">
        <f>SUM($J$38,$J$46:J50)/$C$10</f>
        <v>0.55143740406163599</v>
      </c>
      <c r="L50" s="305">
        <f t="shared" si="112"/>
        <v>4.4397644272248394E-3</v>
      </c>
      <c r="M50" s="306">
        <f t="shared" si="113"/>
        <v>22000</v>
      </c>
      <c r="N50" s="307">
        <f t="shared" si="114"/>
        <v>7.7223174309786367E-3</v>
      </c>
      <c r="O50" s="307">
        <f t="shared" si="115"/>
        <v>0.26128111718275654</v>
      </c>
      <c r="P50" s="380">
        <f t="shared" si="116"/>
        <v>5.0659545454545452</v>
      </c>
      <c r="Q50" s="143">
        <v>264</v>
      </c>
      <c r="R50" s="52"/>
      <c r="S50" s="52"/>
      <c r="T50" s="293">
        <f t="shared" si="117"/>
        <v>381.5</v>
      </c>
      <c r="U50" s="455">
        <f t="shared" si="118"/>
        <v>0.69200524246395811</v>
      </c>
      <c r="V50" s="225">
        <f t="shared" si="119"/>
        <v>3.2600757575757577</v>
      </c>
      <c r="W50" s="308">
        <f t="shared" si="120"/>
        <v>7.966203983101991E-2</v>
      </c>
      <c r="X50" s="684">
        <v>6.666666666666667</v>
      </c>
      <c r="Y50" s="392">
        <v>0.96212121212121215</v>
      </c>
      <c r="Z50" s="166">
        <v>288334</v>
      </c>
      <c r="AA50" s="15">
        <v>1535</v>
      </c>
      <c r="AB50" s="15">
        <v>39790</v>
      </c>
      <c r="AC50" s="52">
        <v>8879</v>
      </c>
      <c r="AD50" s="52">
        <v>3540</v>
      </c>
      <c r="AE50" s="52">
        <v>2101</v>
      </c>
      <c r="AF50" s="52">
        <v>1116</v>
      </c>
      <c r="AG50" s="642">
        <v>318.95</v>
      </c>
      <c r="AH50" s="554">
        <f t="shared" si="121"/>
        <v>8.0158331239004767E-3</v>
      </c>
      <c r="AI50" s="554">
        <f t="shared" si="122"/>
        <v>0.28579749103942653</v>
      </c>
      <c r="AJ50" s="555">
        <f t="shared" si="123"/>
        <v>5.3236871128621672E-3</v>
      </c>
      <c r="AK50" s="553">
        <v>108</v>
      </c>
      <c r="AL50" s="553"/>
      <c r="AM50" s="553"/>
      <c r="AN50" s="581">
        <f t="shared" ref="AN50:AN55" si="134">AG50/AK50</f>
        <v>2.9532407407407408</v>
      </c>
      <c r="AO50" s="595">
        <f t="shared" ref="AO50:AO55" si="135">AK50/AA50</f>
        <v>7.0358306188925079E-2</v>
      </c>
      <c r="AP50" s="125"/>
      <c r="AQ50" s="170"/>
      <c r="AR50" s="166">
        <v>194137</v>
      </c>
      <c r="AS50" s="15">
        <v>942</v>
      </c>
      <c r="AT50" s="15">
        <v>29317</v>
      </c>
      <c r="AU50" s="52">
        <v>3318</v>
      </c>
      <c r="AV50" s="52">
        <v>1297</v>
      </c>
      <c r="AW50" s="52">
        <v>775</v>
      </c>
      <c r="AX50" s="52">
        <v>405</v>
      </c>
      <c r="AY50" s="77">
        <v>230.32</v>
      </c>
      <c r="AZ50" s="1176">
        <f t="shared" ref="AZ50:AZ55" si="136">AY50/AT50</f>
        <v>7.8561926527270856E-3</v>
      </c>
      <c r="BA50" s="1176">
        <f t="shared" ref="BA50:BA55" si="137">AY50/AX50</f>
        <v>0.5686913580246914</v>
      </c>
      <c r="BB50" s="1177">
        <f t="shared" si="107"/>
        <v>4.8522435187522217E-3</v>
      </c>
      <c r="BC50" s="902">
        <v>73</v>
      </c>
      <c r="BD50" s="553"/>
      <c r="BE50" s="553"/>
      <c r="BF50" s="594">
        <f t="shared" ref="BF50:BF55" si="138">AY50/BC50</f>
        <v>3.1550684931506847</v>
      </c>
      <c r="BG50" s="595">
        <f t="shared" ref="BG50:BG55" si="139">BC50/AS50</f>
        <v>7.749469214437367E-2</v>
      </c>
      <c r="BH50" s="125"/>
      <c r="BI50" s="170"/>
      <c r="BJ50" s="166">
        <v>263965</v>
      </c>
      <c r="BK50" s="15">
        <v>837</v>
      </c>
      <c r="BL50" s="15">
        <v>42344</v>
      </c>
      <c r="BM50" s="52">
        <v>15933</v>
      </c>
      <c r="BN50" s="52">
        <v>6238</v>
      </c>
      <c r="BO50" s="52">
        <v>3030</v>
      </c>
      <c r="BP50" s="52">
        <v>1773</v>
      </c>
      <c r="BQ50" s="77">
        <v>311.39</v>
      </c>
      <c r="BR50" s="1176">
        <f t="shared" ref="BR50:BR55" si="140">BQ50/BL50</f>
        <v>7.3538163612318153E-3</v>
      </c>
      <c r="BS50" s="1176">
        <f t="shared" ref="BS50:BS55" si="141">BQ50/BP50</f>
        <v>0.17562887760857304</v>
      </c>
      <c r="BT50" s="1177">
        <f t="shared" si="110"/>
        <v>3.1708749266001176E-3</v>
      </c>
      <c r="BU50" s="902">
        <v>83</v>
      </c>
      <c r="BV50" s="553"/>
      <c r="BW50" s="553"/>
      <c r="BX50" s="594">
        <f t="shared" ref="BX50:BX55" si="142">BQ50/BU50</f>
        <v>3.7516867469879518</v>
      </c>
      <c r="BY50" s="869">
        <f t="shared" ref="BY50:BY55" si="143">BU50/BK50</f>
        <v>9.9163679808841096E-2</v>
      </c>
      <c r="BZ50" s="125"/>
      <c r="CA50" s="170"/>
    </row>
    <row r="51" spans="2:79">
      <c r="B51" s="187">
        <v>40822</v>
      </c>
      <c r="C51" s="15">
        <v>720622</v>
      </c>
      <c r="D51" s="15">
        <v>3403</v>
      </c>
      <c r="E51" s="15">
        <v>107661</v>
      </c>
      <c r="F51" s="52">
        <v>24097</v>
      </c>
      <c r="G51" s="52">
        <v>9661</v>
      </c>
      <c r="H51" s="52">
        <v>5157</v>
      </c>
      <c r="I51" s="52">
        <v>2923</v>
      </c>
      <c r="J51" s="904">
        <v>853.49</v>
      </c>
      <c r="K51" s="73">
        <f>SUM($J$38,$J$46:J51)/$C$10</f>
        <v>0.59708614797105408</v>
      </c>
      <c r="L51" s="305">
        <f t="shared" si="112"/>
        <v>4.7223093383216164E-3</v>
      </c>
      <c r="M51" s="306">
        <f t="shared" si="113"/>
        <v>22000</v>
      </c>
      <c r="N51" s="307">
        <f t="shared" si="114"/>
        <v>7.927568943257076E-3</v>
      </c>
      <c r="O51" s="307">
        <f t="shared" si="115"/>
        <v>0.29199110502907971</v>
      </c>
      <c r="P51" s="380">
        <f t="shared" si="116"/>
        <v>4.8936818181818182</v>
      </c>
      <c r="Q51" s="143">
        <v>274</v>
      </c>
      <c r="R51" s="52"/>
      <c r="S51" s="52"/>
      <c r="T51" s="293">
        <f t="shared" si="117"/>
        <v>381.5</v>
      </c>
      <c r="U51" s="455">
        <f t="shared" si="118"/>
        <v>0.71821756225425948</v>
      </c>
      <c r="V51" s="225">
        <f t="shared" si="119"/>
        <v>3.1149270072992703</v>
      </c>
      <c r="W51" s="308">
        <f t="shared" si="120"/>
        <v>8.0517190714075815E-2</v>
      </c>
      <c r="X51" s="684">
        <v>6</v>
      </c>
      <c r="Y51" s="392">
        <v>0.92700729927007297</v>
      </c>
      <c r="Z51" s="166">
        <v>213174</v>
      </c>
      <c r="AA51" s="15">
        <v>1164</v>
      </c>
      <c r="AB51" s="15">
        <v>28443</v>
      </c>
      <c r="AC51" s="52">
        <v>6337</v>
      </c>
      <c r="AD51" s="52">
        <v>2606</v>
      </c>
      <c r="AE51" s="52">
        <v>1534</v>
      </c>
      <c r="AF51" s="52">
        <v>791</v>
      </c>
      <c r="AG51" s="642">
        <v>237.44</v>
      </c>
      <c r="AH51" s="554">
        <f t="shared" si="121"/>
        <v>8.3479239180114621E-3</v>
      </c>
      <c r="AI51" s="554">
        <f t="shared" si="122"/>
        <v>0.3001769911504425</v>
      </c>
      <c r="AJ51" s="555">
        <f t="shared" si="123"/>
        <v>5.4603281826113882E-3</v>
      </c>
      <c r="AK51" s="553">
        <v>83</v>
      </c>
      <c r="AL51" s="553"/>
      <c r="AM51" s="553"/>
      <c r="AN51" s="581">
        <f t="shared" si="134"/>
        <v>2.8607228915662652</v>
      </c>
      <c r="AO51" s="595">
        <f t="shared" si="135"/>
        <v>7.1305841924398622E-2</v>
      </c>
      <c r="AP51" s="125"/>
      <c r="AQ51" s="170"/>
      <c r="AR51" s="166">
        <v>301889</v>
      </c>
      <c r="AS51" s="15">
        <v>1554</v>
      </c>
      <c r="AT51" s="15">
        <v>45814</v>
      </c>
      <c r="AU51" s="52">
        <v>5251</v>
      </c>
      <c r="AV51" s="52">
        <v>1926</v>
      </c>
      <c r="AW51" s="52">
        <v>1131</v>
      </c>
      <c r="AX51" s="52">
        <v>594</v>
      </c>
      <c r="AY51" s="77">
        <v>358.99</v>
      </c>
      <c r="AZ51" s="1176">
        <f t="shared" si="136"/>
        <v>7.8358143798838778E-3</v>
      </c>
      <c r="BA51" s="1176">
        <f t="shared" si="137"/>
        <v>0.60436026936026943</v>
      </c>
      <c r="BB51" s="1177">
        <f t="shared" si="107"/>
        <v>5.147587358267443E-3</v>
      </c>
      <c r="BC51" s="902">
        <v>127</v>
      </c>
      <c r="BD51" s="553"/>
      <c r="BE51" s="553"/>
      <c r="BF51" s="594">
        <f t="shared" si="138"/>
        <v>2.826692913385827</v>
      </c>
      <c r="BG51" s="595">
        <f t="shared" si="139"/>
        <v>8.1724581724581719E-2</v>
      </c>
      <c r="BH51" s="125"/>
      <c r="BI51" s="170"/>
      <c r="BJ51" s="166">
        <v>205559</v>
      </c>
      <c r="BK51" s="15">
        <v>685</v>
      </c>
      <c r="BL51" s="15">
        <v>33404</v>
      </c>
      <c r="BM51" s="52">
        <v>12509</v>
      </c>
      <c r="BN51" s="52">
        <v>5129</v>
      </c>
      <c r="BO51" s="52">
        <v>2492</v>
      </c>
      <c r="BP51" s="52">
        <v>1538</v>
      </c>
      <c r="BQ51" s="77">
        <v>257.06</v>
      </c>
      <c r="BR51" s="1176">
        <f t="shared" si="140"/>
        <v>7.6954855705903486E-3</v>
      </c>
      <c r="BS51" s="1176">
        <f t="shared" si="141"/>
        <v>0.16713914174252276</v>
      </c>
      <c r="BT51" s="1177">
        <f t="shared" si="110"/>
        <v>3.3323765926084482E-3</v>
      </c>
      <c r="BU51" s="902">
        <v>64</v>
      </c>
      <c r="BV51" s="553"/>
      <c r="BW51" s="553"/>
      <c r="BX51" s="594">
        <f t="shared" si="142"/>
        <v>4.0165625</v>
      </c>
      <c r="BY51" s="869">
        <f t="shared" si="143"/>
        <v>9.3430656934306563E-2</v>
      </c>
      <c r="BZ51" s="125"/>
      <c r="CA51" s="170"/>
    </row>
    <row r="52" spans="2:79">
      <c r="B52" s="189">
        <v>40823</v>
      </c>
      <c r="C52" s="15">
        <v>745445</v>
      </c>
      <c r="D52" s="15">
        <v>3680</v>
      </c>
      <c r="E52" s="15">
        <v>108021</v>
      </c>
      <c r="F52" s="52">
        <v>21769</v>
      </c>
      <c r="G52" s="52">
        <v>8593</v>
      </c>
      <c r="H52" s="52">
        <v>4848</v>
      </c>
      <c r="I52" s="52">
        <v>2536</v>
      </c>
      <c r="J52" s="904">
        <v>902.72</v>
      </c>
      <c r="K52" s="73">
        <f>SUM($J$38,$J$46:J52)/$C$10</f>
        <v>0.64536794869737768</v>
      </c>
      <c r="L52" s="305">
        <f t="shared" si="112"/>
        <v>4.9366485790366824E-3</v>
      </c>
      <c r="M52" s="306">
        <f t="shared" si="113"/>
        <v>22000</v>
      </c>
      <c r="N52" s="307">
        <f t="shared" si="114"/>
        <v>8.3568935669916036E-3</v>
      </c>
      <c r="O52" s="307">
        <f t="shared" si="115"/>
        <v>0.35596214511041013</v>
      </c>
      <c r="P52" s="380">
        <f t="shared" si="116"/>
        <v>4.9100454545454548</v>
      </c>
      <c r="Q52" s="143">
        <v>276</v>
      </c>
      <c r="R52" s="52"/>
      <c r="S52" s="52"/>
      <c r="T52" s="293">
        <f t="shared" si="117"/>
        <v>381.5</v>
      </c>
      <c r="U52" s="455">
        <f t="shared" si="118"/>
        <v>0.72346002621231975</v>
      </c>
      <c r="V52" s="225">
        <f t="shared" si="119"/>
        <v>3.2707246376811594</v>
      </c>
      <c r="W52" s="316">
        <f t="shared" si="120"/>
        <v>7.4999999999999997E-2</v>
      </c>
      <c r="X52" s="686">
        <v>7.666666666666667</v>
      </c>
      <c r="Y52" s="392">
        <v>0.91666666666666663</v>
      </c>
      <c r="Z52" s="166">
        <v>277771</v>
      </c>
      <c r="AA52" s="15">
        <v>1520</v>
      </c>
      <c r="AB52" s="15">
        <v>36314</v>
      </c>
      <c r="AC52" s="52">
        <v>8031</v>
      </c>
      <c r="AD52" s="52">
        <v>3245</v>
      </c>
      <c r="AE52" s="52">
        <v>1989</v>
      </c>
      <c r="AF52" s="52">
        <v>946</v>
      </c>
      <c r="AG52" s="642">
        <v>305.48</v>
      </c>
      <c r="AH52" s="554">
        <f t="shared" si="121"/>
        <v>8.4121826292889793E-3</v>
      </c>
      <c r="AI52" s="554">
        <f t="shared" si="122"/>
        <v>0.32291754756871038</v>
      </c>
      <c r="AJ52" s="555">
        <f t="shared" si="123"/>
        <v>5.4721335200578897E-3</v>
      </c>
      <c r="AK52" s="553">
        <v>96</v>
      </c>
      <c r="AL52" s="553"/>
      <c r="AM52" s="553"/>
      <c r="AN52" s="581">
        <f t="shared" si="134"/>
        <v>3.1820833333333334</v>
      </c>
      <c r="AO52" s="595">
        <f t="shared" si="135"/>
        <v>6.3157894736842107E-2</v>
      </c>
      <c r="AP52" s="125"/>
      <c r="AQ52" s="170"/>
      <c r="AR52" s="166">
        <v>325626</v>
      </c>
      <c r="AS52" s="15">
        <v>1640</v>
      </c>
      <c r="AT52" s="15">
        <v>48369</v>
      </c>
      <c r="AU52" s="52">
        <v>5263</v>
      </c>
      <c r="AV52" s="52">
        <v>1954</v>
      </c>
      <c r="AW52" s="52">
        <v>1168</v>
      </c>
      <c r="AX52" s="52">
        <v>634</v>
      </c>
      <c r="AY52" s="77">
        <v>403.74</v>
      </c>
      <c r="AZ52" s="1176">
        <f t="shared" si="136"/>
        <v>8.3470818085964148E-3</v>
      </c>
      <c r="BA52" s="1176">
        <f t="shared" si="137"/>
        <v>0.63681388012618301</v>
      </c>
      <c r="BB52" s="1177">
        <f t="shared" si="107"/>
        <v>5.0364528631006121E-3</v>
      </c>
      <c r="BC52" s="902">
        <v>137</v>
      </c>
      <c r="BD52" s="553"/>
      <c r="BE52" s="553"/>
      <c r="BF52" s="594">
        <f t="shared" si="138"/>
        <v>2.9470072992700729</v>
      </c>
      <c r="BG52" s="595">
        <f t="shared" si="139"/>
        <v>8.3536585365853663E-2</v>
      </c>
      <c r="BH52" s="125"/>
      <c r="BI52" s="170"/>
      <c r="BJ52" s="166">
        <v>142048</v>
      </c>
      <c r="BK52" s="15">
        <v>520</v>
      </c>
      <c r="BL52" s="15">
        <v>23338</v>
      </c>
      <c r="BM52" s="52">
        <v>8475</v>
      </c>
      <c r="BN52" s="52">
        <v>3394</v>
      </c>
      <c r="BO52" s="52">
        <v>1691</v>
      </c>
      <c r="BP52" s="52">
        <v>956</v>
      </c>
      <c r="BQ52" s="77">
        <v>193.5</v>
      </c>
      <c r="BR52" s="1176">
        <f t="shared" si="140"/>
        <v>8.2911989030765281E-3</v>
      </c>
      <c r="BS52" s="1176">
        <f t="shared" si="141"/>
        <v>0.20240585774058578</v>
      </c>
      <c r="BT52" s="1177">
        <f t="shared" si="110"/>
        <v>3.6607343996395585E-3</v>
      </c>
      <c r="BU52" s="902">
        <v>43</v>
      </c>
      <c r="BV52" s="553"/>
      <c r="BW52" s="553"/>
      <c r="BX52" s="594">
        <f t="shared" si="142"/>
        <v>4.5</v>
      </c>
      <c r="BY52" s="869">
        <f t="shared" si="143"/>
        <v>8.269230769230769E-2</v>
      </c>
      <c r="BZ52" s="125"/>
      <c r="CA52" s="170"/>
    </row>
    <row r="53" spans="2:79">
      <c r="B53" s="189">
        <v>40824</v>
      </c>
      <c r="C53" s="15">
        <v>752364</v>
      </c>
      <c r="D53" s="15">
        <v>3489</v>
      </c>
      <c r="E53" s="15">
        <v>107361</v>
      </c>
      <c r="F53" s="52">
        <v>23453</v>
      </c>
      <c r="G53" s="52">
        <v>9299</v>
      </c>
      <c r="H53" s="52">
        <v>5249</v>
      </c>
      <c r="I53" s="52">
        <v>2813</v>
      </c>
      <c r="J53" s="904">
        <v>893.74</v>
      </c>
      <c r="K53" s="73">
        <f>SUM($J$38,$J$46:J53)/$C$10</f>
        <v>0.69316945589910628</v>
      </c>
      <c r="L53" s="305">
        <f t="shared" si="112"/>
        <v>4.6373829688820837E-3</v>
      </c>
      <c r="M53" s="306">
        <f t="shared" si="113"/>
        <v>22000</v>
      </c>
      <c r="N53" s="307">
        <f t="shared" si="114"/>
        <v>8.3246243980588854E-3</v>
      </c>
      <c r="O53" s="307">
        <f t="shared" si="115"/>
        <v>0.31771773906861001</v>
      </c>
      <c r="P53" s="380">
        <f t="shared" si="116"/>
        <v>4.8800454545454546</v>
      </c>
      <c r="Q53" s="143">
        <v>247</v>
      </c>
      <c r="R53" s="52"/>
      <c r="S53" s="52"/>
      <c r="T53" s="293">
        <f t="shared" si="117"/>
        <v>381.5</v>
      </c>
      <c r="U53" s="455">
        <f t="shared" si="118"/>
        <v>0.64744429882044563</v>
      </c>
      <c r="V53" s="225">
        <f t="shared" si="119"/>
        <v>3.6183805668016196</v>
      </c>
      <c r="W53" s="561">
        <f t="shared" si="120"/>
        <v>7.0793923760389801E-2</v>
      </c>
      <c r="X53" s="687">
        <v>2.3333333333333335</v>
      </c>
      <c r="Y53" s="392">
        <v>0.95951417004048578</v>
      </c>
      <c r="Z53" s="166">
        <v>358050</v>
      </c>
      <c r="AA53" s="15">
        <v>1884</v>
      </c>
      <c r="AB53" s="15">
        <v>46880</v>
      </c>
      <c r="AC53" s="52">
        <v>10422</v>
      </c>
      <c r="AD53" s="52">
        <v>4244</v>
      </c>
      <c r="AE53" s="52">
        <v>2549</v>
      </c>
      <c r="AF53" s="52">
        <v>1310</v>
      </c>
      <c r="AG53" s="642">
        <v>399.07</v>
      </c>
      <c r="AH53" s="554">
        <f t="shared" si="121"/>
        <v>8.5125853242320818E-3</v>
      </c>
      <c r="AI53" s="554">
        <f t="shared" si="122"/>
        <v>0.30463358778625954</v>
      </c>
      <c r="AJ53" s="555">
        <f t="shared" si="123"/>
        <v>5.2618349392542941E-3</v>
      </c>
      <c r="AK53" s="553">
        <v>120</v>
      </c>
      <c r="AL53" s="553"/>
      <c r="AM53" s="553"/>
      <c r="AN53" s="581">
        <f t="shared" si="134"/>
        <v>3.3255833333333333</v>
      </c>
      <c r="AO53" s="595">
        <f t="shared" si="135"/>
        <v>6.3694267515923567E-2</v>
      </c>
      <c r="AP53" s="125"/>
      <c r="AQ53" s="170"/>
      <c r="AR53" s="166">
        <v>242845</v>
      </c>
      <c r="AS53" s="15">
        <v>1093</v>
      </c>
      <c r="AT53" s="15">
        <v>35671</v>
      </c>
      <c r="AU53" s="52">
        <v>3993</v>
      </c>
      <c r="AV53" s="52">
        <v>1460</v>
      </c>
      <c r="AW53" s="52">
        <v>869</v>
      </c>
      <c r="AX53" s="52">
        <v>454</v>
      </c>
      <c r="AY53" s="77">
        <v>294</v>
      </c>
      <c r="AZ53" s="1176">
        <f t="shared" si="136"/>
        <v>8.2419892910207179E-3</v>
      </c>
      <c r="BA53" s="1176">
        <f t="shared" si="137"/>
        <v>0.64757709251101325</v>
      </c>
      <c r="BB53" s="1177">
        <f t="shared" si="107"/>
        <v>4.5008132759579156E-3</v>
      </c>
      <c r="BC53" s="902">
        <v>87</v>
      </c>
      <c r="BD53" s="553"/>
      <c r="BE53" s="553"/>
      <c r="BF53" s="594">
        <f t="shared" si="138"/>
        <v>3.3793103448275863</v>
      </c>
      <c r="BG53" s="595">
        <f t="shared" si="139"/>
        <v>7.9597438243366875E-2</v>
      </c>
      <c r="BH53" s="125"/>
      <c r="BI53" s="170"/>
      <c r="BJ53" s="166">
        <v>151469</v>
      </c>
      <c r="BK53" s="15">
        <v>512</v>
      </c>
      <c r="BL53" s="15">
        <v>24810</v>
      </c>
      <c r="BM53" s="52">
        <v>9038</v>
      </c>
      <c r="BN53" s="52">
        <v>3595</v>
      </c>
      <c r="BO53" s="52">
        <v>1831</v>
      </c>
      <c r="BP53" s="52">
        <v>1049</v>
      </c>
      <c r="BQ53" s="562">
        <v>200.67</v>
      </c>
      <c r="BR53" s="1176">
        <f t="shared" si="140"/>
        <v>8.0882708585247876E-3</v>
      </c>
      <c r="BS53" s="1176">
        <f t="shared" si="141"/>
        <v>0.19129647283126786</v>
      </c>
      <c r="BT53" s="1177">
        <f t="shared" si="110"/>
        <v>3.3802296179416252E-3</v>
      </c>
      <c r="BU53" s="902">
        <v>40</v>
      </c>
      <c r="BV53" s="553"/>
      <c r="BW53" s="553"/>
      <c r="BX53" s="594">
        <f t="shared" si="142"/>
        <v>5.01675</v>
      </c>
      <c r="BY53" s="1362">
        <f t="shared" si="143"/>
        <v>7.8125E-2</v>
      </c>
      <c r="BZ53" s="125"/>
      <c r="CA53" s="170"/>
    </row>
    <row r="54" spans="2:79">
      <c r="B54" s="190" t="s">
        <v>160</v>
      </c>
      <c r="C54" s="298">
        <f>SUM(C47:C53)</f>
        <v>4861347</v>
      </c>
      <c r="D54" s="298">
        <f t="shared" ref="D54:J54" si="144">SUM(D47:D53)</f>
        <v>22490</v>
      </c>
      <c r="E54" s="298">
        <f t="shared" si="144"/>
        <v>722072</v>
      </c>
      <c r="F54" s="298">
        <f t="shared" si="144"/>
        <v>167599</v>
      </c>
      <c r="G54" s="298">
        <f t="shared" si="144"/>
        <v>66508</v>
      </c>
      <c r="H54" s="298">
        <f t="shared" si="144"/>
        <v>36708</v>
      </c>
      <c r="I54" s="298">
        <f t="shared" si="144"/>
        <v>19837</v>
      </c>
      <c r="J54" s="965">
        <f t="shared" si="144"/>
        <v>5522.35</v>
      </c>
      <c r="K54" s="599">
        <f>SUM($J$38,$J$46:J53)/C$10</f>
        <v>0.69316945589910628</v>
      </c>
      <c r="L54" s="299">
        <f>D54/C54</f>
        <v>4.6262897916976506E-3</v>
      </c>
      <c r="M54" s="300">
        <f>SUM(M47:M53)</f>
        <v>154000</v>
      </c>
      <c r="N54" s="301">
        <f>J54/E54</f>
        <v>7.6479215369104469E-3</v>
      </c>
      <c r="O54" s="301">
        <f>J54/I54</f>
        <v>0.27838634874224932</v>
      </c>
      <c r="P54" s="302">
        <f>E54/M54</f>
        <v>4.6887792207792209</v>
      </c>
      <c r="Q54" s="121">
        <f>SUM(Q47:Q53)</f>
        <v>1744</v>
      </c>
      <c r="R54" s="27"/>
      <c r="S54" s="27"/>
      <c r="T54" s="27">
        <f>SUM(T47:T53)</f>
        <v>2670.5</v>
      </c>
      <c r="U54" s="140">
        <f>Q54/T54</f>
        <v>0.65306122448979587</v>
      </c>
      <c r="V54" s="237">
        <f>J54/Q54</f>
        <v>3.1664850917431195</v>
      </c>
      <c r="W54" s="317">
        <f>Q54/D54</f>
        <v>7.754557581147177E-2</v>
      </c>
      <c r="X54" s="682">
        <f>AVERAGE(X47:X53)</f>
        <v>5.3333333333333339</v>
      </c>
      <c r="Y54" s="317">
        <f>AVERAGE(Y47:Y53)</f>
        <v>0.94262186930285341</v>
      </c>
      <c r="Z54" s="164">
        <f>SUM(Z47:Z53)</f>
        <v>2247137</v>
      </c>
      <c r="AA54" s="27">
        <f t="shared" ref="AA54:AK54" si="145">SUM(AA47:AA53)</f>
        <v>11667</v>
      </c>
      <c r="AB54" s="27">
        <f t="shared" si="145"/>
        <v>314082</v>
      </c>
      <c r="AC54" s="27">
        <f t="shared" si="145"/>
        <v>70479</v>
      </c>
      <c r="AD54" s="27">
        <f t="shared" si="145"/>
        <v>28249</v>
      </c>
      <c r="AE54" s="27">
        <f t="shared" si="145"/>
        <v>16879</v>
      </c>
      <c r="AF54" s="376">
        <f t="shared" si="145"/>
        <v>8535</v>
      </c>
      <c r="AG54" s="1324">
        <f t="shared" si="145"/>
        <v>2412.86</v>
      </c>
      <c r="AH54" s="1179">
        <f>AG54/AB54</f>
        <v>7.6822613202921532E-3</v>
      </c>
      <c r="AI54" s="1179">
        <f>AG54/AF54</f>
        <v>0.28270181605155242</v>
      </c>
      <c r="AJ54" s="1180">
        <f>AA54/Z54</f>
        <v>5.1919397882728112E-3</v>
      </c>
      <c r="AK54" s="551">
        <f t="shared" si="145"/>
        <v>839</v>
      </c>
      <c r="AL54" s="298"/>
      <c r="AM54" s="298"/>
      <c r="AN54" s="552">
        <f t="shared" si="134"/>
        <v>2.8758760429082244</v>
      </c>
      <c r="AO54" s="550">
        <f t="shared" si="135"/>
        <v>7.1912231079112029E-2</v>
      </c>
      <c r="AP54" s="130"/>
      <c r="AQ54" s="165"/>
      <c r="AR54" s="164">
        <f>SUM(AR47:AR53)</f>
        <v>1397914</v>
      </c>
      <c r="AS54" s="27">
        <f t="shared" ref="AS54:AY54" si="146">SUM(AS47:AS53)</f>
        <v>7018</v>
      </c>
      <c r="AT54" s="27">
        <f t="shared" si="146"/>
        <v>210452</v>
      </c>
      <c r="AU54" s="27">
        <f t="shared" si="146"/>
        <v>23806</v>
      </c>
      <c r="AV54" s="27">
        <f t="shared" si="146"/>
        <v>8888</v>
      </c>
      <c r="AW54" s="27">
        <f t="shared" si="146"/>
        <v>5329</v>
      </c>
      <c r="AX54" s="27">
        <f t="shared" si="146"/>
        <v>2781</v>
      </c>
      <c r="AY54" s="74">
        <f t="shared" si="146"/>
        <v>1652.65</v>
      </c>
      <c r="AZ54" s="549">
        <f t="shared" si="136"/>
        <v>7.8528595594244775E-3</v>
      </c>
      <c r="BA54" s="549">
        <f t="shared" si="137"/>
        <v>0.59426465300251707</v>
      </c>
      <c r="BB54" s="550">
        <f t="shared" si="107"/>
        <v>5.0203374456511633E-3</v>
      </c>
      <c r="BC54" s="551">
        <f t="shared" ref="BC54" si="147">SUM(BC47:BC53)</f>
        <v>536</v>
      </c>
      <c r="BD54" s="298"/>
      <c r="BE54" s="298"/>
      <c r="BF54" s="552">
        <f t="shared" si="138"/>
        <v>3.0833022388059703</v>
      </c>
      <c r="BG54" s="550">
        <f t="shared" si="139"/>
        <v>7.6375035622684523E-2</v>
      </c>
      <c r="BH54" s="130"/>
      <c r="BI54" s="165"/>
      <c r="BJ54" s="164">
        <f>SUM(BJ47:BJ53)</f>
        <v>1216296</v>
      </c>
      <c r="BK54" s="27">
        <f t="shared" ref="BK54:BQ54" si="148">SUM(BK47:BK53)</f>
        <v>3805</v>
      </c>
      <c r="BL54" s="27">
        <f t="shared" si="148"/>
        <v>197538</v>
      </c>
      <c r="BM54" s="27">
        <f t="shared" si="148"/>
        <v>73314</v>
      </c>
      <c r="BN54" s="27">
        <f t="shared" si="148"/>
        <v>29371</v>
      </c>
      <c r="BO54" s="27">
        <f t="shared" si="148"/>
        <v>14500</v>
      </c>
      <c r="BP54" s="56">
        <f t="shared" si="148"/>
        <v>8521</v>
      </c>
      <c r="BQ54" s="899">
        <f t="shared" si="148"/>
        <v>1456.84</v>
      </c>
      <c r="BR54" s="1142">
        <f t="shared" si="140"/>
        <v>7.3749860786279089E-3</v>
      </c>
      <c r="BS54" s="1142">
        <f t="shared" si="141"/>
        <v>0.17097054336345499</v>
      </c>
      <c r="BT54" s="1194">
        <f t="shared" si="110"/>
        <v>3.128350335773529E-3</v>
      </c>
      <c r="BU54" s="551">
        <f t="shared" ref="BU54" si="149">SUM(BU47:BU53)</f>
        <v>369</v>
      </c>
      <c r="BV54" s="298"/>
      <c r="BW54" s="298"/>
      <c r="BX54" s="552">
        <f t="shared" si="142"/>
        <v>3.9480758807588074</v>
      </c>
      <c r="BY54" s="900">
        <f>BU54/BK54</f>
        <v>9.6977660972404733E-2</v>
      </c>
      <c r="BZ54" s="126"/>
      <c r="CA54" s="171"/>
    </row>
    <row r="55" spans="2:79">
      <c r="B55" s="187">
        <v>40825</v>
      </c>
      <c r="C55" s="15">
        <v>771536</v>
      </c>
      <c r="D55" s="15">
        <v>3501</v>
      </c>
      <c r="E55" s="15">
        <v>108046</v>
      </c>
      <c r="F55" s="52">
        <v>23758</v>
      </c>
      <c r="G55" s="52">
        <v>9277</v>
      </c>
      <c r="H55" s="52">
        <v>5226</v>
      </c>
      <c r="I55" s="52">
        <v>2869</v>
      </c>
      <c r="J55" s="904">
        <v>868.42000000000007</v>
      </c>
      <c r="K55" s="73">
        <f>SUM($J$38,$J$46,$J$54:J55)/$C$10</f>
        <v>0.73961672790676525</v>
      </c>
      <c r="L55" s="305">
        <f>D55/C55</f>
        <v>4.537701416395346E-3</v>
      </c>
      <c r="M55" s="306">
        <f>$AB$15/30</f>
        <v>22000</v>
      </c>
      <c r="N55" s="307">
        <f>J55/E55</f>
        <v>8.0375025452122245E-3</v>
      </c>
      <c r="O55" s="307">
        <f>J55/I55</f>
        <v>0.30269083304287209</v>
      </c>
      <c r="P55" s="380">
        <f>E55/M55</f>
        <v>4.9111818181818183</v>
      </c>
      <c r="Q55" s="143">
        <v>250</v>
      </c>
      <c r="R55" s="52"/>
      <c r="S55" s="52"/>
      <c r="T55" s="293">
        <f>$AB$17/30</f>
        <v>381.5</v>
      </c>
      <c r="U55" s="967">
        <f>Q55/T55</f>
        <v>0.65530799475753609</v>
      </c>
      <c r="V55" s="225">
        <f>J55/Q55</f>
        <v>3.4736800000000003</v>
      </c>
      <c r="W55" s="561">
        <f>Q55/D55</f>
        <v>7.1408169094544421E-2</v>
      </c>
      <c r="X55" s="687">
        <v>11.666666666666666</v>
      </c>
      <c r="Y55" s="392">
        <v>0.94</v>
      </c>
      <c r="Z55" s="166">
        <v>330360</v>
      </c>
      <c r="AA55" s="15">
        <v>1707</v>
      </c>
      <c r="AB55" s="15">
        <v>42329</v>
      </c>
      <c r="AC55" s="52">
        <v>9351</v>
      </c>
      <c r="AD55" s="52">
        <v>3766</v>
      </c>
      <c r="AE55" s="52">
        <v>2325</v>
      </c>
      <c r="AF55" s="553">
        <v>1179</v>
      </c>
      <c r="AG55" s="642">
        <v>346.17</v>
      </c>
      <c r="AH55" s="554">
        <f>AG55/AB55</f>
        <v>8.1780812209123772E-3</v>
      </c>
      <c r="AI55" s="554">
        <f>AG55/AF55</f>
        <v>0.29361323155216285</v>
      </c>
      <c r="AJ55" s="555">
        <f>AA55/Z55</f>
        <v>5.1670904467853249E-3</v>
      </c>
      <c r="AK55" s="143">
        <v>117</v>
      </c>
      <c r="AL55" s="52"/>
      <c r="AM55" s="52"/>
      <c r="AN55" s="312">
        <f t="shared" si="134"/>
        <v>2.9587179487179487</v>
      </c>
      <c r="AO55" s="316">
        <f t="shared" si="135"/>
        <v>6.8541300527240778E-2</v>
      </c>
      <c r="AP55" s="125"/>
      <c r="AQ55" s="170"/>
      <c r="AR55" s="166">
        <v>266205</v>
      </c>
      <c r="AS55" s="15">
        <v>1259</v>
      </c>
      <c r="AT55" s="15">
        <v>38568</v>
      </c>
      <c r="AU55" s="52">
        <v>4326</v>
      </c>
      <c r="AV55" s="52">
        <v>1556</v>
      </c>
      <c r="AW55" s="52">
        <v>938</v>
      </c>
      <c r="AX55" s="52">
        <v>551</v>
      </c>
      <c r="AY55" s="641">
        <v>308.48</v>
      </c>
      <c r="AZ55" s="713">
        <f t="shared" si="136"/>
        <v>7.9983405932379185E-3</v>
      </c>
      <c r="BA55" s="714">
        <f t="shared" si="137"/>
        <v>0.55985480943738664</v>
      </c>
      <c r="BB55" s="715">
        <f>AS55/AR55</f>
        <v>4.7294378392592172E-3</v>
      </c>
      <c r="BC55" s="143">
        <v>95</v>
      </c>
      <c r="BD55" s="52"/>
      <c r="BE55" s="52"/>
      <c r="BF55" s="228">
        <f t="shared" si="138"/>
        <v>3.2471578947368425</v>
      </c>
      <c r="BG55" s="316">
        <f t="shared" si="139"/>
        <v>7.5456711675933277E-2</v>
      </c>
      <c r="BH55" s="125"/>
      <c r="BI55" s="170"/>
      <c r="BJ55" s="166">
        <v>174971</v>
      </c>
      <c r="BK55" s="15">
        <v>535</v>
      </c>
      <c r="BL55" s="15">
        <v>27149</v>
      </c>
      <c r="BM55" s="52">
        <v>10081</v>
      </c>
      <c r="BN55" s="52">
        <v>3955</v>
      </c>
      <c r="BO55" s="52">
        <v>1963</v>
      </c>
      <c r="BP55" s="52">
        <v>1139</v>
      </c>
      <c r="BQ55" s="642">
        <v>213.77</v>
      </c>
      <c r="BR55" s="554">
        <f t="shared" si="140"/>
        <v>7.8739548417989611E-3</v>
      </c>
      <c r="BS55" s="554">
        <f t="shared" si="141"/>
        <v>0.18768217734855136</v>
      </c>
      <c r="BT55" s="555">
        <f>BK55/BJ55</f>
        <v>3.0576495533545557E-3</v>
      </c>
      <c r="BU55" s="143">
        <v>38</v>
      </c>
      <c r="BV55" s="52"/>
      <c r="BW55" s="52"/>
      <c r="BX55" s="228">
        <f t="shared" si="142"/>
        <v>5.6255263157894744</v>
      </c>
      <c r="BY55" s="544">
        <f t="shared" si="143"/>
        <v>7.1028037383177575E-2</v>
      </c>
      <c r="BZ55" s="125"/>
      <c r="CA55" s="170"/>
    </row>
    <row r="56" spans="2:79" s="24" customFormat="1">
      <c r="B56" s="187">
        <v>40826</v>
      </c>
      <c r="C56" s="15">
        <v>758289</v>
      </c>
      <c r="D56" s="15">
        <v>3365</v>
      </c>
      <c r="E56" s="15">
        <v>107536</v>
      </c>
      <c r="F56" s="52">
        <v>22602</v>
      </c>
      <c r="G56" s="52">
        <v>8926</v>
      </c>
      <c r="H56" s="52">
        <v>4978</v>
      </c>
      <c r="I56" s="52">
        <v>2729</v>
      </c>
      <c r="J56" s="904">
        <v>842.57</v>
      </c>
      <c r="K56" s="73">
        <f>SUM($J$38,$J$46,$J$54:J56)/$C$10</f>
        <v>0.78468141777513911</v>
      </c>
      <c r="L56" s="305">
        <f t="shared" ref="L56:L57" si="150">D56/C56</f>
        <v>4.4376220675758186E-3</v>
      </c>
      <c r="M56" s="306">
        <f t="shared" ref="M56:M64" si="151">$AB$15/30</f>
        <v>22000</v>
      </c>
      <c r="N56" s="307">
        <f>J56/E56</f>
        <v>7.8352365719387002E-3</v>
      </c>
      <c r="O56" s="307">
        <f t="shared" ref="O56:O57" si="152">J56/I56</f>
        <v>0.30874679369732505</v>
      </c>
      <c r="P56" s="380">
        <f>E56/M56</f>
        <v>4.8879999999999999</v>
      </c>
      <c r="Q56" s="143">
        <v>252</v>
      </c>
      <c r="R56" s="52"/>
      <c r="S56" s="52"/>
      <c r="T56" s="293">
        <f t="shared" ref="T56:T64" si="153">$AB$17/30</f>
        <v>381.5</v>
      </c>
      <c r="U56" s="73">
        <f t="shared" ref="U56:U57" si="154">Q56/T56</f>
        <v>0.66055045871559637</v>
      </c>
      <c r="V56" s="225">
        <f t="shared" ref="V56:V57" si="155">J56/Q56</f>
        <v>3.3435317460317462</v>
      </c>
      <c r="W56" s="710">
        <f t="shared" ref="W56:W57" si="156">Q56/D56</f>
        <v>7.4888558692421989E-2</v>
      </c>
      <c r="X56" s="687">
        <v>5.333333333333333</v>
      </c>
      <c r="Y56" s="392">
        <v>0.93650793650793651</v>
      </c>
      <c r="Z56" s="166">
        <v>355219</v>
      </c>
      <c r="AA56" s="15">
        <v>1612</v>
      </c>
      <c r="AB56" s="15">
        <v>48708</v>
      </c>
      <c r="AC56" s="52">
        <v>10855</v>
      </c>
      <c r="AD56" s="52">
        <v>4354</v>
      </c>
      <c r="AE56" s="52">
        <v>2622</v>
      </c>
      <c r="AF56" s="553">
        <v>1348</v>
      </c>
      <c r="AG56" s="642">
        <v>388.86</v>
      </c>
      <c r="AH56" s="554">
        <f t="shared" ref="AH56:AH57" si="157">AG56/AB56</f>
        <v>7.9834934712983488E-3</v>
      </c>
      <c r="AI56" s="554">
        <f t="shared" ref="AI56:AI57" si="158">AG56/AF56</f>
        <v>0.28847181008902079</v>
      </c>
      <c r="AJ56" s="555">
        <f>AA56/Z56</f>
        <v>4.538045543734992E-3</v>
      </c>
      <c r="AK56" s="143">
        <v>127</v>
      </c>
      <c r="AL56" s="52"/>
      <c r="AM56" s="52"/>
      <c r="AN56" s="312">
        <f t="shared" ref="AN56:AN57" si="159">AG56/AK56</f>
        <v>3.0618897637795275</v>
      </c>
      <c r="AO56" s="316">
        <f t="shared" ref="AO56:AO57" si="160">AK56/AA56</f>
        <v>7.8784119106699746E-2</v>
      </c>
      <c r="AP56" s="123"/>
      <c r="AQ56" s="168"/>
      <c r="AR56" s="166">
        <v>272030</v>
      </c>
      <c r="AS56" s="15">
        <v>1339</v>
      </c>
      <c r="AT56" s="15">
        <v>38615</v>
      </c>
      <c r="AU56" s="52">
        <v>4298</v>
      </c>
      <c r="AV56" s="52">
        <v>1596</v>
      </c>
      <c r="AW56" s="52">
        <v>932</v>
      </c>
      <c r="AX56" s="52">
        <v>503</v>
      </c>
      <c r="AY56" s="641">
        <v>299.04000000000002</v>
      </c>
      <c r="AZ56" s="717">
        <f t="shared" ref="AZ56:AZ57" si="161">AY56/AT56</f>
        <v>7.7441408778971908E-3</v>
      </c>
      <c r="BA56" s="718">
        <f t="shared" ref="BA56:BA57" si="162">AY56/AX56</f>
        <v>0.59451292246520882</v>
      </c>
      <c r="BB56" s="719">
        <f>AS56/AR56</f>
        <v>4.9222512222916589E-3</v>
      </c>
      <c r="BC56" s="143">
        <v>94</v>
      </c>
      <c r="BD56" s="52"/>
      <c r="BE56" s="52"/>
      <c r="BF56" s="228">
        <f t="shared" ref="BF56:BF57" si="163">AY56/BC56</f>
        <v>3.1812765957446811</v>
      </c>
      <c r="BG56" s="316">
        <f t="shared" ref="BG56:BG57" si="164">BC56/AS56</f>
        <v>7.0201643017177004E-2</v>
      </c>
      <c r="BH56" s="123"/>
      <c r="BI56" s="168"/>
      <c r="BJ56" s="166">
        <v>131040</v>
      </c>
      <c r="BK56" s="15">
        <v>414</v>
      </c>
      <c r="BL56" s="15">
        <v>20213</v>
      </c>
      <c r="BM56" s="52">
        <v>7449</v>
      </c>
      <c r="BN56" s="52">
        <v>2976</v>
      </c>
      <c r="BO56" s="52">
        <v>1424</v>
      </c>
      <c r="BP56" s="52">
        <v>878</v>
      </c>
      <c r="BQ56" s="642">
        <v>154.66999999999999</v>
      </c>
      <c r="BR56" s="554">
        <f t="shared" ref="BR56:BR57" si="165">BQ56/BL56</f>
        <v>7.6520061346658083E-3</v>
      </c>
      <c r="BS56" s="554">
        <f t="shared" ref="BS56:BS57" si="166">BQ56/BP56</f>
        <v>0.17616173120728928</v>
      </c>
      <c r="BT56" s="555">
        <f>BK56/BJ56</f>
        <v>3.1593406593406594E-3</v>
      </c>
      <c r="BU56" s="143">
        <v>31</v>
      </c>
      <c r="BV56" s="52"/>
      <c r="BW56" s="52"/>
      <c r="BX56" s="228">
        <f t="shared" ref="BX56:BX57" si="167">BQ56/BU56</f>
        <v>4.9893548387096773</v>
      </c>
      <c r="BY56" s="710">
        <f t="shared" ref="BY56:BY57" si="168">BU56/BK56</f>
        <v>7.4879227053140096E-2</v>
      </c>
      <c r="BZ56" s="123"/>
      <c r="CA56" s="168"/>
    </row>
    <row r="57" spans="2:79" s="26" customFormat="1">
      <c r="B57" s="187">
        <v>40827</v>
      </c>
      <c r="C57" s="15">
        <v>738011</v>
      </c>
      <c r="D57" s="15">
        <v>3275</v>
      </c>
      <c r="E57" s="15">
        <v>105200</v>
      </c>
      <c r="F57" s="52">
        <v>23683</v>
      </c>
      <c r="G57" s="52">
        <v>9302</v>
      </c>
      <c r="H57" s="52">
        <v>5310</v>
      </c>
      <c r="I57" s="52">
        <v>2810</v>
      </c>
      <c r="J57" s="904">
        <v>846.91</v>
      </c>
      <c r="K57" s="73">
        <f>SUM($J$38,$J$46,$J$54:J57)/$C$10</f>
        <v>0.82997823168546658</v>
      </c>
      <c r="L57" s="305">
        <f t="shared" si="150"/>
        <v>4.4376032335561397E-3</v>
      </c>
      <c r="M57" s="306">
        <f t="shared" si="151"/>
        <v>22000</v>
      </c>
      <c r="N57" s="307">
        <f>J57/E57</f>
        <v>8.0504752851711017E-3</v>
      </c>
      <c r="O57" s="307">
        <f t="shared" si="152"/>
        <v>0.30139145907473308</v>
      </c>
      <c r="P57" s="380">
        <f>E57/M57</f>
        <v>4.7818181818181822</v>
      </c>
      <c r="Q57" s="143">
        <v>218</v>
      </c>
      <c r="R57" s="52"/>
      <c r="S57" s="52"/>
      <c r="T57" s="293">
        <f t="shared" si="153"/>
        <v>381.5</v>
      </c>
      <c r="U57" s="73">
        <f t="shared" si="154"/>
        <v>0.5714285714285714</v>
      </c>
      <c r="V57" s="225">
        <f t="shared" si="155"/>
        <v>3.8849082568807338</v>
      </c>
      <c r="W57" s="710">
        <f t="shared" si="156"/>
        <v>6.656488549618321E-2</v>
      </c>
      <c r="X57" s="687">
        <v>5.333333333333333</v>
      </c>
      <c r="Y57" s="392">
        <v>0.97247706422018354</v>
      </c>
      <c r="Z57" s="166">
        <v>476932</v>
      </c>
      <c r="AA57" s="15">
        <v>2185</v>
      </c>
      <c r="AB57" s="15">
        <v>65707</v>
      </c>
      <c r="AC57" s="52">
        <v>14891</v>
      </c>
      <c r="AD57" s="52">
        <v>5889</v>
      </c>
      <c r="AE57" s="52">
        <v>3475</v>
      </c>
      <c r="AF57" s="553">
        <v>1742</v>
      </c>
      <c r="AG57" s="642">
        <v>538.28</v>
      </c>
      <c r="AH57" s="554">
        <f t="shared" si="157"/>
        <v>8.192125648713227E-3</v>
      </c>
      <c r="AI57" s="554">
        <f t="shared" si="158"/>
        <v>0.30900114810562568</v>
      </c>
      <c r="AJ57" s="555">
        <f>AA57/Z57</f>
        <v>4.5813658970251525E-3</v>
      </c>
      <c r="AK57" s="143">
        <v>150</v>
      </c>
      <c r="AL57" s="52"/>
      <c r="AM57" s="52"/>
      <c r="AN57" s="312">
        <f t="shared" si="159"/>
        <v>3.5885333333333334</v>
      </c>
      <c r="AO57" s="316">
        <f t="shared" si="160"/>
        <v>6.8649885583524028E-2</v>
      </c>
      <c r="AP57" s="124"/>
      <c r="AQ57" s="169"/>
      <c r="AR57" s="166">
        <v>157297</v>
      </c>
      <c r="AS57" s="15">
        <v>769</v>
      </c>
      <c r="AT57" s="15">
        <v>22596</v>
      </c>
      <c r="AU57" s="52">
        <v>2565</v>
      </c>
      <c r="AV57" s="52">
        <v>945</v>
      </c>
      <c r="AW57" s="52">
        <v>566</v>
      </c>
      <c r="AX57" s="52">
        <v>305</v>
      </c>
      <c r="AY57" s="641">
        <v>178.08</v>
      </c>
      <c r="AZ57" s="717">
        <f t="shared" si="161"/>
        <v>7.8810408921933094E-3</v>
      </c>
      <c r="BA57" s="718">
        <f t="shared" si="162"/>
        <v>0.58386885245901643</v>
      </c>
      <c r="BB57" s="719">
        <f>AS57/AR57</f>
        <v>4.8888408551974929E-3</v>
      </c>
      <c r="BC57" s="143">
        <v>47</v>
      </c>
      <c r="BD57" s="52"/>
      <c r="BE57" s="52"/>
      <c r="BF57" s="228">
        <f t="shared" si="163"/>
        <v>3.7889361702127662</v>
      </c>
      <c r="BG57" s="316">
        <f t="shared" si="164"/>
        <v>6.1118335500650198E-2</v>
      </c>
      <c r="BH57" s="124"/>
      <c r="BI57" s="169"/>
      <c r="BJ57" s="166">
        <v>103782</v>
      </c>
      <c r="BK57" s="15">
        <v>321</v>
      </c>
      <c r="BL57" s="15">
        <v>16897</v>
      </c>
      <c r="BM57" s="52">
        <v>6227</v>
      </c>
      <c r="BN57" s="52">
        <v>2468</v>
      </c>
      <c r="BO57" s="52">
        <v>1269</v>
      </c>
      <c r="BP57" s="52">
        <v>763</v>
      </c>
      <c r="BQ57" s="642">
        <v>130.55000000000001</v>
      </c>
      <c r="BR57" s="554">
        <f t="shared" si="165"/>
        <v>7.7262235899863887E-3</v>
      </c>
      <c r="BS57" s="554">
        <f t="shared" si="166"/>
        <v>0.17110091743119268</v>
      </c>
      <c r="BT57" s="555">
        <f>BK57/BJ57</f>
        <v>3.0930219113141006E-3</v>
      </c>
      <c r="BU57" s="143">
        <v>21</v>
      </c>
      <c r="BV57" s="52"/>
      <c r="BW57" s="52"/>
      <c r="BX57" s="228">
        <f t="shared" si="167"/>
        <v>6.2166666666666668</v>
      </c>
      <c r="BY57" s="710">
        <f t="shared" si="168"/>
        <v>6.5420560747663545E-2</v>
      </c>
      <c r="BZ57" s="124"/>
      <c r="CA57" s="169"/>
    </row>
    <row r="58" spans="2:79">
      <c r="B58" s="187">
        <v>40828</v>
      </c>
      <c r="C58" s="15">
        <v>596553</v>
      </c>
      <c r="D58" s="15">
        <v>2666</v>
      </c>
      <c r="E58" s="15">
        <v>90326</v>
      </c>
      <c r="F58" s="52">
        <v>21585</v>
      </c>
      <c r="G58" s="52">
        <v>8660</v>
      </c>
      <c r="H58" s="52">
        <v>4788</v>
      </c>
      <c r="I58" s="52">
        <v>2699</v>
      </c>
      <c r="J58" s="904">
        <v>709.12</v>
      </c>
      <c r="K58" s="73">
        <f>SUM($J$38,$J$46,$J$54:J58)/$C$10</f>
        <v>0.8679053746877825</v>
      </c>
      <c r="L58" s="305">
        <f t="shared" ref="L58:L61" si="169">D58/C58</f>
        <v>4.4690077830469377E-3</v>
      </c>
      <c r="M58" s="306">
        <f t="shared" si="151"/>
        <v>22000</v>
      </c>
      <c r="N58" s="307">
        <f t="shared" ref="N58:N61" si="170">J58/E58</f>
        <v>7.8506742244757871E-3</v>
      </c>
      <c r="O58" s="307">
        <f t="shared" ref="O58:O61" si="171">J58/I58</f>
        <v>0.26273434605409413</v>
      </c>
      <c r="P58" s="380">
        <f t="shared" ref="P58:P61" si="172">E58/M58</f>
        <v>4.1057272727272727</v>
      </c>
      <c r="Q58" s="143">
        <v>175</v>
      </c>
      <c r="R58" s="52"/>
      <c r="S58" s="52"/>
      <c r="T58" s="293">
        <f t="shared" si="153"/>
        <v>381.5</v>
      </c>
      <c r="U58" s="73">
        <f t="shared" ref="U58:U61" si="173">Q58/T58</f>
        <v>0.45871559633027525</v>
      </c>
      <c r="V58" s="225">
        <f t="shared" ref="V58:V61" si="174">J58/Q58</f>
        <v>4.0521142857142856</v>
      </c>
      <c r="W58" s="710">
        <f t="shared" ref="W58:W61" si="175">Q58/D58</f>
        <v>6.564141035258815E-2</v>
      </c>
      <c r="X58" s="687">
        <v>5.333333333333333</v>
      </c>
      <c r="Y58" s="392">
        <v>0.93142857142857138</v>
      </c>
      <c r="Z58" s="166">
        <v>293542</v>
      </c>
      <c r="AA58" s="15">
        <v>1484</v>
      </c>
      <c r="AB58" s="15">
        <v>42808</v>
      </c>
      <c r="AC58" s="52">
        <v>9639</v>
      </c>
      <c r="AD58" s="52">
        <v>3820</v>
      </c>
      <c r="AE58" s="52">
        <v>2264</v>
      </c>
      <c r="AF58" s="553">
        <v>1201</v>
      </c>
      <c r="AG58" s="642">
        <v>347.27</v>
      </c>
      <c r="AH58" s="554">
        <f t="shared" ref="AH58:AH61" si="176">AG58/AB58</f>
        <v>8.1122687348159223E-3</v>
      </c>
      <c r="AI58" s="554">
        <f t="shared" ref="AI58:AI61" si="177">AG58/AF58</f>
        <v>0.28915070774354701</v>
      </c>
      <c r="AJ58" s="555">
        <f t="shared" ref="AJ58:AJ61" si="178">AA58/Z58</f>
        <v>5.0554946140586353E-3</v>
      </c>
      <c r="AK58" s="143">
        <v>98</v>
      </c>
      <c r="AL58" s="52"/>
      <c r="AM58" s="52"/>
      <c r="AN58" s="312">
        <f t="shared" ref="AN58:AN61" si="179">AG58/AK58</f>
        <v>3.5435714285714286</v>
      </c>
      <c r="AO58" s="316">
        <f t="shared" ref="AO58:AO61" si="180">AK58/AA58</f>
        <v>6.6037735849056603E-2</v>
      </c>
      <c r="AP58" s="125"/>
      <c r="AQ58" s="170"/>
      <c r="AR58" s="166">
        <v>142090</v>
      </c>
      <c r="AS58" s="15">
        <v>669</v>
      </c>
      <c r="AT58" s="15">
        <v>21426</v>
      </c>
      <c r="AU58" s="52">
        <v>2415</v>
      </c>
      <c r="AV58" s="52">
        <v>905</v>
      </c>
      <c r="AW58" s="52">
        <v>549</v>
      </c>
      <c r="AX58" s="52">
        <v>317</v>
      </c>
      <c r="AY58" s="641">
        <v>163.98</v>
      </c>
      <c r="AZ58" s="718">
        <f t="shared" ref="AZ58:AZ61" si="181">AY58/AT58</f>
        <v>7.6533183982077846E-3</v>
      </c>
      <c r="BA58" s="718">
        <f t="shared" ref="BA58:BA61" si="182">AY58/AX58</f>
        <v>0.5172870662460568</v>
      </c>
      <c r="BB58" s="719">
        <f t="shared" ref="BB58:BB61" si="183">AS58/AR58</f>
        <v>4.7082834822999506E-3</v>
      </c>
      <c r="BC58" s="143">
        <v>43</v>
      </c>
      <c r="BD58" s="52"/>
      <c r="BE58" s="52"/>
      <c r="BF58" s="228">
        <f t="shared" ref="BF58:BF61" si="184">AY58/BC58</f>
        <v>3.813488372093023</v>
      </c>
      <c r="BG58" s="316">
        <f t="shared" ref="BG58:BG61" si="185">BC58/AS58</f>
        <v>6.4275037369207769E-2</v>
      </c>
      <c r="BH58" s="125"/>
      <c r="BI58" s="170"/>
      <c r="BJ58" s="166">
        <v>160921</v>
      </c>
      <c r="BK58" s="15">
        <v>513</v>
      </c>
      <c r="BL58" s="15">
        <v>26092</v>
      </c>
      <c r="BM58" s="52">
        <v>9531</v>
      </c>
      <c r="BN58" s="52">
        <v>3935</v>
      </c>
      <c r="BO58" s="52">
        <v>1975</v>
      </c>
      <c r="BP58" s="52">
        <v>1181</v>
      </c>
      <c r="BQ58" s="642">
        <v>197.87</v>
      </c>
      <c r="BR58" s="554">
        <f t="shared" ref="BR58:BR61" si="186">BQ58/BL58</f>
        <v>7.5835505135673775E-3</v>
      </c>
      <c r="BS58" s="554">
        <f t="shared" ref="BS58:BS61" si="187">BQ58/BP58</f>
        <v>0.16754445385266722</v>
      </c>
      <c r="BT58" s="555">
        <f t="shared" ref="BT58:BT61" si="188">BK58/BJ58</f>
        <v>3.1878996526245799E-3</v>
      </c>
      <c r="BU58" s="143">
        <v>34</v>
      </c>
      <c r="BV58" s="52"/>
      <c r="BW58" s="52"/>
      <c r="BX58" s="228">
        <f t="shared" ref="BX58:BX61" si="189">BQ58/BU58</f>
        <v>5.8197058823529417</v>
      </c>
      <c r="BY58" s="710">
        <f t="shared" ref="BY58:BY61" si="190">BU58/BK58</f>
        <v>6.6276803118908378E-2</v>
      </c>
      <c r="BZ58" s="125"/>
      <c r="CA58" s="170"/>
    </row>
    <row r="59" spans="2:79">
      <c r="B59" s="187">
        <v>40829</v>
      </c>
      <c r="C59" s="15">
        <v>413014</v>
      </c>
      <c r="D59" s="15">
        <v>1704</v>
      </c>
      <c r="E59" s="15">
        <v>59861</v>
      </c>
      <c r="F59" s="52">
        <v>14056</v>
      </c>
      <c r="G59" s="52">
        <v>5682</v>
      </c>
      <c r="H59" s="52">
        <v>3176</v>
      </c>
      <c r="I59" s="52">
        <v>1753</v>
      </c>
      <c r="J59" s="904">
        <v>450.01000000000005</v>
      </c>
      <c r="K59" s="73">
        <f>SUM($J$38,$J$46,$J$54:J59)/$C$10</f>
        <v>0.89197407056784817</v>
      </c>
      <c r="L59" s="305">
        <f t="shared" si="169"/>
        <v>4.1257681337678624E-3</v>
      </c>
      <c r="M59" s="306">
        <f t="shared" si="151"/>
        <v>22000</v>
      </c>
      <c r="N59" s="307">
        <f t="shared" si="170"/>
        <v>7.517582399224872E-3</v>
      </c>
      <c r="O59" s="307">
        <f t="shared" si="171"/>
        <v>0.25670849971477472</v>
      </c>
      <c r="P59" s="380">
        <f t="shared" si="172"/>
        <v>2.7209545454545454</v>
      </c>
      <c r="Q59" s="143">
        <v>145</v>
      </c>
      <c r="R59" s="52"/>
      <c r="S59" s="52"/>
      <c r="T59" s="293">
        <f t="shared" si="153"/>
        <v>381.5</v>
      </c>
      <c r="U59" s="73">
        <f t="shared" si="173"/>
        <v>0.38007863695937089</v>
      </c>
      <c r="V59" s="225">
        <f t="shared" si="174"/>
        <v>3.1035172413793108</v>
      </c>
      <c r="W59" s="710">
        <f t="shared" si="175"/>
        <v>8.509389671361503E-2</v>
      </c>
      <c r="X59" s="711">
        <v>3</v>
      </c>
      <c r="Y59" s="392">
        <v>0.94482758620689655</v>
      </c>
      <c r="Z59" s="166">
        <v>171587</v>
      </c>
      <c r="AA59" s="15">
        <v>794</v>
      </c>
      <c r="AB59" s="15">
        <v>23630</v>
      </c>
      <c r="AC59" s="52">
        <v>5508</v>
      </c>
      <c r="AD59" s="52">
        <v>2244</v>
      </c>
      <c r="AE59" s="52">
        <v>1383</v>
      </c>
      <c r="AF59" s="553">
        <v>715</v>
      </c>
      <c r="AG59" s="642">
        <v>183.06</v>
      </c>
      <c r="AH59" s="554">
        <f t="shared" si="176"/>
        <v>7.7469318662716884E-3</v>
      </c>
      <c r="AI59" s="554">
        <f t="shared" si="177"/>
        <v>0.25602797202797201</v>
      </c>
      <c r="AJ59" s="555">
        <f t="shared" si="178"/>
        <v>4.6273901869022709E-3</v>
      </c>
      <c r="AK59" s="143">
        <v>71</v>
      </c>
      <c r="AL59" s="52"/>
      <c r="AM59" s="52"/>
      <c r="AN59" s="312">
        <f t="shared" si="179"/>
        <v>2.5783098591549298</v>
      </c>
      <c r="AO59" s="316">
        <f t="shared" si="180"/>
        <v>8.9420654911838787E-2</v>
      </c>
      <c r="AP59" s="125"/>
      <c r="AQ59" s="170"/>
      <c r="AR59" s="166">
        <v>140178</v>
      </c>
      <c r="AS59" s="15">
        <v>650</v>
      </c>
      <c r="AT59" s="15">
        <v>20324</v>
      </c>
      <c r="AU59" s="52">
        <v>2459</v>
      </c>
      <c r="AV59" s="52">
        <v>883</v>
      </c>
      <c r="AW59" s="52">
        <v>533</v>
      </c>
      <c r="AX59" s="52">
        <v>297</v>
      </c>
      <c r="AY59" s="641">
        <v>151.52000000000001</v>
      </c>
      <c r="AZ59" s="718">
        <f t="shared" si="181"/>
        <v>7.4552253493406816E-3</v>
      </c>
      <c r="BA59" s="718">
        <f t="shared" si="182"/>
        <v>0.51016835016835016</v>
      </c>
      <c r="BB59" s="719">
        <f t="shared" si="183"/>
        <v>4.6369615774229907E-3</v>
      </c>
      <c r="BC59" s="143">
        <v>35</v>
      </c>
      <c r="BD59" s="52"/>
      <c r="BE59" s="52"/>
      <c r="BF59" s="228">
        <f t="shared" si="184"/>
        <v>4.3291428571428572</v>
      </c>
      <c r="BG59" s="316">
        <f t="shared" si="185"/>
        <v>5.3846153846153849E-2</v>
      </c>
      <c r="BH59" s="125"/>
      <c r="BI59" s="170"/>
      <c r="BJ59" s="166">
        <v>101249</v>
      </c>
      <c r="BK59" s="15">
        <v>260</v>
      </c>
      <c r="BL59" s="15">
        <v>15907</v>
      </c>
      <c r="BM59" s="52">
        <v>6089</v>
      </c>
      <c r="BN59" s="52">
        <v>2555</v>
      </c>
      <c r="BO59" s="52">
        <v>1260</v>
      </c>
      <c r="BP59" s="52">
        <v>741</v>
      </c>
      <c r="BQ59" s="642">
        <v>115.43</v>
      </c>
      <c r="BR59" s="554">
        <f t="shared" si="186"/>
        <v>7.2565537184887162E-3</v>
      </c>
      <c r="BS59" s="554">
        <f t="shared" si="187"/>
        <v>0.15577597840755736</v>
      </c>
      <c r="BT59" s="555">
        <f t="shared" si="188"/>
        <v>2.5679265968058945E-3</v>
      </c>
      <c r="BU59" s="143">
        <v>39</v>
      </c>
      <c r="BV59" s="52"/>
      <c r="BW59" s="52"/>
      <c r="BX59" s="228">
        <f t="shared" si="189"/>
        <v>2.95974358974359</v>
      </c>
      <c r="BY59" s="710">
        <f t="shared" si="190"/>
        <v>0.15</v>
      </c>
      <c r="BZ59" s="125"/>
      <c r="CA59" s="170"/>
    </row>
    <row r="60" spans="2:79">
      <c r="B60" s="189">
        <v>40830</v>
      </c>
      <c r="C60" s="15">
        <v>443509</v>
      </c>
      <c r="D60" s="15">
        <v>1911</v>
      </c>
      <c r="E60" s="15">
        <v>61887</v>
      </c>
      <c r="F60" s="52">
        <v>14411</v>
      </c>
      <c r="G60" s="52">
        <v>5809</v>
      </c>
      <c r="H60" s="52">
        <v>3195</v>
      </c>
      <c r="I60" s="52">
        <v>1775</v>
      </c>
      <c r="J60" s="904">
        <v>442.61</v>
      </c>
      <c r="K60" s="73">
        <f>SUM($J$38,$J$46,$J$54:J60)/$C$10</f>
        <v>0.91564697891094249</v>
      </c>
      <c r="L60" s="305">
        <f t="shared" si="169"/>
        <v>4.3088189867623878E-3</v>
      </c>
      <c r="M60" s="306">
        <f t="shared" si="151"/>
        <v>22000</v>
      </c>
      <c r="N60" s="307">
        <f t="shared" si="170"/>
        <v>7.1519058929985302E-3</v>
      </c>
      <c r="O60" s="307">
        <f t="shared" si="171"/>
        <v>0.24935774647887324</v>
      </c>
      <c r="P60" s="380">
        <f t="shared" si="172"/>
        <v>2.8130454545454544</v>
      </c>
      <c r="Q60" s="143">
        <v>121</v>
      </c>
      <c r="R60" s="52"/>
      <c r="S60" s="52"/>
      <c r="T60" s="293">
        <f t="shared" si="153"/>
        <v>381.5</v>
      </c>
      <c r="U60" s="73">
        <f t="shared" si="173"/>
        <v>0.31716906946264745</v>
      </c>
      <c r="V60" s="225">
        <f t="shared" si="174"/>
        <v>3.6579338842975209</v>
      </c>
      <c r="W60" s="710">
        <f t="shared" si="175"/>
        <v>6.3317634746206178E-2</v>
      </c>
      <c r="X60" s="687">
        <v>7.666666666666667</v>
      </c>
      <c r="Y60" s="392">
        <v>0.95041322314049592</v>
      </c>
      <c r="Z60" s="166">
        <v>160811</v>
      </c>
      <c r="AA60" s="15">
        <v>795</v>
      </c>
      <c r="AB60" s="15">
        <v>21201</v>
      </c>
      <c r="AC60" s="52">
        <v>4728</v>
      </c>
      <c r="AD60" s="52">
        <v>1957</v>
      </c>
      <c r="AE60" s="52">
        <v>1176</v>
      </c>
      <c r="AF60" s="553">
        <v>606</v>
      </c>
      <c r="AG60" s="642">
        <v>157.38</v>
      </c>
      <c r="AH60" s="554">
        <f t="shared" si="176"/>
        <v>7.4232347530776852E-3</v>
      </c>
      <c r="AI60" s="554">
        <f t="shared" si="177"/>
        <v>0.25970297029702971</v>
      </c>
      <c r="AJ60" s="555">
        <f t="shared" si="178"/>
        <v>4.9436916628837584E-3</v>
      </c>
      <c r="AK60" s="143">
        <v>54</v>
      </c>
      <c r="AL60" s="52"/>
      <c r="AM60" s="52"/>
      <c r="AN60" s="312">
        <f t="shared" si="179"/>
        <v>2.9144444444444444</v>
      </c>
      <c r="AO60" s="316">
        <f t="shared" si="180"/>
        <v>6.7924528301886791E-2</v>
      </c>
      <c r="AP60" s="125"/>
      <c r="AQ60" s="170"/>
      <c r="AR60" s="166">
        <v>156722</v>
      </c>
      <c r="AS60" s="15">
        <v>763</v>
      </c>
      <c r="AT60" s="15">
        <v>21857</v>
      </c>
      <c r="AU60" s="52">
        <v>2498</v>
      </c>
      <c r="AV60" s="52">
        <v>903</v>
      </c>
      <c r="AW60" s="52">
        <v>553</v>
      </c>
      <c r="AX60" s="52">
        <v>301</v>
      </c>
      <c r="AY60" s="641">
        <v>155.38999999999999</v>
      </c>
      <c r="AZ60" s="718">
        <f t="shared" si="181"/>
        <v>7.1093928718488353E-3</v>
      </c>
      <c r="BA60" s="718">
        <f t="shared" si="182"/>
        <v>0.51624584717607969</v>
      </c>
      <c r="BB60" s="719">
        <f t="shared" si="183"/>
        <v>4.868493255573563E-3</v>
      </c>
      <c r="BC60" s="143">
        <v>41</v>
      </c>
      <c r="BD60" s="52"/>
      <c r="BE60" s="52"/>
      <c r="BF60" s="228">
        <f t="shared" si="184"/>
        <v>3.7899999999999996</v>
      </c>
      <c r="BG60" s="316">
        <f t="shared" si="185"/>
        <v>5.3735255570117955E-2</v>
      </c>
      <c r="BH60" s="125"/>
      <c r="BI60" s="170"/>
      <c r="BJ60" s="166">
        <v>125976</v>
      </c>
      <c r="BK60" s="15">
        <v>353</v>
      </c>
      <c r="BL60" s="15">
        <v>18829</v>
      </c>
      <c r="BM60" s="52">
        <v>7185</v>
      </c>
      <c r="BN60" s="52">
        <v>2949</v>
      </c>
      <c r="BO60" s="52">
        <v>1466</v>
      </c>
      <c r="BP60" s="52">
        <v>868</v>
      </c>
      <c r="BQ60" s="642">
        <v>129.84</v>
      </c>
      <c r="BR60" s="554">
        <f t="shared" si="186"/>
        <v>6.895745923840884E-3</v>
      </c>
      <c r="BS60" s="554">
        <f t="shared" si="187"/>
        <v>0.1495852534562212</v>
      </c>
      <c r="BT60" s="555">
        <f t="shared" si="188"/>
        <v>2.8021210389280499E-3</v>
      </c>
      <c r="BU60" s="143">
        <v>26</v>
      </c>
      <c r="BV60" s="52"/>
      <c r="BW60" s="52"/>
      <c r="BX60" s="228">
        <f t="shared" si="189"/>
        <v>4.993846153846154</v>
      </c>
      <c r="BY60" s="710">
        <f t="shared" si="190"/>
        <v>7.3654390934844188E-2</v>
      </c>
      <c r="BZ60" s="125"/>
      <c r="CA60" s="170"/>
    </row>
    <row r="61" spans="2:79">
      <c r="B61" s="189">
        <v>40831</v>
      </c>
      <c r="C61" s="15">
        <v>458479</v>
      </c>
      <c r="D61" s="15">
        <v>1798</v>
      </c>
      <c r="E61" s="15">
        <v>67694</v>
      </c>
      <c r="F61" s="52">
        <v>17081</v>
      </c>
      <c r="G61" s="52">
        <v>7009</v>
      </c>
      <c r="H61" s="52">
        <v>3786</v>
      </c>
      <c r="I61" s="52">
        <v>2153</v>
      </c>
      <c r="J61" s="904">
        <v>496.99</v>
      </c>
      <c r="K61" s="73">
        <f>SUM($J$38,$J$46,$J$54:J61)/$C$10</f>
        <v>0.94222839080275356</v>
      </c>
      <c r="L61" s="305">
        <f t="shared" si="169"/>
        <v>3.9216627151952435E-3</v>
      </c>
      <c r="M61" s="306">
        <f t="shared" si="151"/>
        <v>22000</v>
      </c>
      <c r="N61" s="307">
        <f t="shared" si="170"/>
        <v>7.3417141844181171E-3</v>
      </c>
      <c r="O61" s="307">
        <f t="shared" si="171"/>
        <v>0.23083604273107292</v>
      </c>
      <c r="P61" s="997">
        <f t="shared" si="172"/>
        <v>3.077</v>
      </c>
      <c r="Q61" s="143">
        <v>154</v>
      </c>
      <c r="R61" s="52"/>
      <c r="S61" s="52"/>
      <c r="T61" s="293">
        <f t="shared" si="153"/>
        <v>381.5</v>
      </c>
      <c r="U61" s="73">
        <f t="shared" si="173"/>
        <v>0.40366972477064222</v>
      </c>
      <c r="V61" s="225">
        <f t="shared" si="174"/>
        <v>3.2272077922077922</v>
      </c>
      <c r="W61" s="710">
        <f t="shared" si="175"/>
        <v>8.5650723025583977E-2</v>
      </c>
      <c r="X61" s="687">
        <v>2</v>
      </c>
      <c r="Y61" s="392">
        <v>0.90909090909090906</v>
      </c>
      <c r="Z61" s="166">
        <v>132007</v>
      </c>
      <c r="AA61" s="15">
        <v>608</v>
      </c>
      <c r="AB61" s="15">
        <v>18251</v>
      </c>
      <c r="AC61" s="52">
        <v>4209</v>
      </c>
      <c r="AD61" s="52">
        <v>1757</v>
      </c>
      <c r="AE61" s="52">
        <v>1070</v>
      </c>
      <c r="AF61" s="553">
        <v>519</v>
      </c>
      <c r="AG61" s="642">
        <v>140.4</v>
      </c>
      <c r="AH61" s="554">
        <f t="shared" si="176"/>
        <v>7.6927291655251766E-3</v>
      </c>
      <c r="AI61" s="554">
        <f t="shared" si="177"/>
        <v>0.27052023121387286</v>
      </c>
      <c r="AJ61" s="555">
        <f t="shared" si="178"/>
        <v>4.6058163582234279E-3</v>
      </c>
      <c r="AK61" s="143">
        <v>65</v>
      </c>
      <c r="AL61" s="52"/>
      <c r="AM61" s="52"/>
      <c r="AN61" s="312">
        <f t="shared" si="179"/>
        <v>2.16</v>
      </c>
      <c r="AO61" s="1137">
        <f t="shared" si="180"/>
        <v>0.1069078947368421</v>
      </c>
      <c r="AP61" s="125"/>
      <c r="AQ61" s="170"/>
      <c r="AR61" s="166">
        <v>158764</v>
      </c>
      <c r="AS61" s="15">
        <v>718</v>
      </c>
      <c r="AT61" s="15">
        <v>22431</v>
      </c>
      <c r="AU61" s="52">
        <v>2503</v>
      </c>
      <c r="AV61" s="52">
        <v>895</v>
      </c>
      <c r="AW61" s="52">
        <v>514</v>
      </c>
      <c r="AX61" s="52">
        <v>266</v>
      </c>
      <c r="AY61" s="641">
        <v>162.30000000000001</v>
      </c>
      <c r="AZ61" s="716">
        <f t="shared" si="181"/>
        <v>7.2355222682894214E-3</v>
      </c>
      <c r="BA61" s="716">
        <f t="shared" si="182"/>
        <v>0.61015037593984967</v>
      </c>
      <c r="BB61" s="146">
        <f t="shared" si="183"/>
        <v>4.5224358166838828E-3</v>
      </c>
      <c r="BC61" s="143">
        <v>44</v>
      </c>
      <c r="BD61" s="52"/>
      <c r="BE61" s="52"/>
      <c r="BF61" s="228">
        <f t="shared" si="184"/>
        <v>3.6886363636363639</v>
      </c>
      <c r="BG61" s="316">
        <f t="shared" si="185"/>
        <v>6.1281337047353758E-2</v>
      </c>
      <c r="BH61" s="125"/>
      <c r="BI61" s="170"/>
      <c r="BJ61" s="166">
        <v>167708</v>
      </c>
      <c r="BK61" s="15">
        <v>472</v>
      </c>
      <c r="BL61" s="15">
        <v>27012</v>
      </c>
      <c r="BM61" s="52">
        <v>10369</v>
      </c>
      <c r="BN61" s="52">
        <v>4357</v>
      </c>
      <c r="BO61" s="52">
        <v>2202</v>
      </c>
      <c r="BP61" s="52">
        <v>1368</v>
      </c>
      <c r="BQ61" s="642">
        <v>194.29</v>
      </c>
      <c r="BR61" s="554">
        <f t="shared" si="186"/>
        <v>7.1927291574115206E-3</v>
      </c>
      <c r="BS61" s="554">
        <f t="shared" si="187"/>
        <v>0.14202485380116958</v>
      </c>
      <c r="BT61" s="555">
        <f t="shared" si="188"/>
        <v>2.8144155317575787E-3</v>
      </c>
      <c r="BU61" s="143">
        <v>45</v>
      </c>
      <c r="BV61" s="52"/>
      <c r="BW61" s="52"/>
      <c r="BX61" s="228">
        <f t="shared" si="189"/>
        <v>4.3175555555555558</v>
      </c>
      <c r="BY61" s="977">
        <f t="shared" si="190"/>
        <v>9.5338983050847453E-2</v>
      </c>
      <c r="BZ61" s="125"/>
      <c r="CA61" s="170"/>
    </row>
    <row r="62" spans="2:79">
      <c r="B62" s="190" t="s">
        <v>160</v>
      </c>
      <c r="C62" s="298">
        <f>SUM(C55:C61)</f>
        <v>4179391</v>
      </c>
      <c r="D62" s="298">
        <f t="shared" ref="D62:J62" si="191">SUM(D55:D61)</f>
        <v>18220</v>
      </c>
      <c r="E62" s="298">
        <f t="shared" si="191"/>
        <v>600550</v>
      </c>
      <c r="F62" s="298">
        <f t="shared" si="191"/>
        <v>137176</v>
      </c>
      <c r="G62" s="298">
        <f t="shared" si="191"/>
        <v>54665</v>
      </c>
      <c r="H62" s="298">
        <f t="shared" si="191"/>
        <v>30459</v>
      </c>
      <c r="I62" s="298">
        <f t="shared" si="191"/>
        <v>16788</v>
      </c>
      <c r="J62" s="965">
        <f t="shared" si="191"/>
        <v>4656.63</v>
      </c>
      <c r="K62" s="599">
        <f>SUM($J$38,$J$46,$J$54,$J$62)/$C$10</f>
        <v>0.94222839080275334</v>
      </c>
      <c r="L62" s="299">
        <f>D62/C62</f>
        <v>4.3594868247550898E-3</v>
      </c>
      <c r="M62" s="300">
        <f>SUM(M55:M61)</f>
        <v>154000</v>
      </c>
      <c r="N62" s="301">
        <f>J62/E62</f>
        <v>7.7539422196320042E-3</v>
      </c>
      <c r="O62" s="301">
        <f>J62/I62</f>
        <v>0.27737848463187992</v>
      </c>
      <c r="P62" s="1124">
        <f>E62/M62</f>
        <v>3.8996753246753246</v>
      </c>
      <c r="Q62" s="121">
        <f>SUM(Q55:Q61)</f>
        <v>1315</v>
      </c>
      <c r="R62" s="27"/>
      <c r="S62" s="27"/>
      <c r="T62" s="27">
        <f>SUM(T55:T61)</f>
        <v>2670.5</v>
      </c>
      <c r="U62" s="140">
        <f>Q62/T62</f>
        <v>0.49241715034637706</v>
      </c>
      <c r="V62" s="237">
        <f>J62/Q62</f>
        <v>3.5411634980988596</v>
      </c>
      <c r="W62" s="317">
        <f>Q62/D62</f>
        <v>7.2173435784851817E-2</v>
      </c>
      <c r="X62" s="682">
        <f>AVERAGE(X55:X61)</f>
        <v>5.761904761904761</v>
      </c>
      <c r="Y62" s="317">
        <f>AVERAGE(Y55:Y61)</f>
        <v>0.94067789865642759</v>
      </c>
      <c r="Z62" s="164">
        <f>SUM(Z55:Z61)</f>
        <v>1920458</v>
      </c>
      <c r="AA62" s="27">
        <f t="shared" ref="AA62:AK62" si="192">SUM(AA55:AA61)</f>
        <v>9185</v>
      </c>
      <c r="AB62" s="27">
        <f t="shared" si="192"/>
        <v>262634</v>
      </c>
      <c r="AC62" s="27">
        <f t="shared" si="192"/>
        <v>59181</v>
      </c>
      <c r="AD62" s="27">
        <f t="shared" si="192"/>
        <v>23787</v>
      </c>
      <c r="AE62" s="27">
        <f t="shared" si="192"/>
        <v>14315</v>
      </c>
      <c r="AF62" s="298">
        <f t="shared" si="192"/>
        <v>7310</v>
      </c>
      <c r="AG62" s="479">
        <f t="shared" si="192"/>
        <v>2101.42</v>
      </c>
      <c r="AH62" s="549">
        <f>AG62/AB62</f>
        <v>8.0013250378854223E-3</v>
      </c>
      <c r="AI62" s="549">
        <f>AG62/AF62</f>
        <v>0.28747195622435023</v>
      </c>
      <c r="AJ62" s="550">
        <f>AA62/Z62</f>
        <v>4.7827132902672174E-3</v>
      </c>
      <c r="AK62" s="551">
        <f t="shared" si="192"/>
        <v>682</v>
      </c>
      <c r="AL62" s="298"/>
      <c r="AM62" s="298"/>
      <c r="AN62" s="552">
        <f t="shared" ref="AN62:AN66" si="193">AG62/AK62</f>
        <v>3.0812609970674489</v>
      </c>
      <c r="AO62" s="1138">
        <f t="shared" ref="AO62:AO66" si="194">AK62/AA62</f>
        <v>7.4251497005988029E-2</v>
      </c>
      <c r="AP62" s="130"/>
      <c r="AQ62" s="165"/>
      <c r="AR62" s="164">
        <f>SUM(AR55:AR61)</f>
        <v>1293286</v>
      </c>
      <c r="AS62" s="27">
        <f t="shared" ref="AS62:AY62" si="195">SUM(AS55:AS61)</f>
        <v>6167</v>
      </c>
      <c r="AT62" s="27">
        <f t="shared" si="195"/>
        <v>185817</v>
      </c>
      <c r="AU62" s="27">
        <f t="shared" si="195"/>
        <v>21064</v>
      </c>
      <c r="AV62" s="27">
        <f t="shared" si="195"/>
        <v>7683</v>
      </c>
      <c r="AW62" s="27">
        <f t="shared" si="195"/>
        <v>4585</v>
      </c>
      <c r="AX62" s="27">
        <f t="shared" si="195"/>
        <v>2540</v>
      </c>
      <c r="AY62" s="598">
        <f t="shared" si="195"/>
        <v>1418.7900000000002</v>
      </c>
      <c r="AZ62" s="226">
        <f t="shared" ref="AZ62:AZ66" si="196">AY62/AT62</f>
        <v>7.6354154894331533E-3</v>
      </c>
      <c r="BA62" s="226">
        <f t="shared" ref="BA62:BA66" si="197">AY62/AX62</f>
        <v>0.55857874015748044</v>
      </c>
      <c r="BB62" s="147">
        <f t="shared" ref="BB62:BB66" si="198">AS62/AR62</f>
        <v>4.7684734853698256E-3</v>
      </c>
      <c r="BC62" s="551">
        <f t="shared" ref="BC62" si="199">SUM(BC55:BC61)</f>
        <v>399</v>
      </c>
      <c r="BD62" s="298"/>
      <c r="BE62" s="298"/>
      <c r="BF62" s="552">
        <f t="shared" ref="BF62:BF66" si="200">AY62/BC62</f>
        <v>3.5558646616541356</v>
      </c>
      <c r="BG62" s="550">
        <f t="shared" ref="BG62:BG66" si="201">BC62/AS62</f>
        <v>6.4699205448354141E-2</v>
      </c>
      <c r="BH62" s="130"/>
      <c r="BI62" s="165"/>
      <c r="BJ62" s="164">
        <f>SUM(BJ55:BJ61)</f>
        <v>965647</v>
      </c>
      <c r="BK62" s="27">
        <f t="shared" ref="BK62:BQ62" si="202">SUM(BK55:BK61)</f>
        <v>2868</v>
      </c>
      <c r="BL62" s="27">
        <f t="shared" si="202"/>
        <v>152099</v>
      </c>
      <c r="BM62" s="27">
        <f t="shared" si="202"/>
        <v>56931</v>
      </c>
      <c r="BN62" s="27">
        <f t="shared" si="202"/>
        <v>23195</v>
      </c>
      <c r="BO62" s="27">
        <f t="shared" si="202"/>
        <v>11559</v>
      </c>
      <c r="BP62" s="56">
        <f t="shared" si="202"/>
        <v>6938</v>
      </c>
      <c r="BQ62" s="899">
        <f t="shared" si="202"/>
        <v>1136.42</v>
      </c>
      <c r="BR62" s="1142">
        <f t="shared" ref="BR62:BR66" si="203">BQ62/BL62</f>
        <v>7.4715810097370798E-3</v>
      </c>
      <c r="BS62" s="1142">
        <f t="shared" ref="BS62:BS66" si="204">BQ62/BP62</f>
        <v>0.16379648313635053</v>
      </c>
      <c r="BT62" s="1194">
        <f t="shared" ref="BT62:BT66" si="205">BK62/BJ62</f>
        <v>2.9700294206889267E-3</v>
      </c>
      <c r="BU62" s="551">
        <f t="shared" ref="BU62" si="206">SUM(BU55:BU61)</f>
        <v>234</v>
      </c>
      <c r="BV62" s="298"/>
      <c r="BW62" s="298"/>
      <c r="BX62" s="552">
        <f t="shared" ref="BX62:BX66" si="207">BQ62/BU62</f>
        <v>4.8564957264957265</v>
      </c>
      <c r="BY62" s="900">
        <f>BU62/BK62</f>
        <v>8.1589958158995821E-2</v>
      </c>
      <c r="BZ62" s="126"/>
      <c r="CA62" s="171"/>
    </row>
    <row r="63" spans="2:79">
      <c r="B63" s="187">
        <v>40832</v>
      </c>
      <c r="C63" s="15">
        <v>478888</v>
      </c>
      <c r="D63" s="15">
        <v>1895</v>
      </c>
      <c r="E63" s="15">
        <v>70127</v>
      </c>
      <c r="F63" s="52">
        <v>18099</v>
      </c>
      <c r="G63" s="52">
        <v>7459</v>
      </c>
      <c r="H63" s="52">
        <v>4062</v>
      </c>
      <c r="I63" s="52">
        <v>2284</v>
      </c>
      <c r="J63" s="904">
        <v>516.92000000000007</v>
      </c>
      <c r="K63" s="73">
        <f>SUM($J$38,$J$46,$J$54,$J$62:J63)/$C$10</f>
        <v>0.96987575480427224</v>
      </c>
      <c r="L63" s="305">
        <f t="shared" ref="L63:L64" si="208">D63/C63</f>
        <v>3.9570839110606238E-3</v>
      </c>
      <c r="M63" s="306">
        <f t="shared" si="151"/>
        <v>22000</v>
      </c>
      <c r="N63" s="996">
        <f t="shared" ref="N63:N64" si="209">J63/E63</f>
        <v>7.3711979693983779E-3</v>
      </c>
      <c r="O63" s="1120">
        <f t="shared" ref="O63:O64" si="210">J63/I63</f>
        <v>0.22632224168126097</v>
      </c>
      <c r="P63" s="1125">
        <f t="shared" ref="P63:P64" si="211">E63/M63</f>
        <v>3.1875909090909089</v>
      </c>
      <c r="Q63" s="1126">
        <v>137</v>
      </c>
      <c r="R63" s="892"/>
      <c r="S63" s="892"/>
      <c r="T63" s="914">
        <f t="shared" si="153"/>
        <v>381.5</v>
      </c>
      <c r="U63" s="998">
        <f t="shared" ref="U63:U69" si="212">Q63/T63</f>
        <v>0.35910878112712974</v>
      </c>
      <c r="V63" s="999">
        <f t="shared" ref="V63:V66" si="213">J63/Q63</f>
        <v>3.7731386861313876</v>
      </c>
      <c r="W63" s="977">
        <f t="shared" ref="W63:W66" si="214">Q63/D63</f>
        <v>7.2295514511873354E-2</v>
      </c>
      <c r="X63" s="1000">
        <v>12.666666666666666</v>
      </c>
      <c r="Y63" s="1001">
        <v>0.97080291970802923</v>
      </c>
      <c r="Z63" s="166">
        <v>165824</v>
      </c>
      <c r="AA63" s="15">
        <v>780</v>
      </c>
      <c r="AB63" s="15">
        <v>22671</v>
      </c>
      <c r="AC63" s="52">
        <v>5214</v>
      </c>
      <c r="AD63" s="52">
        <v>2171</v>
      </c>
      <c r="AE63" s="52">
        <v>1307</v>
      </c>
      <c r="AF63" s="52">
        <v>673</v>
      </c>
      <c r="AG63" s="77">
        <v>174.47</v>
      </c>
      <c r="AH63" s="717">
        <f t="shared" ref="AH63:AH66" si="215">AG63/AB63</f>
        <v>7.6957346389660798E-3</v>
      </c>
      <c r="AI63" s="718">
        <f t="shared" ref="AI63:AI66" si="216">AG63/AF63</f>
        <v>0.25924219910846952</v>
      </c>
      <c r="AJ63" s="719">
        <f t="shared" ref="AJ63:AJ66" si="217">AA63/Z63</f>
        <v>4.7037823234272478E-3</v>
      </c>
      <c r="AK63" s="143">
        <v>46</v>
      </c>
      <c r="AL63" s="52"/>
      <c r="AM63" s="52"/>
      <c r="AN63" s="312">
        <f t="shared" si="193"/>
        <v>3.7928260869565218</v>
      </c>
      <c r="AO63" s="1139">
        <f t="shared" si="194"/>
        <v>5.8974358974358973E-2</v>
      </c>
      <c r="AP63" s="125"/>
      <c r="AQ63" s="170"/>
      <c r="AR63" s="166">
        <v>142632</v>
      </c>
      <c r="AS63" s="15">
        <v>631</v>
      </c>
      <c r="AT63" s="15">
        <v>19777</v>
      </c>
      <c r="AU63" s="52">
        <v>2231</v>
      </c>
      <c r="AV63" s="52">
        <v>797</v>
      </c>
      <c r="AW63" s="52">
        <v>484</v>
      </c>
      <c r="AX63" s="52">
        <v>266</v>
      </c>
      <c r="AY63" s="642">
        <v>141.26</v>
      </c>
      <c r="AZ63" s="718">
        <f t="shared" si="196"/>
        <v>7.1426404409162154E-3</v>
      </c>
      <c r="BA63" s="718">
        <f t="shared" si="197"/>
        <v>0.53105263157894733</v>
      </c>
      <c r="BB63" s="719">
        <f t="shared" si="198"/>
        <v>4.4239721801559257E-3</v>
      </c>
      <c r="BC63" s="143">
        <v>40</v>
      </c>
      <c r="BD63" s="52"/>
      <c r="BE63" s="52"/>
      <c r="BF63" s="228">
        <f t="shared" si="200"/>
        <v>3.5314999999999999</v>
      </c>
      <c r="BG63" s="1137">
        <f t="shared" si="201"/>
        <v>6.3391442155309036E-2</v>
      </c>
      <c r="BH63" s="125"/>
      <c r="BI63" s="170"/>
      <c r="BJ63" s="166">
        <v>170432</v>
      </c>
      <c r="BK63" s="15">
        <v>484</v>
      </c>
      <c r="BL63" s="15">
        <v>27679</v>
      </c>
      <c r="BM63" s="52">
        <v>10654</v>
      </c>
      <c r="BN63" s="52">
        <v>4491</v>
      </c>
      <c r="BO63" s="52">
        <v>2271</v>
      </c>
      <c r="BP63" s="52">
        <v>1345</v>
      </c>
      <c r="BQ63" s="642">
        <v>201.19</v>
      </c>
      <c r="BR63" s="554">
        <f t="shared" si="203"/>
        <v>7.2686874525813797E-3</v>
      </c>
      <c r="BS63" s="554">
        <f t="shared" si="204"/>
        <v>0.14958364312267658</v>
      </c>
      <c r="BT63" s="555">
        <f t="shared" si="205"/>
        <v>2.8398422831393167E-3</v>
      </c>
      <c r="BU63" s="143">
        <v>51</v>
      </c>
      <c r="BV63" s="52"/>
      <c r="BW63" s="52"/>
      <c r="BX63" s="228">
        <f t="shared" si="207"/>
        <v>3.9449019607843137</v>
      </c>
      <c r="BY63" s="544">
        <f t="shared" ref="BY63:BY66" si="218">BU63/BK63</f>
        <v>0.10537190082644628</v>
      </c>
      <c r="BZ63" s="125"/>
      <c r="CA63" s="170"/>
    </row>
    <row r="64" spans="2:79" s="24" customFormat="1">
      <c r="B64" s="187">
        <v>40833</v>
      </c>
      <c r="C64" s="15">
        <v>422738</v>
      </c>
      <c r="D64" s="15">
        <v>1620</v>
      </c>
      <c r="E64" s="15">
        <v>61840</v>
      </c>
      <c r="F64" s="52">
        <v>15161</v>
      </c>
      <c r="G64" s="52">
        <v>6099</v>
      </c>
      <c r="H64" s="52">
        <v>3372</v>
      </c>
      <c r="I64" s="52">
        <v>1950</v>
      </c>
      <c r="J64" s="904">
        <v>424.88</v>
      </c>
      <c r="K64" s="73">
        <f>SUM($J$38,$J$46,$J$54,$J$62:J64)/$C$10</f>
        <v>0.99260037760270403</v>
      </c>
      <c r="L64" s="305">
        <f t="shared" si="208"/>
        <v>3.8321608182846113E-3</v>
      </c>
      <c r="M64" s="995">
        <f t="shared" si="151"/>
        <v>22000</v>
      </c>
      <c r="N64" s="1002">
        <f t="shared" si="209"/>
        <v>6.8706338939197933E-3</v>
      </c>
      <c r="O64" s="1121">
        <f t="shared" si="210"/>
        <v>0.21788717948717948</v>
      </c>
      <c r="P64" s="380">
        <f t="shared" si="211"/>
        <v>2.810909090909091</v>
      </c>
      <c r="Q64" s="902">
        <v>118</v>
      </c>
      <c r="R64" s="553"/>
      <c r="S64" s="553"/>
      <c r="T64" s="1003">
        <f t="shared" si="153"/>
        <v>381.5</v>
      </c>
      <c r="U64" s="1004">
        <f t="shared" si="212"/>
        <v>0.30930537352555704</v>
      </c>
      <c r="V64" s="1005">
        <f t="shared" si="213"/>
        <v>3.6006779661016948</v>
      </c>
      <c r="W64" s="544">
        <f t="shared" si="214"/>
        <v>7.2839506172839505E-2</v>
      </c>
      <c r="X64" s="1006">
        <v>0.66666666666666663</v>
      </c>
      <c r="Y64" s="1134">
        <v>0.97457627118644063</v>
      </c>
      <c r="Z64" s="593">
        <v>170500</v>
      </c>
      <c r="AA64" s="15">
        <v>699</v>
      </c>
      <c r="AB64" s="15">
        <v>23404</v>
      </c>
      <c r="AC64" s="52">
        <v>5255</v>
      </c>
      <c r="AD64" s="52">
        <v>2035</v>
      </c>
      <c r="AE64" s="52">
        <v>1248</v>
      </c>
      <c r="AF64" s="52">
        <v>661</v>
      </c>
      <c r="AG64" s="77">
        <v>165.01</v>
      </c>
      <c r="AH64" s="972">
        <f t="shared" si="215"/>
        <v>7.0505041873184064E-3</v>
      </c>
      <c r="AI64" s="973">
        <f t="shared" si="216"/>
        <v>0.24963691376701966</v>
      </c>
      <c r="AJ64" s="974">
        <f t="shared" si="217"/>
        <v>4.0997067448680351E-3</v>
      </c>
      <c r="AK64" s="143">
        <v>52</v>
      </c>
      <c r="AL64" s="52"/>
      <c r="AM64" s="52"/>
      <c r="AN64" s="312">
        <f t="shared" si="193"/>
        <v>3.1732692307692307</v>
      </c>
      <c r="AO64" s="1139">
        <f t="shared" si="194"/>
        <v>7.4391988555078684E-2</v>
      </c>
      <c r="AP64" s="123"/>
      <c r="AQ64" s="168"/>
      <c r="AR64" s="166">
        <v>129180</v>
      </c>
      <c r="AS64" s="15">
        <v>586</v>
      </c>
      <c r="AT64" s="15">
        <v>18051</v>
      </c>
      <c r="AU64" s="52">
        <v>1998</v>
      </c>
      <c r="AV64" s="52">
        <v>720</v>
      </c>
      <c r="AW64" s="52">
        <v>436</v>
      </c>
      <c r="AX64" s="52">
        <v>241</v>
      </c>
      <c r="AY64" s="642">
        <v>121.79</v>
      </c>
      <c r="AZ64" s="718">
        <f t="shared" si="196"/>
        <v>6.7469946263364914E-3</v>
      </c>
      <c r="BA64" s="718">
        <f t="shared" si="197"/>
        <v>0.50535269709543573</v>
      </c>
      <c r="BB64" s="719">
        <f t="shared" si="198"/>
        <v>4.5363059297104814E-3</v>
      </c>
      <c r="BC64" s="143">
        <v>28</v>
      </c>
      <c r="BD64" s="52"/>
      <c r="BE64" s="52"/>
      <c r="BF64" s="228">
        <f t="shared" si="200"/>
        <v>4.3496428571428574</v>
      </c>
      <c r="BG64" s="1139">
        <f t="shared" si="201"/>
        <v>4.778156996587031E-2</v>
      </c>
      <c r="BH64" s="123"/>
      <c r="BI64" s="168"/>
      <c r="BJ64" s="166">
        <v>123058</v>
      </c>
      <c r="BK64" s="15">
        <v>335</v>
      </c>
      <c r="BL64" s="15">
        <v>20385</v>
      </c>
      <c r="BM64" s="52">
        <v>7908</v>
      </c>
      <c r="BN64" s="52">
        <v>3344</v>
      </c>
      <c r="BO64" s="52">
        <v>1688</v>
      </c>
      <c r="BP64" s="52">
        <v>1048</v>
      </c>
      <c r="BQ64" s="642">
        <v>138.08000000000001</v>
      </c>
      <c r="BR64" s="554">
        <f t="shared" si="203"/>
        <v>6.7736080451312247E-3</v>
      </c>
      <c r="BS64" s="554">
        <f t="shared" si="204"/>
        <v>0.1317557251908397</v>
      </c>
      <c r="BT64" s="555">
        <f t="shared" si="205"/>
        <v>2.7222935526337176E-3</v>
      </c>
      <c r="BU64" s="143">
        <v>38</v>
      </c>
      <c r="BV64" s="52"/>
      <c r="BW64" s="52"/>
      <c r="BX64" s="228">
        <f t="shared" si="207"/>
        <v>3.6336842105263161</v>
      </c>
      <c r="BY64" s="710">
        <f t="shared" si="218"/>
        <v>0.11343283582089553</v>
      </c>
      <c r="BZ64" s="123"/>
      <c r="CA64" s="168"/>
    </row>
    <row r="65" spans="2:79" s="24" customFormat="1">
      <c r="B65" s="887" t="s">
        <v>30</v>
      </c>
      <c r="C65" s="888">
        <f>SUM(C38,C46,C54,C62,C63:C64)</f>
        <v>15665880</v>
      </c>
      <c r="D65" s="888">
        <f t="shared" ref="D65:J65" si="219">SUM(D38,D46,D54,D62,D63:D64)</f>
        <v>70154</v>
      </c>
      <c r="E65" s="888">
        <f t="shared" si="219"/>
        <v>2397050</v>
      </c>
      <c r="F65" s="888">
        <f t="shared" si="219"/>
        <v>523030</v>
      </c>
      <c r="G65" s="888">
        <f t="shared" si="219"/>
        <v>209228</v>
      </c>
      <c r="H65" s="888">
        <f t="shared" si="219"/>
        <v>118406</v>
      </c>
      <c r="I65" s="888">
        <f t="shared" si="219"/>
        <v>63048</v>
      </c>
      <c r="J65" s="966">
        <f t="shared" si="219"/>
        <v>18558.55</v>
      </c>
      <c r="K65" s="952">
        <f>K64</f>
        <v>0.99260037760270403</v>
      </c>
      <c r="L65" s="913">
        <f>D65/C65</f>
        <v>4.4781397534003837E-3</v>
      </c>
      <c r="M65" s="889">
        <f t="shared" ref="M65" si="220">SUM(M38,M46,M54,M62,M63:M64)</f>
        <v>660000</v>
      </c>
      <c r="N65" s="901">
        <f>J65/E65</f>
        <v>7.742245676977952E-3</v>
      </c>
      <c r="O65" s="1122">
        <f>J65/I65</f>
        <v>0.29435588757771858</v>
      </c>
      <c r="P65" s="1127">
        <f>E65/M65</f>
        <v>3.6318939393939393</v>
      </c>
      <c r="Q65" s="1128">
        <f>SUM(Q38,Q46,Q54,Q62,Q63:Q64)</f>
        <v>5449</v>
      </c>
      <c r="R65" s="896">
        <f t="shared" ref="R65:T65" si="221">SUM(R38,R46,R54,R62,R63:R64)</f>
        <v>0</v>
      </c>
      <c r="S65" s="896">
        <f t="shared" si="221"/>
        <v>0</v>
      </c>
      <c r="T65" s="896">
        <f t="shared" si="221"/>
        <v>11445</v>
      </c>
      <c r="U65" s="1007">
        <f>Q65/T65</f>
        <v>0.47610310179117521</v>
      </c>
      <c r="V65" s="901">
        <f>J65/Q65</f>
        <v>3.4058634611855383</v>
      </c>
      <c r="W65" s="975">
        <f>Q65/D65</f>
        <v>7.7671978789520202E-2</v>
      </c>
      <c r="X65" s="1008">
        <f>AVERAGE(X31:X37,X39:X45,X47:X53,X55:X61,X63:X64)</f>
        <v>5.8888888888888884</v>
      </c>
      <c r="Y65" s="1133">
        <f>AVERAGE(Y31:Y37,Y39:Y45,Y47:Y53,Y55:Y61,Y63:Y64)</f>
        <v>0.94216890809899589</v>
      </c>
      <c r="Z65" s="903">
        <f>SUM(Z38,Z46,Z54,Z62,Z63:Z64)</f>
        <v>6999598</v>
      </c>
      <c r="AA65" s="888">
        <f t="shared" ref="AA65:AC65" si="222">SUM(AA38,AA46,AA54,AA62,AA63:AA64)</f>
        <v>34623</v>
      </c>
      <c r="AB65" s="888">
        <f t="shared" si="222"/>
        <v>1016418</v>
      </c>
      <c r="AC65" s="888">
        <f t="shared" si="222"/>
        <v>230457</v>
      </c>
      <c r="AD65" s="888">
        <f>SUM(AD38,AD46,AD54,AD62,AD63:AD64)</f>
        <v>93609</v>
      </c>
      <c r="AE65" s="888">
        <f t="shared" ref="AE65" si="223">SUM(AE38,AE46,AE54,AE62,AE63:AE64)</f>
        <v>56608</v>
      </c>
      <c r="AF65" s="888">
        <f t="shared" ref="AF65" si="224">SUM(AF38,AF46,AF54,AF62,AF63:AF64)</f>
        <v>27697</v>
      </c>
      <c r="AG65" s="912">
        <f>SUM(AG38,AG46,AG54,AG62,AG63:AG64)</f>
        <v>8158.3400000000011</v>
      </c>
      <c r="AH65" s="980">
        <f>AG65/AB65</f>
        <v>8.0265599389227667E-3</v>
      </c>
      <c r="AI65" s="980">
        <f>AG65/AF65</f>
        <v>0.29455681120698995</v>
      </c>
      <c r="AJ65" s="1131">
        <f>AA65/Z65</f>
        <v>4.9464269233747424E-3</v>
      </c>
      <c r="AK65" s="1132">
        <f>SUM(AK38,AK46,AK54,AK62,AK63:AK64)</f>
        <v>2510</v>
      </c>
      <c r="AL65" s="896"/>
      <c r="AM65" s="896"/>
      <c r="AN65" s="901">
        <f>AG65/AK65</f>
        <v>3.2503346613545823</v>
      </c>
      <c r="AO65" s="1140">
        <f>AK65/AA65</f>
        <v>7.2495162175432518E-2</v>
      </c>
      <c r="AP65" s="890"/>
      <c r="AQ65" s="891"/>
      <c r="AR65" s="888">
        <f>SUM(AR38,AR46,AR54,AR62,AR63:AR64)</f>
        <v>5555522</v>
      </c>
      <c r="AS65" s="888">
        <f t="shared" ref="AS65" si="225">SUM(AS38,AS46,AS54,AS62,AS63:AS64)</f>
        <v>26394</v>
      </c>
      <c r="AT65" s="888">
        <f t="shared" ref="AT65" si="226">SUM(AT38,AT46,AT54,AT62,AT63:AT64)</f>
        <v>873788</v>
      </c>
      <c r="AU65" s="888">
        <f t="shared" ref="AU65" si="227">SUM(AU38,AU46,AU54,AU62,AU63:AU64)</f>
        <v>101492</v>
      </c>
      <c r="AV65" s="888">
        <f>SUM(AV38,AV46,AV54,AV62,AV63:AV64)</f>
        <v>37487</v>
      </c>
      <c r="AW65" s="888">
        <f t="shared" ref="AW65" si="228">SUM(AW38,AW46,AW54,AW62,AW63:AW64)</f>
        <v>22708</v>
      </c>
      <c r="AX65" s="888">
        <f t="shared" ref="AX65" si="229">SUM(AX38,AX46,AX54,AX62,AX63:AX64)</f>
        <v>11987</v>
      </c>
      <c r="AY65" s="1174">
        <f>SUM(AY38,AY46,AY54,AY62,AY63:AY64)</f>
        <v>6614.2000000000007</v>
      </c>
      <c r="AZ65" s="980">
        <f>AY65/AT65</f>
        <v>7.5695706510045925E-3</v>
      </c>
      <c r="BA65" s="980">
        <f>AY65/AX65</f>
        <v>0.55178109618753657</v>
      </c>
      <c r="BB65" s="979">
        <f>AS65/AR65</f>
        <v>4.7509486957301224E-3</v>
      </c>
      <c r="BC65" s="903">
        <f>SUM(BC38,BC46,BC54,BC62,BC63:BC64)</f>
        <v>2045</v>
      </c>
      <c r="BD65" s="896"/>
      <c r="BE65" s="896"/>
      <c r="BF65" s="901">
        <f>AY65/BC65</f>
        <v>3.2343276283618585</v>
      </c>
      <c r="BG65" s="1140">
        <f>BC65/AS65</f>
        <v>7.7479730241721598E-2</v>
      </c>
      <c r="BH65" s="890"/>
      <c r="BI65" s="891"/>
      <c r="BJ65" s="888">
        <f>SUM(BJ38,BJ46,BJ54,BJ62,BJ63:BJ64)</f>
        <v>3110760</v>
      </c>
      <c r="BK65" s="888">
        <f t="shared" ref="BK65" si="230">SUM(BK38,BK46,BK54,BK62,BK63:BK64)</f>
        <v>9137</v>
      </c>
      <c r="BL65" s="888">
        <f t="shared" ref="BL65" si="231">SUM(BL38,BL46,BL54,BL62,BL63:BL64)</f>
        <v>506844</v>
      </c>
      <c r="BM65" s="888">
        <f t="shared" ref="BM65" si="232">SUM(BM38,BM46,BM54,BM62,BM63:BM64)</f>
        <v>191081</v>
      </c>
      <c r="BN65" s="888">
        <f>SUM(BN38,BN46,BN54,BN62,BN63:BN64)</f>
        <v>78132</v>
      </c>
      <c r="BO65" s="888">
        <f t="shared" ref="BO65" si="233">SUM(BO38,BO46,BO54,BO62,BO63:BO64)</f>
        <v>39090</v>
      </c>
      <c r="BP65" s="889">
        <f t="shared" ref="BP65" si="234">SUM(BP38,BP46,BP54,BP62,BP63:BP64)</f>
        <v>23364</v>
      </c>
      <c r="BQ65" s="901">
        <f>SUM(BQ38,BQ46,BQ54,BQ62,BQ63:BQ64)</f>
        <v>3786.0099999999998</v>
      </c>
      <c r="BR65" s="980">
        <f>BQ65/BL65</f>
        <v>7.4697737370867561E-3</v>
      </c>
      <c r="BS65" s="980">
        <f>BQ65/BP65</f>
        <v>0.16204459852764935</v>
      </c>
      <c r="BT65" s="1141">
        <f>BK65/BJ65</f>
        <v>2.9372243438902392E-3</v>
      </c>
      <c r="BU65" s="903">
        <f>SUM(BU38,BU46,BU54,BU62,BU63:BU64)</f>
        <v>894</v>
      </c>
      <c r="BV65" s="896"/>
      <c r="BW65" s="896"/>
      <c r="BX65" s="901">
        <f>BQ65/BU65</f>
        <v>4.2349105145413866</v>
      </c>
      <c r="BY65" s="975">
        <f>BU65/BK65</f>
        <v>9.7843931268468867E-2</v>
      </c>
      <c r="BZ65" s="123"/>
      <c r="CA65" s="168"/>
    </row>
    <row r="66" spans="2:79" s="26" customFormat="1">
      <c r="B66" s="187">
        <v>40834</v>
      </c>
      <c r="C66" s="15">
        <v>140348</v>
      </c>
      <c r="D66" s="15">
        <v>3371</v>
      </c>
      <c r="E66" s="15">
        <v>9668</v>
      </c>
      <c r="F66" s="52">
        <v>1100</v>
      </c>
      <c r="G66" s="52">
        <v>388</v>
      </c>
      <c r="H66" s="52">
        <v>237</v>
      </c>
      <c r="I66" s="52">
        <v>132</v>
      </c>
      <c r="J66" s="904">
        <v>206.64</v>
      </c>
      <c r="K66" s="73">
        <f>J66/$D$10</f>
        <v>1.6395510753008102E-2</v>
      </c>
      <c r="L66" s="305">
        <f t="shared" ref="L66:L69" si="235">D66/C66</f>
        <v>2.4018867386781429E-2</v>
      </c>
      <c r="M66" s="995">
        <f>$AF$15/30</f>
        <v>14003.833333333336</v>
      </c>
      <c r="N66" s="1002">
        <f t="shared" ref="N66" si="236">J66/E66</f>
        <v>2.137360364087712E-2</v>
      </c>
      <c r="O66" s="1121">
        <f t="shared" ref="O66" si="237">J66/I66</f>
        <v>1.5654545454545454</v>
      </c>
      <c r="P66" s="380">
        <f t="shared" ref="P66" si="238">E66/M66</f>
        <v>0.69038239529652579</v>
      </c>
      <c r="Q66" s="902">
        <v>140</v>
      </c>
      <c r="R66" s="553"/>
      <c r="S66" s="1123"/>
      <c r="T66" s="1003">
        <f>$AF$17/30</f>
        <v>242.84104046242777</v>
      </c>
      <c r="U66" s="1004">
        <f t="shared" si="212"/>
        <v>0.57650881306308976</v>
      </c>
      <c r="V66" s="1005">
        <f t="shared" si="213"/>
        <v>1.476</v>
      </c>
      <c r="W66" s="544">
        <f t="shared" si="214"/>
        <v>4.1530703055473156E-2</v>
      </c>
      <c r="X66" s="1006">
        <v>6.333333333333333</v>
      </c>
      <c r="Y66" s="1135">
        <v>0.92142857142857137</v>
      </c>
      <c r="Z66" s="1136">
        <v>18100</v>
      </c>
      <c r="AA66" s="15">
        <v>409</v>
      </c>
      <c r="AB66" s="15">
        <v>1300</v>
      </c>
      <c r="AC66" s="52">
        <v>217</v>
      </c>
      <c r="AD66" s="52">
        <v>80</v>
      </c>
      <c r="AE66" s="52">
        <v>45</v>
      </c>
      <c r="AF66" s="52">
        <v>24</v>
      </c>
      <c r="AG66" s="77">
        <v>22.54</v>
      </c>
      <c r="AH66" s="720">
        <f t="shared" si="215"/>
        <v>1.7338461538461539E-2</v>
      </c>
      <c r="AI66" s="1361">
        <f t="shared" si="216"/>
        <v>0.93916666666666659</v>
      </c>
      <c r="AJ66" s="555">
        <f t="shared" si="217"/>
        <v>2.2596685082872929E-2</v>
      </c>
      <c r="AK66" s="592">
        <v>19</v>
      </c>
      <c r="AL66" s="892"/>
      <c r="AM66" s="892"/>
      <c r="AN66" s="1172">
        <f t="shared" si="193"/>
        <v>1.1863157894736842</v>
      </c>
      <c r="AO66" s="1173">
        <f t="shared" si="194"/>
        <v>4.6454767726161368E-2</v>
      </c>
      <c r="AP66" s="124"/>
      <c r="AQ66" s="169"/>
      <c r="AR66" s="166">
        <v>115298</v>
      </c>
      <c r="AS66" s="15">
        <v>2809</v>
      </c>
      <c r="AT66" s="15">
        <v>7909</v>
      </c>
      <c r="AU66" s="52">
        <v>744</v>
      </c>
      <c r="AV66" s="52">
        <v>262</v>
      </c>
      <c r="AW66" s="52">
        <v>168</v>
      </c>
      <c r="AX66" s="52">
        <v>89</v>
      </c>
      <c r="AY66" s="1175">
        <v>176.67</v>
      </c>
      <c r="AZ66" s="554">
        <f t="shared" si="196"/>
        <v>2.2337842963712225E-2</v>
      </c>
      <c r="BA66" s="554">
        <f t="shared" si="197"/>
        <v>1.9850561797752808</v>
      </c>
      <c r="BB66" s="555">
        <f t="shared" si="198"/>
        <v>2.4362955124980486E-2</v>
      </c>
      <c r="BC66" s="592">
        <v>117</v>
      </c>
      <c r="BD66" s="892"/>
      <c r="BE66" s="892"/>
      <c r="BF66" s="1192">
        <f t="shared" si="200"/>
        <v>1.5099999999999998</v>
      </c>
      <c r="BG66" s="1193">
        <f t="shared" si="201"/>
        <v>4.1651833392666426E-2</v>
      </c>
      <c r="BH66" s="124"/>
      <c r="BI66" s="169"/>
      <c r="BJ66" s="166">
        <v>6950</v>
      </c>
      <c r="BK66" s="15">
        <v>153</v>
      </c>
      <c r="BL66" s="15">
        <v>459</v>
      </c>
      <c r="BM66" s="52">
        <v>139</v>
      </c>
      <c r="BN66" s="52">
        <v>46</v>
      </c>
      <c r="BO66" s="52">
        <v>24</v>
      </c>
      <c r="BP66" s="52">
        <v>19</v>
      </c>
      <c r="BQ66" s="642">
        <v>7.43</v>
      </c>
      <c r="BR66" s="554">
        <f t="shared" si="203"/>
        <v>1.6187363834422656E-2</v>
      </c>
      <c r="BS66" s="554">
        <f t="shared" si="204"/>
        <v>0.39105263157894737</v>
      </c>
      <c r="BT66" s="555">
        <f t="shared" si="205"/>
        <v>2.2014388489208635E-2</v>
      </c>
      <c r="BU66" s="592">
        <v>4</v>
      </c>
      <c r="BV66" s="892"/>
      <c r="BW66" s="892"/>
      <c r="BX66" s="1192">
        <f t="shared" si="207"/>
        <v>1.8574999999999999</v>
      </c>
      <c r="BY66" s="544">
        <f t="shared" si="218"/>
        <v>2.6143790849673203E-2</v>
      </c>
      <c r="BZ66" s="124"/>
      <c r="CA66" s="169"/>
    </row>
    <row r="67" spans="2:79">
      <c r="B67" s="187">
        <v>40835</v>
      </c>
      <c r="C67" s="15">
        <v>240302</v>
      </c>
      <c r="D67" s="15">
        <v>6586</v>
      </c>
      <c r="E67" s="15">
        <v>15479</v>
      </c>
      <c r="F67" s="52">
        <v>3968</v>
      </c>
      <c r="G67" s="52">
        <v>1459</v>
      </c>
      <c r="H67" s="52">
        <v>812</v>
      </c>
      <c r="I67" s="52">
        <v>456</v>
      </c>
      <c r="J67" s="904">
        <v>468.32</v>
      </c>
      <c r="K67" s="73">
        <f>SUM($J$66:J67)/$D$10</f>
        <v>5.3553590485144943E-2</v>
      </c>
      <c r="L67" s="305">
        <f t="shared" si="235"/>
        <v>2.740717929938161E-2</v>
      </c>
      <c r="M67" s="995">
        <f t="shared" ref="M67:M97" si="239">$AF$15/30</f>
        <v>14003.833333333336</v>
      </c>
      <c r="N67" s="1002">
        <f t="shared" ref="N67:N69" si="240">J67/E67</f>
        <v>3.0255184443439498E-2</v>
      </c>
      <c r="O67" s="1121">
        <f t="shared" ref="O67:O69" si="241">J67/I67</f>
        <v>1.0270175438596492</v>
      </c>
      <c r="P67" s="380">
        <f t="shared" ref="P67:P69" si="242">E67/M67</f>
        <v>1.105340204467824</v>
      </c>
      <c r="Q67" s="902">
        <v>194</v>
      </c>
      <c r="R67" s="553"/>
      <c r="S67" s="1123"/>
      <c r="T67" s="1003">
        <f t="shared" ref="T67:T97" si="243">$AF$17/30</f>
        <v>242.84104046242777</v>
      </c>
      <c r="U67" s="1004">
        <f t="shared" si="212"/>
        <v>0.79887649810171013</v>
      </c>
      <c r="V67" s="1005">
        <f t="shared" ref="V67:V69" si="244">J67/Q67</f>
        <v>2.4140206185567008</v>
      </c>
      <c r="W67" s="544">
        <f t="shared" ref="W67:W69" si="245">Q67/D67</f>
        <v>2.9456422714849682E-2</v>
      </c>
      <c r="X67" s="1198">
        <v>40</v>
      </c>
      <c r="Y67" s="1135">
        <v>0.75</v>
      </c>
      <c r="Z67" s="1136">
        <v>160588</v>
      </c>
      <c r="AA67" s="15">
        <v>4590</v>
      </c>
      <c r="AB67" s="15">
        <v>9668</v>
      </c>
      <c r="AC67" s="52">
        <v>3102</v>
      </c>
      <c r="AD67" s="52">
        <v>1178</v>
      </c>
      <c r="AE67" s="52">
        <v>657</v>
      </c>
      <c r="AF67" s="52">
        <v>372</v>
      </c>
      <c r="AG67" s="77">
        <v>320.27</v>
      </c>
      <c r="AH67" s="720">
        <f t="shared" ref="AH67:AH69" si="246">AG67/AB67</f>
        <v>3.312681009515929E-2</v>
      </c>
      <c r="AI67" s="1361">
        <f t="shared" ref="AI67:AI69" si="247">AG67/AF67</f>
        <v>0.86094086021505367</v>
      </c>
      <c r="AJ67" s="555">
        <f t="shared" ref="AJ67:AJ74" si="248">AA67/Z67</f>
        <v>2.8582459461479064E-2</v>
      </c>
      <c r="AK67" s="902">
        <v>116</v>
      </c>
      <c r="AL67" s="553"/>
      <c r="AM67" s="1123"/>
      <c r="AN67" s="1170">
        <f t="shared" ref="AN67:AN74" si="249">AG67/AK67</f>
        <v>2.7609482758620687</v>
      </c>
      <c r="AO67" s="1171">
        <f t="shared" ref="AO67:AO69" si="250">AK67/AA67</f>
        <v>2.5272331154684097E-2</v>
      </c>
      <c r="AP67" s="125"/>
      <c r="AQ67" s="170"/>
      <c r="AR67" s="166">
        <v>56262</v>
      </c>
      <c r="AS67" s="15">
        <v>1618</v>
      </c>
      <c r="AT67" s="15">
        <v>4345</v>
      </c>
      <c r="AU67" s="52">
        <v>447</v>
      </c>
      <c r="AV67" s="52">
        <v>141</v>
      </c>
      <c r="AW67" s="52">
        <v>94</v>
      </c>
      <c r="AX67" s="52">
        <v>51</v>
      </c>
      <c r="AY67" s="338">
        <v>111.38</v>
      </c>
      <c r="AZ67" s="554">
        <f t="shared" ref="AZ67:AZ69" si="251">AY67/AT67</f>
        <v>2.5634062140391253E-2</v>
      </c>
      <c r="BA67" s="554">
        <f t="shared" ref="BA67:BA69" si="252">AY67/AX67</f>
        <v>2.1839215686274507</v>
      </c>
      <c r="BB67" s="555">
        <f t="shared" ref="BB67:BB69" si="253">AS67/AR67</f>
        <v>2.8758309338452241E-2</v>
      </c>
      <c r="BC67" s="902">
        <v>62</v>
      </c>
      <c r="BD67" s="553"/>
      <c r="BE67" s="1123"/>
      <c r="BF67" s="1192">
        <f t="shared" ref="BF67:BF68" si="254">AY67/BC67</f>
        <v>1.7964516129032257</v>
      </c>
      <c r="BG67" s="1193">
        <f t="shared" ref="BG67:BG68" si="255">BC67/AS67</f>
        <v>3.8318912237330034E-2</v>
      </c>
      <c r="BH67" s="125"/>
      <c r="BI67" s="170"/>
      <c r="BJ67" s="166">
        <v>23452</v>
      </c>
      <c r="BK67" s="15">
        <v>378</v>
      </c>
      <c r="BL67" s="15">
        <v>1466</v>
      </c>
      <c r="BM67" s="52">
        <v>419</v>
      </c>
      <c r="BN67" s="52">
        <v>140</v>
      </c>
      <c r="BO67" s="52">
        <v>61</v>
      </c>
      <c r="BP67" s="52">
        <v>33</v>
      </c>
      <c r="BQ67" s="642">
        <v>36.67</v>
      </c>
      <c r="BR67" s="554">
        <f t="shared" ref="BR67:BR69" si="256">BQ67/BL67</f>
        <v>2.5013642564802183E-2</v>
      </c>
      <c r="BS67" s="554">
        <f t="shared" ref="BS67:BS69" si="257">BQ67/BP67</f>
        <v>1.1112121212121213</v>
      </c>
      <c r="BT67" s="555">
        <f t="shared" ref="BT67:BT69" si="258">BK67/BJ67</f>
        <v>1.6118028313150266E-2</v>
      </c>
      <c r="BU67" s="902">
        <v>16</v>
      </c>
      <c r="BV67" s="553"/>
      <c r="BW67" s="1123"/>
      <c r="BX67" s="1192">
        <f t="shared" ref="BX67:BX69" si="259">BQ67/BU67</f>
        <v>2.2918750000000001</v>
      </c>
      <c r="BY67" s="544">
        <f t="shared" ref="BY67:BY69" si="260">BU67/BK67</f>
        <v>4.2328042328042326E-2</v>
      </c>
      <c r="BZ67" s="125"/>
      <c r="CA67" s="170"/>
    </row>
    <row r="68" spans="2:79">
      <c r="B68" s="187">
        <v>40836</v>
      </c>
      <c r="C68" s="15">
        <v>204670</v>
      </c>
      <c r="D68" s="15">
        <v>6185</v>
      </c>
      <c r="E68" s="15">
        <v>13263</v>
      </c>
      <c r="F68" s="52">
        <v>4699</v>
      </c>
      <c r="G68" s="52">
        <v>1855</v>
      </c>
      <c r="H68" s="52">
        <v>963</v>
      </c>
      <c r="I68" s="52">
        <v>570</v>
      </c>
      <c r="J68" s="904">
        <v>458.73999999999995</v>
      </c>
      <c r="K68" s="73">
        <f>SUM($J$66:J68)/$D$10</f>
        <v>8.9951560882139417E-2</v>
      </c>
      <c r="L68" s="305">
        <f t="shared" si="235"/>
        <v>3.021937753456784E-2</v>
      </c>
      <c r="M68" s="995">
        <f t="shared" si="239"/>
        <v>14003.833333333336</v>
      </c>
      <c r="N68" s="1002">
        <f t="shared" si="240"/>
        <v>3.4587951443866394E-2</v>
      </c>
      <c r="O68" s="1121">
        <f t="shared" si="241"/>
        <v>0.80480701754385953</v>
      </c>
      <c r="P68" s="380">
        <f t="shared" si="242"/>
        <v>0.94709781845447061</v>
      </c>
      <c r="Q68" s="1129">
        <v>182</v>
      </c>
      <c r="R68" s="553"/>
      <c r="S68" s="1123"/>
      <c r="T68" s="1003">
        <f t="shared" si="243"/>
        <v>242.84104046242777</v>
      </c>
      <c r="U68" s="1004">
        <f t="shared" si="212"/>
        <v>0.74946145698201672</v>
      </c>
      <c r="V68" s="1005">
        <f t="shared" si="244"/>
        <v>2.5205494505494501</v>
      </c>
      <c r="W68" s="544">
        <f t="shared" si="245"/>
        <v>2.9426030719482618E-2</v>
      </c>
      <c r="X68" s="1198">
        <v>3</v>
      </c>
      <c r="Y68" s="1135">
        <v>0.99</v>
      </c>
      <c r="Z68" s="1136">
        <v>163204</v>
      </c>
      <c r="AA68" s="15">
        <v>4979</v>
      </c>
      <c r="AB68" s="15">
        <v>10293</v>
      </c>
      <c r="AC68" s="52">
        <v>3731</v>
      </c>
      <c r="AD68" s="52">
        <v>1484</v>
      </c>
      <c r="AE68" s="52">
        <v>789</v>
      </c>
      <c r="AF68" s="52">
        <v>463</v>
      </c>
      <c r="AG68" s="77">
        <v>369.09</v>
      </c>
      <c r="AH68" s="720">
        <f t="shared" si="246"/>
        <v>3.5858350335179243E-2</v>
      </c>
      <c r="AI68" s="1361">
        <f t="shared" si="247"/>
        <v>0.797170626349892</v>
      </c>
      <c r="AJ68" s="555">
        <f t="shared" si="248"/>
        <v>3.0507830690424256E-2</v>
      </c>
      <c r="AK68" s="902">
        <v>144</v>
      </c>
      <c r="AL68" s="553"/>
      <c r="AM68" s="553"/>
      <c r="AN68" s="1172">
        <f t="shared" si="249"/>
        <v>2.5631249999999999</v>
      </c>
      <c r="AO68" s="1173">
        <f t="shared" si="250"/>
        <v>2.8921470174733881E-2</v>
      </c>
      <c r="AP68" s="125"/>
      <c r="AQ68" s="170"/>
      <c r="AR68" s="166">
        <v>35440</v>
      </c>
      <c r="AS68" s="15">
        <v>1069</v>
      </c>
      <c r="AT68" s="15">
        <v>2371</v>
      </c>
      <c r="AU68" s="52">
        <v>812</v>
      </c>
      <c r="AV68" s="52">
        <v>306</v>
      </c>
      <c r="AW68" s="52">
        <v>143</v>
      </c>
      <c r="AX68" s="52">
        <v>90</v>
      </c>
      <c r="AY68" s="77">
        <v>77.739999999999995</v>
      </c>
      <c r="AZ68" s="554">
        <f t="shared" si="251"/>
        <v>3.278785322648671E-2</v>
      </c>
      <c r="BA68" s="554">
        <f t="shared" si="252"/>
        <v>0.86377777777777776</v>
      </c>
      <c r="BB68" s="555">
        <f t="shared" si="253"/>
        <v>3.0163656884875847E-2</v>
      </c>
      <c r="BC68" s="902">
        <v>34</v>
      </c>
      <c r="BD68" s="553"/>
      <c r="BE68" s="1123"/>
      <c r="BF68" s="1192">
        <f t="shared" si="254"/>
        <v>2.2864705882352938</v>
      </c>
      <c r="BG68" s="1193">
        <f t="shared" si="255"/>
        <v>3.1805425631431246E-2</v>
      </c>
      <c r="BH68" s="125"/>
      <c r="BI68" s="170"/>
      <c r="BJ68" s="166">
        <v>6026</v>
      </c>
      <c r="BK68" s="15">
        <v>137</v>
      </c>
      <c r="BL68" s="15">
        <v>599</v>
      </c>
      <c r="BM68" s="52">
        <v>156</v>
      </c>
      <c r="BN68" s="52">
        <v>65</v>
      </c>
      <c r="BO68" s="52">
        <v>31</v>
      </c>
      <c r="BP68" s="52">
        <v>17</v>
      </c>
      <c r="BQ68" s="338">
        <v>11.91</v>
      </c>
      <c r="BR68" s="554">
        <f t="shared" si="256"/>
        <v>1.9883138564273789E-2</v>
      </c>
      <c r="BS68" s="554">
        <f t="shared" si="257"/>
        <v>0.70058823529411762</v>
      </c>
      <c r="BT68" s="555">
        <f t="shared" si="258"/>
        <v>2.2734815798207766E-2</v>
      </c>
      <c r="BU68" s="902">
        <v>4</v>
      </c>
      <c r="BV68" s="553"/>
      <c r="BW68" s="1123"/>
      <c r="BX68" s="1192">
        <f t="shared" si="259"/>
        <v>2.9775</v>
      </c>
      <c r="BY68" s="544">
        <f t="shared" si="260"/>
        <v>2.9197080291970802E-2</v>
      </c>
      <c r="BZ68" s="125"/>
      <c r="CA68" s="170"/>
    </row>
    <row r="69" spans="2:79">
      <c r="B69" s="189">
        <v>40837</v>
      </c>
      <c r="C69" s="15">
        <v>276558</v>
      </c>
      <c r="D69" s="15">
        <v>4423</v>
      </c>
      <c r="E69" s="15">
        <v>22634</v>
      </c>
      <c r="F69" s="52">
        <v>7452</v>
      </c>
      <c r="G69" s="52">
        <v>2891</v>
      </c>
      <c r="H69" s="52">
        <v>1530</v>
      </c>
      <c r="I69" s="52">
        <v>928</v>
      </c>
      <c r="J69" s="904">
        <v>445.58</v>
      </c>
      <c r="K69" s="73">
        <f>SUM($J$66:J69)/$D$10</f>
        <v>0.12530537273524311</v>
      </c>
      <c r="L69" s="305">
        <f t="shared" si="235"/>
        <v>1.5993028587131815E-2</v>
      </c>
      <c r="M69" s="995">
        <f t="shared" si="239"/>
        <v>14003.833333333336</v>
      </c>
      <c r="N69" s="1002">
        <f t="shared" si="240"/>
        <v>1.9686312627021293E-2</v>
      </c>
      <c r="O69" s="1121">
        <f t="shared" si="241"/>
        <v>0.48015086206896551</v>
      </c>
      <c r="P69" s="380">
        <f t="shared" si="242"/>
        <v>1.6162717351201454</v>
      </c>
      <c r="Q69" s="1130">
        <v>86</v>
      </c>
      <c r="R69" s="131"/>
      <c r="S69" s="131"/>
      <c r="T69" s="1003">
        <f t="shared" si="243"/>
        <v>242.84104046242777</v>
      </c>
      <c r="U69" s="1004">
        <f t="shared" si="212"/>
        <v>0.35414112802446945</v>
      </c>
      <c r="V69" s="1005">
        <f t="shared" si="244"/>
        <v>5.181162790697674</v>
      </c>
      <c r="W69" s="544">
        <f t="shared" si="245"/>
        <v>1.9443816414198508E-2</v>
      </c>
      <c r="X69" s="1199">
        <v>5</v>
      </c>
      <c r="Y69" s="1201">
        <v>0.74</v>
      </c>
      <c r="Z69" s="1136">
        <v>125053</v>
      </c>
      <c r="AA69" s="102">
        <v>2767</v>
      </c>
      <c r="AB69" s="102">
        <v>9485</v>
      </c>
      <c r="AC69" s="892">
        <v>3373</v>
      </c>
      <c r="AD69" s="892">
        <v>1295</v>
      </c>
      <c r="AE69" s="892">
        <v>693</v>
      </c>
      <c r="AF69" s="892">
        <v>410</v>
      </c>
      <c r="AG69" s="562">
        <v>224.41</v>
      </c>
      <c r="AH69" s="720">
        <f t="shared" si="246"/>
        <v>2.3659462308908804E-2</v>
      </c>
      <c r="AI69" s="1361">
        <f t="shared" si="247"/>
        <v>0.54734146341463419</v>
      </c>
      <c r="AJ69" s="555">
        <f t="shared" si="248"/>
        <v>2.2126618313834934E-2</v>
      </c>
      <c r="AK69" s="902">
        <v>64</v>
      </c>
      <c r="AL69" s="553"/>
      <c r="AM69" s="553"/>
      <c r="AN69" s="1202">
        <f t="shared" si="249"/>
        <v>3.5064062499999999</v>
      </c>
      <c r="AO69" s="1173">
        <f t="shared" si="250"/>
        <v>2.3129743404409108E-2</v>
      </c>
      <c r="AP69" s="125"/>
      <c r="AQ69" s="170"/>
      <c r="AR69" s="166">
        <v>104883</v>
      </c>
      <c r="AS69" s="15">
        <v>1243</v>
      </c>
      <c r="AT69" s="15">
        <v>8845</v>
      </c>
      <c r="AU69" s="52">
        <v>2900</v>
      </c>
      <c r="AV69" s="52">
        <v>1165</v>
      </c>
      <c r="AW69" s="52">
        <v>645</v>
      </c>
      <c r="AX69" s="52">
        <v>408</v>
      </c>
      <c r="AY69" s="77">
        <v>163.11000000000001</v>
      </c>
      <c r="AZ69" s="554">
        <f t="shared" si="251"/>
        <v>1.8440927077444887E-2</v>
      </c>
      <c r="BA69" s="554">
        <f t="shared" si="252"/>
        <v>0.39977941176470594</v>
      </c>
      <c r="BB69" s="555">
        <f t="shared" si="253"/>
        <v>1.1851300973465671E-2</v>
      </c>
      <c r="BC69" s="902">
        <v>19</v>
      </c>
      <c r="BD69" s="553"/>
      <c r="BE69" s="1123"/>
      <c r="BF69" s="1192">
        <f t="shared" ref="BF69" si="261">AY69/BC69</f>
        <v>8.5847368421052632</v>
      </c>
      <c r="BG69" s="544">
        <f t="shared" ref="BG69" si="262">BC69/AS69</f>
        <v>1.5285599356395816E-2</v>
      </c>
      <c r="BH69" s="125"/>
      <c r="BI69" s="170"/>
      <c r="BJ69" s="166">
        <v>46622</v>
      </c>
      <c r="BK69" s="15">
        <v>413</v>
      </c>
      <c r="BL69" s="15">
        <v>4304</v>
      </c>
      <c r="BM69" s="52">
        <v>1179</v>
      </c>
      <c r="BN69" s="52">
        <v>431</v>
      </c>
      <c r="BO69" s="52">
        <v>192</v>
      </c>
      <c r="BP69" s="52">
        <v>110</v>
      </c>
      <c r="BQ69" s="77">
        <v>58.06</v>
      </c>
      <c r="BR69" s="554">
        <f t="shared" si="256"/>
        <v>1.3489776951672862E-2</v>
      </c>
      <c r="BS69" s="554">
        <f t="shared" si="257"/>
        <v>0.52781818181818185</v>
      </c>
      <c r="BT69" s="555">
        <f t="shared" si="258"/>
        <v>8.8584788297370338E-3</v>
      </c>
      <c r="BU69" s="902">
        <v>3</v>
      </c>
      <c r="BV69" s="553"/>
      <c r="BW69" s="1123"/>
      <c r="BX69" s="1192">
        <f t="shared" si="259"/>
        <v>19.353333333333335</v>
      </c>
      <c r="BY69" s="544">
        <f t="shared" si="260"/>
        <v>7.2639225181598066E-3</v>
      </c>
      <c r="BZ69" s="125"/>
      <c r="CA69" s="170"/>
    </row>
    <row r="70" spans="2:79">
      <c r="B70" s="189">
        <v>40838</v>
      </c>
      <c r="C70" s="15">
        <v>329140</v>
      </c>
      <c r="D70" s="15">
        <v>2355</v>
      </c>
      <c r="E70" s="15">
        <v>33649</v>
      </c>
      <c r="F70" s="52">
        <v>11147</v>
      </c>
      <c r="G70" s="52">
        <v>4473</v>
      </c>
      <c r="H70" s="52">
        <v>2283</v>
      </c>
      <c r="I70" s="52">
        <v>1429</v>
      </c>
      <c r="J70" s="904">
        <v>478.03999999999996</v>
      </c>
      <c r="K70" s="73">
        <f>SUM($J$66:J70)/$D$10</f>
        <v>0.16323466987213814</v>
      </c>
      <c r="L70" s="305">
        <f t="shared" ref="L70:L97" si="263">D70/C70</f>
        <v>7.1550100261286989E-3</v>
      </c>
      <c r="M70" s="995">
        <f t="shared" si="239"/>
        <v>14003.833333333336</v>
      </c>
      <c r="N70" s="1002">
        <f t="shared" ref="N70:N74" si="264">J70/E70</f>
        <v>1.4206662902315075E-2</v>
      </c>
      <c r="O70" s="1121">
        <f t="shared" ref="O70:O74" si="265">J70/I70</f>
        <v>0.33452764170748772</v>
      </c>
      <c r="P70" s="380">
        <f t="shared" ref="P70:P74" si="266">E70/M70</f>
        <v>2.4028420789545715</v>
      </c>
      <c r="Q70" s="1218">
        <v>1</v>
      </c>
      <c r="R70" s="52"/>
      <c r="S70" s="52"/>
      <c r="T70" s="1003">
        <f t="shared" si="243"/>
        <v>242.84104046242777</v>
      </c>
      <c r="U70" s="1004">
        <f t="shared" ref="U70" si="267">Q70/T70</f>
        <v>4.117920093307784E-3</v>
      </c>
      <c r="V70" s="1005">
        <f t="shared" ref="V70" si="268">J70/Q70</f>
        <v>478.03999999999996</v>
      </c>
      <c r="W70" s="544">
        <f t="shared" ref="W70" si="269">Q70/D70</f>
        <v>4.2462845010615713E-4</v>
      </c>
      <c r="X70" s="1200">
        <v>0</v>
      </c>
      <c r="Y70" s="392">
        <v>1</v>
      </c>
      <c r="Z70" s="1143">
        <v>151389</v>
      </c>
      <c r="AA70" s="553">
        <v>1010</v>
      </c>
      <c r="AB70" s="553">
        <v>16219</v>
      </c>
      <c r="AC70" s="553">
        <v>5784</v>
      </c>
      <c r="AD70" s="553">
        <v>2428</v>
      </c>
      <c r="AE70" s="553">
        <v>1278</v>
      </c>
      <c r="AF70" s="553">
        <v>830</v>
      </c>
      <c r="AG70" s="562">
        <v>209.53</v>
      </c>
      <c r="AH70" s="720">
        <f t="shared" ref="AH70:AH74" si="270">AG70/AB70</f>
        <v>1.2918798939515383E-2</v>
      </c>
      <c r="AI70" s="1361">
        <f t="shared" ref="AI70:AI74" si="271">AG70/AF70</f>
        <v>0.25244578313253013</v>
      </c>
      <c r="AJ70" s="555">
        <f t="shared" si="248"/>
        <v>6.6715547364735875E-3</v>
      </c>
      <c r="AK70" s="902">
        <v>1</v>
      </c>
      <c r="AL70" s="553"/>
      <c r="AM70" s="553"/>
      <c r="AN70" s="1202">
        <f t="shared" si="249"/>
        <v>209.53</v>
      </c>
      <c r="AO70" s="1191">
        <f>AK69/AA69</f>
        <v>2.3129743404409108E-2</v>
      </c>
      <c r="AP70" s="125"/>
      <c r="AQ70" s="170"/>
      <c r="AR70" s="166">
        <v>35363</v>
      </c>
      <c r="AS70" s="15">
        <v>249</v>
      </c>
      <c r="AT70" s="15">
        <v>3499</v>
      </c>
      <c r="AU70" s="52">
        <v>1191</v>
      </c>
      <c r="AV70" s="52">
        <v>499</v>
      </c>
      <c r="AW70" s="52">
        <v>257</v>
      </c>
      <c r="AX70" s="52">
        <v>166</v>
      </c>
      <c r="AY70" s="77">
        <v>55.61</v>
      </c>
      <c r="AZ70" s="554">
        <f t="shared" ref="AZ70:AZ72" si="272">AY70/AT70</f>
        <v>1.5893112317805089E-2</v>
      </c>
      <c r="BA70" s="554">
        <f t="shared" ref="BA70:BA72" si="273">AY70/AX70</f>
        <v>0.33500000000000002</v>
      </c>
      <c r="BB70" s="555">
        <f t="shared" ref="BB70:BB72" si="274">AS70/AR70</f>
        <v>7.0412578118372307E-3</v>
      </c>
      <c r="BC70" s="553"/>
      <c r="BD70" s="553"/>
      <c r="BE70" s="553"/>
      <c r="BF70" s="1192" t="e">
        <f t="shared" ref="BF70:BF74" si="275">AY70/BC70</f>
        <v>#DIV/0!</v>
      </c>
      <c r="BG70" s="1191">
        <f t="shared" ref="BG70:BG74" si="276">BC70/AS70</f>
        <v>0</v>
      </c>
      <c r="BH70" s="125"/>
      <c r="BI70" s="170"/>
      <c r="BJ70" s="166">
        <v>142388</v>
      </c>
      <c r="BK70" s="15">
        <v>1096</v>
      </c>
      <c r="BL70" s="15">
        <v>13931</v>
      </c>
      <c r="BM70" s="52">
        <v>4172</v>
      </c>
      <c r="BN70" s="52">
        <v>1546</v>
      </c>
      <c r="BO70" s="52">
        <v>748</v>
      </c>
      <c r="BP70" s="52">
        <v>433</v>
      </c>
      <c r="BQ70" s="77">
        <v>212.9</v>
      </c>
      <c r="BR70" s="554">
        <f t="shared" ref="BR70" si="277">BQ70/BL70</f>
        <v>1.5282463570454383E-2</v>
      </c>
      <c r="BS70" s="554">
        <f t="shared" ref="BS70" si="278">BQ70/BP70</f>
        <v>0.49168591224018476</v>
      </c>
      <c r="BT70" s="555">
        <f t="shared" ref="BT70:BT74" si="279">BK70/BJ70</f>
        <v>7.6972778604938617E-3</v>
      </c>
      <c r="BU70" s="553"/>
      <c r="BV70" s="553"/>
      <c r="BW70" s="553"/>
      <c r="BX70" s="1192" t="e">
        <f t="shared" ref="BX70" si="280">BQ70/BU70</f>
        <v>#DIV/0!</v>
      </c>
      <c r="BY70" s="544">
        <f t="shared" ref="BY70" si="281">BU70/BK70</f>
        <v>0</v>
      </c>
      <c r="BZ70" s="125"/>
      <c r="CA70" s="170"/>
    </row>
    <row r="71" spans="2:79">
      <c r="B71" s="190" t="s">
        <v>160</v>
      </c>
      <c r="C71" s="298">
        <f>SUM(C63:C64,C66:C70)</f>
        <v>2092644</v>
      </c>
      <c r="D71" s="298">
        <f t="shared" ref="D71:I71" si="282">SUM(D63:D64,D66:D70)</f>
        <v>26435</v>
      </c>
      <c r="E71" s="298">
        <f t="shared" si="282"/>
        <v>226660</v>
      </c>
      <c r="F71" s="298">
        <f t="shared" si="282"/>
        <v>61626</v>
      </c>
      <c r="G71" s="298">
        <f t="shared" si="282"/>
        <v>24624</v>
      </c>
      <c r="H71" s="298">
        <f t="shared" si="282"/>
        <v>13259</v>
      </c>
      <c r="I71" s="298">
        <f t="shared" si="282"/>
        <v>7749</v>
      </c>
      <c r="J71" s="479">
        <f>SUM(J63:J64,J66:J70)</f>
        <v>2999.12</v>
      </c>
      <c r="K71" s="1345">
        <f>SUM(J63:J64,J66:J70)/$D$10</f>
        <v>0.23796024104511065</v>
      </c>
      <c r="L71" s="299">
        <f>D71/C71</f>
        <v>1.2632344536385549E-2</v>
      </c>
      <c r="M71" s="298">
        <f t="shared" ref="M71" si="283">SUM(M63:M64,M66:M70)</f>
        <v>114019.16666666669</v>
      </c>
      <c r="N71" s="301">
        <f>J71/E71</f>
        <v>1.3231800935321626E-2</v>
      </c>
      <c r="O71" s="301">
        <f>J71/I71</f>
        <v>0.38703316556975093</v>
      </c>
      <c r="P71" s="302">
        <f>E71/M71</f>
        <v>1.9879113891670257</v>
      </c>
      <c r="Q71" s="298">
        <f t="shared" ref="Q71" si="284">SUM(Q63:Q64,Q66:Q70)</f>
        <v>858</v>
      </c>
      <c r="R71" s="27"/>
      <c r="S71" s="27"/>
      <c r="T71" s="298">
        <f t="shared" ref="T71" si="285">SUM(T63:T64,T66:T70)</f>
        <v>1977.2052023121391</v>
      </c>
      <c r="U71" s="140">
        <f>Q71/T71</f>
        <v>0.43394585397441643</v>
      </c>
      <c r="V71" s="237">
        <f>J71/Q71</f>
        <v>3.4954778554778554</v>
      </c>
      <c r="W71" s="317">
        <f>Q71/D71</f>
        <v>3.2456969926234161E-2</v>
      </c>
      <c r="X71" s="298">
        <f>AVERAGE(X63:X64,X66:X70)</f>
        <v>9.6666666666666661</v>
      </c>
      <c r="Y71" s="599">
        <f>AVERAGE(Y63:Y64,Y66:Y70)</f>
        <v>0.90668682318900584</v>
      </c>
      <c r="Z71" s="1144">
        <f>SUM(Z63:Z64,Z66:Z70)</f>
        <v>954658</v>
      </c>
      <c r="AA71" s="670">
        <f>SUM(AA63:AA64,AA66:AA70)</f>
        <v>15234</v>
      </c>
      <c r="AB71" s="670">
        <f>SUM(AB63:AB64,AB66:AB70)</f>
        <v>93040</v>
      </c>
      <c r="AC71" s="670">
        <f t="shared" ref="AC71:AE71" si="286">SUM(AC63:AC64,AC66:AC70)</f>
        <v>26676</v>
      </c>
      <c r="AD71" s="670">
        <f t="shared" si="286"/>
        <v>10671</v>
      </c>
      <c r="AE71" s="670">
        <f t="shared" si="286"/>
        <v>6017</v>
      </c>
      <c r="AF71" s="670">
        <f>SUM(AF63:AF64,AF66:AF70)</f>
        <v>3433</v>
      </c>
      <c r="AG71" s="1359">
        <f>SUM(AG63:AG64,AG66:AG70)</f>
        <v>1485.32</v>
      </c>
      <c r="AH71" s="1360">
        <f>AG71/AB71</f>
        <v>1.5964316423043853E-2</v>
      </c>
      <c r="AI71" s="1360">
        <f>AG71/AF71</f>
        <v>0.43265948150305855</v>
      </c>
      <c r="AJ71" s="1354">
        <f>AA71/Z71</f>
        <v>1.5957547100637088E-2</v>
      </c>
      <c r="AK71" s="121">
        <f>SUM(AK63:AK64,AK66:AK70)</f>
        <v>442</v>
      </c>
      <c r="AL71" s="670"/>
      <c r="AM71" s="670"/>
      <c r="AN71" s="899">
        <f t="shared" ref="AN71" si="287">AG71/AK71</f>
        <v>3.3604524886877827</v>
      </c>
      <c r="AO71" s="900">
        <f t="shared" ref="AO71" si="288">AK71/AA71</f>
        <v>2.9014047525272417E-2</v>
      </c>
      <c r="AP71" s="130"/>
      <c r="AQ71" s="165"/>
      <c r="AR71" s="1144">
        <f>SUM(AR63:AR64,AR66:AR70)</f>
        <v>619058</v>
      </c>
      <c r="AS71" s="670">
        <f>SUM(AS63:AS64,AS66:AS70)</f>
        <v>8205</v>
      </c>
      <c r="AT71" s="670">
        <f>SUM(AT63:AT64,AT66:AT70)</f>
        <v>64797</v>
      </c>
      <c r="AU71" s="670">
        <f t="shared" ref="AU71" si="289">SUM(AU63:AU64,AU66:AU70)</f>
        <v>10323</v>
      </c>
      <c r="AV71" s="670">
        <f t="shared" ref="AV71" si="290">SUM(AV63:AV64,AV66:AV70)</f>
        <v>3890</v>
      </c>
      <c r="AW71" s="670">
        <f t="shared" ref="AW71" si="291">SUM(AW63:AW64,AW66:AW70)</f>
        <v>2227</v>
      </c>
      <c r="AX71" s="670">
        <f>SUM(AX63:AX64,AX66:AX70)</f>
        <v>1311</v>
      </c>
      <c r="AY71" s="899">
        <f>SUM(AY63:AY64,AY66:AY70)</f>
        <v>847.56000000000006</v>
      </c>
      <c r="AZ71" s="1142">
        <f>AY71/AT71</f>
        <v>1.3080235196073894E-2</v>
      </c>
      <c r="BA71" s="1142">
        <f>AY71/AX71</f>
        <v>0.64649885583524036</v>
      </c>
      <c r="BB71" s="1145">
        <f>AS71/AR71</f>
        <v>1.3254008509703452E-2</v>
      </c>
      <c r="BC71" s="121">
        <f>SUM(BC63:BC64,BC66:BC70)</f>
        <v>300</v>
      </c>
      <c r="BD71" s="670"/>
      <c r="BE71" s="670"/>
      <c r="BF71" s="899">
        <f t="shared" ref="BF71" si="292">AY71/BC71</f>
        <v>2.8252000000000002</v>
      </c>
      <c r="BG71" s="900">
        <f t="shared" ref="BG71" si="293">BC71/AS71</f>
        <v>3.6563071297989032E-2</v>
      </c>
      <c r="BH71" s="130"/>
      <c r="BI71" s="165"/>
      <c r="BJ71" s="1144">
        <f>SUM(BJ63:BJ64,BJ66:BJ70)</f>
        <v>518928</v>
      </c>
      <c r="BK71" s="670">
        <f>SUM(BK63:BK64,BK66:BK70)</f>
        <v>2996</v>
      </c>
      <c r="BL71" s="670">
        <f>SUM(BL63:BL64,BL66:BL70)</f>
        <v>68823</v>
      </c>
      <c r="BM71" s="670">
        <f t="shared" ref="BM71" si="294">SUM(BM63:BM64,BM66:BM70)</f>
        <v>24627</v>
      </c>
      <c r="BN71" s="670">
        <f t="shared" ref="BN71" si="295">SUM(BN63:BN64,BN66:BN70)</f>
        <v>10063</v>
      </c>
      <c r="BO71" s="670">
        <f t="shared" ref="BO71" si="296">SUM(BO63:BO64,BO66:BO70)</f>
        <v>5015</v>
      </c>
      <c r="BP71" s="670">
        <f>SUM(BP63:BP64,BP66:BP70)</f>
        <v>3005</v>
      </c>
      <c r="BQ71" s="899">
        <f>SUM(BQ63:BQ64,BQ66:BQ70)</f>
        <v>666.24</v>
      </c>
      <c r="BR71" s="1142">
        <f>BQ71/BL71</f>
        <v>9.680484721677346E-3</v>
      </c>
      <c r="BS71" s="1142">
        <f>BQ71/BP71</f>
        <v>0.22171048252911815</v>
      </c>
      <c r="BT71" s="1145">
        <f>BK71/BJ71</f>
        <v>5.7734406314556164E-3</v>
      </c>
      <c r="BU71" s="121">
        <f>SUM(BU63:BU64,BU66:BU70)</f>
        <v>116</v>
      </c>
      <c r="BV71" s="670"/>
      <c r="BW71" s="670"/>
      <c r="BX71" s="899">
        <f t="shared" ref="BX71:BX72" si="297">BQ71/BU71</f>
        <v>5.7434482758620691</v>
      </c>
      <c r="BY71" s="900">
        <f t="shared" ref="BY71:BY72" si="298">BU71/BK71</f>
        <v>3.8718291054739652E-2</v>
      </c>
      <c r="BZ71" s="126"/>
      <c r="CA71" s="171"/>
    </row>
    <row r="72" spans="2:79">
      <c r="B72" s="187">
        <v>40839</v>
      </c>
      <c r="C72" s="15">
        <v>336871</v>
      </c>
      <c r="D72" s="15">
        <v>2162</v>
      </c>
      <c r="E72" s="15">
        <v>34794</v>
      </c>
      <c r="F72" s="52">
        <v>12400</v>
      </c>
      <c r="G72" s="52">
        <v>5376</v>
      </c>
      <c r="H72" s="52">
        <v>2636</v>
      </c>
      <c r="I72" s="52">
        <v>1616</v>
      </c>
      <c r="J72" s="904">
        <v>459.71999999999997</v>
      </c>
      <c r="K72" s="73">
        <f>SUM($J$66:$J$70,$J$72)/$D$10</f>
        <v>0.19971039675644361</v>
      </c>
      <c r="L72" s="305">
        <f t="shared" si="263"/>
        <v>6.4178869656337295E-3</v>
      </c>
      <c r="M72" s="995">
        <f t="shared" si="239"/>
        <v>14003.833333333336</v>
      </c>
      <c r="N72" s="1002">
        <f t="shared" si="264"/>
        <v>1.3212622866011381E-2</v>
      </c>
      <c r="O72" s="1121">
        <f t="shared" si="265"/>
        <v>0.28448019801980196</v>
      </c>
      <c r="P72" s="380">
        <f t="shared" si="266"/>
        <v>2.4846054056627347</v>
      </c>
      <c r="Q72" s="143">
        <v>1</v>
      </c>
      <c r="R72" s="52"/>
      <c r="S72" s="52"/>
      <c r="T72" s="1003">
        <f t="shared" si="243"/>
        <v>242.84104046242777</v>
      </c>
      <c r="U72" s="1004">
        <f t="shared" ref="U72" si="299">Q72/T72</f>
        <v>4.117920093307784E-3</v>
      </c>
      <c r="V72" s="1005">
        <f t="shared" ref="V72" si="300">J72/Q72</f>
        <v>459.71999999999997</v>
      </c>
      <c r="W72" s="544">
        <f t="shared" ref="W72" si="301">Q72/D72</f>
        <v>4.6253469010175765E-4</v>
      </c>
      <c r="X72" s="687">
        <v>0</v>
      </c>
      <c r="Y72" s="392">
        <v>1</v>
      </c>
      <c r="Z72" s="1143">
        <v>204229</v>
      </c>
      <c r="AA72" s="553">
        <v>1215</v>
      </c>
      <c r="AB72" s="553">
        <v>22441</v>
      </c>
      <c r="AC72" s="553">
        <v>8265</v>
      </c>
      <c r="AD72" s="553">
        <v>3813</v>
      </c>
      <c r="AE72" s="553">
        <v>1833</v>
      </c>
      <c r="AF72" s="1123">
        <v>1148</v>
      </c>
      <c r="AG72" s="642">
        <v>278.95999999999998</v>
      </c>
      <c r="AH72" s="554">
        <f t="shared" si="270"/>
        <v>1.2430818590971881E-2</v>
      </c>
      <c r="AI72" s="554">
        <f t="shared" si="271"/>
        <v>0.2429965156794425</v>
      </c>
      <c r="AJ72" s="555">
        <f t="shared" si="248"/>
        <v>5.9492040797340237E-3</v>
      </c>
      <c r="AK72" s="902" t="s">
        <v>176</v>
      </c>
      <c r="AL72" s="553"/>
      <c r="AM72" s="553"/>
      <c r="AN72" s="1202" t="e">
        <f t="shared" si="249"/>
        <v>#VALUE!</v>
      </c>
      <c r="AO72" s="1193">
        <f>AK71/AA71</f>
        <v>2.9014047525272417E-2</v>
      </c>
      <c r="AP72" s="125"/>
      <c r="AQ72" s="170"/>
      <c r="AR72" s="166">
        <v>88871</v>
      </c>
      <c r="AS72" s="15">
        <v>590</v>
      </c>
      <c r="AT72" s="15">
        <v>8300</v>
      </c>
      <c r="AU72" s="52">
        <v>2915</v>
      </c>
      <c r="AV72" s="52">
        <v>1166</v>
      </c>
      <c r="AW72" s="52">
        <v>597</v>
      </c>
      <c r="AX72" s="52">
        <v>354</v>
      </c>
      <c r="AY72" s="77">
        <v>116.55</v>
      </c>
      <c r="AZ72" s="554">
        <f t="shared" si="272"/>
        <v>1.4042168674698794E-2</v>
      </c>
      <c r="BA72" s="554">
        <f t="shared" si="273"/>
        <v>0.32923728813559322</v>
      </c>
      <c r="BB72" s="555">
        <f t="shared" si="274"/>
        <v>6.6388360657582334E-3</v>
      </c>
      <c r="BC72" s="553" t="s">
        <v>176</v>
      </c>
      <c r="BD72" s="553"/>
      <c r="BE72" s="553"/>
      <c r="BF72" s="1192" t="e">
        <f t="shared" si="275"/>
        <v>#VALUE!</v>
      </c>
      <c r="BG72" s="1193" t="e">
        <f t="shared" si="276"/>
        <v>#VALUE!</v>
      </c>
      <c r="BH72" s="125"/>
      <c r="BI72" s="170"/>
      <c r="BJ72" s="166">
        <v>43771</v>
      </c>
      <c r="BK72" s="15">
        <v>357</v>
      </c>
      <c r="BL72" s="15">
        <v>4053</v>
      </c>
      <c r="BM72" s="52">
        <v>1220</v>
      </c>
      <c r="BN72" s="52">
        <v>397</v>
      </c>
      <c r="BO72" s="52">
        <v>206</v>
      </c>
      <c r="BP72" s="52">
        <v>114</v>
      </c>
      <c r="BQ72" s="77">
        <v>64.209999999999994</v>
      </c>
      <c r="BR72" s="554">
        <f t="shared" ref="BR72" si="302">BQ72/BL72</f>
        <v>1.5842585738958793E-2</v>
      </c>
      <c r="BS72" s="554">
        <f t="shared" ref="BS72" si="303">BQ72/BP72</f>
        <v>0.56324561403508766</v>
      </c>
      <c r="BT72" s="555">
        <f t="shared" si="279"/>
        <v>8.156085079162002E-3</v>
      </c>
      <c r="BU72" s="553">
        <v>1</v>
      </c>
      <c r="BV72" s="553"/>
      <c r="BW72" s="553"/>
      <c r="BX72" s="1192">
        <f t="shared" si="297"/>
        <v>64.209999999999994</v>
      </c>
      <c r="BY72" s="544">
        <f t="shared" si="298"/>
        <v>2.8011204481792717E-3</v>
      </c>
      <c r="BZ72" s="125"/>
      <c r="CA72" s="170"/>
    </row>
    <row r="73" spans="2:79" s="24" customFormat="1">
      <c r="B73" s="187">
        <v>40840</v>
      </c>
      <c r="C73" s="15">
        <v>315470</v>
      </c>
      <c r="D73" s="15">
        <v>1993</v>
      </c>
      <c r="E73" s="15">
        <v>33791</v>
      </c>
      <c r="F73" s="52">
        <v>12153</v>
      </c>
      <c r="G73" s="52">
        <v>5427</v>
      </c>
      <c r="H73" s="52">
        <v>2617</v>
      </c>
      <c r="I73" s="52">
        <v>1590</v>
      </c>
      <c r="J73" s="904">
        <v>452.43</v>
      </c>
      <c r="K73" s="73">
        <f>SUM($J$66:$J$70,$J$72:J73)/$D$10</f>
        <v>0.23560771058718044</v>
      </c>
      <c r="L73" s="305">
        <f t="shared" si="263"/>
        <v>6.3175579294386152E-3</v>
      </c>
      <c r="M73" s="995">
        <f t="shared" si="239"/>
        <v>14003.833333333336</v>
      </c>
      <c r="N73" s="1002">
        <f t="shared" si="264"/>
        <v>1.3389068095054897E-2</v>
      </c>
      <c r="O73" s="1121">
        <f t="shared" si="265"/>
        <v>0.28454716981132078</v>
      </c>
      <c r="P73" s="380">
        <f t="shared" si="266"/>
        <v>2.4129821596467629</v>
      </c>
      <c r="Q73" s="1396" t="s">
        <v>176</v>
      </c>
      <c r="R73" s="52"/>
      <c r="S73" s="52"/>
      <c r="T73" s="1003">
        <f t="shared" si="243"/>
        <v>242.84104046242777</v>
      </c>
      <c r="U73" s="1004" t="e">
        <f t="shared" ref="U73:U74" si="304">Q73/T73</f>
        <v>#VALUE!</v>
      </c>
      <c r="V73" s="1005" t="e">
        <f t="shared" ref="V73:V74" si="305">J73/Q73</f>
        <v>#VALUE!</v>
      </c>
      <c r="W73" s="544" t="e">
        <f t="shared" ref="W73:W74" si="306">Q73/D73</f>
        <v>#VALUE!</v>
      </c>
      <c r="X73" s="688" t="s">
        <v>176</v>
      </c>
      <c r="Y73" s="170" t="s">
        <v>176</v>
      </c>
      <c r="Z73" s="1143">
        <v>207892</v>
      </c>
      <c r="AA73" s="553">
        <v>1216</v>
      </c>
      <c r="AB73" s="553">
        <v>23679</v>
      </c>
      <c r="AC73" s="553">
        <v>8857</v>
      </c>
      <c r="AD73" s="553">
        <v>4077</v>
      </c>
      <c r="AE73" s="553">
        <v>1893</v>
      </c>
      <c r="AF73" s="553">
        <v>1134</v>
      </c>
      <c r="AG73" s="642">
        <v>304.55</v>
      </c>
      <c r="AH73" s="554">
        <f t="shared" si="270"/>
        <v>1.2861607331390685E-2</v>
      </c>
      <c r="AI73" s="554">
        <f t="shared" si="271"/>
        <v>0.26856261022927691</v>
      </c>
      <c r="AJ73" s="555">
        <f t="shared" si="248"/>
        <v>5.8491909260577606E-3</v>
      </c>
      <c r="AK73" s="902" t="s">
        <v>176</v>
      </c>
      <c r="AL73" s="553"/>
      <c r="AM73" s="553"/>
      <c r="AN73" s="1202" t="e">
        <f t="shared" si="249"/>
        <v>#VALUE!</v>
      </c>
      <c r="AO73" s="1193" t="e">
        <f t="shared" ref="AO73:AO74" si="307">AK72/AA72</f>
        <v>#VALUE!</v>
      </c>
      <c r="AP73" s="123"/>
      <c r="AQ73" s="168"/>
      <c r="AR73" s="166">
        <v>71945</v>
      </c>
      <c r="AS73" s="15">
        <v>455</v>
      </c>
      <c r="AT73" s="15">
        <v>6856</v>
      </c>
      <c r="AU73" s="52">
        <v>2341</v>
      </c>
      <c r="AV73" s="52">
        <v>983</v>
      </c>
      <c r="AW73" s="52">
        <v>541</v>
      </c>
      <c r="AX73" s="52">
        <v>343</v>
      </c>
      <c r="AY73" s="77">
        <v>94.07</v>
      </c>
      <c r="AZ73" s="554">
        <f t="shared" ref="AZ73:AZ74" si="308">AY73/AT73</f>
        <v>1.3720828471411902E-2</v>
      </c>
      <c r="BA73" s="554">
        <f t="shared" ref="BA73:BA74" si="309">AY73/AX73</f>
        <v>0.27425655976676383</v>
      </c>
      <c r="BB73" s="555">
        <f t="shared" ref="BB73:BB74" si="310">AS73/AR73</f>
        <v>6.3242754882201681E-3</v>
      </c>
      <c r="BC73" s="553" t="s">
        <v>176</v>
      </c>
      <c r="BD73" s="553"/>
      <c r="BE73" s="553"/>
      <c r="BF73" s="1192" t="e">
        <f t="shared" si="275"/>
        <v>#VALUE!</v>
      </c>
      <c r="BG73" s="1193" t="e">
        <f t="shared" si="276"/>
        <v>#VALUE!</v>
      </c>
      <c r="BH73" s="123"/>
      <c r="BI73" s="168"/>
      <c r="BJ73" s="166">
        <v>35633</v>
      </c>
      <c r="BK73" s="15">
        <v>322</v>
      </c>
      <c r="BL73" s="15">
        <v>3256</v>
      </c>
      <c r="BM73" s="52">
        <v>955</v>
      </c>
      <c r="BN73" s="52">
        <v>367</v>
      </c>
      <c r="BO73" s="52">
        <v>183</v>
      </c>
      <c r="BP73" s="52">
        <v>113</v>
      </c>
      <c r="BQ73" s="77">
        <v>53.81</v>
      </c>
      <c r="BR73" s="554">
        <f t="shared" ref="BR73:BR74" si="311">BQ73/BL73</f>
        <v>1.6526412776412779E-2</v>
      </c>
      <c r="BS73" s="554">
        <f t="shared" ref="BS73:BS74" si="312">BQ73/BP73</f>
        <v>0.47619469026548672</v>
      </c>
      <c r="BT73" s="555">
        <f t="shared" si="279"/>
        <v>9.0365672270086711E-3</v>
      </c>
      <c r="BU73" s="553" t="s">
        <v>176</v>
      </c>
      <c r="BV73" s="553"/>
      <c r="BW73" s="553"/>
      <c r="BX73" s="1192" t="e">
        <f t="shared" ref="BX73:BX74" si="313">BQ73/BU73</f>
        <v>#VALUE!</v>
      </c>
      <c r="BY73" s="544" t="e">
        <f t="shared" ref="BY73:BY74" si="314">BU73/BK73</f>
        <v>#VALUE!</v>
      </c>
      <c r="BZ73" s="123"/>
      <c r="CA73" s="168"/>
    </row>
    <row r="74" spans="2:79" s="26" customFormat="1">
      <c r="B74" s="187">
        <v>40841</v>
      </c>
      <c r="C74" s="15">
        <v>315290</v>
      </c>
      <c r="D74" s="15">
        <v>1857</v>
      </c>
      <c r="E74" s="15">
        <v>34212</v>
      </c>
      <c r="F74" s="52">
        <v>12264</v>
      </c>
      <c r="G74" s="52">
        <v>5349</v>
      </c>
      <c r="H74" s="52">
        <v>2542</v>
      </c>
      <c r="I74" s="52">
        <v>1510</v>
      </c>
      <c r="J74" s="904">
        <v>470.07</v>
      </c>
      <c r="K74" s="73">
        <f>SUM($J$66:$J$70,$J$72:J74)/$D$10</f>
        <v>0.27290464118951552</v>
      </c>
      <c r="L74" s="305">
        <f t="shared" si="263"/>
        <v>5.8898157252053667E-3</v>
      </c>
      <c r="M74" s="995">
        <f t="shared" si="239"/>
        <v>14003.833333333336</v>
      </c>
      <c r="N74" s="1002">
        <f t="shared" si="264"/>
        <v>1.3739915819010873E-2</v>
      </c>
      <c r="O74" s="1121">
        <f t="shared" si="265"/>
        <v>0.3113046357615894</v>
      </c>
      <c r="P74" s="380">
        <f t="shared" si="266"/>
        <v>2.4430453566285419</v>
      </c>
      <c r="Q74" s="1396" t="s">
        <v>176</v>
      </c>
      <c r="R74" s="52"/>
      <c r="S74" s="52"/>
      <c r="T74" s="1003">
        <f t="shared" si="243"/>
        <v>242.84104046242777</v>
      </c>
      <c r="U74" s="1004" t="e">
        <f t="shared" si="304"/>
        <v>#VALUE!</v>
      </c>
      <c r="V74" s="1005" t="e">
        <f t="shared" si="305"/>
        <v>#VALUE!</v>
      </c>
      <c r="W74" s="544" t="e">
        <f t="shared" si="306"/>
        <v>#VALUE!</v>
      </c>
      <c r="X74" s="688" t="s">
        <v>176</v>
      </c>
      <c r="Y74" s="170" t="s">
        <v>176</v>
      </c>
      <c r="Z74" s="1143">
        <v>249326</v>
      </c>
      <c r="AA74" s="553">
        <v>1337</v>
      </c>
      <c r="AB74" s="553">
        <v>28001</v>
      </c>
      <c r="AC74" s="553">
        <v>10288</v>
      </c>
      <c r="AD74" s="553">
        <v>4571</v>
      </c>
      <c r="AE74" s="553">
        <v>2141</v>
      </c>
      <c r="AF74" s="553">
        <v>1272</v>
      </c>
      <c r="AG74" s="642">
        <v>367.43</v>
      </c>
      <c r="AH74" s="554">
        <f t="shared" si="270"/>
        <v>1.3122031356022999E-2</v>
      </c>
      <c r="AI74" s="554">
        <f t="shared" si="271"/>
        <v>0.28886006289308175</v>
      </c>
      <c r="AJ74" s="555">
        <f t="shared" si="248"/>
        <v>5.3624571845695993E-3</v>
      </c>
      <c r="AK74" s="902" t="s">
        <v>176</v>
      </c>
      <c r="AL74" s="553"/>
      <c r="AM74" s="553"/>
      <c r="AN74" s="1202" t="e">
        <f t="shared" si="249"/>
        <v>#VALUE!</v>
      </c>
      <c r="AO74" s="1191" t="e">
        <f t="shared" si="307"/>
        <v>#VALUE!</v>
      </c>
      <c r="AP74" s="124"/>
      <c r="AQ74" s="169"/>
      <c r="AR74" s="166">
        <v>21061</v>
      </c>
      <c r="AS74" s="15">
        <v>147</v>
      </c>
      <c r="AT74" s="15">
        <v>2203</v>
      </c>
      <c r="AU74" s="52">
        <v>773</v>
      </c>
      <c r="AV74" s="52">
        <v>337</v>
      </c>
      <c r="AW74" s="52">
        <v>179</v>
      </c>
      <c r="AX74" s="52">
        <v>108</v>
      </c>
      <c r="AY74" s="77">
        <v>37.36</v>
      </c>
      <c r="AZ74" s="554">
        <f t="shared" si="308"/>
        <v>1.695869269178393E-2</v>
      </c>
      <c r="BA74" s="554">
        <f t="shared" si="309"/>
        <v>0.34592592592592591</v>
      </c>
      <c r="BB74" s="555">
        <f t="shared" si="310"/>
        <v>6.9797255590902619E-3</v>
      </c>
      <c r="BC74" s="553" t="s">
        <v>176</v>
      </c>
      <c r="BD74" s="553"/>
      <c r="BE74" s="553"/>
      <c r="BF74" s="1192" t="e">
        <f t="shared" si="275"/>
        <v>#VALUE!</v>
      </c>
      <c r="BG74" s="544" t="e">
        <f t="shared" si="276"/>
        <v>#VALUE!</v>
      </c>
      <c r="BH74" s="124"/>
      <c r="BI74" s="169"/>
      <c r="BJ74" s="166">
        <v>44903</v>
      </c>
      <c r="BK74" s="15">
        <v>373</v>
      </c>
      <c r="BL74" s="15">
        <v>4008</v>
      </c>
      <c r="BM74" s="52">
        <v>1203</v>
      </c>
      <c r="BN74" s="52">
        <v>441</v>
      </c>
      <c r="BO74" s="52">
        <v>222</v>
      </c>
      <c r="BP74" s="52">
        <v>130</v>
      </c>
      <c r="BQ74" s="77">
        <v>65.28</v>
      </c>
      <c r="BR74" s="554">
        <f t="shared" si="311"/>
        <v>1.62874251497006E-2</v>
      </c>
      <c r="BS74" s="554">
        <f t="shared" si="312"/>
        <v>0.50215384615384617</v>
      </c>
      <c r="BT74" s="555">
        <f t="shared" si="279"/>
        <v>8.3067946462374448E-3</v>
      </c>
      <c r="BU74" s="553" t="s">
        <v>176</v>
      </c>
      <c r="BV74" s="553"/>
      <c r="BW74" s="553"/>
      <c r="BX74" s="1192" t="e">
        <f t="shared" si="313"/>
        <v>#VALUE!</v>
      </c>
      <c r="BY74" s="544" t="e">
        <f t="shared" si="314"/>
        <v>#VALUE!</v>
      </c>
      <c r="BZ74" s="124"/>
      <c r="CA74" s="169"/>
    </row>
    <row r="75" spans="2:79">
      <c r="B75" s="187">
        <v>40842</v>
      </c>
      <c r="C75" s="15">
        <v>293437</v>
      </c>
      <c r="D75" s="15">
        <v>31</v>
      </c>
      <c r="E75" s="15">
        <v>30112</v>
      </c>
      <c r="F75" s="52">
        <v>4779</v>
      </c>
      <c r="G75" s="52">
        <v>2284</v>
      </c>
      <c r="H75" s="52">
        <v>1562</v>
      </c>
      <c r="I75" s="52">
        <v>1380</v>
      </c>
      <c r="J75" s="904">
        <v>425.48</v>
      </c>
      <c r="K75" s="73">
        <f>SUM($J$66:$J$70,$J$72:J75)/$D$10</f>
        <v>0.30666365161919945</v>
      </c>
      <c r="L75" s="305">
        <f t="shared" si="263"/>
        <v>1.0564448246131197E-4</v>
      </c>
      <c r="M75" s="995">
        <f t="shared" si="239"/>
        <v>14003.833333333336</v>
      </c>
      <c r="N75" s="1002">
        <f t="shared" ref="N75:N78" si="315">J75/E75</f>
        <v>1.4129914984059511E-2</v>
      </c>
      <c r="O75" s="1121">
        <f t="shared" ref="O75:O78" si="316">J75/I75</f>
        <v>0.30831884057971015</v>
      </c>
      <c r="P75" s="380">
        <f t="shared" ref="P75:P78" si="317">E75/M75</f>
        <v>2.1502683788962544</v>
      </c>
      <c r="Q75" s="1396" t="s">
        <v>176</v>
      </c>
      <c r="R75" s="52"/>
      <c r="S75" s="52"/>
      <c r="T75" s="1003">
        <f t="shared" si="243"/>
        <v>242.84104046242777</v>
      </c>
      <c r="U75" s="1004" t="e">
        <f t="shared" ref="U75:U97" si="318">Q75/T75</f>
        <v>#VALUE!</v>
      </c>
      <c r="V75" s="1005" t="e">
        <f t="shared" ref="V75:V78" si="319">J75/Q75</f>
        <v>#VALUE!</v>
      </c>
      <c r="W75" s="544" t="e">
        <f t="shared" ref="W75:W78" si="320">Q75/D75</f>
        <v>#VALUE!</v>
      </c>
      <c r="X75" s="688" t="s">
        <v>176</v>
      </c>
      <c r="Y75" s="170" t="s">
        <v>176</v>
      </c>
      <c r="Z75" s="1143">
        <v>204725</v>
      </c>
      <c r="AA75" s="553">
        <v>23</v>
      </c>
      <c r="AB75" s="553">
        <v>22170</v>
      </c>
      <c r="AC75" s="553">
        <v>3780</v>
      </c>
      <c r="AD75" s="553">
        <v>1802</v>
      </c>
      <c r="AE75" s="553">
        <v>1238</v>
      </c>
      <c r="AF75" s="553">
        <v>1087</v>
      </c>
      <c r="AG75" s="642">
        <v>295.63</v>
      </c>
      <c r="AH75" s="554">
        <f t="shared" ref="AH75:AH78" si="321">AG75/AB75</f>
        <v>1.3334686513306269E-2</v>
      </c>
      <c r="AI75" s="554">
        <f t="shared" ref="AI75:AI78" si="322">AG75/AF75</f>
        <v>0.27196872125114996</v>
      </c>
      <c r="AJ75" s="555">
        <f t="shared" ref="AJ75:AJ78" si="323">AA75/Z75</f>
        <v>1.1234582977164489E-4</v>
      </c>
      <c r="AK75" s="902"/>
      <c r="AL75" s="553"/>
      <c r="AM75" s="553"/>
      <c r="AN75" s="1202" t="e">
        <f t="shared" ref="AN75:AN78" si="324">AG75/AK75</f>
        <v>#DIV/0!</v>
      </c>
      <c r="AO75" s="1346" t="e">
        <f t="shared" ref="AO75:AO78" si="325">AK74/AA74</f>
        <v>#VALUE!</v>
      </c>
      <c r="AP75" s="125"/>
      <c r="AQ75" s="170"/>
      <c r="AR75" s="166">
        <v>36858</v>
      </c>
      <c r="AS75" s="15">
        <v>1</v>
      </c>
      <c r="AT75" s="15">
        <v>3436</v>
      </c>
      <c r="AU75" s="52">
        <v>466</v>
      </c>
      <c r="AV75" s="52">
        <v>229</v>
      </c>
      <c r="AW75" s="52">
        <v>162</v>
      </c>
      <c r="AX75" s="52">
        <v>140</v>
      </c>
      <c r="AY75" s="77">
        <v>55.06</v>
      </c>
      <c r="AZ75" s="554">
        <f t="shared" ref="AZ75:AZ78" si="326">AY75/AT75</f>
        <v>1.6024447031431899E-2</v>
      </c>
      <c r="BA75" s="554">
        <f t="shared" ref="BA75:BA78" si="327">AY75/AX75</f>
        <v>0.39328571428571429</v>
      </c>
      <c r="BB75" s="555">
        <f t="shared" ref="BB75:BB78" si="328">AS75/AR75</f>
        <v>2.7131151988713439E-5</v>
      </c>
      <c r="BC75" s="553"/>
      <c r="BD75" s="553"/>
      <c r="BE75" s="553"/>
      <c r="BF75" s="1192" t="e">
        <f t="shared" ref="BF75:BF78" si="329">AY75/BC75</f>
        <v>#DIV/0!</v>
      </c>
      <c r="BG75" s="544">
        <f t="shared" ref="BG75:BG78" si="330">BC75/AS75</f>
        <v>0</v>
      </c>
      <c r="BH75" s="125"/>
      <c r="BI75" s="170"/>
      <c r="BJ75" s="166">
        <v>51854</v>
      </c>
      <c r="BK75" s="15">
        <v>7</v>
      </c>
      <c r="BL75" s="15">
        <v>4506</v>
      </c>
      <c r="BM75" s="52">
        <v>533</v>
      </c>
      <c r="BN75" s="52">
        <v>253</v>
      </c>
      <c r="BO75" s="52">
        <v>162</v>
      </c>
      <c r="BP75" s="52">
        <v>153</v>
      </c>
      <c r="BQ75" s="77">
        <v>74.790000000000006</v>
      </c>
      <c r="BR75" s="554">
        <f t="shared" ref="BR75:BR78" si="331">BQ75/BL75</f>
        <v>1.659786950732357E-2</v>
      </c>
      <c r="BS75" s="554">
        <f t="shared" ref="BS75:BS78" si="332">BQ75/BP75</f>
        <v>0.48882352941176477</v>
      </c>
      <c r="BT75" s="555">
        <f t="shared" ref="BT75:BT78" si="333">BK75/BJ75</f>
        <v>1.3499440737455162E-4</v>
      </c>
      <c r="BU75" s="553" t="s">
        <v>176</v>
      </c>
      <c r="BV75" s="553"/>
      <c r="BW75" s="553"/>
      <c r="BX75" s="1192" t="e">
        <f t="shared" ref="BX75:BX78" si="334">BQ75/BU75</f>
        <v>#VALUE!</v>
      </c>
      <c r="BY75" s="544" t="e">
        <f t="shared" ref="BY75:BY78" si="335">BU75/BK75</f>
        <v>#VALUE!</v>
      </c>
      <c r="BZ75" s="125"/>
      <c r="CA75" s="170"/>
    </row>
    <row r="76" spans="2:79">
      <c r="B76" s="187">
        <v>40843</v>
      </c>
      <c r="C76" s="15">
        <v>248287</v>
      </c>
      <c r="D76" s="15">
        <v>2490</v>
      </c>
      <c r="E76" s="15">
        <v>28264</v>
      </c>
      <c r="F76" s="52">
        <v>3863</v>
      </c>
      <c r="G76" s="52">
        <v>1966</v>
      </c>
      <c r="H76" s="52">
        <v>1306</v>
      </c>
      <c r="I76" s="52">
        <v>1150</v>
      </c>
      <c r="J76" s="904">
        <v>548.49</v>
      </c>
      <c r="K76" s="73">
        <f>SUM($J$66:$J$70,$J$72:J76)/$D$10</f>
        <v>0.35018268807350361</v>
      </c>
      <c r="L76" s="305">
        <f t="shared" si="263"/>
        <v>1.0028716767289468E-2</v>
      </c>
      <c r="M76" s="995">
        <f t="shared" si="239"/>
        <v>14003.833333333336</v>
      </c>
      <c r="N76" s="1002">
        <f t="shared" si="315"/>
        <v>1.9405958109255592E-2</v>
      </c>
      <c r="O76" s="1121">
        <f t="shared" si="316"/>
        <v>0.47694782608695652</v>
      </c>
      <c r="P76" s="380">
        <f t="shared" si="317"/>
        <v>2.0183045118598475</v>
      </c>
      <c r="Q76" s="143">
        <v>141</v>
      </c>
      <c r="R76" s="52"/>
      <c r="S76" s="52"/>
      <c r="T76" s="1003">
        <f t="shared" si="243"/>
        <v>242.84104046242777</v>
      </c>
      <c r="U76" s="1004">
        <f t="shared" si="318"/>
        <v>0.58062673315639757</v>
      </c>
      <c r="V76" s="1005">
        <f t="shared" si="319"/>
        <v>3.89</v>
      </c>
      <c r="W76" s="544">
        <f t="shared" si="320"/>
        <v>5.6626506024096385E-2</v>
      </c>
      <c r="X76" s="687">
        <v>9.3807189542483655</v>
      </c>
      <c r="Y76" s="392">
        <v>0.95860566448801743</v>
      </c>
      <c r="Z76" s="1143">
        <v>143063</v>
      </c>
      <c r="AA76" s="553">
        <v>1917</v>
      </c>
      <c r="AB76" s="553">
        <v>16052</v>
      </c>
      <c r="AC76" s="553">
        <v>2476</v>
      </c>
      <c r="AD76" s="553">
        <v>1247</v>
      </c>
      <c r="AE76" s="553">
        <v>804</v>
      </c>
      <c r="AF76" s="553">
        <v>706</v>
      </c>
      <c r="AG76" s="642">
        <v>315.49</v>
      </c>
      <c r="AH76" s="554">
        <f t="shared" si="321"/>
        <v>1.9654248691751808E-2</v>
      </c>
      <c r="AI76" s="554">
        <f t="shared" si="322"/>
        <v>0.44686968838526914</v>
      </c>
      <c r="AJ76" s="555">
        <f t="shared" si="323"/>
        <v>1.3399691045203862E-2</v>
      </c>
      <c r="AK76" s="902">
        <v>102</v>
      </c>
      <c r="AL76" s="553"/>
      <c r="AM76" s="553"/>
      <c r="AN76" s="1202">
        <f t="shared" si="324"/>
        <v>3.0930392156862747</v>
      </c>
      <c r="AO76" s="1193">
        <f t="shared" si="325"/>
        <v>0</v>
      </c>
      <c r="AP76" s="125"/>
      <c r="AQ76" s="170"/>
      <c r="AR76" s="166">
        <v>51612</v>
      </c>
      <c r="AS76" s="15">
        <v>509</v>
      </c>
      <c r="AT76" s="15">
        <v>6666</v>
      </c>
      <c r="AU76" s="52">
        <v>817</v>
      </c>
      <c r="AV76" s="52">
        <v>446</v>
      </c>
      <c r="AW76" s="52">
        <v>318</v>
      </c>
      <c r="AX76" s="52">
        <v>282</v>
      </c>
      <c r="AY76" s="77">
        <v>142.18</v>
      </c>
      <c r="AZ76" s="554">
        <f t="shared" si="326"/>
        <v>2.1329132913291329E-2</v>
      </c>
      <c r="BA76" s="554">
        <f t="shared" si="327"/>
        <v>0.50418439716312058</v>
      </c>
      <c r="BB76" s="555">
        <f t="shared" si="328"/>
        <v>9.8620475858327526E-3</v>
      </c>
      <c r="BC76" s="553">
        <v>36</v>
      </c>
      <c r="BD76" s="553"/>
      <c r="BE76" s="553"/>
      <c r="BF76" s="1192">
        <f t="shared" si="329"/>
        <v>3.9494444444444445</v>
      </c>
      <c r="BG76" s="544">
        <f t="shared" si="330"/>
        <v>7.072691552062868E-2</v>
      </c>
      <c r="BH76" s="125"/>
      <c r="BI76" s="170"/>
      <c r="BJ76" s="166">
        <v>53612</v>
      </c>
      <c r="BK76" s="15">
        <v>64</v>
      </c>
      <c r="BL76" s="15">
        <v>5546</v>
      </c>
      <c r="BM76" s="52">
        <v>570</v>
      </c>
      <c r="BN76" s="52">
        <v>273</v>
      </c>
      <c r="BO76" s="52">
        <v>184</v>
      </c>
      <c r="BP76" s="52">
        <v>162</v>
      </c>
      <c r="BQ76" s="77">
        <v>90.82</v>
      </c>
      <c r="BR76" s="554">
        <f t="shared" si="331"/>
        <v>1.6375766318067073E-2</v>
      </c>
      <c r="BS76" s="554">
        <f t="shared" si="332"/>
        <v>0.56061728395061727</v>
      </c>
      <c r="BT76" s="555">
        <f t="shared" si="333"/>
        <v>1.1937625904648213E-3</v>
      </c>
      <c r="BU76" s="553">
        <v>3</v>
      </c>
      <c r="BV76" s="553"/>
      <c r="BW76" s="553"/>
      <c r="BX76" s="1192">
        <f t="shared" si="334"/>
        <v>30.27333333333333</v>
      </c>
      <c r="BY76" s="544">
        <f t="shared" si="335"/>
        <v>4.6875E-2</v>
      </c>
      <c r="BZ76" s="125"/>
      <c r="CA76" s="170"/>
    </row>
    <row r="77" spans="2:79">
      <c r="B77" s="189">
        <v>40844</v>
      </c>
      <c r="C77" s="15">
        <v>240649</v>
      </c>
      <c r="D77" s="15">
        <v>9453</v>
      </c>
      <c r="E77" s="15">
        <v>17313</v>
      </c>
      <c r="F77" s="52">
        <v>2426</v>
      </c>
      <c r="G77" s="52">
        <v>1292</v>
      </c>
      <c r="H77" s="52">
        <v>910</v>
      </c>
      <c r="I77" s="52">
        <v>751</v>
      </c>
      <c r="J77" s="904">
        <v>563.16999999999996</v>
      </c>
      <c r="K77" s="73">
        <f>SUM($J$66:$J$70,$J$72:J77)/$D$10</f>
        <v>0.39486648497038501</v>
      </c>
      <c r="L77" s="305">
        <f t="shared" si="263"/>
        <v>3.9281276880435818E-2</v>
      </c>
      <c r="M77" s="995">
        <f t="shared" si="239"/>
        <v>14003.833333333336</v>
      </c>
      <c r="N77" s="1002">
        <f t="shared" si="315"/>
        <v>3.2528735632183906E-2</v>
      </c>
      <c r="O77" s="1121">
        <f t="shared" si="316"/>
        <v>0.74989347536617834</v>
      </c>
      <c r="P77" s="380">
        <f t="shared" si="317"/>
        <v>1.2363043452388034</v>
      </c>
      <c r="Q77" s="143">
        <v>293</v>
      </c>
      <c r="R77" s="52"/>
      <c r="S77" s="52"/>
      <c r="T77" s="1003">
        <f t="shared" si="243"/>
        <v>242.84104046242777</v>
      </c>
      <c r="U77" s="1004">
        <f t="shared" si="318"/>
        <v>1.2065505873391809</v>
      </c>
      <c r="V77" s="1005">
        <f t="shared" si="319"/>
        <v>1.9220819112627985</v>
      </c>
      <c r="W77" s="544">
        <f t="shared" si="320"/>
        <v>3.0995451179519729E-2</v>
      </c>
      <c r="X77" s="687">
        <v>3.1553170077155315</v>
      </c>
      <c r="Y77" s="392">
        <v>0.94959745051995981</v>
      </c>
      <c r="Z77" s="1143">
        <v>210190</v>
      </c>
      <c r="AA77" s="553">
        <v>8792</v>
      </c>
      <c r="AB77" s="553">
        <v>13774</v>
      </c>
      <c r="AC77" s="553">
        <v>2027</v>
      </c>
      <c r="AD77" s="553">
        <v>1083</v>
      </c>
      <c r="AE77" s="553">
        <v>754</v>
      </c>
      <c r="AF77" s="553">
        <v>619</v>
      </c>
      <c r="AG77" s="642">
        <v>485.52</v>
      </c>
      <c r="AH77" s="554">
        <f t="shared" si="321"/>
        <v>3.5249019892551185E-2</v>
      </c>
      <c r="AI77" s="554">
        <f t="shared" si="322"/>
        <v>0.78436187399030688</v>
      </c>
      <c r="AJ77" s="555">
        <f t="shared" si="323"/>
        <v>4.1828821542414005E-2</v>
      </c>
      <c r="AK77" s="902">
        <v>271</v>
      </c>
      <c r="AL77" s="553"/>
      <c r="AM77" s="553"/>
      <c r="AN77" s="1202">
        <f t="shared" si="324"/>
        <v>1.7915867158671586</v>
      </c>
      <c r="AO77" s="1346">
        <f t="shared" si="325"/>
        <v>5.3208137715179966E-2</v>
      </c>
      <c r="AP77" s="125"/>
      <c r="AQ77" s="170"/>
      <c r="AR77" s="166">
        <v>25129</v>
      </c>
      <c r="AS77" s="15">
        <v>613</v>
      </c>
      <c r="AT77" s="15">
        <v>2898</v>
      </c>
      <c r="AU77" s="52">
        <v>335</v>
      </c>
      <c r="AV77" s="52">
        <v>183</v>
      </c>
      <c r="AW77" s="52">
        <v>138</v>
      </c>
      <c r="AX77" s="52">
        <v>114</v>
      </c>
      <c r="AY77" s="77">
        <v>65.650000000000006</v>
      </c>
      <c r="AZ77" s="554">
        <f t="shared" si="326"/>
        <v>2.2653554175293307E-2</v>
      </c>
      <c r="BA77" s="554">
        <f t="shared" si="327"/>
        <v>0.57587719298245621</v>
      </c>
      <c r="BB77" s="555">
        <f t="shared" si="328"/>
        <v>2.4394126308249432E-2</v>
      </c>
      <c r="BC77" s="553">
        <v>22</v>
      </c>
      <c r="BD77" s="553"/>
      <c r="BE77" s="553"/>
      <c r="BF77" s="1192">
        <f t="shared" si="329"/>
        <v>2.9840909090909093</v>
      </c>
      <c r="BG77" s="544">
        <f t="shared" si="330"/>
        <v>3.588907014681892E-2</v>
      </c>
      <c r="BH77" s="125"/>
      <c r="BI77" s="170"/>
      <c r="BJ77" s="166">
        <v>5330</v>
      </c>
      <c r="BK77" s="15">
        <v>48</v>
      </c>
      <c r="BL77" s="15">
        <v>641</v>
      </c>
      <c r="BM77" s="52">
        <v>64</v>
      </c>
      <c r="BN77" s="52">
        <v>26</v>
      </c>
      <c r="BO77" s="52">
        <v>18</v>
      </c>
      <c r="BP77" s="52">
        <v>18</v>
      </c>
      <c r="BQ77" s="77">
        <v>12</v>
      </c>
      <c r="BR77" s="554">
        <f t="shared" si="331"/>
        <v>1.8720748829953199E-2</v>
      </c>
      <c r="BS77" s="554">
        <f t="shared" si="332"/>
        <v>0.66666666666666663</v>
      </c>
      <c r="BT77" s="555">
        <f t="shared" si="333"/>
        <v>9.0056285178236398E-3</v>
      </c>
      <c r="BU77" s="553" t="s">
        <v>176</v>
      </c>
      <c r="BV77" s="553"/>
      <c r="BW77" s="553"/>
      <c r="BX77" s="1192" t="e">
        <f t="shared" si="334"/>
        <v>#VALUE!</v>
      </c>
      <c r="BY77" s="544" t="e">
        <f t="shared" si="335"/>
        <v>#VALUE!</v>
      </c>
      <c r="BZ77" s="125"/>
      <c r="CA77" s="170"/>
    </row>
    <row r="78" spans="2:79">
      <c r="B78" s="189">
        <v>40845</v>
      </c>
      <c r="C78" s="15">
        <v>233026</v>
      </c>
      <c r="D78" s="15">
        <v>8780</v>
      </c>
      <c r="E78" s="15">
        <v>14101</v>
      </c>
      <c r="F78" s="52">
        <v>1978</v>
      </c>
      <c r="G78" s="52">
        <v>1015</v>
      </c>
      <c r="H78" s="52">
        <v>679</v>
      </c>
      <c r="I78" s="52">
        <v>586</v>
      </c>
      <c r="J78" s="904">
        <v>500.41</v>
      </c>
      <c r="K78" s="73">
        <f>SUM($J$66:$J$70,$J$72:J78)/$D$10</f>
        <v>0.43457069294518558</v>
      </c>
      <c r="L78" s="305">
        <f t="shared" si="263"/>
        <v>3.7678198999253301E-2</v>
      </c>
      <c r="M78" s="995">
        <f t="shared" si="239"/>
        <v>14003.833333333336</v>
      </c>
      <c r="N78" s="1002">
        <f t="shared" si="315"/>
        <v>3.548755407417914E-2</v>
      </c>
      <c r="O78" s="1121">
        <f t="shared" si="316"/>
        <v>0.85394197952218431</v>
      </c>
      <c r="P78" s="380">
        <f t="shared" si="317"/>
        <v>1.0069385763421919</v>
      </c>
      <c r="Q78" s="143">
        <v>276</v>
      </c>
      <c r="R78" s="52"/>
      <c r="S78" s="52"/>
      <c r="T78" s="1003">
        <f t="shared" si="243"/>
        <v>242.84104046242777</v>
      </c>
      <c r="U78" s="1004">
        <f t="shared" si="318"/>
        <v>1.1365459457529485</v>
      </c>
      <c r="V78" s="1005">
        <f t="shared" si="319"/>
        <v>1.8130797101449276</v>
      </c>
      <c r="W78" s="544">
        <f t="shared" si="320"/>
        <v>3.143507972665148E-2</v>
      </c>
      <c r="X78" s="687">
        <v>5.1550522648083623</v>
      </c>
      <c r="Y78" s="392">
        <v>0.79868370112272558</v>
      </c>
      <c r="Z78" s="1143">
        <v>221140</v>
      </c>
      <c r="AA78" s="553">
        <v>7977</v>
      </c>
      <c r="AB78" s="553">
        <v>12909</v>
      </c>
      <c r="AC78" s="553">
        <v>1788</v>
      </c>
      <c r="AD78" s="553">
        <v>920</v>
      </c>
      <c r="AE78" s="553">
        <v>615</v>
      </c>
      <c r="AF78" s="553">
        <v>527</v>
      </c>
      <c r="AG78" s="642">
        <v>456.29</v>
      </c>
      <c r="AH78" s="554">
        <f t="shared" si="321"/>
        <v>3.5346657370826554E-2</v>
      </c>
      <c r="AI78" s="554">
        <f t="shared" si="322"/>
        <v>0.86582542694497155</v>
      </c>
      <c r="AJ78" s="555">
        <f t="shared" si="323"/>
        <v>3.607217147508366E-2</v>
      </c>
      <c r="AK78" s="902">
        <v>246</v>
      </c>
      <c r="AL78" s="553"/>
      <c r="AM78" s="553"/>
      <c r="AN78" s="1202">
        <f t="shared" si="324"/>
        <v>1.8548373983739839</v>
      </c>
      <c r="AO78" s="1346">
        <f t="shared" si="325"/>
        <v>3.0823475887170156E-2</v>
      </c>
      <c r="AP78" s="125"/>
      <c r="AQ78" s="170"/>
      <c r="AR78" s="166">
        <v>11392</v>
      </c>
      <c r="AS78" s="15">
        <v>773</v>
      </c>
      <c r="AT78" s="15">
        <v>1152</v>
      </c>
      <c r="AU78" s="52">
        <v>186</v>
      </c>
      <c r="AV78" s="52">
        <v>93</v>
      </c>
      <c r="AW78" s="52">
        <v>62</v>
      </c>
      <c r="AX78" s="52">
        <v>57</v>
      </c>
      <c r="AY78" s="77">
        <v>42.29</v>
      </c>
      <c r="AZ78" s="554">
        <f t="shared" si="326"/>
        <v>3.6710069444444444E-2</v>
      </c>
      <c r="BA78" s="554">
        <f t="shared" si="327"/>
        <v>0.74192982456140344</v>
      </c>
      <c r="BB78" s="555">
        <f t="shared" si="328"/>
        <v>6.7854634831460675E-2</v>
      </c>
      <c r="BC78" s="553">
        <v>28</v>
      </c>
      <c r="BD78" s="553"/>
      <c r="BE78" s="553"/>
      <c r="BF78" s="1192">
        <f t="shared" si="329"/>
        <v>1.5103571428571427</v>
      </c>
      <c r="BG78" s="544">
        <f t="shared" si="330"/>
        <v>3.6222509702457953E-2</v>
      </c>
      <c r="BH78" s="125"/>
      <c r="BI78" s="170"/>
      <c r="BJ78" s="166">
        <v>494</v>
      </c>
      <c r="BK78" s="15">
        <v>30</v>
      </c>
      <c r="BL78" s="15">
        <v>40</v>
      </c>
      <c r="BM78" s="52">
        <v>4</v>
      </c>
      <c r="BN78" s="52">
        <v>2</v>
      </c>
      <c r="BO78" s="52">
        <v>2</v>
      </c>
      <c r="BP78" s="52">
        <v>2</v>
      </c>
      <c r="BQ78" s="77">
        <v>1.83</v>
      </c>
      <c r="BR78" s="554">
        <f t="shared" si="331"/>
        <v>4.5749999999999999E-2</v>
      </c>
      <c r="BS78" s="554">
        <f t="shared" si="332"/>
        <v>0.91500000000000004</v>
      </c>
      <c r="BT78" s="555">
        <f t="shared" si="333"/>
        <v>6.0728744939271252E-2</v>
      </c>
      <c r="BU78" s="553">
        <v>2</v>
      </c>
      <c r="BV78" s="553"/>
      <c r="BW78" s="553"/>
      <c r="BX78" s="1192">
        <f t="shared" si="334"/>
        <v>0.91500000000000004</v>
      </c>
      <c r="BY78" s="544">
        <f t="shared" si="335"/>
        <v>6.6666666666666666E-2</v>
      </c>
      <c r="BZ78" s="125"/>
      <c r="CA78" s="170"/>
    </row>
    <row r="79" spans="2:79">
      <c r="B79" s="190" t="s">
        <v>160</v>
      </c>
      <c r="C79" s="27">
        <f>SUM(C72:C78)</f>
        <v>1983030</v>
      </c>
      <c r="D79" s="27">
        <f t="shared" ref="D79:I79" si="336">SUM(D72:D78)</f>
        <v>26766</v>
      </c>
      <c r="E79" s="27">
        <f t="shared" si="336"/>
        <v>192587</v>
      </c>
      <c r="F79" s="27">
        <f t="shared" si="336"/>
        <v>49863</v>
      </c>
      <c r="G79" s="27">
        <f t="shared" si="336"/>
        <v>22709</v>
      </c>
      <c r="H79" s="27">
        <f t="shared" si="336"/>
        <v>12252</v>
      </c>
      <c r="I79" s="27">
        <f t="shared" si="336"/>
        <v>8583</v>
      </c>
      <c r="J79" s="905">
        <f>SUM(J72:J78)</f>
        <v>3419.77</v>
      </c>
      <c r="K79" s="1341">
        <f>SUM(J66:J70,J79)/$D$10</f>
        <v>0.43457069294518563</v>
      </c>
      <c r="L79" s="211">
        <f t="shared" ref="L79" si="337">D79/C79</f>
        <v>1.3497526512458207E-2</v>
      </c>
      <c r="M79" s="56">
        <f>SUM(M72:M78)</f>
        <v>98026.833333333372</v>
      </c>
      <c r="N79" s="1340">
        <f t="shared" ref="N79:N80" si="338">J79/E79</f>
        <v>1.7757013713282827E-2</v>
      </c>
      <c r="O79" s="1340">
        <f t="shared" ref="O79:O80" si="339">J79/I79</f>
        <v>0.39843527903996273</v>
      </c>
      <c r="P79" s="154">
        <f t="shared" ref="P79:P80" si="340">E79/M79</f>
        <v>1.9646355334678762</v>
      </c>
      <c r="Q79" s="144">
        <f>SUM(Q72:Q78)</f>
        <v>711</v>
      </c>
      <c r="R79" s="56"/>
      <c r="S79" s="56"/>
      <c r="T79" s="56">
        <f>SUM(T72:T78)</f>
        <v>1699.8872832369946</v>
      </c>
      <c r="U79" s="140">
        <f>Q79/T79</f>
        <v>0.41826302662026205</v>
      </c>
      <c r="V79" s="237">
        <f>J79/Q79</f>
        <v>4.809803094233474</v>
      </c>
      <c r="W79" s="317">
        <f>Q79/D79</f>
        <v>2.65635507733692E-2</v>
      </c>
      <c r="X79" s="682">
        <f>AVERAGE(X72:X78)</f>
        <v>4.4227720566930646</v>
      </c>
      <c r="Y79" s="317">
        <f>AVERAGE(Y72:Y78)</f>
        <v>0.92672170403267573</v>
      </c>
      <c r="Z79" s="164">
        <f>SUM(Z72:Z78)</f>
        <v>1440565</v>
      </c>
      <c r="AA79" s="298">
        <f t="shared" ref="AA79:AG79" si="341">SUM(AA72:AA78)</f>
        <v>22477</v>
      </c>
      <c r="AB79" s="298">
        <f t="shared" si="341"/>
        <v>139026</v>
      </c>
      <c r="AC79" s="298">
        <f t="shared" si="341"/>
        <v>37481</v>
      </c>
      <c r="AD79" s="298">
        <f t="shared" si="341"/>
        <v>17513</v>
      </c>
      <c r="AE79" s="298">
        <f t="shared" si="341"/>
        <v>9278</v>
      </c>
      <c r="AF79" s="298">
        <f t="shared" si="341"/>
        <v>6493</v>
      </c>
      <c r="AG79" s="479">
        <f t="shared" si="341"/>
        <v>2503.8700000000003</v>
      </c>
      <c r="AH79" s="549">
        <f>AG79/AB79</f>
        <v>1.8010084444636257E-2</v>
      </c>
      <c r="AI79" s="549">
        <f>AG79/AF79</f>
        <v>0.38562605883258899</v>
      </c>
      <c r="AJ79" s="550">
        <f>AA79/Z79</f>
        <v>1.5602905804319833E-2</v>
      </c>
      <c r="AK79" s="551">
        <f t="shared" ref="AK79" si="342">SUM(AK72:AK78)</f>
        <v>619</v>
      </c>
      <c r="AL79" s="298"/>
      <c r="AM79" s="298"/>
      <c r="AN79" s="552">
        <f t="shared" ref="AN79:AN97" si="343">AG79/AK79</f>
        <v>4.0450242326332804</v>
      </c>
      <c r="AO79" s="1347">
        <f t="shared" ref="AO79" si="344">AK79/AA79</f>
        <v>2.7539262357076121E-2</v>
      </c>
      <c r="AP79" s="126"/>
      <c r="AQ79" s="171"/>
      <c r="AR79" s="164">
        <f>SUM(AR72:AR78)</f>
        <v>306868</v>
      </c>
      <c r="AS79" s="27">
        <f t="shared" ref="AS79:AY79" si="345">SUM(AS72:AS78)</f>
        <v>3088</v>
      </c>
      <c r="AT79" s="27">
        <f t="shared" si="345"/>
        <v>31511</v>
      </c>
      <c r="AU79" s="27">
        <f t="shared" si="345"/>
        <v>7833</v>
      </c>
      <c r="AV79" s="27">
        <f t="shared" si="345"/>
        <v>3437</v>
      </c>
      <c r="AW79" s="27">
        <f t="shared" si="345"/>
        <v>1997</v>
      </c>
      <c r="AX79" s="27">
        <f t="shared" si="345"/>
        <v>1398</v>
      </c>
      <c r="AY79" s="479">
        <f t="shared" si="345"/>
        <v>553.16</v>
      </c>
      <c r="AZ79" s="549">
        <f>AY79/AT79</f>
        <v>1.7554504776109928E-2</v>
      </c>
      <c r="BA79" s="549">
        <f>AY79/AX79</f>
        <v>0.39567954220314733</v>
      </c>
      <c r="BB79" s="550">
        <f>AS79/AR79</f>
        <v>1.0062958666266929E-2</v>
      </c>
      <c r="BC79" s="551">
        <f t="shared" ref="BC79" si="346">SUM(BC72:BC78)</f>
        <v>86</v>
      </c>
      <c r="BD79" s="298"/>
      <c r="BE79" s="298"/>
      <c r="BF79" s="552">
        <f t="shared" ref="BF79:BF97" si="347">AY79/BC79</f>
        <v>6.4320930232558133</v>
      </c>
      <c r="BG79" s="1138">
        <f t="shared" ref="BG79:BG97" si="348">BC79/AS79</f>
        <v>2.7849740932642485E-2</v>
      </c>
      <c r="BH79" s="126"/>
      <c r="BI79" s="171"/>
      <c r="BJ79" s="164">
        <f>SUM(BJ72:BJ78)</f>
        <v>235597</v>
      </c>
      <c r="BK79" s="27">
        <f t="shared" ref="BK79:BQ79" si="349">SUM(BK72:BK78)</f>
        <v>1201</v>
      </c>
      <c r="BL79" s="27">
        <f t="shared" si="349"/>
        <v>22050</v>
      </c>
      <c r="BM79" s="27">
        <f t="shared" si="349"/>
        <v>4549</v>
      </c>
      <c r="BN79" s="27">
        <f t="shared" si="349"/>
        <v>1759</v>
      </c>
      <c r="BO79" s="27">
        <f t="shared" si="349"/>
        <v>977</v>
      </c>
      <c r="BP79" s="27">
        <f t="shared" si="349"/>
        <v>692</v>
      </c>
      <c r="BQ79" s="479">
        <f t="shared" si="349"/>
        <v>362.74</v>
      </c>
      <c r="BR79" s="549">
        <f>BQ79/BL79</f>
        <v>1.645079365079365E-2</v>
      </c>
      <c r="BS79" s="549">
        <f>BQ79/BP79</f>
        <v>0.52419075144508676</v>
      </c>
      <c r="BT79" s="550">
        <f>BK79/BJ79</f>
        <v>5.0976880011205572E-3</v>
      </c>
      <c r="BU79" s="551">
        <f t="shared" ref="BU79" si="350">SUM(BU72:BU78)</f>
        <v>6</v>
      </c>
      <c r="BV79" s="298"/>
      <c r="BW79" s="298"/>
      <c r="BX79" s="552">
        <f t="shared" ref="BX79:BX97" si="351">BQ79/BU79</f>
        <v>60.456666666666671</v>
      </c>
      <c r="BY79" s="1138">
        <f t="shared" ref="BY79:BY97" si="352">BU79/BK79</f>
        <v>4.9958368026644462E-3</v>
      </c>
      <c r="BZ79" s="126"/>
      <c r="CA79" s="171"/>
    </row>
    <row r="80" spans="2:79">
      <c r="B80" s="187">
        <v>44864</v>
      </c>
      <c r="C80" s="15">
        <v>231663</v>
      </c>
      <c r="D80" s="15">
        <v>7384</v>
      </c>
      <c r="E80" s="15">
        <v>13808</v>
      </c>
      <c r="F80" s="52">
        <v>5026</v>
      </c>
      <c r="G80" s="52">
        <v>1927</v>
      </c>
      <c r="H80" s="52">
        <v>979</v>
      </c>
      <c r="I80" s="52">
        <v>579</v>
      </c>
      <c r="J80" s="904">
        <v>451.28</v>
      </c>
      <c r="K80" s="73">
        <f>SUM($J$66:$J$70,$J$79:J80)/$D$10</f>
        <v>0.47037676191836358</v>
      </c>
      <c r="L80" s="305">
        <f t="shared" si="263"/>
        <v>3.1873885773731674E-2</v>
      </c>
      <c r="M80" s="995">
        <f t="shared" si="239"/>
        <v>14003.833333333336</v>
      </c>
      <c r="N80" s="1002">
        <f t="shared" si="338"/>
        <v>3.2682502896871378E-2</v>
      </c>
      <c r="O80" s="1121">
        <f t="shared" si="339"/>
        <v>0.77941278065630393</v>
      </c>
      <c r="P80" s="380">
        <f t="shared" si="340"/>
        <v>0.98601573378717711</v>
      </c>
      <c r="Q80" s="143">
        <v>224</v>
      </c>
      <c r="R80" s="52"/>
      <c r="S80" s="52"/>
      <c r="T80" s="1003">
        <f t="shared" si="243"/>
        <v>242.84104046242777</v>
      </c>
      <c r="U80" s="1004">
        <f t="shared" si="318"/>
        <v>0.92241410090094367</v>
      </c>
      <c r="V80" s="1005">
        <f t="shared" ref="V80" si="353">J80/Q80</f>
        <v>2.014642857142857</v>
      </c>
      <c r="W80" s="544">
        <f t="shared" ref="W80" si="354">Q80/D80</f>
        <v>3.0335861321776816E-2</v>
      </c>
      <c r="X80" s="687">
        <v>1.0401340176789278</v>
      </c>
      <c r="Y80" s="392">
        <v>0.95227402338180778</v>
      </c>
      <c r="Z80" s="166">
        <v>185483</v>
      </c>
      <c r="AA80" s="15">
        <v>5806</v>
      </c>
      <c r="AB80" s="15">
        <v>10353</v>
      </c>
      <c r="AC80" s="52">
        <v>3825</v>
      </c>
      <c r="AD80" s="52">
        <v>1499</v>
      </c>
      <c r="AE80" s="52">
        <v>767</v>
      </c>
      <c r="AF80" s="52">
        <v>449</v>
      </c>
      <c r="AG80" s="77">
        <v>347.57</v>
      </c>
      <c r="AH80" s="554">
        <f t="shared" ref="AH80" si="355">AG80/AB80</f>
        <v>3.3571911523229983E-2</v>
      </c>
      <c r="AI80" s="554">
        <f t="shared" ref="AI80" si="356">AG80/AF80</f>
        <v>0.77409799554565695</v>
      </c>
      <c r="AJ80" s="555">
        <f t="shared" ref="AJ80" si="357">AA80/Z80</f>
        <v>3.1302060027064475E-2</v>
      </c>
      <c r="AK80" s="902">
        <v>167</v>
      </c>
      <c r="AL80" s="553"/>
      <c r="AM80" s="553"/>
      <c r="AN80" s="1202">
        <f t="shared" si="343"/>
        <v>2.0812574850299401</v>
      </c>
      <c r="AO80" s="1193">
        <f t="shared" ref="AO80:AO97" si="358">AK79/AA79</f>
        <v>2.7539262357076121E-2</v>
      </c>
      <c r="AP80" s="125"/>
      <c r="AQ80" s="170"/>
      <c r="AR80" s="166">
        <v>44933</v>
      </c>
      <c r="AS80" s="15">
        <v>1542</v>
      </c>
      <c r="AT80" s="15">
        <v>3376</v>
      </c>
      <c r="AU80" s="52">
        <v>1176</v>
      </c>
      <c r="AV80" s="52">
        <v>419</v>
      </c>
      <c r="AW80" s="52">
        <v>211</v>
      </c>
      <c r="AX80" s="52">
        <v>129</v>
      </c>
      <c r="AY80" s="77">
        <v>100.74</v>
      </c>
      <c r="AZ80" s="554">
        <f t="shared" ref="AZ80:AZ97" si="359">AY80/AT80</f>
        <v>2.9840047393364929E-2</v>
      </c>
      <c r="BA80" s="554">
        <f t="shared" ref="BA80:BA97" si="360">AY80/AX80</f>
        <v>0.78093023255813954</v>
      </c>
      <c r="BB80" s="555">
        <f t="shared" ref="BB80:BB97" si="361">AS80/AR80</f>
        <v>3.431776200120179E-2</v>
      </c>
      <c r="BC80" s="553">
        <v>56</v>
      </c>
      <c r="BD80" s="553"/>
      <c r="BE80" s="553"/>
      <c r="BF80" s="1192">
        <f t="shared" si="347"/>
        <v>1.7989285714285714</v>
      </c>
      <c r="BG80" s="544">
        <f t="shared" si="348"/>
        <v>3.6316472114137487E-2</v>
      </c>
      <c r="BH80" s="125"/>
      <c r="BI80" s="170"/>
      <c r="BJ80" s="166">
        <v>1247</v>
      </c>
      <c r="BK80" s="15">
        <v>36</v>
      </c>
      <c r="BL80" s="15">
        <v>79</v>
      </c>
      <c r="BM80" s="52">
        <v>25</v>
      </c>
      <c r="BN80" s="52">
        <v>9</v>
      </c>
      <c r="BO80" s="52">
        <v>1</v>
      </c>
      <c r="BP80" s="52">
        <v>1</v>
      </c>
      <c r="BQ80" s="77">
        <v>2.97</v>
      </c>
      <c r="BR80" s="554">
        <f t="shared" ref="BR80:BR97" si="362">BQ80/BL80</f>
        <v>3.7594936708860764E-2</v>
      </c>
      <c r="BS80" s="554">
        <f t="shared" ref="BS80:BS97" si="363">BQ80/BP80</f>
        <v>2.97</v>
      </c>
      <c r="BT80" s="555">
        <f t="shared" ref="BT80:BT97" si="364">BK80/BJ80</f>
        <v>2.8869286287089013E-2</v>
      </c>
      <c r="BU80" s="553">
        <v>1</v>
      </c>
      <c r="BV80" s="553"/>
      <c r="BW80" s="553"/>
      <c r="BX80" s="1192">
        <f t="shared" si="351"/>
        <v>2.97</v>
      </c>
      <c r="BY80" s="544">
        <f t="shared" si="352"/>
        <v>2.7777777777777776E-2</v>
      </c>
      <c r="BZ80" s="125"/>
      <c r="CA80" s="170"/>
    </row>
    <row r="81" spans="2:79">
      <c r="B81" s="187">
        <v>44865</v>
      </c>
      <c r="C81" s="15">
        <v>227394</v>
      </c>
      <c r="D81" s="15">
        <v>6917</v>
      </c>
      <c r="E81" s="15">
        <v>13568</v>
      </c>
      <c r="F81" s="52">
        <v>4873</v>
      </c>
      <c r="G81" s="52">
        <v>1975</v>
      </c>
      <c r="H81" s="52">
        <v>1013</v>
      </c>
      <c r="I81" s="52">
        <v>614</v>
      </c>
      <c r="J81" s="904">
        <v>445.77</v>
      </c>
      <c r="K81" s="73">
        <f>SUM($J$66:$J$70,$J$79:J81)/$D$10</f>
        <v>0.50574564900880303</v>
      </c>
      <c r="L81" s="305">
        <f t="shared" si="263"/>
        <v>3.0418568651767418E-2</v>
      </c>
      <c r="M81" s="995">
        <f t="shared" si="239"/>
        <v>14003.833333333336</v>
      </c>
      <c r="N81" s="1002">
        <f t="shared" ref="N81:N97" si="365">J81/E81</f>
        <v>3.2854510613207544E-2</v>
      </c>
      <c r="O81" s="1121">
        <f t="shared" ref="O81:O97" si="366">J81/I81</f>
        <v>0.7260097719869707</v>
      </c>
      <c r="P81" s="380">
        <f t="shared" ref="P81:P97" si="367">E81/M81</f>
        <v>0.96887756923699442</v>
      </c>
      <c r="Q81" s="143">
        <v>218</v>
      </c>
      <c r="R81" s="52"/>
      <c r="S81" s="52"/>
      <c r="T81" s="1003">
        <f t="shared" si="243"/>
        <v>242.84104046242777</v>
      </c>
      <c r="U81" s="1004">
        <f t="shared" si="318"/>
        <v>0.89770658034109696</v>
      </c>
      <c r="V81" s="1005">
        <f t="shared" ref="V81:V97" si="368">J81/Q81</f>
        <v>2.044816513761468</v>
      </c>
      <c r="W81" s="544">
        <f t="shared" ref="W81:W97" si="369">Q81/D81</f>
        <v>3.1516553419112331E-2</v>
      </c>
      <c r="X81" s="687">
        <v>3.3153846153846156</v>
      </c>
      <c r="Y81" s="392">
        <v>0.94749163879598663</v>
      </c>
      <c r="Z81" s="166">
        <v>202241</v>
      </c>
      <c r="AA81" s="15">
        <v>6088</v>
      </c>
      <c r="AB81" s="15">
        <v>11498</v>
      </c>
      <c r="AC81" s="52">
        <v>4209</v>
      </c>
      <c r="AD81" s="52">
        <v>1720</v>
      </c>
      <c r="AE81" s="52">
        <v>891</v>
      </c>
      <c r="AF81" s="52">
        <v>538</v>
      </c>
      <c r="AG81" s="77">
        <v>389.14</v>
      </c>
      <c r="AH81" s="554">
        <f t="shared" ref="AH81:AH97" si="370">AG81/AB81</f>
        <v>3.3844146808140546E-2</v>
      </c>
      <c r="AI81" s="554">
        <f t="shared" ref="AI81:AI97" si="371">AG81/AF81</f>
        <v>0.72330855018587359</v>
      </c>
      <c r="AJ81" s="555">
        <f t="shared" ref="AJ81:AJ97" si="372">AA81/Z81</f>
        <v>3.0102699254849413E-2</v>
      </c>
      <c r="AK81" s="902">
        <v>195</v>
      </c>
      <c r="AL81" s="553"/>
      <c r="AM81" s="553"/>
      <c r="AN81" s="1202">
        <f t="shared" si="343"/>
        <v>1.9955897435897436</v>
      </c>
      <c r="AO81" s="1346">
        <f t="shared" si="358"/>
        <v>2.8763348260420256E-2</v>
      </c>
      <c r="AP81" s="123"/>
      <c r="AQ81" s="168"/>
      <c r="AR81" s="166">
        <v>23248</v>
      </c>
      <c r="AS81" s="15">
        <v>751</v>
      </c>
      <c r="AT81" s="15">
        <v>1942</v>
      </c>
      <c r="AU81" s="52">
        <v>630</v>
      </c>
      <c r="AV81" s="52">
        <v>247</v>
      </c>
      <c r="AW81" s="52">
        <v>120</v>
      </c>
      <c r="AX81" s="52">
        <v>75</v>
      </c>
      <c r="AY81" s="77">
        <v>51.23</v>
      </c>
      <c r="AZ81" s="554">
        <f t="shared" si="359"/>
        <v>2.6380020597322345E-2</v>
      </c>
      <c r="BA81" s="554">
        <f t="shared" si="360"/>
        <v>0.6830666666666666</v>
      </c>
      <c r="BB81" s="555">
        <f t="shared" si="361"/>
        <v>3.2303854094975909E-2</v>
      </c>
      <c r="BC81" s="553">
        <v>23</v>
      </c>
      <c r="BD81" s="553"/>
      <c r="BE81" s="553"/>
      <c r="BF81" s="1192">
        <f t="shared" si="347"/>
        <v>2.227391304347826</v>
      </c>
      <c r="BG81" s="544">
        <f t="shared" si="348"/>
        <v>3.0625832223701729E-2</v>
      </c>
      <c r="BH81" s="123"/>
      <c r="BI81" s="168"/>
      <c r="BJ81" s="166">
        <v>1905</v>
      </c>
      <c r="BK81" s="15">
        <v>78</v>
      </c>
      <c r="BL81" s="15">
        <v>128</v>
      </c>
      <c r="BM81" s="52">
        <v>34</v>
      </c>
      <c r="BN81" s="52">
        <v>8</v>
      </c>
      <c r="BO81" s="52">
        <v>2</v>
      </c>
      <c r="BP81" s="52">
        <v>1</v>
      </c>
      <c r="BQ81" s="77">
        <v>5.4</v>
      </c>
      <c r="BR81" s="554">
        <f t="shared" si="362"/>
        <v>4.2187500000000003E-2</v>
      </c>
      <c r="BS81" s="554">
        <f t="shared" si="363"/>
        <v>5.4</v>
      </c>
      <c r="BT81" s="555">
        <f t="shared" si="364"/>
        <v>4.0944881889763779E-2</v>
      </c>
      <c r="BU81" s="553" t="s">
        <v>176</v>
      </c>
      <c r="BV81" s="553"/>
      <c r="BW81" s="553"/>
      <c r="BX81" s="1192" t="e">
        <f t="shared" si="351"/>
        <v>#VALUE!</v>
      </c>
      <c r="BY81" s="544" t="e">
        <f t="shared" si="352"/>
        <v>#VALUE!</v>
      </c>
      <c r="BZ81" s="123"/>
      <c r="CA81" s="168"/>
    </row>
    <row r="82" spans="2:79">
      <c r="B82" s="187">
        <v>44866</v>
      </c>
      <c r="C82" s="15">
        <v>249809</v>
      </c>
      <c r="D82" s="15">
        <v>6668</v>
      </c>
      <c r="E82" s="15">
        <v>14756</v>
      </c>
      <c r="F82" s="52">
        <v>5186</v>
      </c>
      <c r="G82" s="52">
        <v>2100</v>
      </c>
      <c r="H82" s="52">
        <v>1056</v>
      </c>
      <c r="I82" s="52">
        <v>612</v>
      </c>
      <c r="J82" s="904">
        <v>441.42</v>
      </c>
      <c r="K82" s="73">
        <f>SUM($J$66:$J$70,$J$79:J82)/$D$10</f>
        <v>0.54076939250760703</v>
      </c>
      <c r="L82" s="305">
        <f t="shared" si="263"/>
        <v>2.6692392988243017E-2</v>
      </c>
      <c r="M82" s="995">
        <f t="shared" si="239"/>
        <v>14003.833333333336</v>
      </c>
      <c r="N82" s="1002">
        <f t="shared" si="365"/>
        <v>2.99146110056926E-2</v>
      </c>
      <c r="O82" s="1121">
        <f t="shared" si="366"/>
        <v>0.7212745098039216</v>
      </c>
      <c r="P82" s="380">
        <f t="shared" si="367"/>
        <v>1.0537114837603987</v>
      </c>
      <c r="Q82" s="143">
        <v>231</v>
      </c>
      <c r="R82" s="52"/>
      <c r="S82" s="52"/>
      <c r="T82" s="1003">
        <f t="shared" si="243"/>
        <v>242.84104046242777</v>
      </c>
      <c r="U82" s="1004">
        <f t="shared" si="318"/>
        <v>0.95123954155409818</v>
      </c>
      <c r="V82" s="1005">
        <f t="shared" si="368"/>
        <v>1.9109090909090909</v>
      </c>
      <c r="W82" s="544">
        <f t="shared" si="369"/>
        <v>3.4643071385722854E-2</v>
      </c>
      <c r="X82" s="687">
        <v>1.7824378654970758</v>
      </c>
      <c r="Y82" s="392">
        <v>0.95815058479532167</v>
      </c>
      <c r="Z82" s="166">
        <v>223664</v>
      </c>
      <c r="AA82" s="15">
        <v>5736</v>
      </c>
      <c r="AB82" s="15">
        <v>12750</v>
      </c>
      <c r="AC82" s="52">
        <v>4545</v>
      </c>
      <c r="AD82" s="52">
        <v>1846</v>
      </c>
      <c r="AE82" s="52">
        <v>930</v>
      </c>
      <c r="AF82" s="52">
        <v>540</v>
      </c>
      <c r="AG82" s="77">
        <v>381.79</v>
      </c>
      <c r="AH82" s="554">
        <f t="shared" si="370"/>
        <v>2.9944313725490199E-2</v>
      </c>
      <c r="AI82" s="554">
        <f t="shared" si="371"/>
        <v>0.7070185185185186</v>
      </c>
      <c r="AJ82" s="555">
        <f t="shared" si="372"/>
        <v>2.5645611274053938E-2</v>
      </c>
      <c r="AK82" s="902">
        <v>192</v>
      </c>
      <c r="AL82" s="553"/>
      <c r="AM82" s="553"/>
      <c r="AN82" s="1202">
        <f t="shared" si="343"/>
        <v>1.9884895833333334</v>
      </c>
      <c r="AO82" s="1346">
        <f t="shared" si="358"/>
        <v>3.2030223390275954E-2</v>
      </c>
      <c r="AP82" s="124"/>
      <c r="AQ82" s="169"/>
      <c r="AR82" s="166">
        <v>23427</v>
      </c>
      <c r="AS82" s="15">
        <v>870</v>
      </c>
      <c r="AT82" s="15">
        <v>1828</v>
      </c>
      <c r="AU82" s="52">
        <v>595</v>
      </c>
      <c r="AV82" s="52">
        <v>240</v>
      </c>
      <c r="AW82" s="52">
        <v>115</v>
      </c>
      <c r="AX82" s="52">
        <v>69</v>
      </c>
      <c r="AY82" s="77">
        <v>54.2</v>
      </c>
      <c r="AZ82" s="554">
        <f t="shared" si="359"/>
        <v>2.9649890590809629E-2</v>
      </c>
      <c r="BA82" s="554">
        <f t="shared" si="360"/>
        <v>0.78550724637681169</v>
      </c>
      <c r="BB82" s="555">
        <f t="shared" si="361"/>
        <v>3.7136637213471636E-2</v>
      </c>
      <c r="BC82" s="553">
        <v>38</v>
      </c>
      <c r="BD82" s="553"/>
      <c r="BE82" s="553"/>
      <c r="BF82" s="1192">
        <f t="shared" si="347"/>
        <v>1.4263157894736842</v>
      </c>
      <c r="BG82" s="544">
        <f t="shared" si="348"/>
        <v>4.3678160919540229E-2</v>
      </c>
      <c r="BH82" s="124"/>
      <c r="BI82" s="169"/>
      <c r="BJ82" s="166">
        <v>2718</v>
      </c>
      <c r="BK82" s="15">
        <v>62</v>
      </c>
      <c r="BL82" s="15">
        <v>178</v>
      </c>
      <c r="BM82" s="52">
        <v>46</v>
      </c>
      <c r="BN82" s="52">
        <v>14</v>
      </c>
      <c r="BO82" s="52">
        <v>11</v>
      </c>
      <c r="BP82" s="52">
        <v>3</v>
      </c>
      <c r="BQ82" s="77">
        <v>5.43</v>
      </c>
      <c r="BR82" s="554">
        <f t="shared" si="362"/>
        <v>3.0505617977528088E-2</v>
      </c>
      <c r="BS82" s="554">
        <f t="shared" si="363"/>
        <v>1.8099999999999998</v>
      </c>
      <c r="BT82" s="555">
        <f t="shared" si="364"/>
        <v>2.2810890360559236E-2</v>
      </c>
      <c r="BU82" s="553">
        <v>1</v>
      </c>
      <c r="BV82" s="553"/>
      <c r="BW82" s="553"/>
      <c r="BX82" s="1192">
        <f t="shared" si="351"/>
        <v>5.43</v>
      </c>
      <c r="BY82" s="544">
        <f t="shared" si="352"/>
        <v>1.6129032258064516E-2</v>
      </c>
      <c r="BZ82" s="124"/>
      <c r="CA82" s="169"/>
    </row>
    <row r="83" spans="2:79">
      <c r="B83" s="187">
        <v>44867</v>
      </c>
      <c r="C83" s="15">
        <v>271751</v>
      </c>
      <c r="D83" s="15">
        <v>6599</v>
      </c>
      <c r="E83" s="15">
        <v>16884</v>
      </c>
      <c r="F83" s="52">
        <v>5782</v>
      </c>
      <c r="G83" s="52">
        <v>2200</v>
      </c>
      <c r="H83" s="52">
        <v>1107</v>
      </c>
      <c r="I83" s="52">
        <v>660</v>
      </c>
      <c r="J83" s="904">
        <v>420.88</v>
      </c>
      <c r="K83" s="73">
        <f>SUM($J$66:$J$70,$J$79:J83)/$D$10</f>
        <v>0.57416342350705551</v>
      </c>
      <c r="L83" s="305">
        <f t="shared" si="263"/>
        <v>2.4283259307233459E-2</v>
      </c>
      <c r="M83" s="995">
        <f t="shared" si="239"/>
        <v>14003.833333333336</v>
      </c>
      <c r="N83" s="1002">
        <f t="shared" si="365"/>
        <v>2.4927742241175076E-2</v>
      </c>
      <c r="O83" s="1121">
        <f t="shared" si="366"/>
        <v>0.63769696969696965</v>
      </c>
      <c r="P83" s="380">
        <f t="shared" si="367"/>
        <v>1.2056698761053519</v>
      </c>
      <c r="Q83" s="143">
        <v>191</v>
      </c>
      <c r="R83" s="52"/>
      <c r="S83" s="52"/>
      <c r="T83" s="1003">
        <f t="shared" si="243"/>
        <v>242.84104046242777</v>
      </c>
      <c r="U83" s="1004">
        <f t="shared" si="318"/>
        <v>0.78652273782178683</v>
      </c>
      <c r="V83" s="1005">
        <f t="shared" si="368"/>
        <v>2.2035602094240838</v>
      </c>
      <c r="W83" s="544">
        <f t="shared" si="369"/>
        <v>2.8943779360509167E-2</v>
      </c>
      <c r="X83" s="687">
        <v>1.204498616263322</v>
      </c>
      <c r="Y83" s="392">
        <v>0.98445504327857269</v>
      </c>
      <c r="Z83" s="166">
        <v>226580</v>
      </c>
      <c r="AA83" s="15">
        <v>5334</v>
      </c>
      <c r="AB83" s="15">
        <v>14078</v>
      </c>
      <c r="AC83" s="52">
        <v>4893</v>
      </c>
      <c r="AD83" s="52">
        <v>1860</v>
      </c>
      <c r="AE83" s="52">
        <v>946</v>
      </c>
      <c r="AF83" s="52">
        <v>553</v>
      </c>
      <c r="AG83" s="77">
        <v>339.01</v>
      </c>
      <c r="AH83" s="554">
        <f t="shared" si="370"/>
        <v>2.4080835345929818E-2</v>
      </c>
      <c r="AI83" s="554">
        <f t="shared" si="371"/>
        <v>0.61303797468354426</v>
      </c>
      <c r="AJ83" s="555">
        <f t="shared" si="372"/>
        <v>2.3541354047135671E-2</v>
      </c>
      <c r="AK83" s="902">
        <v>153</v>
      </c>
      <c r="AL83" s="553"/>
      <c r="AM83" s="553"/>
      <c r="AN83" s="1202">
        <f t="shared" si="343"/>
        <v>2.2157516339869279</v>
      </c>
      <c r="AO83" s="1346">
        <f t="shared" si="358"/>
        <v>3.3472803347280332E-2</v>
      </c>
      <c r="AP83" s="125"/>
      <c r="AQ83" s="170"/>
      <c r="AR83" s="166">
        <v>42379</v>
      </c>
      <c r="AS83" s="15">
        <v>1208</v>
      </c>
      <c r="AT83" s="15">
        <v>2612</v>
      </c>
      <c r="AU83" s="52">
        <v>845</v>
      </c>
      <c r="AV83" s="52">
        <v>325</v>
      </c>
      <c r="AW83" s="52">
        <v>152</v>
      </c>
      <c r="AX83" s="52">
        <v>100</v>
      </c>
      <c r="AY83" s="77">
        <v>78.099999999999994</v>
      </c>
      <c r="AZ83" s="554">
        <f t="shared" si="359"/>
        <v>2.9900459418070444E-2</v>
      </c>
      <c r="BA83" s="554">
        <f t="shared" si="360"/>
        <v>0.78099999999999992</v>
      </c>
      <c r="BB83" s="555">
        <f t="shared" si="361"/>
        <v>2.8504683923641427E-2</v>
      </c>
      <c r="BC83" s="553">
        <v>37</v>
      </c>
      <c r="BD83" s="553"/>
      <c r="BE83" s="553"/>
      <c r="BF83" s="1192">
        <f t="shared" si="347"/>
        <v>2.1108108108108108</v>
      </c>
      <c r="BG83" s="544">
        <f t="shared" si="348"/>
        <v>3.0629139072847682E-2</v>
      </c>
      <c r="BH83" s="125"/>
      <c r="BI83" s="170"/>
      <c r="BJ83" s="166">
        <v>2792</v>
      </c>
      <c r="BK83" s="15">
        <v>57</v>
      </c>
      <c r="BL83" s="15">
        <v>194</v>
      </c>
      <c r="BM83" s="52">
        <v>44</v>
      </c>
      <c r="BN83" s="52">
        <v>15</v>
      </c>
      <c r="BO83" s="52">
        <v>9</v>
      </c>
      <c r="BP83" s="52">
        <v>7</v>
      </c>
      <c r="BQ83" s="77">
        <v>3.77</v>
      </c>
      <c r="BR83" s="554">
        <f t="shared" si="362"/>
        <v>1.9432989690721651E-2</v>
      </c>
      <c r="BS83" s="554">
        <f t="shared" si="363"/>
        <v>0.53857142857142859</v>
      </c>
      <c r="BT83" s="555">
        <f t="shared" si="364"/>
        <v>2.0415472779369628E-2</v>
      </c>
      <c r="BU83" s="553">
        <v>1</v>
      </c>
      <c r="BV83" s="553"/>
      <c r="BW83" s="553"/>
      <c r="BX83" s="1192">
        <f t="shared" si="351"/>
        <v>3.77</v>
      </c>
      <c r="BY83" s="544">
        <f t="shared" si="352"/>
        <v>1.7543859649122806E-2</v>
      </c>
      <c r="BZ83" s="125"/>
      <c r="CA83" s="170"/>
    </row>
    <row r="84" spans="2:79">
      <c r="B84" s="187">
        <v>44868</v>
      </c>
      <c r="C84" s="15">
        <v>293490</v>
      </c>
      <c r="D84" s="15">
        <v>6890</v>
      </c>
      <c r="E84" s="15">
        <v>17445</v>
      </c>
      <c r="F84" s="52">
        <v>6015</v>
      </c>
      <c r="G84" s="52">
        <v>2313</v>
      </c>
      <c r="H84" s="52">
        <v>1226</v>
      </c>
      <c r="I84" s="52">
        <v>741</v>
      </c>
      <c r="J84" s="904">
        <v>455.21000000000004</v>
      </c>
      <c r="K84" s="73">
        <f>SUM($J$66:$J$70,$J$79:J84)/$D$10</f>
        <v>0.61028131186302159</v>
      </c>
      <c r="L84" s="305">
        <f t="shared" si="263"/>
        <v>2.3476097993117312E-2</v>
      </c>
      <c r="M84" s="995">
        <f t="shared" si="239"/>
        <v>14003.833333333336</v>
      </c>
      <c r="N84" s="1002">
        <f t="shared" si="365"/>
        <v>2.6094009744912584E-2</v>
      </c>
      <c r="O84" s="1121">
        <f t="shared" si="366"/>
        <v>0.61431848852901494</v>
      </c>
      <c r="P84" s="380">
        <f t="shared" si="367"/>
        <v>1.245730335741404</v>
      </c>
      <c r="Q84" s="143">
        <v>198</v>
      </c>
      <c r="R84" s="52"/>
      <c r="S84" s="52"/>
      <c r="T84" s="1003">
        <f t="shared" si="243"/>
        <v>242.84104046242777</v>
      </c>
      <c r="U84" s="1004">
        <f t="shared" si="318"/>
        <v>0.81534817847494134</v>
      </c>
      <c r="V84" s="1005">
        <f t="shared" si="368"/>
        <v>2.2990404040404044</v>
      </c>
      <c r="W84" s="544">
        <f t="shared" si="369"/>
        <v>2.8737300435413643E-2</v>
      </c>
      <c r="X84" s="687">
        <v>28.155874989208325</v>
      </c>
      <c r="Y84" s="392">
        <v>0.60398860398860399</v>
      </c>
      <c r="Z84" s="166">
        <v>233714</v>
      </c>
      <c r="AA84" s="15">
        <v>5356</v>
      </c>
      <c r="AB84" s="15">
        <v>13676</v>
      </c>
      <c r="AC84" s="52">
        <v>4829</v>
      </c>
      <c r="AD84" s="52">
        <v>1890</v>
      </c>
      <c r="AE84" s="52">
        <v>1009</v>
      </c>
      <c r="AF84" s="52">
        <v>595</v>
      </c>
      <c r="AG84" s="77">
        <v>353.62</v>
      </c>
      <c r="AH84" s="554">
        <f t="shared" si="370"/>
        <v>2.5856975723895875E-2</v>
      </c>
      <c r="AI84" s="554">
        <f t="shared" si="371"/>
        <v>0.59431932773109242</v>
      </c>
      <c r="AJ84" s="555">
        <f t="shared" si="372"/>
        <v>2.2916898431416175E-2</v>
      </c>
      <c r="AK84" s="902">
        <v>143</v>
      </c>
      <c r="AL84" s="553"/>
      <c r="AM84" s="553"/>
      <c r="AN84" s="1202">
        <f t="shared" si="343"/>
        <v>2.4728671328671328</v>
      </c>
      <c r="AO84" s="1346">
        <f t="shared" si="358"/>
        <v>2.8683914510686165E-2</v>
      </c>
      <c r="AP84" s="125"/>
      <c r="AQ84" s="170"/>
      <c r="AR84" s="166">
        <v>57717</v>
      </c>
      <c r="AS84" s="15">
        <v>1497</v>
      </c>
      <c r="AT84" s="15">
        <v>3637</v>
      </c>
      <c r="AU84" s="52">
        <v>1150</v>
      </c>
      <c r="AV84" s="52">
        <v>409</v>
      </c>
      <c r="AW84" s="52">
        <v>210</v>
      </c>
      <c r="AX84" s="52">
        <v>143</v>
      </c>
      <c r="AY84" s="77">
        <v>97.55</v>
      </c>
      <c r="AZ84" s="554">
        <f t="shared" si="359"/>
        <v>2.6821556227660158E-2</v>
      </c>
      <c r="BA84" s="554">
        <f t="shared" si="360"/>
        <v>0.68216783216783217</v>
      </c>
      <c r="BB84" s="555">
        <f t="shared" si="361"/>
        <v>2.5936899007224908E-2</v>
      </c>
      <c r="BC84" s="553">
        <v>54</v>
      </c>
      <c r="BD84" s="553"/>
      <c r="BE84" s="553"/>
      <c r="BF84" s="1192">
        <f t="shared" si="347"/>
        <v>1.8064814814814814</v>
      </c>
      <c r="BG84" s="544">
        <f t="shared" si="348"/>
        <v>3.6072144288577156E-2</v>
      </c>
      <c r="BH84" s="125"/>
      <c r="BI84" s="170"/>
      <c r="BJ84" s="166">
        <v>2059</v>
      </c>
      <c r="BK84" s="15">
        <v>37</v>
      </c>
      <c r="BL84" s="15">
        <v>132</v>
      </c>
      <c r="BM84" s="52">
        <v>36</v>
      </c>
      <c r="BN84" s="52">
        <v>14</v>
      </c>
      <c r="BO84" s="52">
        <v>7</v>
      </c>
      <c r="BP84" s="52">
        <v>3</v>
      </c>
      <c r="BQ84" s="77">
        <v>4.04</v>
      </c>
      <c r="BR84" s="554">
        <f t="shared" si="362"/>
        <v>3.0606060606060605E-2</v>
      </c>
      <c r="BS84" s="554">
        <f t="shared" si="363"/>
        <v>1.3466666666666667</v>
      </c>
      <c r="BT84" s="555">
        <f t="shared" si="364"/>
        <v>1.7969888295288974E-2</v>
      </c>
      <c r="BU84" s="553">
        <v>1</v>
      </c>
      <c r="BV84" s="553"/>
      <c r="BW84" s="553"/>
      <c r="BX84" s="1192">
        <f t="shared" si="351"/>
        <v>4.04</v>
      </c>
      <c r="BY84" s="544">
        <f t="shared" si="352"/>
        <v>2.7027027027027029E-2</v>
      </c>
      <c r="BZ84" s="125"/>
      <c r="CA84" s="170"/>
    </row>
    <row r="85" spans="2:79">
      <c r="B85" s="189">
        <v>44869</v>
      </c>
      <c r="C85" s="15">
        <v>326709</v>
      </c>
      <c r="D85" s="15">
        <v>7705</v>
      </c>
      <c r="E85" s="15">
        <v>19557</v>
      </c>
      <c r="F85" s="52">
        <v>6865</v>
      </c>
      <c r="G85" s="52">
        <v>2577</v>
      </c>
      <c r="H85" s="52">
        <v>1305</v>
      </c>
      <c r="I85" s="52">
        <v>793</v>
      </c>
      <c r="J85" s="904">
        <v>506.03</v>
      </c>
      <c r="K85" s="73">
        <f>SUM($J$66:$J$70,$J$79:J85)/$D$10</f>
        <v>0.65043142948954447</v>
      </c>
      <c r="L85" s="305">
        <f t="shared" si="263"/>
        <v>2.3583678441671335E-2</v>
      </c>
      <c r="M85" s="995">
        <f t="shared" si="239"/>
        <v>14003.833333333336</v>
      </c>
      <c r="N85" s="1002">
        <f t="shared" si="365"/>
        <v>2.5874622897172368E-2</v>
      </c>
      <c r="O85" s="1121">
        <f t="shared" si="366"/>
        <v>0.63812105926860019</v>
      </c>
      <c r="P85" s="380">
        <f t="shared" si="367"/>
        <v>1.3965461837830115</v>
      </c>
      <c r="Q85" s="143">
        <v>216</v>
      </c>
      <c r="R85" s="52"/>
      <c r="S85" s="52"/>
      <c r="T85" s="1003">
        <f t="shared" si="243"/>
        <v>242.84104046242777</v>
      </c>
      <c r="U85" s="1004">
        <f t="shared" si="318"/>
        <v>0.88947074015448147</v>
      </c>
      <c r="V85" s="1005">
        <f t="shared" si="368"/>
        <v>2.3427314814814815</v>
      </c>
      <c r="W85" s="544">
        <f t="shared" si="369"/>
        <v>2.8033744321868916E-2</v>
      </c>
      <c r="X85" s="687">
        <v>8.3419277108433736</v>
      </c>
      <c r="Y85" s="392">
        <v>0.93590361445783132</v>
      </c>
      <c r="Z85" s="166">
        <v>257060</v>
      </c>
      <c r="AA85" s="15">
        <v>5851</v>
      </c>
      <c r="AB85" s="15">
        <v>15334</v>
      </c>
      <c r="AC85" s="52">
        <v>5477</v>
      </c>
      <c r="AD85" s="52">
        <v>2050</v>
      </c>
      <c r="AE85" s="52">
        <v>1048</v>
      </c>
      <c r="AF85" s="52">
        <v>632</v>
      </c>
      <c r="AG85" s="77">
        <v>388.69</v>
      </c>
      <c r="AH85" s="554">
        <f t="shared" si="370"/>
        <v>2.534824572844659E-2</v>
      </c>
      <c r="AI85" s="554">
        <f t="shared" si="371"/>
        <v>0.61501582278481015</v>
      </c>
      <c r="AJ85" s="555">
        <f t="shared" si="372"/>
        <v>2.2761223060764023E-2</v>
      </c>
      <c r="AK85" s="902">
        <v>166</v>
      </c>
      <c r="AL85" s="553"/>
      <c r="AM85" s="553"/>
      <c r="AN85" s="1202">
        <f t="shared" si="343"/>
        <v>2.3415060240963856</v>
      </c>
      <c r="AO85" s="1346">
        <f t="shared" si="358"/>
        <v>2.6699029126213591E-2</v>
      </c>
      <c r="AP85" s="125"/>
      <c r="AQ85" s="170"/>
      <c r="AR85" s="166">
        <v>67867</v>
      </c>
      <c r="AS85" s="15">
        <v>1806</v>
      </c>
      <c r="AT85" s="15">
        <v>4097</v>
      </c>
      <c r="AU85" s="52">
        <v>1351</v>
      </c>
      <c r="AV85" s="52">
        <v>518</v>
      </c>
      <c r="AW85" s="52">
        <v>252</v>
      </c>
      <c r="AX85" s="52">
        <v>156</v>
      </c>
      <c r="AY85" s="77">
        <v>114.23</v>
      </c>
      <c r="AZ85" s="554">
        <f t="shared" si="359"/>
        <v>2.7881376617036858E-2</v>
      </c>
      <c r="BA85" s="554">
        <f t="shared" si="360"/>
        <v>0.73224358974358972</v>
      </c>
      <c r="BB85" s="555">
        <f t="shared" si="361"/>
        <v>2.6610871262911281E-2</v>
      </c>
      <c r="BC85" s="553">
        <v>50</v>
      </c>
      <c r="BD85" s="553"/>
      <c r="BE85" s="553"/>
      <c r="BF85" s="1192">
        <f t="shared" si="347"/>
        <v>2.2846000000000002</v>
      </c>
      <c r="BG85" s="544">
        <f t="shared" si="348"/>
        <v>2.768549280177187E-2</v>
      </c>
      <c r="BH85" s="125"/>
      <c r="BI85" s="170"/>
      <c r="BJ85" s="166">
        <v>1782</v>
      </c>
      <c r="BK85" s="15">
        <v>48</v>
      </c>
      <c r="BL85" s="15">
        <v>126</v>
      </c>
      <c r="BM85" s="52">
        <v>37</v>
      </c>
      <c r="BN85" s="52">
        <v>9</v>
      </c>
      <c r="BO85" s="52">
        <v>5</v>
      </c>
      <c r="BP85" s="52">
        <v>5</v>
      </c>
      <c r="BQ85" s="77">
        <v>3.11</v>
      </c>
      <c r="BR85" s="554">
        <f t="shared" si="362"/>
        <v>2.4682539682539681E-2</v>
      </c>
      <c r="BS85" s="554">
        <f t="shared" si="363"/>
        <v>0.622</v>
      </c>
      <c r="BT85" s="555">
        <f t="shared" si="364"/>
        <v>2.6936026936026935E-2</v>
      </c>
      <c r="BU85" s="553" t="s">
        <v>176</v>
      </c>
      <c r="BV85" s="553"/>
      <c r="BW85" s="553"/>
      <c r="BX85" s="1192" t="e">
        <f t="shared" si="351"/>
        <v>#VALUE!</v>
      </c>
      <c r="BY85" s="544" t="e">
        <f t="shared" si="352"/>
        <v>#VALUE!</v>
      </c>
      <c r="BZ85" s="125"/>
      <c r="CA85" s="170"/>
    </row>
    <row r="86" spans="2:79">
      <c r="B86" s="189">
        <v>44870</v>
      </c>
      <c r="C86" s="15">
        <v>295094</v>
      </c>
      <c r="D86" s="15">
        <v>6782</v>
      </c>
      <c r="E86" s="15">
        <v>17674</v>
      </c>
      <c r="F86" s="52">
        <v>6156</v>
      </c>
      <c r="G86" s="52">
        <v>2319</v>
      </c>
      <c r="H86" s="52">
        <v>1198</v>
      </c>
      <c r="I86" s="52">
        <v>722</v>
      </c>
      <c r="J86" s="904">
        <v>497.8</v>
      </c>
      <c r="K86" s="73">
        <f>SUM($J$66:$J$70,$J$79:J86)/$D$10</f>
        <v>0.68992855130936359</v>
      </c>
      <c r="L86" s="305">
        <f t="shared" si="263"/>
        <v>2.2982507268870259E-2</v>
      </c>
      <c r="M86" s="995">
        <f t="shared" si="239"/>
        <v>14003.833333333336</v>
      </c>
      <c r="N86" s="1002">
        <f t="shared" si="365"/>
        <v>2.8165667081588776E-2</v>
      </c>
      <c r="O86" s="1121">
        <f t="shared" si="366"/>
        <v>0.68947368421052635</v>
      </c>
      <c r="P86" s="380">
        <f t="shared" si="367"/>
        <v>1.2620830010830366</v>
      </c>
      <c r="Q86" s="143">
        <v>240</v>
      </c>
      <c r="R86" s="52"/>
      <c r="S86" s="52"/>
      <c r="T86" s="1003">
        <f t="shared" si="243"/>
        <v>242.84104046242777</v>
      </c>
      <c r="U86" s="1004">
        <f t="shared" si="318"/>
        <v>0.98830082239386829</v>
      </c>
      <c r="V86" s="1005">
        <f t="shared" si="368"/>
        <v>2.0741666666666667</v>
      </c>
      <c r="W86" s="544">
        <f t="shared" si="369"/>
        <v>3.5387791212031852E-2</v>
      </c>
      <c r="X86" s="687">
        <v>9.2628588516746397</v>
      </c>
      <c r="Y86" s="392">
        <v>0.93301435406698563</v>
      </c>
      <c r="Z86" s="166">
        <v>201316</v>
      </c>
      <c r="AA86" s="15">
        <v>4679</v>
      </c>
      <c r="AB86" s="15">
        <v>12282</v>
      </c>
      <c r="AC86" s="52">
        <v>4375</v>
      </c>
      <c r="AD86" s="52">
        <v>1679</v>
      </c>
      <c r="AE86" s="52">
        <v>871</v>
      </c>
      <c r="AF86" s="52">
        <v>526</v>
      </c>
      <c r="AG86" s="77">
        <v>339.8</v>
      </c>
      <c r="AH86" s="554">
        <f t="shared" si="370"/>
        <v>2.7666503826738319E-2</v>
      </c>
      <c r="AI86" s="554">
        <f t="shared" si="371"/>
        <v>0.64600760456273765</v>
      </c>
      <c r="AJ86" s="555">
        <f t="shared" si="372"/>
        <v>2.3242067197838223E-2</v>
      </c>
      <c r="AK86" s="902">
        <v>152</v>
      </c>
      <c r="AL86" s="553"/>
      <c r="AM86" s="553"/>
      <c r="AN86" s="1202">
        <f t="shared" si="343"/>
        <v>2.2355263157894738</v>
      </c>
      <c r="AO86" s="1346">
        <f t="shared" si="358"/>
        <v>2.8371218595111946E-2</v>
      </c>
      <c r="AP86" s="125"/>
      <c r="AQ86" s="170"/>
      <c r="AR86" s="166">
        <v>91925</v>
      </c>
      <c r="AS86" s="15">
        <v>2057</v>
      </c>
      <c r="AT86" s="15">
        <v>5249</v>
      </c>
      <c r="AU86" s="52">
        <v>1747</v>
      </c>
      <c r="AV86" s="52">
        <v>629</v>
      </c>
      <c r="AW86" s="52">
        <v>320</v>
      </c>
      <c r="AX86" s="52">
        <v>190</v>
      </c>
      <c r="AY86" s="77">
        <v>154.5</v>
      </c>
      <c r="AZ86" s="554">
        <f t="shared" si="359"/>
        <v>2.9434177938654982E-2</v>
      </c>
      <c r="BA86" s="554">
        <f t="shared" si="360"/>
        <v>0.81315789473684208</v>
      </c>
      <c r="BB86" s="555">
        <f t="shared" si="361"/>
        <v>2.2376937720968181E-2</v>
      </c>
      <c r="BC86" s="553">
        <v>88</v>
      </c>
      <c r="BD86" s="553"/>
      <c r="BE86" s="553"/>
      <c r="BF86" s="1192">
        <f t="shared" si="347"/>
        <v>1.7556818181818181</v>
      </c>
      <c r="BG86" s="544">
        <f t="shared" si="348"/>
        <v>4.2780748663101602E-2</v>
      </c>
      <c r="BH86" s="125"/>
      <c r="BI86" s="170"/>
      <c r="BJ86" s="166">
        <v>1853</v>
      </c>
      <c r="BK86" s="15">
        <v>46</v>
      </c>
      <c r="BL86" s="15">
        <v>143</v>
      </c>
      <c r="BM86" s="52">
        <v>34</v>
      </c>
      <c r="BN86" s="52">
        <v>11</v>
      </c>
      <c r="BO86" s="52">
        <v>7</v>
      </c>
      <c r="BP86" s="52">
        <v>6</v>
      </c>
      <c r="BQ86" s="77">
        <v>3.5</v>
      </c>
      <c r="BR86" s="554">
        <f t="shared" si="362"/>
        <v>2.4475524475524476E-2</v>
      </c>
      <c r="BS86" s="554">
        <f t="shared" si="363"/>
        <v>0.58333333333333337</v>
      </c>
      <c r="BT86" s="555">
        <f t="shared" si="364"/>
        <v>2.48246087425796E-2</v>
      </c>
      <c r="BU86" s="553" t="s">
        <v>176</v>
      </c>
      <c r="BV86" s="553"/>
      <c r="BW86" s="553"/>
      <c r="BX86" s="1192" t="e">
        <f t="shared" si="351"/>
        <v>#VALUE!</v>
      </c>
      <c r="BY86" s="544" t="e">
        <f t="shared" si="352"/>
        <v>#VALUE!</v>
      </c>
      <c r="BZ86" s="125"/>
      <c r="CA86" s="170"/>
    </row>
    <row r="87" spans="2:79">
      <c r="B87" s="190" t="s">
        <v>160</v>
      </c>
      <c r="C87" s="27">
        <f>SUM(C80:C86)</f>
        <v>1895910</v>
      </c>
      <c r="D87" s="27">
        <f t="shared" ref="D87:I87" si="373">SUM(D80:D86)</f>
        <v>48945</v>
      </c>
      <c r="E87" s="27">
        <f t="shared" si="373"/>
        <v>113692</v>
      </c>
      <c r="F87" s="27">
        <f t="shared" si="373"/>
        <v>39903</v>
      </c>
      <c r="G87" s="27">
        <f t="shared" si="373"/>
        <v>15411</v>
      </c>
      <c r="H87" s="27">
        <f t="shared" si="373"/>
        <v>7884</v>
      </c>
      <c r="I87" s="27">
        <f t="shared" si="373"/>
        <v>4721</v>
      </c>
      <c r="J87" s="905">
        <f>SUM(J80:J86)</f>
        <v>3218.3900000000003</v>
      </c>
      <c r="K87" s="1341">
        <f>SUM(J66:J70,J79,J87)/$D$10</f>
        <v>0.68992855130936359</v>
      </c>
      <c r="L87" s="211">
        <f t="shared" ref="L87" si="374">D87/C87</f>
        <v>2.5816098865452473E-2</v>
      </c>
      <c r="M87" s="56">
        <f>SUM(M80:M86)</f>
        <v>98026.833333333372</v>
      </c>
      <c r="N87" s="1340">
        <f t="shared" ref="N87" si="375">J87/E87</f>
        <v>2.8307972416704786E-2</v>
      </c>
      <c r="O87" s="1340">
        <f t="shared" ref="O87" si="376">J87/I87</f>
        <v>0.68171785638635884</v>
      </c>
      <c r="P87" s="154">
        <f t="shared" ref="P87" si="377">E87/M87</f>
        <v>1.1598048833567676</v>
      </c>
      <c r="Q87" s="144">
        <f>SUM(Q80:Q86)</f>
        <v>1518</v>
      </c>
      <c r="R87" s="56"/>
      <c r="S87" s="56"/>
      <c r="T87" s="56">
        <f>SUM(T80:T86)</f>
        <v>1699.8872832369946</v>
      </c>
      <c r="U87" s="140">
        <f>Q87/T87</f>
        <v>0.8930003859487452</v>
      </c>
      <c r="V87" s="237">
        <f>J87/Q87</f>
        <v>2.1201515151515156</v>
      </c>
      <c r="W87" s="317">
        <f>Q87/D87</f>
        <v>3.1014403922770457E-2</v>
      </c>
      <c r="X87" s="682">
        <f>AVERAGE(X80:X86)</f>
        <v>7.5861595237928965</v>
      </c>
      <c r="Y87" s="317">
        <f>AVERAGE(Y80:Y86)</f>
        <v>0.90218255182358698</v>
      </c>
      <c r="Z87" s="164">
        <f>SUM(Z80:Z86)</f>
        <v>1530058</v>
      </c>
      <c r="AA87" s="298">
        <f t="shared" ref="AA87:AG87" si="378">SUM(AA80:AA86)</f>
        <v>38850</v>
      </c>
      <c r="AB87" s="298">
        <f t="shared" si="378"/>
        <v>89971</v>
      </c>
      <c r="AC87" s="298">
        <f t="shared" si="378"/>
        <v>32153</v>
      </c>
      <c r="AD87" s="298">
        <f t="shared" si="378"/>
        <v>12544</v>
      </c>
      <c r="AE87" s="298">
        <f t="shared" si="378"/>
        <v>6462</v>
      </c>
      <c r="AF87" s="298">
        <f t="shared" si="378"/>
        <v>3833</v>
      </c>
      <c r="AG87" s="479">
        <f t="shared" si="378"/>
        <v>2539.6200000000003</v>
      </c>
      <c r="AH87" s="549">
        <f>AG87/AB87</f>
        <v>2.8227095397405835E-2</v>
      </c>
      <c r="AI87" s="549">
        <f>AG87/AF87</f>
        <v>0.66256717975476143</v>
      </c>
      <c r="AJ87" s="550">
        <f>AA87/Z87</f>
        <v>2.5391194320738168E-2</v>
      </c>
      <c r="AK87" s="551">
        <f t="shared" ref="AK87" si="379">SUM(AK80:AK86)</f>
        <v>1168</v>
      </c>
      <c r="AL87" s="298"/>
      <c r="AM87" s="298"/>
      <c r="AN87" s="552">
        <f t="shared" ref="AN87" si="380">AG87/AK87</f>
        <v>2.174332191780822</v>
      </c>
      <c r="AO87" s="1347">
        <f t="shared" ref="AO87" si="381">AK87/AA87</f>
        <v>3.0064350064350064E-2</v>
      </c>
      <c r="AP87" s="126"/>
      <c r="AQ87" s="171"/>
      <c r="AR87" s="164">
        <f>SUM(AR80:AR86)</f>
        <v>351496</v>
      </c>
      <c r="AS87" s="27">
        <f t="shared" ref="AS87:AY87" si="382">SUM(AS80:AS86)</f>
        <v>9731</v>
      </c>
      <c r="AT87" s="27">
        <f t="shared" si="382"/>
        <v>22741</v>
      </c>
      <c r="AU87" s="27">
        <f t="shared" si="382"/>
        <v>7494</v>
      </c>
      <c r="AV87" s="27">
        <f t="shared" si="382"/>
        <v>2787</v>
      </c>
      <c r="AW87" s="27">
        <f t="shared" si="382"/>
        <v>1380</v>
      </c>
      <c r="AX87" s="27">
        <f t="shared" si="382"/>
        <v>862</v>
      </c>
      <c r="AY87" s="479">
        <f t="shared" si="382"/>
        <v>650.54999999999995</v>
      </c>
      <c r="AZ87" s="549">
        <f>AY87/AT87</f>
        <v>2.8606921419462642E-2</v>
      </c>
      <c r="BA87" s="549">
        <f>AY87/AX87</f>
        <v>0.7546983758700696</v>
      </c>
      <c r="BB87" s="550">
        <f>AS87/AR87</f>
        <v>2.7684525570703507E-2</v>
      </c>
      <c r="BC87" s="551">
        <f t="shared" ref="BC87" si="383">SUM(BC80:BC86)</f>
        <v>346</v>
      </c>
      <c r="BD87" s="298"/>
      <c r="BE87" s="298"/>
      <c r="BF87" s="552">
        <f t="shared" ref="BF87" si="384">AY87/BC87</f>
        <v>1.8802023121387281</v>
      </c>
      <c r="BG87" s="1138">
        <f t="shared" ref="BG87" si="385">BC87/AS87</f>
        <v>3.5556469016545064E-2</v>
      </c>
      <c r="BH87" s="126"/>
      <c r="BI87" s="171"/>
      <c r="BJ87" s="164">
        <f>SUM(BJ80:BJ86)</f>
        <v>14356</v>
      </c>
      <c r="BK87" s="27">
        <f t="shared" ref="BK87:BQ87" si="386">SUM(BK80:BK86)</f>
        <v>364</v>
      </c>
      <c r="BL87" s="27">
        <f t="shared" si="386"/>
        <v>980</v>
      </c>
      <c r="BM87" s="27">
        <f t="shared" si="386"/>
        <v>256</v>
      </c>
      <c r="BN87" s="27">
        <f t="shared" si="386"/>
        <v>80</v>
      </c>
      <c r="BO87" s="27">
        <f t="shared" si="386"/>
        <v>42</v>
      </c>
      <c r="BP87" s="27">
        <f t="shared" si="386"/>
        <v>26</v>
      </c>
      <c r="BQ87" s="479">
        <f t="shared" si="386"/>
        <v>28.22</v>
      </c>
      <c r="BR87" s="549">
        <f>BQ87/BL87</f>
        <v>2.8795918367346938E-2</v>
      </c>
      <c r="BS87" s="549">
        <f>BQ87/BP87</f>
        <v>1.0853846153846154</v>
      </c>
      <c r="BT87" s="550">
        <f>BK87/BJ87</f>
        <v>2.5355252159375872E-2</v>
      </c>
      <c r="BU87" s="551">
        <f t="shared" ref="BU87" si="387">SUM(BU80:BU86)</f>
        <v>4</v>
      </c>
      <c r="BV87" s="298"/>
      <c r="BW87" s="298"/>
      <c r="BX87" s="552">
        <f t="shared" ref="BX87" si="388">BQ87/BU87</f>
        <v>7.0549999999999997</v>
      </c>
      <c r="BY87" s="1138">
        <f t="shared" ref="BY87" si="389">BU87/BK87</f>
        <v>1.098901098901099E-2</v>
      </c>
      <c r="BZ87" s="126"/>
      <c r="CA87" s="171"/>
    </row>
    <row r="88" spans="2:79">
      <c r="B88" s="187">
        <v>44871</v>
      </c>
      <c r="C88" s="15">
        <v>292865</v>
      </c>
      <c r="D88" s="15">
        <v>6536</v>
      </c>
      <c r="E88" s="15">
        <v>17531</v>
      </c>
      <c r="F88" s="52">
        <v>6133</v>
      </c>
      <c r="G88" s="52">
        <v>2312</v>
      </c>
      <c r="H88" s="52">
        <v>1187</v>
      </c>
      <c r="I88" s="52">
        <v>686</v>
      </c>
      <c r="J88" s="904">
        <v>452.89</v>
      </c>
      <c r="K88" s="73">
        <f>SUM($J$66:$J$70,$J$79,$J$87:J88)/$D$10</f>
        <v>0.72586236308312391</v>
      </c>
      <c r="L88" s="305">
        <f t="shared" si="263"/>
        <v>2.231745001963362E-2</v>
      </c>
      <c r="M88" s="995">
        <f t="shared" si="239"/>
        <v>14003.833333333336</v>
      </c>
      <c r="N88" s="1002">
        <f t="shared" si="365"/>
        <v>2.5833666077234613E-2</v>
      </c>
      <c r="O88" s="1121">
        <f t="shared" si="366"/>
        <v>0.6601895043731778</v>
      </c>
      <c r="P88" s="380">
        <f t="shared" si="367"/>
        <v>1.2518715113718861</v>
      </c>
      <c r="Q88" s="143">
        <v>208</v>
      </c>
      <c r="R88" s="52"/>
      <c r="S88" s="52"/>
      <c r="T88" s="1003">
        <f t="shared" si="243"/>
        <v>242.84104046242777</v>
      </c>
      <c r="U88" s="1004">
        <f t="shared" si="318"/>
        <v>0.85652737940801915</v>
      </c>
      <c r="V88" s="1005">
        <f t="shared" si="368"/>
        <v>2.1773557692307692</v>
      </c>
      <c r="W88" s="544">
        <f t="shared" si="369"/>
        <v>3.182374541003672E-2</v>
      </c>
      <c r="X88" s="687">
        <v>8.4993404363267366</v>
      </c>
      <c r="Y88" s="392">
        <v>0.89020801623541346</v>
      </c>
      <c r="Z88" s="166">
        <v>211241</v>
      </c>
      <c r="AA88" s="15">
        <v>4747</v>
      </c>
      <c r="AB88" s="15">
        <v>12640</v>
      </c>
      <c r="AC88" s="52">
        <v>4508</v>
      </c>
      <c r="AD88" s="52">
        <v>1715</v>
      </c>
      <c r="AE88" s="52">
        <v>889</v>
      </c>
      <c r="AF88" s="52">
        <v>506</v>
      </c>
      <c r="AG88" s="77">
        <v>324.20999999999998</v>
      </c>
      <c r="AH88" s="554">
        <f t="shared" si="370"/>
        <v>2.5649525316455694E-2</v>
      </c>
      <c r="AI88" s="554">
        <f t="shared" si="371"/>
        <v>0.64073122529644266</v>
      </c>
      <c r="AJ88" s="555">
        <f t="shared" si="372"/>
        <v>2.2471963302578571E-2</v>
      </c>
      <c r="AK88" s="902">
        <v>135</v>
      </c>
      <c r="AL88" s="553"/>
      <c r="AM88" s="553"/>
      <c r="AN88" s="1202">
        <f t="shared" si="343"/>
        <v>2.4015555555555554</v>
      </c>
      <c r="AO88" s="1346">
        <f t="shared" si="358"/>
        <v>3.0064350064350064E-2</v>
      </c>
      <c r="AP88" s="125"/>
      <c r="AQ88" s="170"/>
      <c r="AR88" s="166">
        <v>80138</v>
      </c>
      <c r="AS88" s="15">
        <v>1755</v>
      </c>
      <c r="AT88" s="15">
        <v>4792</v>
      </c>
      <c r="AU88" s="52">
        <v>1599</v>
      </c>
      <c r="AV88" s="52">
        <v>589</v>
      </c>
      <c r="AW88" s="52">
        <v>293</v>
      </c>
      <c r="AX88" s="52">
        <v>178</v>
      </c>
      <c r="AY88" s="77">
        <v>126.21</v>
      </c>
      <c r="AZ88" s="554">
        <f t="shared" si="359"/>
        <v>2.6337646076794657E-2</v>
      </c>
      <c r="BA88" s="554">
        <f t="shared" si="360"/>
        <v>0.70904494382022465</v>
      </c>
      <c r="BB88" s="555">
        <f t="shared" si="361"/>
        <v>2.1899722977863186E-2</v>
      </c>
      <c r="BC88" s="553">
        <v>73</v>
      </c>
      <c r="BD88" s="553"/>
      <c r="BE88" s="553"/>
      <c r="BF88" s="1192">
        <f t="shared" si="347"/>
        <v>1.7289041095890409</v>
      </c>
      <c r="BG88" s="544">
        <f t="shared" si="348"/>
        <v>4.1595441595441596E-2</v>
      </c>
      <c r="BH88" s="125"/>
      <c r="BI88" s="170"/>
      <c r="BJ88" s="166">
        <v>1486</v>
      </c>
      <c r="BK88" s="15">
        <v>34</v>
      </c>
      <c r="BL88" s="15">
        <v>99</v>
      </c>
      <c r="BM88" s="52">
        <v>26</v>
      </c>
      <c r="BN88" s="52">
        <v>8</v>
      </c>
      <c r="BO88" s="52">
        <v>5</v>
      </c>
      <c r="BP88" s="52">
        <v>2</v>
      </c>
      <c r="BQ88" s="77">
        <v>2.4700000000000002</v>
      </c>
      <c r="BR88" s="554">
        <f t="shared" si="362"/>
        <v>2.4949494949494951E-2</v>
      </c>
      <c r="BS88" s="554">
        <f t="shared" si="363"/>
        <v>1.2350000000000001</v>
      </c>
      <c r="BT88" s="555">
        <f t="shared" si="364"/>
        <v>2.2880215343203229E-2</v>
      </c>
      <c r="BU88" s="553"/>
      <c r="BV88" s="553"/>
      <c r="BW88" s="553"/>
      <c r="BX88" s="1192" t="e">
        <f t="shared" si="351"/>
        <v>#DIV/0!</v>
      </c>
      <c r="BY88" s="544">
        <f t="shared" si="352"/>
        <v>0</v>
      </c>
      <c r="BZ88" s="125"/>
      <c r="CA88" s="170"/>
    </row>
    <row r="89" spans="2:79">
      <c r="B89" s="187">
        <v>44872</v>
      </c>
      <c r="C89" s="15">
        <v>289587</v>
      </c>
      <c r="D89" s="15">
        <v>6053</v>
      </c>
      <c r="E89" s="15">
        <v>17596</v>
      </c>
      <c r="F89" s="52">
        <v>6203</v>
      </c>
      <c r="G89" s="52">
        <v>2412</v>
      </c>
      <c r="H89" s="52">
        <v>1230</v>
      </c>
      <c r="I89" s="52">
        <v>723</v>
      </c>
      <c r="J89" s="904">
        <v>439.5</v>
      </c>
      <c r="K89" s="73">
        <f>SUM($J$66:$J$70,$J$79,$J$87:J89)/$D$10</f>
        <v>0.76073376734148179</v>
      </c>
      <c r="L89" s="305">
        <f t="shared" si="263"/>
        <v>2.0902181382451559E-2</v>
      </c>
      <c r="M89" s="995">
        <f t="shared" si="239"/>
        <v>14003.833333333336</v>
      </c>
      <c r="N89" s="1002">
        <f t="shared" si="365"/>
        <v>2.4977267560809275E-2</v>
      </c>
      <c r="O89" s="1121">
        <f t="shared" si="366"/>
        <v>0.60788381742738584</v>
      </c>
      <c r="P89" s="380">
        <f t="shared" si="367"/>
        <v>1.2565130976042271</v>
      </c>
      <c r="Q89" s="143">
        <v>182</v>
      </c>
      <c r="R89" s="52"/>
      <c r="S89" s="52"/>
      <c r="T89" s="1003">
        <f t="shared" si="243"/>
        <v>242.84104046242777</v>
      </c>
      <c r="U89" s="1004">
        <f t="shared" si="318"/>
        <v>0.74946145698201672</v>
      </c>
      <c r="V89" s="1005">
        <f t="shared" si="368"/>
        <v>2.4148351648351647</v>
      </c>
      <c r="W89" s="544">
        <f t="shared" si="369"/>
        <v>3.0067735007434329E-2</v>
      </c>
      <c r="X89" s="687">
        <v>0.84288097886540592</v>
      </c>
      <c r="Y89" s="392">
        <v>0.94535595105672976</v>
      </c>
      <c r="Z89" s="166">
        <v>215650</v>
      </c>
      <c r="AA89" s="15">
        <v>4591</v>
      </c>
      <c r="AB89" s="15">
        <v>12892</v>
      </c>
      <c r="AC89" s="52">
        <v>4679</v>
      </c>
      <c r="AD89" s="52">
        <v>1829</v>
      </c>
      <c r="AE89" s="52">
        <v>941</v>
      </c>
      <c r="AF89" s="52">
        <v>542</v>
      </c>
      <c r="AG89" s="77">
        <v>327.93</v>
      </c>
      <c r="AH89" s="554">
        <f t="shared" si="370"/>
        <v>2.5436704933291965E-2</v>
      </c>
      <c r="AI89" s="554">
        <f t="shared" si="371"/>
        <v>0.60503690036900371</v>
      </c>
      <c r="AJ89" s="555">
        <f t="shared" si="372"/>
        <v>2.1289125898446556E-2</v>
      </c>
      <c r="AK89" s="902">
        <v>124</v>
      </c>
      <c r="AL89" s="553"/>
      <c r="AM89" s="553"/>
      <c r="AN89" s="1202">
        <f t="shared" si="343"/>
        <v>2.6445967741935483</v>
      </c>
      <c r="AO89" s="1346">
        <f t="shared" si="358"/>
        <v>2.8439014114177374E-2</v>
      </c>
      <c r="AP89" s="125"/>
      <c r="AQ89" s="170"/>
      <c r="AR89" s="166">
        <v>72286</v>
      </c>
      <c r="AS89" s="15">
        <v>1411</v>
      </c>
      <c r="AT89" s="15">
        <v>4601</v>
      </c>
      <c r="AU89" s="52">
        <v>1494</v>
      </c>
      <c r="AV89" s="52">
        <v>577</v>
      </c>
      <c r="AW89" s="52">
        <v>286</v>
      </c>
      <c r="AX89" s="52">
        <v>179</v>
      </c>
      <c r="AY89" s="77">
        <v>108.3</v>
      </c>
      <c r="AZ89" s="554">
        <f t="shared" si="359"/>
        <v>2.3538361225820474E-2</v>
      </c>
      <c r="BA89" s="554">
        <f t="shared" si="360"/>
        <v>0.60502793296089385</v>
      </c>
      <c r="BB89" s="555">
        <f t="shared" si="361"/>
        <v>1.9519685692941924E-2</v>
      </c>
      <c r="BC89" s="553">
        <v>58</v>
      </c>
      <c r="BD89" s="553"/>
      <c r="BE89" s="553"/>
      <c r="BF89" s="1192">
        <f t="shared" si="347"/>
        <v>1.8672413793103448</v>
      </c>
      <c r="BG89" s="544">
        <f t="shared" si="348"/>
        <v>4.1105598866052445E-2</v>
      </c>
      <c r="BH89" s="125"/>
      <c r="BI89" s="170"/>
      <c r="BJ89" s="166">
        <v>1651</v>
      </c>
      <c r="BK89" s="15">
        <v>51</v>
      </c>
      <c r="BL89" s="15">
        <v>103</v>
      </c>
      <c r="BM89" s="52">
        <v>30</v>
      </c>
      <c r="BN89" s="52">
        <v>6</v>
      </c>
      <c r="BO89" s="52">
        <v>3</v>
      </c>
      <c r="BP89" s="52">
        <v>2</v>
      </c>
      <c r="BQ89" s="77">
        <v>3.27</v>
      </c>
      <c r="BR89" s="554">
        <f t="shared" si="362"/>
        <v>3.1747572815533982E-2</v>
      </c>
      <c r="BS89" s="554">
        <f t="shared" si="363"/>
        <v>1.635</v>
      </c>
      <c r="BT89" s="555">
        <f t="shared" si="364"/>
        <v>3.0890369473046637E-2</v>
      </c>
      <c r="BU89" s="553"/>
      <c r="BV89" s="553"/>
      <c r="BW89" s="553"/>
      <c r="BX89" s="1192" t="e">
        <f t="shared" si="351"/>
        <v>#DIV/0!</v>
      </c>
      <c r="BY89" s="544">
        <f t="shared" si="352"/>
        <v>0</v>
      </c>
      <c r="BZ89" s="125"/>
      <c r="CA89" s="170"/>
    </row>
    <row r="90" spans="2:79">
      <c r="B90" s="187">
        <v>44873</v>
      </c>
      <c r="C90" s="15">
        <v>271898</v>
      </c>
      <c r="D90" s="15">
        <v>6213</v>
      </c>
      <c r="E90" s="15">
        <v>15867</v>
      </c>
      <c r="F90" s="52">
        <v>5538</v>
      </c>
      <c r="G90" s="52">
        <v>2136</v>
      </c>
      <c r="H90" s="52">
        <v>1122</v>
      </c>
      <c r="I90" s="52">
        <v>664</v>
      </c>
      <c r="J90" s="904">
        <v>465.51</v>
      </c>
      <c r="K90" s="73">
        <f>SUM($J$66:$J$70,$J$79,$J$87:J90)/$D$10</f>
        <v>0.7976688922477575</v>
      </c>
      <c r="L90" s="305">
        <f t="shared" si="263"/>
        <v>2.2850480694966493E-2</v>
      </c>
      <c r="M90" s="995">
        <f t="shared" si="239"/>
        <v>14003.833333333336</v>
      </c>
      <c r="N90" s="1002">
        <f t="shared" si="365"/>
        <v>2.9338249196445454E-2</v>
      </c>
      <c r="O90" s="1121">
        <f t="shared" si="366"/>
        <v>0.7010692771084337</v>
      </c>
      <c r="P90" s="380">
        <f t="shared" si="367"/>
        <v>1.1330469038239528</v>
      </c>
      <c r="Q90" s="143">
        <v>208</v>
      </c>
      <c r="R90" s="52"/>
      <c r="S90" s="52"/>
      <c r="T90" s="1003">
        <f t="shared" si="243"/>
        <v>242.84104046242777</v>
      </c>
      <c r="U90" s="1004">
        <f t="shared" si="318"/>
        <v>0.85652737940801915</v>
      </c>
      <c r="V90" s="1005">
        <f t="shared" si="368"/>
        <v>2.238028846153846</v>
      </c>
      <c r="W90" s="544">
        <f t="shared" si="369"/>
        <v>3.3478190890069211E-2</v>
      </c>
      <c r="X90" s="687">
        <v>1.3826815642458101</v>
      </c>
      <c r="Y90" s="392">
        <v>0.97486033519553073</v>
      </c>
      <c r="Z90" s="166">
        <v>216770</v>
      </c>
      <c r="AA90" s="15">
        <v>5097</v>
      </c>
      <c r="AB90" s="15">
        <v>12451</v>
      </c>
      <c r="AC90" s="52">
        <v>4440</v>
      </c>
      <c r="AD90" s="52">
        <v>1712</v>
      </c>
      <c r="AE90" s="52">
        <v>898</v>
      </c>
      <c r="AF90" s="52">
        <v>523</v>
      </c>
      <c r="AG90" s="77">
        <v>371.32</v>
      </c>
      <c r="AH90" s="554">
        <f t="shared" si="370"/>
        <v>2.9822504216528791E-2</v>
      </c>
      <c r="AI90" s="554">
        <f t="shared" si="371"/>
        <v>0.709980879541109</v>
      </c>
      <c r="AJ90" s="555">
        <f t="shared" si="372"/>
        <v>2.3513401300918023E-2</v>
      </c>
      <c r="AK90" s="902">
        <v>179</v>
      </c>
      <c r="AL90" s="553"/>
      <c r="AM90" s="553"/>
      <c r="AN90" s="1202">
        <f t="shared" si="343"/>
        <v>2.0744134078212291</v>
      </c>
      <c r="AO90" s="1346">
        <f t="shared" si="358"/>
        <v>2.7009366151165323E-2</v>
      </c>
      <c r="AP90" s="125"/>
      <c r="AQ90" s="170"/>
      <c r="AR90" s="166">
        <v>53602</v>
      </c>
      <c r="AS90" s="15">
        <v>1086</v>
      </c>
      <c r="AT90" s="15">
        <v>3318</v>
      </c>
      <c r="AU90" s="52">
        <v>1077</v>
      </c>
      <c r="AV90" s="52">
        <v>416</v>
      </c>
      <c r="AW90" s="52">
        <v>219</v>
      </c>
      <c r="AX90" s="52">
        <v>138</v>
      </c>
      <c r="AY90" s="77">
        <v>91.24</v>
      </c>
      <c r="AZ90" s="554">
        <f t="shared" si="359"/>
        <v>2.7498493068113319E-2</v>
      </c>
      <c r="BA90" s="554">
        <f t="shared" si="360"/>
        <v>0.66115942028985508</v>
      </c>
      <c r="BB90" s="555">
        <f t="shared" si="361"/>
        <v>2.0260438043356591E-2</v>
      </c>
      <c r="BC90" s="553">
        <v>29</v>
      </c>
      <c r="BD90" s="553"/>
      <c r="BE90" s="553"/>
      <c r="BF90" s="1192">
        <f t="shared" si="347"/>
        <v>3.1462068965517238</v>
      </c>
      <c r="BG90" s="544">
        <f t="shared" si="348"/>
        <v>2.6703499079189688E-2</v>
      </c>
      <c r="BH90" s="125"/>
      <c r="BI90" s="170"/>
      <c r="BJ90" s="166">
        <v>1526</v>
      </c>
      <c r="BK90" s="15">
        <v>30</v>
      </c>
      <c r="BL90" s="15">
        <v>98</v>
      </c>
      <c r="BM90" s="52">
        <v>21</v>
      </c>
      <c r="BN90" s="52">
        <v>8</v>
      </c>
      <c r="BO90" s="52">
        <v>5</v>
      </c>
      <c r="BP90" s="52">
        <v>3</v>
      </c>
      <c r="BQ90" s="77">
        <v>2.95</v>
      </c>
      <c r="BR90" s="554">
        <f t="shared" si="362"/>
        <v>3.0102040816326531E-2</v>
      </c>
      <c r="BS90" s="554">
        <f t="shared" si="363"/>
        <v>0.98333333333333339</v>
      </c>
      <c r="BT90" s="555">
        <f t="shared" si="364"/>
        <v>1.9659239842726082E-2</v>
      </c>
      <c r="BU90" s="553"/>
      <c r="BV90" s="553"/>
      <c r="BW90" s="553"/>
      <c r="BX90" s="1192" t="e">
        <f t="shared" si="351"/>
        <v>#DIV/0!</v>
      </c>
      <c r="BY90" s="544">
        <f t="shared" si="352"/>
        <v>0</v>
      </c>
      <c r="BZ90" s="125"/>
      <c r="CA90" s="170"/>
    </row>
    <row r="91" spans="2:79">
      <c r="B91" s="187">
        <v>44874</v>
      </c>
      <c r="C91" s="15">
        <v>253796</v>
      </c>
      <c r="D91" s="15">
        <v>6008</v>
      </c>
      <c r="E91" s="15">
        <v>15368</v>
      </c>
      <c r="F91" s="52">
        <v>5473</v>
      </c>
      <c r="G91" s="52">
        <v>2068</v>
      </c>
      <c r="H91" s="52">
        <v>1057</v>
      </c>
      <c r="I91" s="52">
        <v>611</v>
      </c>
      <c r="J91" s="904">
        <v>449.85</v>
      </c>
      <c r="K91" s="73">
        <f>SUM($J$66:$J$70,$J$79,$J$87:J91)/$D$10</f>
        <v>0.8333615002241449</v>
      </c>
      <c r="L91" s="305">
        <f t="shared" si="263"/>
        <v>2.3672555911046667E-2</v>
      </c>
      <c r="M91" s="995">
        <f t="shared" si="239"/>
        <v>14003.833333333336</v>
      </c>
      <c r="N91" s="1002">
        <f t="shared" si="365"/>
        <v>2.9271863612701718E-2</v>
      </c>
      <c r="O91" s="1121">
        <f t="shared" si="366"/>
        <v>0.73625204582651393</v>
      </c>
      <c r="P91" s="380">
        <f t="shared" si="367"/>
        <v>1.0974138033633647</v>
      </c>
      <c r="Q91" s="143">
        <v>183</v>
      </c>
      <c r="R91" s="52"/>
      <c r="S91" s="52"/>
      <c r="T91" s="1003">
        <f t="shared" si="243"/>
        <v>242.84104046242777</v>
      </c>
      <c r="U91" s="1004">
        <f t="shared" si="318"/>
        <v>0.75357937707532452</v>
      </c>
      <c r="V91" s="1005">
        <f t="shared" si="368"/>
        <v>2.4581967213114755</v>
      </c>
      <c r="W91" s="544">
        <f t="shared" si="369"/>
        <v>3.0459387483355527E-2</v>
      </c>
      <c r="X91" s="687">
        <v>0.53165661694700095</v>
      </c>
      <c r="Y91" s="392">
        <v>0.98183116470961607</v>
      </c>
      <c r="Z91" s="166">
        <v>201855</v>
      </c>
      <c r="AA91" s="15">
        <v>4840</v>
      </c>
      <c r="AB91" s="15">
        <v>11999</v>
      </c>
      <c r="AC91" s="52">
        <v>4368</v>
      </c>
      <c r="AD91" s="52">
        <v>1641</v>
      </c>
      <c r="AE91" s="52">
        <v>855</v>
      </c>
      <c r="AF91" s="52">
        <v>485</v>
      </c>
      <c r="AG91" s="77">
        <v>356.46</v>
      </c>
      <c r="AH91" s="554">
        <f t="shared" si="370"/>
        <v>2.970747562296858E-2</v>
      </c>
      <c r="AI91" s="554">
        <f t="shared" si="371"/>
        <v>0.73496907216494844</v>
      </c>
      <c r="AJ91" s="555">
        <f t="shared" si="372"/>
        <v>2.3977607688687425E-2</v>
      </c>
      <c r="AK91" s="902">
        <v>137</v>
      </c>
      <c r="AL91" s="553"/>
      <c r="AM91" s="553"/>
      <c r="AN91" s="1202">
        <f t="shared" si="343"/>
        <v>2.6018978102189778</v>
      </c>
      <c r="AO91" s="1346">
        <f t="shared" si="358"/>
        <v>3.5118697272905633E-2</v>
      </c>
      <c r="AP91" s="125"/>
      <c r="AQ91" s="170"/>
      <c r="AR91" s="166">
        <v>50329</v>
      </c>
      <c r="AS91" s="15">
        <v>1118</v>
      </c>
      <c r="AT91" s="15">
        <v>3255</v>
      </c>
      <c r="AU91" s="52">
        <v>1080</v>
      </c>
      <c r="AV91" s="52">
        <v>420</v>
      </c>
      <c r="AW91" s="52">
        <v>197</v>
      </c>
      <c r="AX91" s="52">
        <v>124</v>
      </c>
      <c r="AY91" s="77">
        <v>89.59</v>
      </c>
      <c r="AZ91" s="554">
        <f t="shared" si="359"/>
        <v>2.7523809523809523E-2</v>
      </c>
      <c r="BA91" s="554">
        <f t="shared" si="360"/>
        <v>0.72250000000000003</v>
      </c>
      <c r="BB91" s="555">
        <f t="shared" si="361"/>
        <v>2.2213832978998191E-2</v>
      </c>
      <c r="BC91" s="553">
        <v>46</v>
      </c>
      <c r="BD91" s="553"/>
      <c r="BE91" s="553"/>
      <c r="BF91" s="1192">
        <f t="shared" si="347"/>
        <v>1.9476086956521741</v>
      </c>
      <c r="BG91" s="544">
        <f t="shared" si="348"/>
        <v>4.1144901610017888E-2</v>
      </c>
      <c r="BH91" s="125"/>
      <c r="BI91" s="170"/>
      <c r="BJ91" s="166">
        <v>1612</v>
      </c>
      <c r="BK91" s="15">
        <v>50</v>
      </c>
      <c r="BL91" s="15">
        <v>114</v>
      </c>
      <c r="BM91" s="52">
        <v>25</v>
      </c>
      <c r="BN91" s="52">
        <v>7</v>
      </c>
      <c r="BO91" s="52">
        <v>5</v>
      </c>
      <c r="BP91" s="52">
        <v>2</v>
      </c>
      <c r="BQ91" s="77">
        <v>3.8</v>
      </c>
      <c r="BR91" s="554">
        <f t="shared" si="362"/>
        <v>3.3333333333333333E-2</v>
      </c>
      <c r="BS91" s="554">
        <f t="shared" si="363"/>
        <v>1.9</v>
      </c>
      <c r="BT91" s="555">
        <f t="shared" si="364"/>
        <v>3.1017369727047148E-2</v>
      </c>
      <c r="BU91" s="553" t="s">
        <v>176</v>
      </c>
      <c r="BV91" s="553"/>
      <c r="BW91" s="553"/>
      <c r="BX91" s="1192" t="e">
        <f t="shared" si="351"/>
        <v>#VALUE!</v>
      </c>
      <c r="BY91" s="544" t="e">
        <f t="shared" si="352"/>
        <v>#VALUE!</v>
      </c>
      <c r="BZ91" s="125"/>
      <c r="CA91" s="170"/>
    </row>
    <row r="92" spans="2:79">
      <c r="B92" s="187">
        <v>44875</v>
      </c>
      <c r="C92" s="15">
        <v>234446</v>
      </c>
      <c r="D92" s="15">
        <v>5283</v>
      </c>
      <c r="E92" s="15">
        <v>13600</v>
      </c>
      <c r="F92" s="52">
        <v>4778</v>
      </c>
      <c r="G92" s="52">
        <v>1814</v>
      </c>
      <c r="H92" s="52">
        <v>898</v>
      </c>
      <c r="I92" s="52">
        <v>516</v>
      </c>
      <c r="J92" s="904">
        <v>425.42</v>
      </c>
      <c r="K92" s="73">
        <f>SUM($J$66:$J$70,$J$79,$J$87:J92)/$D$10</f>
        <v>0.86711575005256492</v>
      </c>
      <c r="L92" s="305">
        <f t="shared" si="263"/>
        <v>2.253397370823132E-2</v>
      </c>
      <c r="M92" s="995">
        <f t="shared" si="239"/>
        <v>14003.833333333336</v>
      </c>
      <c r="N92" s="1002">
        <f t="shared" si="365"/>
        <v>3.1280882352941179E-2</v>
      </c>
      <c r="O92" s="1121">
        <f t="shared" si="366"/>
        <v>0.8244573643410853</v>
      </c>
      <c r="P92" s="380">
        <f t="shared" si="367"/>
        <v>0.9711626578436855</v>
      </c>
      <c r="Q92" s="143">
        <v>163</v>
      </c>
      <c r="R92" s="52"/>
      <c r="S92" s="52"/>
      <c r="T92" s="1003">
        <f t="shared" si="243"/>
        <v>242.84104046242777</v>
      </c>
      <c r="U92" s="1004">
        <f t="shared" si="318"/>
        <v>0.6712209752091689</v>
      </c>
      <c r="V92" s="1005">
        <f t="shared" si="368"/>
        <v>2.6099386503067485</v>
      </c>
      <c r="W92" s="544">
        <f t="shared" si="369"/>
        <v>3.08536816202915E-2</v>
      </c>
      <c r="X92" s="687">
        <v>5.6872890888638921</v>
      </c>
      <c r="Y92" s="392">
        <v>0.95830521184851891</v>
      </c>
      <c r="Z92" s="166">
        <v>199421</v>
      </c>
      <c r="AA92" s="15">
        <v>4450</v>
      </c>
      <c r="AB92" s="15">
        <v>11266</v>
      </c>
      <c r="AC92" s="52">
        <v>4043</v>
      </c>
      <c r="AD92" s="52">
        <v>1553</v>
      </c>
      <c r="AE92" s="52">
        <v>780</v>
      </c>
      <c r="AF92" s="52">
        <v>435</v>
      </c>
      <c r="AG92" s="77">
        <v>361.74</v>
      </c>
      <c r="AH92" s="554">
        <f t="shared" si="370"/>
        <v>3.2109000532575892E-2</v>
      </c>
      <c r="AI92" s="554">
        <f t="shared" si="371"/>
        <v>0.83158620689655172</v>
      </c>
      <c r="AJ92" s="555">
        <f t="shared" si="372"/>
        <v>2.2314600769226912E-2</v>
      </c>
      <c r="AK92" s="902">
        <v>127</v>
      </c>
      <c r="AL92" s="553"/>
      <c r="AM92" s="553"/>
      <c r="AN92" s="1202">
        <f t="shared" si="343"/>
        <v>2.8483464566929135</v>
      </c>
      <c r="AO92" s="1346">
        <f t="shared" si="358"/>
        <v>2.8305785123966941E-2</v>
      </c>
      <c r="AP92" s="125"/>
      <c r="AQ92" s="170"/>
      <c r="AR92" s="166">
        <v>33005</v>
      </c>
      <c r="AS92" s="15">
        <v>793</v>
      </c>
      <c r="AT92" s="15">
        <v>2183</v>
      </c>
      <c r="AU92" s="52">
        <v>690</v>
      </c>
      <c r="AV92" s="52">
        <v>245</v>
      </c>
      <c r="AW92" s="52">
        <v>110</v>
      </c>
      <c r="AX92" s="52">
        <v>75</v>
      </c>
      <c r="AY92" s="77">
        <v>59.7</v>
      </c>
      <c r="AZ92" s="554">
        <f t="shared" si="359"/>
        <v>2.734768666972057E-2</v>
      </c>
      <c r="BA92" s="554">
        <f t="shared" si="360"/>
        <v>0.79600000000000004</v>
      </c>
      <c r="BB92" s="555">
        <f t="shared" si="361"/>
        <v>2.4026662626874716E-2</v>
      </c>
      <c r="BC92" s="553">
        <v>35</v>
      </c>
      <c r="BD92" s="553"/>
      <c r="BE92" s="553"/>
      <c r="BF92" s="1192">
        <f t="shared" si="347"/>
        <v>1.7057142857142857</v>
      </c>
      <c r="BG92" s="544">
        <f t="shared" si="348"/>
        <v>4.4136191677175286E-2</v>
      </c>
      <c r="BH92" s="125"/>
      <c r="BI92" s="170"/>
      <c r="BJ92" s="166">
        <v>2020</v>
      </c>
      <c r="BK92" s="15">
        <v>40</v>
      </c>
      <c r="BL92" s="15">
        <v>151</v>
      </c>
      <c r="BM92" s="52">
        <v>45</v>
      </c>
      <c r="BN92" s="52">
        <v>16</v>
      </c>
      <c r="BO92" s="52">
        <v>8</v>
      </c>
      <c r="BP92" s="52">
        <v>6</v>
      </c>
      <c r="BQ92" s="77">
        <v>3.98</v>
      </c>
      <c r="BR92" s="554">
        <f t="shared" si="362"/>
        <v>2.6357615894039736E-2</v>
      </c>
      <c r="BS92" s="554">
        <f t="shared" si="363"/>
        <v>0.66333333333333333</v>
      </c>
      <c r="BT92" s="555">
        <f t="shared" si="364"/>
        <v>1.9801980198019802E-2</v>
      </c>
      <c r="BU92" s="553">
        <v>1</v>
      </c>
      <c r="BV92" s="553"/>
      <c r="BW92" s="553"/>
      <c r="BX92" s="1192">
        <f t="shared" si="351"/>
        <v>3.98</v>
      </c>
      <c r="BY92" s="544">
        <f t="shared" si="352"/>
        <v>2.5000000000000001E-2</v>
      </c>
      <c r="BZ92" s="125"/>
      <c r="CA92" s="170"/>
    </row>
    <row r="93" spans="2:79">
      <c r="B93" s="189">
        <v>44876</v>
      </c>
      <c r="C93" s="15">
        <v>291115</v>
      </c>
      <c r="D93" s="15">
        <v>6149</v>
      </c>
      <c r="E93" s="15">
        <v>16346</v>
      </c>
      <c r="F93" s="52">
        <v>5724</v>
      </c>
      <c r="G93" s="52">
        <v>2236</v>
      </c>
      <c r="H93" s="52">
        <v>1141</v>
      </c>
      <c r="I93" s="52">
        <v>681</v>
      </c>
      <c r="J93" s="904">
        <v>480.1</v>
      </c>
      <c r="K93" s="73">
        <f>SUM($J$66:$J$70,$J$79,$J$87:J93)/$D$10</f>
        <v>0.9052084944995219</v>
      </c>
      <c r="L93" s="305">
        <f t="shared" si="263"/>
        <v>2.112223691668241E-2</v>
      </c>
      <c r="M93" s="995">
        <f t="shared" si="239"/>
        <v>14003.833333333336</v>
      </c>
      <c r="N93" s="1002">
        <f t="shared" si="365"/>
        <v>2.9371099963293772E-2</v>
      </c>
      <c r="O93" s="1121">
        <f t="shared" si="366"/>
        <v>0.704992657856094</v>
      </c>
      <c r="P93" s="380">
        <f t="shared" si="367"/>
        <v>1.1672518239053591</v>
      </c>
      <c r="Q93" s="143">
        <v>170</v>
      </c>
      <c r="R93" s="52"/>
      <c r="S93" s="52"/>
      <c r="T93" s="1003">
        <f t="shared" si="243"/>
        <v>242.84104046242777</v>
      </c>
      <c r="U93" s="1004">
        <f t="shared" si="318"/>
        <v>0.7000464158623233</v>
      </c>
      <c r="V93" s="1005">
        <f t="shared" si="368"/>
        <v>2.8241176470588236</v>
      </c>
      <c r="W93" s="544">
        <f t="shared" si="369"/>
        <v>2.7646771832818346E-2</v>
      </c>
      <c r="X93" s="687">
        <v>0.55108071597433306</v>
      </c>
      <c r="Y93" s="392">
        <v>0.97154677473826412</v>
      </c>
      <c r="Z93" s="166">
        <v>238278</v>
      </c>
      <c r="AA93" s="15">
        <v>5164</v>
      </c>
      <c r="AB93" s="15">
        <v>12877</v>
      </c>
      <c r="AC93" s="52">
        <v>4611</v>
      </c>
      <c r="AD93" s="52">
        <v>1836</v>
      </c>
      <c r="AE93" s="52">
        <v>959</v>
      </c>
      <c r="AF93" s="52">
        <v>567</v>
      </c>
      <c r="AG93" s="77">
        <v>400.46</v>
      </c>
      <c r="AH93" s="554">
        <f t="shared" si="370"/>
        <v>3.1098858429758482E-2</v>
      </c>
      <c r="AI93" s="554">
        <f t="shared" si="371"/>
        <v>0.70627865961199288</v>
      </c>
      <c r="AJ93" s="555">
        <f t="shared" si="372"/>
        <v>2.1672164446570812E-2</v>
      </c>
      <c r="AK93" s="902">
        <v>141</v>
      </c>
      <c r="AL93" s="553"/>
      <c r="AM93" s="553"/>
      <c r="AN93" s="1202">
        <f t="shared" si="343"/>
        <v>2.8401418439716313</v>
      </c>
      <c r="AO93" s="1346">
        <f t="shared" si="358"/>
        <v>2.8539325842696629E-2</v>
      </c>
      <c r="AP93" s="125"/>
      <c r="AQ93" s="170"/>
      <c r="AR93" s="166">
        <v>50018</v>
      </c>
      <c r="AS93" s="15">
        <v>931</v>
      </c>
      <c r="AT93" s="15">
        <v>3290</v>
      </c>
      <c r="AU93" s="52">
        <v>1065</v>
      </c>
      <c r="AV93" s="52">
        <v>385</v>
      </c>
      <c r="AW93" s="52">
        <v>178</v>
      </c>
      <c r="AX93" s="52">
        <v>112</v>
      </c>
      <c r="AY93" s="77">
        <v>75.150000000000006</v>
      </c>
      <c r="AZ93" s="554">
        <f t="shared" si="359"/>
        <v>2.2841945288753801E-2</v>
      </c>
      <c r="BA93" s="554">
        <f t="shared" si="360"/>
        <v>0.67098214285714286</v>
      </c>
      <c r="BB93" s="555">
        <f t="shared" si="361"/>
        <v>1.8613299212283579E-2</v>
      </c>
      <c r="BC93" s="553">
        <v>28</v>
      </c>
      <c r="BD93" s="553"/>
      <c r="BE93" s="553"/>
      <c r="BF93" s="1192">
        <f t="shared" si="347"/>
        <v>2.6839285714285714</v>
      </c>
      <c r="BG93" s="544">
        <f t="shared" si="348"/>
        <v>3.007518796992481E-2</v>
      </c>
      <c r="BH93" s="125"/>
      <c r="BI93" s="170"/>
      <c r="BJ93" s="166">
        <v>2819</v>
      </c>
      <c r="BK93" s="15">
        <v>54</v>
      </c>
      <c r="BL93" s="15">
        <v>179</v>
      </c>
      <c r="BM93" s="52">
        <v>48</v>
      </c>
      <c r="BN93" s="52">
        <v>15</v>
      </c>
      <c r="BO93" s="52">
        <v>4</v>
      </c>
      <c r="BP93" s="52">
        <v>2</v>
      </c>
      <c r="BQ93" s="77">
        <v>4.49</v>
      </c>
      <c r="BR93" s="554">
        <f t="shared" si="362"/>
        <v>2.5083798882681564E-2</v>
      </c>
      <c r="BS93" s="554">
        <f t="shared" si="363"/>
        <v>2.2450000000000001</v>
      </c>
      <c r="BT93" s="555">
        <f t="shared" si="364"/>
        <v>1.9155728981908478E-2</v>
      </c>
      <c r="BU93" s="553">
        <v>1</v>
      </c>
      <c r="BV93" s="553"/>
      <c r="BW93" s="553"/>
      <c r="BX93" s="1192">
        <f t="shared" si="351"/>
        <v>4.49</v>
      </c>
      <c r="BY93" s="544">
        <f t="shared" si="352"/>
        <v>1.8518518518518517E-2</v>
      </c>
      <c r="BZ93" s="125"/>
      <c r="CA93" s="170"/>
    </row>
    <row r="94" spans="2:79">
      <c r="B94" s="189">
        <v>44877</v>
      </c>
      <c r="C94" s="15">
        <v>284969</v>
      </c>
      <c r="D94" s="15">
        <v>5849</v>
      </c>
      <c r="E94" s="15">
        <v>16420</v>
      </c>
      <c r="F94" s="52">
        <v>5545</v>
      </c>
      <c r="G94" s="52">
        <v>2099</v>
      </c>
      <c r="H94" s="52">
        <v>1066</v>
      </c>
      <c r="I94" s="52">
        <v>627</v>
      </c>
      <c r="J94" s="904">
        <v>475.75</v>
      </c>
      <c r="K94" s="73">
        <f>SUM($J$66:$J$70,$J$79,$J$87:J94)/$D$10</f>
        <v>0.94295609535484326</v>
      </c>
      <c r="L94" s="305">
        <f t="shared" si="263"/>
        <v>2.0525039565707146E-2</v>
      </c>
      <c r="M94" s="995">
        <f t="shared" si="239"/>
        <v>14003.833333333336</v>
      </c>
      <c r="N94" s="1002">
        <f t="shared" si="365"/>
        <v>2.8973812423873327E-2</v>
      </c>
      <c r="O94" s="1121">
        <f t="shared" si="366"/>
        <v>0.75877192982456143</v>
      </c>
      <c r="P94" s="380">
        <f t="shared" si="367"/>
        <v>1.172536091308332</v>
      </c>
      <c r="Q94" s="143">
        <v>193</v>
      </c>
      <c r="R94" s="52"/>
      <c r="S94" s="52"/>
      <c r="T94" s="1003">
        <f t="shared" si="243"/>
        <v>242.84104046242777</v>
      </c>
      <c r="U94" s="1004">
        <f t="shared" si="318"/>
        <v>0.79475857800840233</v>
      </c>
      <c r="V94" s="1005">
        <f t="shared" si="368"/>
        <v>2.4650259067357512</v>
      </c>
      <c r="W94" s="544">
        <f t="shared" si="369"/>
        <v>3.2997093520259875E-2</v>
      </c>
      <c r="X94" s="687">
        <v>17.712448031303499</v>
      </c>
      <c r="Y94" s="392">
        <v>0.62680361946686236</v>
      </c>
      <c r="Z94" s="166">
        <v>228794</v>
      </c>
      <c r="AA94" s="15">
        <v>4768</v>
      </c>
      <c r="AB94" s="15">
        <v>12163</v>
      </c>
      <c r="AC94" s="52">
        <v>4246</v>
      </c>
      <c r="AD94" s="52">
        <v>1615</v>
      </c>
      <c r="AE94" s="52">
        <v>824</v>
      </c>
      <c r="AF94" s="52">
        <v>470</v>
      </c>
      <c r="AG94" s="77">
        <v>390.47</v>
      </c>
      <c r="AH94" s="554">
        <f t="shared" si="370"/>
        <v>3.2103099564252245E-2</v>
      </c>
      <c r="AI94" s="554">
        <f t="shared" si="371"/>
        <v>0.83078723404255328</v>
      </c>
      <c r="AJ94" s="555">
        <f t="shared" si="372"/>
        <v>2.0839707334982562E-2</v>
      </c>
      <c r="AK94" s="902">
        <v>145</v>
      </c>
      <c r="AL94" s="553"/>
      <c r="AM94" s="553"/>
      <c r="AN94" s="1202">
        <f t="shared" si="343"/>
        <v>2.6928965517241381</v>
      </c>
      <c r="AO94" s="1346">
        <f t="shared" si="358"/>
        <v>2.7304415182029435E-2</v>
      </c>
      <c r="AP94" s="125"/>
      <c r="AQ94" s="170"/>
      <c r="AR94" s="166">
        <v>53549</v>
      </c>
      <c r="AS94" s="15">
        <v>1012</v>
      </c>
      <c r="AT94" s="15">
        <v>4049</v>
      </c>
      <c r="AU94" s="52">
        <v>1247</v>
      </c>
      <c r="AV94" s="52">
        <v>472</v>
      </c>
      <c r="AW94" s="52">
        <v>236</v>
      </c>
      <c r="AX94" s="52">
        <v>155</v>
      </c>
      <c r="AY94" s="77">
        <v>80.36</v>
      </c>
      <c r="AZ94" s="554">
        <f t="shared" si="359"/>
        <v>1.9846875771795506E-2</v>
      </c>
      <c r="BA94" s="554">
        <f t="shared" si="360"/>
        <v>0.51845161290322583</v>
      </c>
      <c r="BB94" s="555">
        <f t="shared" si="361"/>
        <v>1.8898578871687614E-2</v>
      </c>
      <c r="BC94" s="553">
        <v>47</v>
      </c>
      <c r="BD94" s="553"/>
      <c r="BE94" s="553"/>
      <c r="BF94" s="1192">
        <f t="shared" si="347"/>
        <v>1.7097872340425533</v>
      </c>
      <c r="BG94" s="544">
        <f t="shared" si="348"/>
        <v>4.6442687747035576E-2</v>
      </c>
      <c r="BH94" s="125"/>
      <c r="BI94" s="170"/>
      <c r="BJ94" s="166">
        <v>2626</v>
      </c>
      <c r="BK94" s="15">
        <v>69</v>
      </c>
      <c r="BL94" s="15">
        <v>208</v>
      </c>
      <c r="BM94" s="52">
        <v>52</v>
      </c>
      <c r="BN94" s="52">
        <v>12</v>
      </c>
      <c r="BO94" s="52">
        <v>6</v>
      </c>
      <c r="BP94" s="52">
        <v>2</v>
      </c>
      <c r="BQ94" s="77">
        <v>4.92</v>
      </c>
      <c r="BR94" s="554">
        <f t="shared" si="362"/>
        <v>2.3653846153846154E-2</v>
      </c>
      <c r="BS94" s="554">
        <f t="shared" si="363"/>
        <v>2.46</v>
      </c>
      <c r="BT94" s="555">
        <f t="shared" si="364"/>
        <v>2.6275704493526276E-2</v>
      </c>
      <c r="BU94" s="553">
        <v>1</v>
      </c>
      <c r="BV94" s="553"/>
      <c r="BW94" s="553"/>
      <c r="BX94" s="1192">
        <f t="shared" si="351"/>
        <v>4.92</v>
      </c>
      <c r="BY94" s="544">
        <f t="shared" si="352"/>
        <v>1.4492753623188406E-2</v>
      </c>
      <c r="BZ94" s="125"/>
      <c r="CA94" s="170"/>
    </row>
    <row r="95" spans="2:79">
      <c r="B95" s="190" t="s">
        <v>160</v>
      </c>
      <c r="C95" s="27">
        <f>SUM(C88:C94)</f>
        <v>1918676</v>
      </c>
      <c r="D95" s="27">
        <f t="shared" ref="D95:I95" si="390">SUM(D88:D94)</f>
        <v>42091</v>
      </c>
      <c r="E95" s="27">
        <f t="shared" si="390"/>
        <v>112728</v>
      </c>
      <c r="F95" s="27">
        <f t="shared" si="390"/>
        <v>39394</v>
      </c>
      <c r="G95" s="27">
        <f t="shared" si="390"/>
        <v>15077</v>
      </c>
      <c r="H95" s="27">
        <f t="shared" si="390"/>
        <v>7701</v>
      </c>
      <c r="I95" s="27">
        <f t="shared" si="390"/>
        <v>4508</v>
      </c>
      <c r="J95" s="905">
        <f>SUM(J88:J94)</f>
        <v>3189.02</v>
      </c>
      <c r="K95" s="1341">
        <f>SUM($J$66:$J$70,$J$79,$J$87,$J$95)/$D$10</f>
        <v>0.94295609535484326</v>
      </c>
      <c r="L95" s="211">
        <f t="shared" ref="L95" si="391">D95/C95</f>
        <v>2.1937523583971448E-2</v>
      </c>
      <c r="M95" s="56">
        <f>SUM(M88:M94)</f>
        <v>98026.833333333372</v>
      </c>
      <c r="N95" s="1340">
        <f t="shared" ref="N95" si="392">J95/E95</f>
        <v>2.8289511035412676E-2</v>
      </c>
      <c r="O95" s="1340">
        <f t="shared" ref="O95" si="393">J95/I95</f>
        <v>0.707413487133984</v>
      </c>
      <c r="P95" s="154">
        <f t="shared" ref="P95" si="394">E95/M95</f>
        <v>1.149970841317258</v>
      </c>
      <c r="Q95" s="144">
        <f>SUM(Q88:Q94)</f>
        <v>1307</v>
      </c>
      <c r="R95" s="56"/>
      <c r="S95" s="56"/>
      <c r="T95" s="56">
        <f>SUM(T88:T94)</f>
        <v>1699.8872832369946</v>
      </c>
      <c r="U95" s="140">
        <f>Q95/T95</f>
        <v>0.76887450885046771</v>
      </c>
      <c r="V95" s="237">
        <f>J95/Q95</f>
        <v>2.4399540933435349</v>
      </c>
      <c r="W95" s="317">
        <f>Q95/D95</f>
        <v>3.1051768786676488E-2</v>
      </c>
      <c r="X95" s="682">
        <f>AVERAGE(X88:X94)</f>
        <v>5.0296253475038109</v>
      </c>
      <c r="Y95" s="317">
        <f>AVERAGE(Y88:Y94)</f>
        <v>0.90698729617870522</v>
      </c>
      <c r="Z95" s="164">
        <f>SUM(Z88:Z94)</f>
        <v>1512009</v>
      </c>
      <c r="AA95" s="298">
        <f t="shared" ref="AA95:AG95" si="395">SUM(AA88:AA94)</f>
        <v>33657</v>
      </c>
      <c r="AB95" s="298">
        <f t="shared" si="395"/>
        <v>86288</v>
      </c>
      <c r="AC95" s="298">
        <f t="shared" si="395"/>
        <v>30895</v>
      </c>
      <c r="AD95" s="298">
        <f t="shared" si="395"/>
        <v>11901</v>
      </c>
      <c r="AE95" s="298">
        <f t="shared" si="395"/>
        <v>6146</v>
      </c>
      <c r="AF95" s="298">
        <f t="shared" si="395"/>
        <v>3528</v>
      </c>
      <c r="AG95" s="479">
        <f t="shared" si="395"/>
        <v>2532.59</v>
      </c>
      <c r="AH95" s="549">
        <f>AG95/AB95</f>
        <v>2.9350431114407566E-2</v>
      </c>
      <c r="AI95" s="549">
        <f>AG95/AF95</f>
        <v>0.71785430839002273</v>
      </c>
      <c r="AJ95" s="550">
        <f>AA95/Z95</f>
        <v>2.2259788136181728E-2</v>
      </c>
      <c r="AK95" s="551">
        <f t="shared" ref="AK95" si="396">SUM(AK88:AK94)</f>
        <v>988</v>
      </c>
      <c r="AL95" s="298"/>
      <c r="AM95" s="298"/>
      <c r="AN95" s="552">
        <f t="shared" ref="AN95" si="397">AG95/AK95</f>
        <v>2.5633502024291501</v>
      </c>
      <c r="AO95" s="1347">
        <f t="shared" ref="AO95" si="398">AK95/AA95</f>
        <v>2.9354963306295868E-2</v>
      </c>
      <c r="AP95" s="126"/>
      <c r="AQ95" s="171"/>
      <c r="AR95" s="164">
        <f>SUM(AR88:AR94)</f>
        <v>392927</v>
      </c>
      <c r="AS95" s="27">
        <f t="shared" ref="AS95:AY95" si="399">SUM(AS88:AS94)</f>
        <v>8106</v>
      </c>
      <c r="AT95" s="27">
        <f t="shared" si="399"/>
        <v>25488</v>
      </c>
      <c r="AU95" s="27">
        <f t="shared" si="399"/>
        <v>8252</v>
      </c>
      <c r="AV95" s="27">
        <f t="shared" si="399"/>
        <v>3104</v>
      </c>
      <c r="AW95" s="27">
        <f t="shared" si="399"/>
        <v>1519</v>
      </c>
      <c r="AX95" s="27">
        <f t="shared" si="399"/>
        <v>961</v>
      </c>
      <c r="AY95" s="479">
        <f t="shared" si="399"/>
        <v>630.55000000000007</v>
      </c>
      <c r="AZ95" s="549">
        <f>AY95/AT95</f>
        <v>2.4739092906465792E-2</v>
      </c>
      <c r="BA95" s="549">
        <f>AY95/AX95</f>
        <v>0.65613943808532782</v>
      </c>
      <c r="BB95" s="550">
        <f>AS95/AR95</f>
        <v>2.0629786194382164E-2</v>
      </c>
      <c r="BC95" s="551">
        <f t="shared" ref="BC95" si="400">SUM(BC88:BC94)</f>
        <v>316</v>
      </c>
      <c r="BD95" s="298"/>
      <c r="BE95" s="298"/>
      <c r="BF95" s="552">
        <f t="shared" ref="BF95" si="401">AY95/BC95</f>
        <v>1.9954113924050636</v>
      </c>
      <c r="BG95" s="1138">
        <f t="shared" ref="BG95" si="402">BC95/AS95</f>
        <v>3.8983469035282506E-2</v>
      </c>
      <c r="BH95" s="126"/>
      <c r="BI95" s="171"/>
      <c r="BJ95" s="164">
        <f>SUM(BJ88:BJ94)</f>
        <v>13740</v>
      </c>
      <c r="BK95" s="27">
        <f t="shared" ref="BK95:BQ95" si="403">SUM(BK88:BK94)</f>
        <v>328</v>
      </c>
      <c r="BL95" s="27">
        <f t="shared" si="403"/>
        <v>952</v>
      </c>
      <c r="BM95" s="27">
        <f t="shared" si="403"/>
        <v>247</v>
      </c>
      <c r="BN95" s="27">
        <f t="shared" si="403"/>
        <v>72</v>
      </c>
      <c r="BO95" s="27">
        <f t="shared" si="403"/>
        <v>36</v>
      </c>
      <c r="BP95" s="27">
        <f t="shared" si="403"/>
        <v>19</v>
      </c>
      <c r="BQ95" s="479">
        <f t="shared" si="403"/>
        <v>25.880000000000003</v>
      </c>
      <c r="BR95" s="549">
        <f>BQ95/BL95</f>
        <v>2.7184873949579833E-2</v>
      </c>
      <c r="BS95" s="549">
        <f>BQ95/BP95</f>
        <v>1.3621052631578949</v>
      </c>
      <c r="BT95" s="550">
        <f>BK95/BJ95</f>
        <v>2.3871906841339156E-2</v>
      </c>
      <c r="BU95" s="551">
        <f t="shared" ref="BU95" si="404">SUM(BU88:BU94)</f>
        <v>3</v>
      </c>
      <c r="BV95" s="298"/>
      <c r="BW95" s="298"/>
      <c r="BX95" s="552">
        <f t="shared" ref="BX95" si="405">BQ95/BU95</f>
        <v>8.6266666666666669</v>
      </c>
      <c r="BY95" s="1138">
        <f t="shared" ref="BY95" si="406">BU95/BK95</f>
        <v>9.1463414634146336E-3</v>
      </c>
      <c r="BZ95" s="126"/>
      <c r="CA95" s="171"/>
    </row>
    <row r="96" spans="2:79">
      <c r="B96" s="187">
        <v>44878</v>
      </c>
      <c r="C96" s="15">
        <v>309520</v>
      </c>
      <c r="D96" s="15">
        <v>6138</v>
      </c>
      <c r="E96" s="15">
        <v>19355</v>
      </c>
      <c r="F96" s="52">
        <v>6741</v>
      </c>
      <c r="G96" s="52">
        <v>2648</v>
      </c>
      <c r="H96" s="52">
        <v>1304</v>
      </c>
      <c r="I96" s="52">
        <v>810</v>
      </c>
      <c r="J96" s="904">
        <v>470.87</v>
      </c>
      <c r="K96" s="73">
        <f>SUM($J$66:$J$70,$J$79,$J$87,$J$95:J96)/$D$10</f>
        <v>0.98031650064069764</v>
      </c>
      <c r="L96" s="305">
        <f t="shared" si="263"/>
        <v>1.9830705608684416E-2</v>
      </c>
      <c r="M96" s="995">
        <f t="shared" si="239"/>
        <v>14003.833333333336</v>
      </c>
      <c r="N96" s="1002">
        <f t="shared" si="365"/>
        <v>2.4328080599328339E-2</v>
      </c>
      <c r="O96" s="1121">
        <f t="shared" si="366"/>
        <v>0.58132098765432094</v>
      </c>
      <c r="P96" s="380">
        <f t="shared" si="367"/>
        <v>1.3821215619532745</v>
      </c>
      <c r="Q96" s="143">
        <v>209</v>
      </c>
      <c r="R96" s="52"/>
      <c r="S96" s="52"/>
      <c r="T96" s="1003">
        <f t="shared" si="243"/>
        <v>242.84104046242777</v>
      </c>
      <c r="U96" s="1004">
        <f t="shared" si="318"/>
        <v>0.86064529950132695</v>
      </c>
      <c r="V96" s="1005">
        <f t="shared" si="368"/>
        <v>2.2529665071770335</v>
      </c>
      <c r="W96" s="544">
        <f t="shared" si="369"/>
        <v>3.4050179211469536E-2</v>
      </c>
      <c r="X96" s="687">
        <v>0.82174432497013139</v>
      </c>
      <c r="Y96" s="392">
        <v>0.96170848267622455</v>
      </c>
      <c r="Z96" s="166">
        <v>228648</v>
      </c>
      <c r="AA96" s="15">
        <v>4594</v>
      </c>
      <c r="AB96" s="15">
        <v>12975</v>
      </c>
      <c r="AC96" s="52">
        <v>4650</v>
      </c>
      <c r="AD96" s="52">
        <v>1821</v>
      </c>
      <c r="AE96" s="52">
        <v>929</v>
      </c>
      <c r="AF96" s="52">
        <v>573</v>
      </c>
      <c r="AG96" s="77">
        <v>353.02</v>
      </c>
      <c r="AH96" s="554">
        <f t="shared" si="370"/>
        <v>2.720770712909441E-2</v>
      </c>
      <c r="AI96" s="554">
        <f t="shared" si="371"/>
        <v>0.61609075043630013</v>
      </c>
      <c r="AJ96" s="555">
        <f t="shared" si="372"/>
        <v>2.0092019173576853E-2</v>
      </c>
      <c r="AK96" s="902">
        <v>155</v>
      </c>
      <c r="AL96" s="553"/>
      <c r="AM96" s="553"/>
      <c r="AN96" s="1202">
        <f t="shared" si="343"/>
        <v>2.2775483870967741</v>
      </c>
      <c r="AO96" s="1346">
        <f t="shared" si="358"/>
        <v>2.9354963306295868E-2</v>
      </c>
      <c r="AP96" s="125"/>
      <c r="AQ96" s="170"/>
      <c r="AR96" s="166">
        <v>74453</v>
      </c>
      <c r="AS96" s="15">
        <v>1364</v>
      </c>
      <c r="AT96" s="15">
        <v>5801</v>
      </c>
      <c r="AU96" s="52">
        <v>1934</v>
      </c>
      <c r="AV96" s="52">
        <v>771</v>
      </c>
      <c r="AW96" s="52">
        <v>349</v>
      </c>
      <c r="AX96" s="52">
        <v>224</v>
      </c>
      <c r="AY96" s="77">
        <v>104.22</v>
      </c>
      <c r="AZ96" s="554">
        <f t="shared" si="359"/>
        <v>1.7965867953801069E-2</v>
      </c>
      <c r="BA96" s="554">
        <f t="shared" si="360"/>
        <v>0.46526785714285712</v>
      </c>
      <c r="BB96" s="555">
        <f t="shared" si="361"/>
        <v>1.8320282594388407E-2</v>
      </c>
      <c r="BC96" s="553">
        <v>54</v>
      </c>
      <c r="BD96" s="553"/>
      <c r="BE96" s="553"/>
      <c r="BF96" s="1192">
        <f t="shared" si="347"/>
        <v>1.93</v>
      </c>
      <c r="BG96" s="544">
        <f t="shared" si="348"/>
        <v>3.9589442815249266E-2</v>
      </c>
      <c r="BH96" s="125"/>
      <c r="BI96" s="170"/>
      <c r="BJ96" s="166">
        <v>6419</v>
      </c>
      <c r="BK96" s="15">
        <v>180</v>
      </c>
      <c r="BL96" s="15">
        <v>579</v>
      </c>
      <c r="BM96" s="52">
        <v>157</v>
      </c>
      <c r="BN96" s="52">
        <v>56</v>
      </c>
      <c r="BO96" s="52">
        <v>26</v>
      </c>
      <c r="BP96" s="52">
        <v>13</v>
      </c>
      <c r="BQ96" s="77">
        <v>13.63</v>
      </c>
      <c r="BR96" s="554">
        <f t="shared" si="362"/>
        <v>2.3540587219343698E-2</v>
      </c>
      <c r="BS96" s="554">
        <f t="shared" si="363"/>
        <v>1.0484615384615386</v>
      </c>
      <c r="BT96" s="555">
        <f t="shared" si="364"/>
        <v>2.8041751051565665E-2</v>
      </c>
      <c r="BU96" s="553" t="s">
        <v>176</v>
      </c>
      <c r="BV96" s="553"/>
      <c r="BW96" s="553"/>
      <c r="BX96" s="1192" t="e">
        <f t="shared" si="351"/>
        <v>#VALUE!</v>
      </c>
      <c r="BY96" s="544" t="e">
        <f t="shared" si="352"/>
        <v>#VALUE!</v>
      </c>
      <c r="BZ96" s="125"/>
      <c r="CA96" s="170"/>
    </row>
    <row r="97" spans="2:79">
      <c r="B97" s="187">
        <v>44879</v>
      </c>
      <c r="C97" s="15">
        <v>153078</v>
      </c>
      <c r="D97" s="15">
        <v>3152</v>
      </c>
      <c r="E97" s="15">
        <v>9952</v>
      </c>
      <c r="F97" s="52">
        <v>3495</v>
      </c>
      <c r="G97" s="52">
        <v>1322</v>
      </c>
      <c r="H97" s="52">
        <v>678</v>
      </c>
      <c r="I97" s="52">
        <v>375</v>
      </c>
      <c r="J97" s="904">
        <v>236.04999999999998</v>
      </c>
      <c r="K97" s="73">
        <f>SUM($J$66:$J$70,$J$79,$J$87,$J$95:J97)/$D$10</f>
        <v>0.99904549944658005</v>
      </c>
      <c r="L97" s="305">
        <f t="shared" si="263"/>
        <v>2.0590809913900103E-2</v>
      </c>
      <c r="M97" s="995">
        <f t="shared" si="239"/>
        <v>14003.833333333336</v>
      </c>
      <c r="N97" s="1002">
        <f t="shared" si="365"/>
        <v>2.3718850482315111E-2</v>
      </c>
      <c r="O97" s="1121">
        <f t="shared" si="366"/>
        <v>0.62946666666666662</v>
      </c>
      <c r="P97" s="380">
        <f t="shared" si="367"/>
        <v>0.71066255668090872</v>
      </c>
      <c r="Q97" s="143">
        <v>130</v>
      </c>
      <c r="R97" s="52"/>
      <c r="S97" s="52"/>
      <c r="T97" s="1003">
        <f t="shared" si="243"/>
        <v>242.84104046242777</v>
      </c>
      <c r="U97" s="1004">
        <f t="shared" si="318"/>
        <v>0.53532961213001196</v>
      </c>
      <c r="V97" s="1005">
        <f t="shared" si="368"/>
        <v>1.8157692307692306</v>
      </c>
      <c r="W97" s="544">
        <f t="shared" si="369"/>
        <v>4.1243654822335024E-2</v>
      </c>
      <c r="X97" s="687">
        <v>2.5521885521885523</v>
      </c>
      <c r="Y97" s="392">
        <v>0.9676767676767678</v>
      </c>
      <c r="Z97" s="166">
        <v>110687</v>
      </c>
      <c r="AA97" s="15">
        <v>2357</v>
      </c>
      <c r="AB97" s="15">
        <v>6561</v>
      </c>
      <c r="AC97" s="52">
        <v>2388</v>
      </c>
      <c r="AD97" s="52">
        <v>931</v>
      </c>
      <c r="AE97" s="52">
        <v>491</v>
      </c>
      <c r="AF97" s="52">
        <v>261</v>
      </c>
      <c r="AG97" s="77">
        <v>174.73</v>
      </c>
      <c r="AH97" s="554">
        <f t="shared" si="370"/>
        <v>2.6631611034903215E-2</v>
      </c>
      <c r="AI97" s="554">
        <f t="shared" si="371"/>
        <v>0.66946360153256701</v>
      </c>
      <c r="AJ97" s="555">
        <f t="shared" si="372"/>
        <v>2.1294280267782125E-2</v>
      </c>
      <c r="AK97" s="902">
        <v>99</v>
      </c>
      <c r="AL97" s="553"/>
      <c r="AM97" s="553"/>
      <c r="AN97" s="1202">
        <f t="shared" si="343"/>
        <v>1.7649494949494948</v>
      </c>
      <c r="AO97" s="1346">
        <f t="shared" si="358"/>
        <v>3.3739660426643447E-2</v>
      </c>
      <c r="AP97" s="125"/>
      <c r="AQ97" s="170"/>
      <c r="AR97" s="166">
        <v>37823</v>
      </c>
      <c r="AS97" s="15">
        <v>673</v>
      </c>
      <c r="AT97" s="15">
        <v>3004</v>
      </c>
      <c r="AU97" s="52">
        <v>1002</v>
      </c>
      <c r="AV97" s="52">
        <v>365</v>
      </c>
      <c r="AW97" s="52">
        <v>177</v>
      </c>
      <c r="AX97" s="52">
        <v>108</v>
      </c>
      <c r="AY97" s="77">
        <v>52.73</v>
      </c>
      <c r="AZ97" s="554">
        <f t="shared" si="359"/>
        <v>1.7553262316910786E-2</v>
      </c>
      <c r="BA97" s="554">
        <f t="shared" si="360"/>
        <v>0.4882407407407407</v>
      </c>
      <c r="BB97" s="555">
        <f t="shared" si="361"/>
        <v>1.7793406128546123E-2</v>
      </c>
      <c r="BC97" s="553">
        <v>30</v>
      </c>
      <c r="BD97" s="553"/>
      <c r="BE97" s="553"/>
      <c r="BF97" s="1192">
        <f t="shared" si="347"/>
        <v>1.7576666666666665</v>
      </c>
      <c r="BG97" s="544">
        <f t="shared" si="348"/>
        <v>4.4576523031203567E-2</v>
      </c>
      <c r="BH97" s="125"/>
      <c r="BI97" s="170"/>
      <c r="BJ97" s="166">
        <v>4568</v>
      </c>
      <c r="BK97" s="15">
        <v>122</v>
      </c>
      <c r="BL97" s="15">
        <v>387</v>
      </c>
      <c r="BM97" s="52">
        <v>105</v>
      </c>
      <c r="BN97" s="52">
        <v>26</v>
      </c>
      <c r="BO97" s="52">
        <v>10</v>
      </c>
      <c r="BP97" s="52">
        <v>6</v>
      </c>
      <c r="BQ97" s="77">
        <v>8.59</v>
      </c>
      <c r="BR97" s="554">
        <f t="shared" si="362"/>
        <v>2.2196382428940568E-2</v>
      </c>
      <c r="BS97" s="554">
        <f t="shared" si="363"/>
        <v>1.4316666666666666</v>
      </c>
      <c r="BT97" s="555">
        <f t="shared" si="364"/>
        <v>2.6707530647985988E-2</v>
      </c>
      <c r="BU97" s="553">
        <v>1</v>
      </c>
      <c r="BV97" s="553"/>
      <c r="BW97" s="553"/>
      <c r="BX97" s="1192">
        <f t="shared" si="351"/>
        <v>8.59</v>
      </c>
      <c r="BY97" s="544">
        <f t="shared" si="352"/>
        <v>8.1967213114754103E-3</v>
      </c>
      <c r="BZ97" s="125"/>
      <c r="CA97" s="170"/>
    </row>
    <row r="98" spans="2:79">
      <c r="B98" s="187">
        <v>44880</v>
      </c>
      <c r="C98" s="15"/>
      <c r="D98" s="15"/>
      <c r="E98" s="15"/>
      <c r="F98" s="52"/>
      <c r="G98" s="52"/>
      <c r="H98" s="52"/>
      <c r="I98" s="52"/>
      <c r="J98" s="904"/>
      <c r="K98" s="73"/>
      <c r="L98" s="305"/>
      <c r="M98" s="995"/>
      <c r="N98" s="1002"/>
      <c r="O98" s="1121"/>
      <c r="P98" s="380"/>
      <c r="Q98" s="143"/>
      <c r="R98" s="52"/>
      <c r="S98" s="52"/>
      <c r="T98" s="1003"/>
      <c r="U98" s="1004"/>
      <c r="V98" s="1005"/>
      <c r="W98" s="544"/>
      <c r="X98" s="687"/>
      <c r="Y98" s="392"/>
      <c r="Z98" s="166"/>
      <c r="AA98" s="15"/>
      <c r="AB98" s="15"/>
      <c r="AC98" s="52"/>
      <c r="AD98" s="52"/>
      <c r="AE98" s="52"/>
      <c r="AF98" s="52"/>
      <c r="AG98" s="77"/>
      <c r="AH98" s="554"/>
      <c r="AI98" s="554"/>
      <c r="AJ98" s="555"/>
      <c r="AK98" s="902"/>
      <c r="AL98" s="553"/>
      <c r="AM98" s="553"/>
      <c r="AN98" s="1202"/>
      <c r="AO98" s="1346"/>
      <c r="AP98" s="125"/>
      <c r="AQ98" s="170"/>
      <c r="AR98" s="166"/>
      <c r="AS98" s="15"/>
      <c r="AT98" s="15"/>
      <c r="AU98" s="52"/>
      <c r="AV98" s="52"/>
      <c r="AW98" s="52"/>
      <c r="AX98" s="52"/>
      <c r="AY98" s="77"/>
      <c r="AZ98" s="554"/>
      <c r="BA98" s="554"/>
      <c r="BB98" s="555"/>
      <c r="BC98" s="553"/>
      <c r="BD98" s="553"/>
      <c r="BE98" s="553"/>
      <c r="BF98" s="1192"/>
      <c r="BG98" s="544"/>
      <c r="BH98" s="125"/>
      <c r="BI98" s="170"/>
      <c r="BJ98" s="166"/>
      <c r="BK98" s="15"/>
      <c r="BL98" s="15"/>
      <c r="BM98" s="52"/>
      <c r="BN98" s="52"/>
      <c r="BO98" s="52"/>
      <c r="BP98" s="52"/>
      <c r="BQ98" s="77"/>
      <c r="BR98" s="554"/>
      <c r="BS98" s="554"/>
      <c r="BT98" s="555"/>
      <c r="BU98" s="553"/>
      <c r="BV98" s="553"/>
      <c r="BW98" s="553"/>
      <c r="BX98" s="1192"/>
      <c r="BY98" s="544"/>
      <c r="BZ98" s="125"/>
      <c r="CA98" s="170"/>
    </row>
    <row r="99" spans="2:79">
      <c r="B99" s="187">
        <v>44881</v>
      </c>
      <c r="C99" s="15">
        <v>56175</v>
      </c>
      <c r="D99" s="15">
        <v>1081</v>
      </c>
      <c r="E99" s="15">
        <v>4257</v>
      </c>
      <c r="F99" s="52">
        <v>1299</v>
      </c>
      <c r="G99" s="52">
        <v>484</v>
      </c>
      <c r="H99" s="52">
        <v>242</v>
      </c>
      <c r="I99" s="52">
        <v>157</v>
      </c>
      <c r="J99" s="904">
        <v>85.28</v>
      </c>
      <c r="K99" s="73">
        <f>SUM($J$66:$J$70,$J$79,$J$87,$J$95:J99)/$D$10</f>
        <v>1.0058119007097264</v>
      </c>
      <c r="L99" s="305">
        <f t="shared" ref="L99" si="407">D99/C99</f>
        <v>1.9243435692033822E-2</v>
      </c>
      <c r="M99" s="995">
        <f t="shared" ref="M99" si="408">$AF$15/30</f>
        <v>14003.833333333336</v>
      </c>
      <c r="N99" s="1002">
        <f t="shared" ref="N99" si="409">J99/E99</f>
        <v>2.0032887009631194E-2</v>
      </c>
      <c r="O99" s="1121">
        <f t="shared" ref="O99" si="410">J99/I99</f>
        <v>0.54318471337579621</v>
      </c>
      <c r="P99" s="380">
        <f t="shared" ref="P99" si="411">E99/M99</f>
        <v>0.30398819370886537</v>
      </c>
      <c r="Q99" s="1396">
        <v>0</v>
      </c>
      <c r="R99" s="52"/>
      <c r="S99" s="52"/>
      <c r="T99" s="1003">
        <f t="shared" ref="T99" si="412">$AF$17/30</f>
        <v>242.84104046242777</v>
      </c>
      <c r="U99" s="1004">
        <f t="shared" ref="U99" si="413">Q99/T99</f>
        <v>0</v>
      </c>
      <c r="V99" s="1005" t="e">
        <f t="shared" ref="V99" si="414">J99/Q99</f>
        <v>#DIV/0!</v>
      </c>
      <c r="W99" s="544">
        <f t="shared" ref="W99" si="415">Q99/D99</f>
        <v>0</v>
      </c>
      <c r="X99" s="687"/>
      <c r="Y99" s="1625"/>
      <c r="Z99" s="166"/>
      <c r="AA99" s="15"/>
      <c r="AB99" s="15"/>
      <c r="AC99" s="52"/>
      <c r="AD99" s="52"/>
      <c r="AE99" s="52"/>
      <c r="AF99" s="52"/>
      <c r="AG99" s="77"/>
      <c r="AH99" s="554"/>
      <c r="AI99" s="554"/>
      <c r="AJ99" s="555"/>
      <c r="AK99" s="902"/>
      <c r="AL99" s="553"/>
      <c r="AM99" s="553"/>
      <c r="AN99" s="1202"/>
      <c r="AO99" s="1346"/>
      <c r="AP99" s="125"/>
      <c r="AQ99" s="170"/>
      <c r="AR99" s="166">
        <v>53549</v>
      </c>
      <c r="AS99" s="15">
        <v>1012</v>
      </c>
      <c r="AT99" s="15">
        <v>4049</v>
      </c>
      <c r="AU99" s="52">
        <v>1247</v>
      </c>
      <c r="AV99" s="52">
        <v>472</v>
      </c>
      <c r="AW99" s="52">
        <v>236</v>
      </c>
      <c r="AX99" s="52">
        <v>155</v>
      </c>
      <c r="AY99" s="77">
        <v>80.36</v>
      </c>
      <c r="AZ99" s="554">
        <f t="shared" ref="AZ99" si="416">AY99/AT99</f>
        <v>1.9846875771795506E-2</v>
      </c>
      <c r="BA99" s="554">
        <f t="shared" ref="BA99" si="417">AY99/AX99</f>
        <v>0.51845161290322583</v>
      </c>
      <c r="BB99" s="555">
        <f t="shared" ref="BB99" si="418">AS99/AR99</f>
        <v>1.8898578871687614E-2</v>
      </c>
      <c r="BC99" s="553"/>
      <c r="BD99" s="553"/>
      <c r="BE99" s="553"/>
      <c r="BF99" s="1192"/>
      <c r="BG99" s="544"/>
      <c r="BH99" s="125"/>
      <c r="BI99" s="170"/>
      <c r="BJ99" s="166">
        <v>2626</v>
      </c>
      <c r="BK99" s="15">
        <v>69</v>
      </c>
      <c r="BL99" s="15">
        <v>208</v>
      </c>
      <c r="BM99" s="52">
        <v>52</v>
      </c>
      <c r="BN99" s="52">
        <v>12</v>
      </c>
      <c r="BO99" s="52">
        <v>6</v>
      </c>
      <c r="BP99" s="52">
        <v>2</v>
      </c>
      <c r="BQ99" s="77">
        <v>4.92</v>
      </c>
      <c r="BR99" s="554">
        <f t="shared" ref="BR99" si="419">BQ99/BL99</f>
        <v>2.3653846153846154E-2</v>
      </c>
      <c r="BS99" s="554">
        <f t="shared" ref="BS99" si="420">BQ99/BP99</f>
        <v>2.46</v>
      </c>
      <c r="BT99" s="555">
        <f t="shared" ref="BT99" si="421">BK99/BJ99</f>
        <v>2.6275704493526276E-2</v>
      </c>
      <c r="BU99" s="553"/>
      <c r="BV99" s="553"/>
      <c r="BW99" s="553"/>
      <c r="BX99" s="1192" t="e">
        <f t="shared" ref="BX99" si="422">BQ99/BU99</f>
        <v>#DIV/0!</v>
      </c>
      <c r="BY99" s="544">
        <f t="shared" ref="BY99" si="423">BU99/BK99</f>
        <v>0</v>
      </c>
      <c r="BZ99" s="125"/>
      <c r="CA99" s="170"/>
    </row>
    <row r="100" spans="2:79">
      <c r="B100" s="1696">
        <v>44882</v>
      </c>
      <c r="C100" s="1697"/>
      <c r="D100" s="1697"/>
      <c r="E100" s="1697"/>
      <c r="F100" s="1698"/>
      <c r="G100" s="1698"/>
      <c r="H100" s="1698"/>
      <c r="I100" s="1698"/>
      <c r="J100" s="1699"/>
      <c r="K100" s="1700"/>
      <c r="L100" s="1698"/>
      <c r="M100" s="1698"/>
      <c r="N100" s="1698"/>
      <c r="O100" s="1698"/>
      <c r="P100" s="1701"/>
      <c r="Q100" s="1702"/>
      <c r="R100" s="1698"/>
      <c r="S100" s="1698"/>
      <c r="T100" s="1698"/>
      <c r="U100" s="1703"/>
      <c r="V100" s="1704"/>
      <c r="W100" s="1705"/>
      <c r="X100" s="1706"/>
      <c r="Y100" s="1707"/>
      <c r="Z100" s="1708"/>
      <c r="AA100" s="1697"/>
      <c r="AB100" s="1697"/>
      <c r="AC100" s="1698"/>
      <c r="AD100" s="1698"/>
      <c r="AE100" s="1698"/>
      <c r="AF100" s="1698"/>
      <c r="AG100" s="1709"/>
      <c r="AH100" s="1698"/>
      <c r="AI100" s="1698"/>
      <c r="AJ100" s="1710"/>
      <c r="AK100" s="1711"/>
      <c r="AL100" s="1712"/>
      <c r="AM100" s="1712"/>
      <c r="AN100" s="1713"/>
      <c r="AO100" s="1703"/>
      <c r="AP100" s="1704"/>
      <c r="AQ100" s="1707"/>
      <c r="AR100" s="1708"/>
      <c r="AS100" s="1697"/>
      <c r="AT100" s="1697"/>
      <c r="AU100" s="1698"/>
      <c r="AV100" s="1698"/>
      <c r="AW100" s="1698"/>
      <c r="AX100" s="1698"/>
      <c r="AY100" s="1709"/>
      <c r="AZ100" s="1698"/>
      <c r="BA100" s="1698"/>
      <c r="BB100" s="1698"/>
      <c r="BC100" s="1712"/>
      <c r="BD100" s="1712"/>
      <c r="BE100" s="1712"/>
      <c r="BF100" s="1712"/>
      <c r="BG100" s="1703"/>
      <c r="BH100" s="1704"/>
      <c r="BI100" s="1707"/>
      <c r="BJ100" s="1708"/>
      <c r="BK100" s="1697"/>
      <c r="BL100" s="1697"/>
      <c r="BM100" s="1698"/>
      <c r="BN100" s="1698"/>
      <c r="BO100" s="1698"/>
      <c r="BP100" s="1698"/>
      <c r="BQ100" s="1709"/>
      <c r="BR100" s="1698"/>
      <c r="BS100" s="1698"/>
      <c r="BT100" s="1698"/>
      <c r="BU100" s="1712"/>
      <c r="BV100" s="1712"/>
      <c r="BW100" s="1712"/>
      <c r="BX100" s="1712"/>
      <c r="BY100" s="1703"/>
      <c r="BZ100" s="125"/>
      <c r="CA100" s="170"/>
    </row>
    <row r="101" spans="2:79">
      <c r="B101" s="1714">
        <v>44883</v>
      </c>
      <c r="C101" s="1697"/>
      <c r="D101" s="1697"/>
      <c r="E101" s="1697"/>
      <c r="F101" s="1698"/>
      <c r="G101" s="1698"/>
      <c r="H101" s="1698"/>
      <c r="I101" s="1698"/>
      <c r="J101" s="1699"/>
      <c r="K101" s="1700"/>
      <c r="L101" s="1698"/>
      <c r="M101" s="1698"/>
      <c r="N101" s="1698"/>
      <c r="O101" s="1698"/>
      <c r="P101" s="1710"/>
      <c r="Q101" s="1702"/>
      <c r="R101" s="1698"/>
      <c r="S101" s="1698"/>
      <c r="T101" s="1698"/>
      <c r="U101" s="1703"/>
      <c r="V101" s="1704"/>
      <c r="W101" s="1704"/>
      <c r="X101" s="1706"/>
      <c r="Y101" s="1707"/>
      <c r="Z101" s="1708"/>
      <c r="AA101" s="1697"/>
      <c r="AB101" s="1697"/>
      <c r="AC101" s="1698"/>
      <c r="AD101" s="1698"/>
      <c r="AE101" s="1698"/>
      <c r="AF101" s="1698"/>
      <c r="AG101" s="1709"/>
      <c r="AH101" s="1698"/>
      <c r="AI101" s="1698"/>
      <c r="AJ101" s="1710"/>
      <c r="AK101" s="1711"/>
      <c r="AL101" s="1712"/>
      <c r="AM101" s="1712"/>
      <c r="AN101" s="1713"/>
      <c r="AO101" s="1703"/>
      <c r="AP101" s="1704"/>
      <c r="AQ101" s="1707"/>
      <c r="AR101" s="1708"/>
      <c r="AS101" s="1697"/>
      <c r="AT101" s="1697"/>
      <c r="AU101" s="1698"/>
      <c r="AV101" s="1698"/>
      <c r="AW101" s="1698"/>
      <c r="AX101" s="1698"/>
      <c r="AY101" s="1709"/>
      <c r="AZ101" s="1698"/>
      <c r="BA101" s="1698"/>
      <c r="BB101" s="1698"/>
      <c r="BC101" s="1712"/>
      <c r="BD101" s="1712"/>
      <c r="BE101" s="1712"/>
      <c r="BF101" s="1712"/>
      <c r="BG101" s="1703"/>
      <c r="BH101" s="1704"/>
      <c r="BI101" s="1707"/>
      <c r="BJ101" s="1708"/>
      <c r="BK101" s="1697"/>
      <c r="BL101" s="1697"/>
      <c r="BM101" s="1698"/>
      <c r="BN101" s="1698"/>
      <c r="BO101" s="1698"/>
      <c r="BP101" s="1698"/>
      <c r="BQ101" s="1709"/>
      <c r="BR101" s="1698"/>
      <c r="BS101" s="1698"/>
      <c r="BT101" s="1698"/>
      <c r="BU101" s="1712"/>
      <c r="BV101" s="1712"/>
      <c r="BW101" s="1712"/>
      <c r="BX101" s="1712"/>
      <c r="BY101" s="1703"/>
      <c r="BZ101" s="125"/>
      <c r="CA101" s="170"/>
    </row>
    <row r="102" spans="2:79">
      <c r="B102" s="1714">
        <v>44884</v>
      </c>
      <c r="C102" s="1697"/>
      <c r="D102" s="1697"/>
      <c r="E102" s="1697"/>
      <c r="F102" s="1698"/>
      <c r="G102" s="1698"/>
      <c r="H102" s="1698"/>
      <c r="I102" s="1698"/>
      <c r="J102" s="1699"/>
      <c r="K102" s="1700"/>
      <c r="L102" s="1698"/>
      <c r="M102" s="1698"/>
      <c r="N102" s="1698"/>
      <c r="O102" s="1698"/>
      <c r="P102" s="1710"/>
      <c r="Q102" s="1702"/>
      <c r="R102" s="1698"/>
      <c r="S102" s="1698"/>
      <c r="T102" s="1698"/>
      <c r="U102" s="1703"/>
      <c r="V102" s="1704"/>
      <c r="W102" s="1715"/>
      <c r="X102" s="1706"/>
      <c r="Y102" s="1707"/>
      <c r="Z102" s="1708"/>
      <c r="AA102" s="1697"/>
      <c r="AB102" s="1697"/>
      <c r="AC102" s="1698"/>
      <c r="AD102" s="1698"/>
      <c r="AE102" s="1698"/>
      <c r="AF102" s="1698"/>
      <c r="AG102" s="1709"/>
      <c r="AH102" s="1698"/>
      <c r="AI102" s="1698"/>
      <c r="AJ102" s="1710"/>
      <c r="AK102" s="1711"/>
      <c r="AL102" s="1712"/>
      <c r="AM102" s="1712"/>
      <c r="AN102" s="1713"/>
      <c r="AO102" s="1703"/>
      <c r="AP102" s="1704"/>
      <c r="AQ102" s="1707"/>
      <c r="AR102" s="1708"/>
      <c r="AS102" s="1697"/>
      <c r="AT102" s="1697"/>
      <c r="AU102" s="1698"/>
      <c r="AV102" s="1698"/>
      <c r="AW102" s="1698"/>
      <c r="AX102" s="1698"/>
      <c r="AY102" s="1709"/>
      <c r="AZ102" s="1698"/>
      <c r="BA102" s="1698"/>
      <c r="BB102" s="1698"/>
      <c r="BC102" s="1712"/>
      <c r="BD102" s="1712"/>
      <c r="BE102" s="1712"/>
      <c r="BF102" s="1712"/>
      <c r="BG102" s="1703"/>
      <c r="BH102" s="1704"/>
      <c r="BI102" s="1707"/>
      <c r="BJ102" s="1708"/>
      <c r="BK102" s="1697"/>
      <c r="BL102" s="1697"/>
      <c r="BM102" s="1698"/>
      <c r="BN102" s="1698"/>
      <c r="BO102" s="1698"/>
      <c r="BP102" s="1698"/>
      <c r="BQ102" s="1709"/>
      <c r="BR102" s="1698"/>
      <c r="BS102" s="1698"/>
      <c r="BT102" s="1698"/>
      <c r="BU102" s="1712"/>
      <c r="BV102" s="1712"/>
      <c r="BW102" s="1712"/>
      <c r="BX102" s="1712"/>
      <c r="BY102" s="1703"/>
      <c r="BZ102" s="125"/>
      <c r="CA102" s="170"/>
    </row>
    <row r="103" spans="2:79">
      <c r="B103" s="190" t="s">
        <v>160</v>
      </c>
      <c r="C103" s="27">
        <f>SUM(C96:C102)</f>
        <v>518773</v>
      </c>
      <c r="D103" s="27">
        <f t="shared" ref="D103:I103" si="424">SUM(D96:D102)</f>
        <v>10371</v>
      </c>
      <c r="E103" s="27">
        <f t="shared" si="424"/>
        <v>33564</v>
      </c>
      <c r="F103" s="27">
        <f t="shared" si="424"/>
        <v>11535</v>
      </c>
      <c r="G103" s="27">
        <f t="shared" si="424"/>
        <v>4454</v>
      </c>
      <c r="H103" s="27">
        <f t="shared" si="424"/>
        <v>2224</v>
      </c>
      <c r="I103" s="27">
        <f t="shared" si="424"/>
        <v>1342</v>
      </c>
      <c r="J103" s="905">
        <f>SUM(J96:J102)</f>
        <v>792.19999999999993</v>
      </c>
      <c r="K103" s="1341">
        <f>SUM($J$66:$J$70,$J$79,$J$87,$J$95,J103)/$D$10</f>
        <v>1.0058119007097264</v>
      </c>
      <c r="L103" s="211">
        <f t="shared" ref="L103" si="425">D103/C103</f>
        <v>1.9991402790816022E-2</v>
      </c>
      <c r="M103" s="56">
        <f>SUM(M96:M102)</f>
        <v>42011.500000000007</v>
      </c>
      <c r="N103" s="1340">
        <f t="shared" ref="N103" si="426">J103/E103</f>
        <v>2.360266952687403E-2</v>
      </c>
      <c r="O103" s="1340">
        <f t="shared" ref="O103" si="427">J103/I103</f>
        <v>0.59031296572280179</v>
      </c>
      <c r="P103" s="154">
        <f t="shared" ref="P103" si="428">E103/M103</f>
        <v>0.79892410411434955</v>
      </c>
      <c r="Q103" s="144">
        <f>SUM(Q96:Q102)</f>
        <v>339</v>
      </c>
      <c r="R103" s="56"/>
      <c r="S103" s="56"/>
      <c r="T103" s="56">
        <f>SUM(T96:T102)</f>
        <v>728.52312138728325</v>
      </c>
      <c r="U103" s="140">
        <f>Q103/T103</f>
        <v>0.46532497054377969</v>
      </c>
      <c r="V103" s="237">
        <f>J103/Q103</f>
        <v>2.3368731563421825</v>
      </c>
      <c r="W103" s="317">
        <f>Q103/D103</f>
        <v>3.2687301128145795E-2</v>
      </c>
      <c r="X103" s="682">
        <f>AVERAGE(X96:X102)</f>
        <v>1.6869664385793419</v>
      </c>
      <c r="Y103" s="317">
        <f>AVERAGE(Y96:Y102)</f>
        <v>0.96469262517649623</v>
      </c>
      <c r="Z103" s="164">
        <f>SUM(Z96:Z102)</f>
        <v>339335</v>
      </c>
      <c r="AA103" s="298">
        <f t="shared" ref="AA103:AG103" si="429">SUM(AA96:AA102)</f>
        <v>6951</v>
      </c>
      <c r="AB103" s="298">
        <f t="shared" si="429"/>
        <v>19536</v>
      </c>
      <c r="AC103" s="298">
        <f t="shared" si="429"/>
        <v>7038</v>
      </c>
      <c r="AD103" s="298">
        <f t="shared" si="429"/>
        <v>2752</v>
      </c>
      <c r="AE103" s="298">
        <f t="shared" si="429"/>
        <v>1420</v>
      </c>
      <c r="AF103" s="298">
        <f t="shared" si="429"/>
        <v>834</v>
      </c>
      <c r="AG103" s="479">
        <f t="shared" si="429"/>
        <v>527.75</v>
      </c>
      <c r="AH103" s="549">
        <f>AG103/AB103</f>
        <v>2.7014230139230138E-2</v>
      </c>
      <c r="AI103" s="549">
        <f>AG103/AF103</f>
        <v>0.63279376498800954</v>
      </c>
      <c r="AJ103" s="550">
        <f>AA103/Z103</f>
        <v>2.0484182297729383E-2</v>
      </c>
      <c r="AK103" s="551">
        <f t="shared" ref="AK103" si="430">SUM(AK96:AK102)</f>
        <v>254</v>
      </c>
      <c r="AL103" s="298"/>
      <c r="AM103" s="298"/>
      <c r="AN103" s="552">
        <f t="shared" ref="AN103" si="431">AG103/AK103</f>
        <v>2.0777559055118111</v>
      </c>
      <c r="AO103" s="1347">
        <f t="shared" ref="AO103" si="432">AK103/AA103</f>
        <v>3.654150481945044E-2</v>
      </c>
      <c r="AP103" s="126"/>
      <c r="AQ103" s="171"/>
      <c r="AR103" s="164">
        <f>SUM(AR96:AR102)</f>
        <v>165825</v>
      </c>
      <c r="AS103" s="27">
        <f t="shared" ref="AS103:AY103" si="433">SUM(AS96:AS102)</f>
        <v>3049</v>
      </c>
      <c r="AT103" s="27">
        <f t="shared" si="433"/>
        <v>12854</v>
      </c>
      <c r="AU103" s="27">
        <f t="shared" si="433"/>
        <v>4183</v>
      </c>
      <c r="AV103" s="27">
        <f t="shared" si="433"/>
        <v>1608</v>
      </c>
      <c r="AW103" s="27">
        <f t="shared" si="433"/>
        <v>762</v>
      </c>
      <c r="AX103" s="27">
        <f t="shared" si="433"/>
        <v>487</v>
      </c>
      <c r="AY103" s="479">
        <f t="shared" si="433"/>
        <v>237.31</v>
      </c>
      <c r="AZ103" s="549">
        <f>AY103/AT103</f>
        <v>1.8461957367356466E-2</v>
      </c>
      <c r="BA103" s="549">
        <f>AY103/AX103</f>
        <v>0.48728952772073925</v>
      </c>
      <c r="BB103" s="550">
        <f>AS103/AR103</f>
        <v>1.8386853610734208E-2</v>
      </c>
      <c r="BC103" s="551">
        <f t="shared" ref="BC103" si="434">SUM(BC96:BC102)</f>
        <v>84</v>
      </c>
      <c r="BD103" s="298"/>
      <c r="BE103" s="298"/>
      <c r="BF103" s="552">
        <f t="shared" ref="BF103" si="435">AY103/BC103</f>
        <v>2.8251190476190478</v>
      </c>
      <c r="BG103" s="1138">
        <f t="shared" ref="BG103" si="436">BC103/AS103</f>
        <v>2.7550016398819287E-2</v>
      </c>
      <c r="BH103" s="126"/>
      <c r="BI103" s="171"/>
      <c r="BJ103" s="164">
        <f>SUM(BJ96:BJ102)</f>
        <v>13613</v>
      </c>
      <c r="BK103" s="27">
        <f t="shared" ref="BK103:BQ103" si="437">SUM(BK96:BK102)</f>
        <v>371</v>
      </c>
      <c r="BL103" s="27">
        <f t="shared" si="437"/>
        <v>1174</v>
      </c>
      <c r="BM103" s="27">
        <f t="shared" si="437"/>
        <v>314</v>
      </c>
      <c r="BN103" s="27">
        <f t="shared" si="437"/>
        <v>94</v>
      </c>
      <c r="BO103" s="27">
        <f t="shared" si="437"/>
        <v>42</v>
      </c>
      <c r="BP103" s="27">
        <f t="shared" si="437"/>
        <v>21</v>
      </c>
      <c r="BQ103" s="479">
        <f t="shared" si="437"/>
        <v>27.14</v>
      </c>
      <c r="BR103" s="549">
        <f>BQ103/BL103</f>
        <v>2.31175468483816E-2</v>
      </c>
      <c r="BS103" s="549">
        <f>BQ103/BP103</f>
        <v>1.2923809523809524</v>
      </c>
      <c r="BT103" s="550">
        <f>BK103/BJ103</f>
        <v>2.7253360758098876E-2</v>
      </c>
      <c r="BU103" s="551">
        <f t="shared" ref="BU103" si="438">SUM(BU96:BU102)</f>
        <v>1</v>
      </c>
      <c r="BV103" s="298"/>
      <c r="BW103" s="298"/>
      <c r="BX103" s="552">
        <f t="shared" ref="BX103" si="439">BQ103/BU103</f>
        <v>27.14</v>
      </c>
      <c r="BY103" s="1138">
        <f t="shared" ref="BY103" si="440">BU103/BK103</f>
        <v>2.6954177897574125E-3</v>
      </c>
      <c r="BZ103" s="126"/>
      <c r="CA103" s="171"/>
    </row>
    <row r="104" spans="2:79">
      <c r="B104" s="1522" t="s">
        <v>161</v>
      </c>
      <c r="C104" s="1523">
        <f>SUM(C66:C70,C79,C87,C95,C103)</f>
        <v>7507407</v>
      </c>
      <c r="D104" s="1523">
        <f>SUM(D66:D70,D79,D87,D95,D103)</f>
        <v>151093</v>
      </c>
      <c r="E104" s="1523">
        <f t="shared" ref="E104:I104" si="441">SUM(E66:E70,E79,E87,E95,E103)</f>
        <v>547264</v>
      </c>
      <c r="F104" s="1523">
        <f t="shared" si="441"/>
        <v>169061</v>
      </c>
      <c r="G104" s="1523">
        <f t="shared" si="441"/>
        <v>68717</v>
      </c>
      <c r="H104" s="1523">
        <f t="shared" si="441"/>
        <v>35886</v>
      </c>
      <c r="I104" s="1523">
        <f t="shared" si="441"/>
        <v>22669</v>
      </c>
      <c r="J104" s="1524">
        <f>SUM(J66:J70,J79,J87,J95,J103)</f>
        <v>12676.7</v>
      </c>
      <c r="K104" s="1525">
        <f>J104/$D$10</f>
        <v>1.0058119007097264</v>
      </c>
      <c r="L104" s="1526">
        <f>D104/C104</f>
        <v>2.0125857036923666E-2</v>
      </c>
      <c r="M104" s="1523">
        <f>SUM(M66:M70,M79,M87,M95,M103)</f>
        <v>406111.1666666668</v>
      </c>
      <c r="N104" s="1527">
        <f>J104/E104</f>
        <v>2.3163774704712901E-2</v>
      </c>
      <c r="O104" s="1527">
        <f>J104/I104</f>
        <v>0.55920861087829199</v>
      </c>
      <c r="P104" s="1528">
        <f>E104/M104</f>
        <v>1.3475719086768931</v>
      </c>
      <c r="Q104" s="1529">
        <f>SUM(Q66:Q70,Q79,Q87,Q95,Q103)</f>
        <v>4478</v>
      </c>
      <c r="R104" s="1530"/>
      <c r="S104" s="1530"/>
      <c r="T104" s="1523">
        <f>SUM(T66:T70,T79,T87,T95,T103)</f>
        <v>7042.3901734104056</v>
      </c>
      <c r="U104" s="1531">
        <f>Q104/T104</f>
        <v>0.63586366130456062</v>
      </c>
      <c r="V104" s="1532">
        <f>J104/Q104</f>
        <v>2.8308843233586423</v>
      </c>
      <c r="W104" s="1533">
        <f>Q104/D104</f>
        <v>2.9637375656052893E-2</v>
      </c>
      <c r="X104" s="1534">
        <f>AVERAGE(X66:X70,X72:X78,X80:X86,X88:X94,X96:X101)</f>
        <v>6.548353941453648</v>
      </c>
      <c r="Y104" s="1535">
        <f>AVERAGE(Y66:Y70,Y72:Y78,Y80:Y86,Y88:Y94,Y96:Y101)</f>
        <v>0.90807558295713231</v>
      </c>
      <c r="Z104" s="1523">
        <f>SUM(Z66:Z70,Z79,Z87,Z95,Z103)</f>
        <v>5440301</v>
      </c>
      <c r="AA104" s="1523">
        <f t="shared" ref="AA104:AF104" si="442">SUM(AA66:AA70,AA79,AA87,AA95,AA103)</f>
        <v>115690</v>
      </c>
      <c r="AB104" s="1523">
        <f t="shared" si="442"/>
        <v>381786</v>
      </c>
      <c r="AC104" s="1523">
        <f t="shared" si="442"/>
        <v>123774</v>
      </c>
      <c r="AD104" s="1523">
        <f t="shared" si="442"/>
        <v>51175</v>
      </c>
      <c r="AE104" s="1523">
        <f t="shared" si="442"/>
        <v>26768</v>
      </c>
      <c r="AF104" s="1523">
        <f t="shared" si="442"/>
        <v>16787</v>
      </c>
      <c r="AG104" s="1536">
        <f>SUM(AG66:AG70,AG79,AG87,AG95,AG103)</f>
        <v>9249.67</v>
      </c>
      <c r="AH104" s="1527">
        <f t="shared" ref="AH104" si="443">AG104/AB104</f>
        <v>2.4227368211511162E-2</v>
      </c>
      <c r="AI104" s="1527">
        <f t="shared" ref="AI104" si="444">AG104/AF104</f>
        <v>0.55100196580687433</v>
      </c>
      <c r="AJ104" s="1537">
        <f t="shared" ref="AJ104" si="445">AA104/Z104</f>
        <v>2.1265367486100493E-2</v>
      </c>
      <c r="AK104" s="1523">
        <f>SUM(AK66:AK70,AK79,AK87,AK95,AK103)</f>
        <v>3373</v>
      </c>
      <c r="AL104" s="1538"/>
      <c r="AM104" s="1538"/>
      <c r="AN104" s="1539">
        <f>AG104/AK104</f>
        <v>2.7422680106729915</v>
      </c>
      <c r="AO104" s="1540">
        <f>AK104/AA104</f>
        <v>2.9155501771976833E-2</v>
      </c>
      <c r="AP104" s="1541"/>
      <c r="AQ104" s="1542"/>
      <c r="AR104" s="1523">
        <f>SUM(AR66:AR70,AR79,AR87,AR95,AR103)</f>
        <v>1564362</v>
      </c>
      <c r="AS104" s="1523">
        <f t="shared" ref="AS104:AX104" si="446">SUM(AS66:AS70,AS79,AS87,AS95,AS103)</f>
        <v>30962</v>
      </c>
      <c r="AT104" s="1523">
        <f t="shared" si="446"/>
        <v>119563</v>
      </c>
      <c r="AU104" s="1523">
        <f t="shared" si="446"/>
        <v>33856</v>
      </c>
      <c r="AV104" s="1523">
        <f t="shared" si="446"/>
        <v>13309</v>
      </c>
      <c r="AW104" s="1523">
        <f t="shared" si="446"/>
        <v>6965</v>
      </c>
      <c r="AX104" s="1523">
        <f t="shared" si="446"/>
        <v>4512</v>
      </c>
      <c r="AY104" s="1536">
        <f>SUM(AY66:AY70,AY79,AY87,AY95,AY103)</f>
        <v>2656.08</v>
      </c>
      <c r="AZ104" s="1527">
        <f t="shared" ref="AZ104" si="447">AY104/AT104</f>
        <v>2.2214899258131696E-2</v>
      </c>
      <c r="BA104" s="1527">
        <f t="shared" ref="BA104" si="448">AY104/AX104</f>
        <v>0.58867021276595743</v>
      </c>
      <c r="BB104" s="1537">
        <f t="shared" ref="BB104" si="449">AS104/AR104</f>
        <v>1.9792094157234708E-2</v>
      </c>
      <c r="BC104" s="1523">
        <f>SUM(BC66:BC70,BC79,BC87,BC95,BC103)</f>
        <v>1064</v>
      </c>
      <c r="BD104" s="1538"/>
      <c r="BE104" s="1538"/>
      <c r="BF104" s="1539">
        <f>AY104/BC104</f>
        <v>2.4963157894736843</v>
      </c>
      <c r="BG104" s="1540">
        <f>BC104/AS104</f>
        <v>3.4364705122408114E-2</v>
      </c>
      <c r="BH104" s="1541"/>
      <c r="BI104" s="1542"/>
      <c r="BJ104" s="1523">
        <f>SUM(BJ66:BJ70,BJ79,BJ87,BJ95,BJ103)</f>
        <v>502744</v>
      </c>
      <c r="BK104" s="1523">
        <f t="shared" ref="BK104:BP104" si="450">SUM(BK66:BK70,BK79,BK87,BK95,BK103)</f>
        <v>4441</v>
      </c>
      <c r="BL104" s="1523">
        <f t="shared" si="450"/>
        <v>45915</v>
      </c>
      <c r="BM104" s="1523">
        <f t="shared" si="450"/>
        <v>11431</v>
      </c>
      <c r="BN104" s="1523">
        <f t="shared" si="450"/>
        <v>4233</v>
      </c>
      <c r="BO104" s="1523">
        <f t="shared" si="450"/>
        <v>2153</v>
      </c>
      <c r="BP104" s="1523">
        <f t="shared" si="450"/>
        <v>1370</v>
      </c>
      <c r="BQ104" s="1536">
        <f>SUM(BQ66:BQ70,BQ79,BQ87,BQ95,BQ103)</f>
        <v>770.95</v>
      </c>
      <c r="BR104" s="1527">
        <f t="shared" ref="BR104" si="451">BQ104/BL104</f>
        <v>1.6790809103778722E-2</v>
      </c>
      <c r="BS104" s="1527">
        <f t="shared" ref="BS104" si="452">BQ104/BP104</f>
        <v>0.56273722627737233</v>
      </c>
      <c r="BT104" s="1537">
        <f t="shared" ref="BT104" si="453">BK104/BJ104</f>
        <v>8.8335216332765774E-3</v>
      </c>
      <c r="BU104" s="1523">
        <f>SUM(BU66:BU70,BU79,BU87,BU95,BU103)</f>
        <v>41</v>
      </c>
      <c r="BV104" s="1538"/>
      <c r="BW104" s="1538"/>
      <c r="BX104" s="1539">
        <f>BQ104/BU104</f>
        <v>18.803658536585367</v>
      </c>
      <c r="BY104" s="1540">
        <f>BU104/BK104</f>
        <v>9.2321549200630494E-3</v>
      </c>
      <c r="BZ104" s="886"/>
      <c r="CA104" s="885"/>
    </row>
    <row r="105" spans="2:79" ht="16.2" hidden="1" thickBot="1">
      <c r="B105" s="1507" t="s">
        <v>36</v>
      </c>
      <c r="C105" s="897">
        <f>SUM(C65,C104)</f>
        <v>23173287</v>
      </c>
      <c r="D105" s="897">
        <f t="shared" ref="D105:J105" si="454">SUM(D65,D104)</f>
        <v>221247</v>
      </c>
      <c r="E105" s="897">
        <f t="shared" si="454"/>
        <v>2944314</v>
      </c>
      <c r="F105" s="897">
        <f t="shared" si="454"/>
        <v>692091</v>
      </c>
      <c r="G105" s="897">
        <f t="shared" si="454"/>
        <v>277945</v>
      </c>
      <c r="H105" s="897">
        <f t="shared" si="454"/>
        <v>154292</v>
      </c>
      <c r="I105" s="897">
        <f t="shared" si="454"/>
        <v>85717</v>
      </c>
      <c r="J105" s="1508">
        <f t="shared" si="454"/>
        <v>31235.25</v>
      </c>
      <c r="K105" s="1509">
        <f>J105/SUM(C10:D10)</f>
        <v>0.99792015105262399</v>
      </c>
      <c r="L105" s="1510">
        <f>D105/C105</f>
        <v>9.5475018282904795E-3</v>
      </c>
      <c r="M105" s="897">
        <f t="shared" ref="M105" si="455">SUM(M65,M104)</f>
        <v>1066111.1666666667</v>
      </c>
      <c r="N105" s="1511">
        <f>J105/E105</f>
        <v>1.0608668097220608E-2</v>
      </c>
      <c r="O105" s="1511">
        <f>J105/I105</f>
        <v>0.3643997106758286</v>
      </c>
      <c r="P105" s="1512">
        <f>E105/M105</f>
        <v>2.7617326335730779</v>
      </c>
      <c r="Q105" s="893">
        <f>SUM(Q38,Q46,Q54,Q62,Q71,Q79,Q87,Q95,Q103)</f>
        <v>9927</v>
      </c>
      <c r="R105" s="894"/>
      <c r="S105" s="894"/>
      <c r="T105" s="894">
        <f>SUM(T38,T46,T54,T62,T71,T79,T87,T95,T103)</f>
        <v>18487.390173410407</v>
      </c>
      <c r="U105" s="1513">
        <f>SUM(U38,U46,U54,U62,U71,U79,U87,U95,U103)</f>
        <v>4.9243628743780379</v>
      </c>
      <c r="V105" s="969">
        <f>J105/Q105</f>
        <v>3.1464944091870657</v>
      </c>
      <c r="W105" s="1514">
        <f>Q105/D105</f>
        <v>4.4868404995321971E-2</v>
      </c>
      <c r="X105" s="1515">
        <f>AVERAGE(X31:X37,X39:X45,X47:X53,X55:X61,X63:X64,X66:X70,X72:X78,X80:X86,X88:X94,X96:X101)</f>
        <v>6.1886457309637803</v>
      </c>
      <c r="Y105" s="1515">
        <f>AVERAGE(Y31:Y37,Y39:Y45,Y47:Y53,Y55:Y61,Y63:Y64,Y66:Y70,Y72:Y78,Y80:Y86,Y88:Y94,Y96:Y101)</f>
        <v>0.92667194212542159</v>
      </c>
      <c r="Z105" s="1516">
        <f t="shared" ref="Z105:AG105" si="456">SUM(Z38,Z46,Z54,Z62,Z71,Z79,Z87,Z95,Z103)</f>
        <v>12439899</v>
      </c>
      <c r="AA105" s="897">
        <f t="shared" si="456"/>
        <v>150313</v>
      </c>
      <c r="AB105" s="897">
        <f t="shared" si="456"/>
        <v>1398204</v>
      </c>
      <c r="AC105" s="897">
        <f t="shared" si="456"/>
        <v>354231</v>
      </c>
      <c r="AD105" s="897">
        <f t="shared" si="456"/>
        <v>144784</v>
      </c>
      <c r="AE105" s="897">
        <f t="shared" si="456"/>
        <v>83376</v>
      </c>
      <c r="AF105" s="897">
        <f t="shared" si="456"/>
        <v>44484</v>
      </c>
      <c r="AG105" s="898">
        <f t="shared" si="456"/>
        <v>17408.010000000002</v>
      </c>
      <c r="AH105" s="1511"/>
      <c r="AI105" s="1511"/>
      <c r="AJ105" s="1517">
        <f>AA105/Z105</f>
        <v>1.2083136687846099E-2</v>
      </c>
      <c r="AK105" s="893">
        <f>SUM(AK38,AK46,AK54,AK62,AK71,AK79,AK87,AK95,AK103)</f>
        <v>5883</v>
      </c>
      <c r="AL105" s="897">
        <f>SUM(AL38,AL46,AL54,AL62,AL71,AL79,AL87,AL95,AL103)</f>
        <v>0</v>
      </c>
      <c r="AM105" s="897">
        <f>SUM(AM38,AM46,AM54,AM62,AM71,AM79,AM87,AM95,AM103)</f>
        <v>0</v>
      </c>
      <c r="AN105" s="898"/>
      <c r="AO105" s="897">
        <f>SUM(AO38,AO46,AO54,AO62,AO71,AO79,AO87,AO95,AO103)</f>
        <v>0.43422014307990386</v>
      </c>
      <c r="AP105" s="897">
        <f>SUM(AP38,AP46,AP54,AP62,AP71,AP79,AP87,AP95,AP103)</f>
        <v>0</v>
      </c>
      <c r="AQ105" s="1518">
        <f>SUM(AQ38,AQ46,AQ54,AQ62,AQ71,AQ79,AQ87,AQ95,AQ103)</f>
        <v>0</v>
      </c>
      <c r="AR105" s="1516">
        <f>SUM(AR65,AR104)</f>
        <v>7119884</v>
      </c>
      <c r="AS105" s="1516">
        <f t="shared" ref="AS105:AY105" si="457">SUM(AS65,AS104)</f>
        <v>57356</v>
      </c>
      <c r="AT105" s="1516">
        <f t="shared" si="457"/>
        <v>993351</v>
      </c>
      <c r="AU105" s="1516">
        <f t="shared" si="457"/>
        <v>135348</v>
      </c>
      <c r="AV105" s="1516">
        <f t="shared" si="457"/>
        <v>50796</v>
      </c>
      <c r="AW105" s="1516">
        <f t="shared" si="457"/>
        <v>29673</v>
      </c>
      <c r="AX105" s="1516">
        <f t="shared" si="457"/>
        <v>16499</v>
      </c>
      <c r="AY105" s="1519">
        <f t="shared" si="457"/>
        <v>9270.2800000000007</v>
      </c>
      <c r="AZ105" s="1520">
        <f>AY105/AT105</f>
        <v>9.3323306666022385E-3</v>
      </c>
      <c r="BA105" s="1520">
        <f>AY105/AX105</f>
        <v>0.56186920419419362</v>
      </c>
      <c r="BB105" s="1517">
        <f>AS105/AR105</f>
        <v>8.0557492228805969E-3</v>
      </c>
      <c r="BC105" s="893">
        <f>SUM(BC38,BC46,BC54,BC62,BC71,BC79,BC87,BC95,BC103)</f>
        <v>3109</v>
      </c>
      <c r="BD105" s="897">
        <f>SUM(BD38,BD46,BD54,BD62,BD71,BD79,BD87,BD95,BD103)</f>
        <v>0</v>
      </c>
      <c r="BE105" s="897">
        <f>SUM(BE38,BE46,BE54,BE62,BE71,BE79,BE87,BE95,BE103)</f>
        <v>0</v>
      </c>
      <c r="BF105" s="1521">
        <f>AY105/BC105</f>
        <v>2.9817561917015118</v>
      </c>
      <c r="BG105" s="1521">
        <f>BC105/AS105</f>
        <v>5.4205314178115631E-2</v>
      </c>
      <c r="BH105" s="897">
        <f t="shared" ref="BH105:BQ105" si="458">SUM(BH38,BH46,BH54,BH62,BH71,BH79,BH87,BH95,BH103)</f>
        <v>0</v>
      </c>
      <c r="BI105" s="1518">
        <f t="shared" si="458"/>
        <v>0</v>
      </c>
      <c r="BJ105" s="1516">
        <f t="shared" si="458"/>
        <v>3613504</v>
      </c>
      <c r="BK105" s="897">
        <f t="shared" si="458"/>
        <v>13578</v>
      </c>
      <c r="BL105" s="897">
        <f t="shared" si="458"/>
        <v>552759</v>
      </c>
      <c r="BM105" s="897">
        <f t="shared" si="458"/>
        <v>202512</v>
      </c>
      <c r="BN105" s="897">
        <f t="shared" si="458"/>
        <v>82365</v>
      </c>
      <c r="BO105" s="897">
        <f t="shared" si="458"/>
        <v>41243</v>
      </c>
      <c r="BP105" s="897">
        <f t="shared" si="458"/>
        <v>24734</v>
      </c>
      <c r="BQ105" s="898">
        <f t="shared" si="458"/>
        <v>4556.96</v>
      </c>
      <c r="BR105" s="1511"/>
      <c r="BS105" s="1511"/>
      <c r="BT105" s="1517">
        <f>BK105/BJ105</f>
        <v>3.7575715980942598E-3</v>
      </c>
      <c r="BU105" s="893">
        <f>SUM(BU38,BU46,BU54,BU62,BU71,BU79,BU87,BU95,BU103)</f>
        <v>935</v>
      </c>
      <c r="BV105" s="894"/>
      <c r="BW105" s="894"/>
      <c r="BX105" s="895"/>
      <c r="BY105" s="215"/>
      <c r="BZ105" s="183"/>
      <c r="CA105" s="184"/>
    </row>
  </sheetData>
  <mergeCells count="19">
    <mergeCell ref="C29:P29"/>
    <mergeCell ref="Q29:Y29"/>
    <mergeCell ref="B12:Y12"/>
    <mergeCell ref="C13:P13"/>
    <mergeCell ref="BJ29:BT29"/>
    <mergeCell ref="BU29:CA29"/>
    <mergeCell ref="Z29:AJ29"/>
    <mergeCell ref="AK29:AQ29"/>
    <mergeCell ref="Z28:AQ28"/>
    <mergeCell ref="AR28:BI28"/>
    <mergeCell ref="AR29:BB29"/>
    <mergeCell ref="BC29:BI29"/>
    <mergeCell ref="Q13:Y13"/>
    <mergeCell ref="B28:Y28"/>
    <mergeCell ref="AA13:AC13"/>
    <mergeCell ref="B2:D2"/>
    <mergeCell ref="BJ28:CA28"/>
    <mergeCell ref="B8:D8"/>
    <mergeCell ref="AE13:AG13"/>
  </mergeCells>
  <conditionalFormatting sqref="AQ27">
    <cfRule type="cellIs" dxfId="6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30"/>
  <sheetViews>
    <sheetView showGridLines="0" topLeftCell="A10" zoomScale="70" zoomScaleNormal="70" workbookViewId="0">
      <selection activeCell="A31" sqref="A31:XFD31"/>
    </sheetView>
  </sheetViews>
  <sheetFormatPr defaultColWidth="8.8984375" defaultRowHeight="15.6"/>
  <cols>
    <col min="1" max="1" width="1.69921875" style="17" customWidth="1"/>
    <col min="2" max="2" width="17.8984375" style="17" customWidth="1"/>
    <col min="3" max="3" width="11.3984375" style="17" bestFit="1" customWidth="1"/>
    <col min="4" max="9" width="10.69921875" style="17" customWidth="1"/>
    <col min="10" max="10" width="12.09765625" style="473" customWidth="1"/>
    <col min="11" max="11" width="10.69921875" style="601" customWidth="1"/>
    <col min="12" max="17" width="10.69921875" style="17" customWidth="1"/>
    <col min="18" max="19" width="10.69921875" style="17" hidden="1" customWidth="1"/>
    <col min="20" max="27" width="10.69921875" style="17" customWidth="1"/>
    <col min="28" max="28" width="16.296875" style="17" bestFit="1" customWidth="1"/>
    <col min="29" max="31" width="10.69921875" style="17" customWidth="1"/>
    <col min="32" max="32" width="15.296875" style="17" customWidth="1"/>
    <col min="33" max="33" width="15.3984375" style="473" customWidth="1"/>
    <col min="34" max="34" width="15.3984375" style="17" customWidth="1"/>
    <col min="35" max="37" width="10.69921875" style="17" customWidth="1"/>
    <col min="38" max="39" width="10.69921875" style="17" hidden="1" customWidth="1"/>
    <col min="40" max="41" width="10.69921875" style="17" customWidth="1"/>
    <col min="42" max="43" width="10.69921875" style="17" hidden="1" customWidth="1"/>
    <col min="44" max="50" width="10.69921875" style="17" customWidth="1"/>
    <col min="51" max="51" width="10.69921875" style="473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473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472"/>
      <c r="K1" s="600"/>
      <c r="AG1" s="472"/>
      <c r="AY1" s="472"/>
      <c r="BQ1" s="472"/>
    </row>
    <row r="2" spans="2:69" s="2" customFormat="1" ht="16.2" thickBot="1">
      <c r="B2" s="2010" t="s">
        <v>183</v>
      </c>
      <c r="C2" s="2011"/>
      <c r="D2" s="2012"/>
      <c r="J2" s="472"/>
      <c r="K2" s="600"/>
      <c r="AG2" s="472"/>
      <c r="AY2" s="472"/>
      <c r="BQ2" s="472"/>
    </row>
    <row r="3" spans="2:69" s="2" customFormat="1">
      <c r="B3" s="906" t="s">
        <v>112</v>
      </c>
      <c r="C3" s="907" t="s">
        <v>30</v>
      </c>
      <c r="D3" s="908" t="s">
        <v>47</v>
      </c>
      <c r="J3" s="472"/>
      <c r="K3" s="600"/>
      <c r="AG3" s="472"/>
      <c r="AY3" s="472"/>
      <c r="BQ3" s="472"/>
    </row>
    <row r="4" spans="2:69" s="2" customFormat="1" ht="16.2" thickBot="1">
      <c r="B4" s="909" t="s">
        <v>113</v>
      </c>
      <c r="C4" s="910">
        <v>14600</v>
      </c>
      <c r="D4" s="911">
        <v>15800</v>
      </c>
      <c r="J4" s="472"/>
      <c r="K4" s="600"/>
      <c r="AG4" s="472"/>
      <c r="AY4" s="472"/>
      <c r="BQ4" s="472"/>
    </row>
    <row r="5" spans="2:69" s="2" customFormat="1" ht="16.2" customHeight="1">
      <c r="J5" s="472"/>
      <c r="K5" s="600"/>
      <c r="AG5" s="472"/>
      <c r="AY5" s="472"/>
      <c r="BQ5" s="472"/>
    </row>
    <row r="6" spans="2:69" s="2" customFormat="1" ht="16.2" hidden="1" thickBot="1">
      <c r="J6" s="472"/>
      <c r="K6" s="600"/>
      <c r="AG6" s="472"/>
      <c r="AY6" s="472"/>
      <c r="BQ6" s="472"/>
    </row>
    <row r="7" spans="2:69" ht="16.2" hidden="1" thickBot="1">
      <c r="B7" s="2010" t="s">
        <v>183</v>
      </c>
      <c r="C7" s="2011"/>
      <c r="D7" s="2012"/>
    </row>
    <row r="8" spans="2:69" hidden="1">
      <c r="B8" s="906" t="s">
        <v>112</v>
      </c>
      <c r="C8" s="907" t="s">
        <v>30</v>
      </c>
      <c r="D8" s="908" t="s">
        <v>47</v>
      </c>
      <c r="E8" s="76"/>
      <c r="F8" s="19"/>
      <c r="G8" s="19"/>
      <c r="H8" s="19"/>
      <c r="I8" s="19"/>
      <c r="J8" s="474"/>
      <c r="K8" s="60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2:69" ht="16.2" hidden="1" thickBot="1">
      <c r="B9" s="909" t="s">
        <v>113</v>
      </c>
      <c r="C9" s="910">
        <v>14600</v>
      </c>
      <c r="D9" s="911">
        <v>14866.67</v>
      </c>
      <c r="E9" s="76"/>
      <c r="F9" s="197"/>
      <c r="G9" s="19"/>
      <c r="H9" s="19"/>
      <c r="I9" s="19"/>
      <c r="J9" s="474"/>
      <c r="K9" s="602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0"/>
      <c r="AA9" s="20"/>
      <c r="AB9" s="20"/>
      <c r="AC9" s="20"/>
      <c r="AD9" s="20"/>
      <c r="AE9" s="20"/>
      <c r="AF9" s="20"/>
      <c r="AG9" s="507"/>
      <c r="AH9" s="20"/>
      <c r="AI9" s="20"/>
      <c r="AJ9" s="20"/>
      <c r="AK9" s="20"/>
      <c r="AL9" s="20"/>
      <c r="AM9" s="20"/>
      <c r="AN9" s="20"/>
      <c r="AO9" s="20"/>
    </row>
    <row r="10" spans="2:69" ht="16.2" thickBot="1">
      <c r="B10" s="21"/>
      <c r="C10" s="21"/>
      <c r="D10" s="21"/>
      <c r="E10" s="21"/>
      <c r="F10" s="21"/>
      <c r="G10" s="21"/>
      <c r="H10" s="21"/>
      <c r="I10" s="21"/>
      <c r="J10" s="475"/>
      <c r="K10" s="60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  <c r="AC10" s="20"/>
      <c r="AD10" s="20"/>
      <c r="AE10" s="20"/>
      <c r="AF10" s="20"/>
      <c r="AG10" s="507"/>
      <c r="AH10" s="20"/>
      <c r="AI10" s="20"/>
      <c r="AJ10" s="20"/>
      <c r="AK10" s="20"/>
      <c r="AL10" s="20"/>
      <c r="AM10" s="20"/>
      <c r="AN10" s="20"/>
      <c r="AO10" s="20"/>
    </row>
    <row r="11" spans="2:69">
      <c r="B11" s="2001" t="s">
        <v>115</v>
      </c>
      <c r="C11" s="2002"/>
      <c r="D11" s="2002"/>
      <c r="E11" s="2002"/>
      <c r="F11" s="2002"/>
      <c r="G11" s="2002"/>
      <c r="H11" s="2002"/>
      <c r="I11" s="2002"/>
      <c r="J11" s="2002"/>
      <c r="K11" s="2002"/>
      <c r="L11" s="2002"/>
      <c r="M11" s="2002"/>
      <c r="N11" s="2002"/>
      <c r="O11" s="2002"/>
      <c r="P11" s="2002"/>
      <c r="Q11" s="2002"/>
      <c r="R11" s="2002"/>
      <c r="S11" s="2002"/>
      <c r="T11" s="2002"/>
      <c r="U11" s="2002"/>
      <c r="V11" s="2002"/>
      <c r="W11" s="2002"/>
      <c r="X11" s="2002"/>
      <c r="Y11" s="2003"/>
      <c r="Z11" s="20"/>
      <c r="AA11" s="20"/>
      <c r="AB11" s="20"/>
      <c r="AC11" s="20"/>
      <c r="AD11" s="20"/>
      <c r="AE11" s="20"/>
      <c r="AF11" s="20"/>
      <c r="AG11" s="507"/>
      <c r="AH11" s="20"/>
      <c r="AI11" s="20"/>
      <c r="AJ11" s="20"/>
      <c r="AK11" s="20"/>
      <c r="AL11" s="20"/>
      <c r="AM11" s="20"/>
      <c r="AN11" s="20"/>
      <c r="AO11" s="20"/>
    </row>
    <row r="12" spans="2:69">
      <c r="B12" s="116"/>
      <c r="C12" s="2023" t="s">
        <v>14</v>
      </c>
      <c r="D12" s="2023"/>
      <c r="E12" s="2023"/>
      <c r="F12" s="2023"/>
      <c r="G12" s="2023"/>
      <c r="H12" s="2023"/>
      <c r="I12" s="2023"/>
      <c r="J12" s="2023"/>
      <c r="K12" s="2023"/>
      <c r="L12" s="2023"/>
      <c r="M12" s="2023"/>
      <c r="N12" s="2023"/>
      <c r="O12" s="2023"/>
      <c r="P12" s="2023"/>
      <c r="Q12" s="2005" t="s">
        <v>116</v>
      </c>
      <c r="R12" s="2005"/>
      <c r="S12" s="2005"/>
      <c r="T12" s="2005"/>
      <c r="U12" s="2005"/>
      <c r="V12" s="2005"/>
      <c r="W12" s="2005"/>
      <c r="X12" s="2005"/>
      <c r="Y12" s="2006"/>
      <c r="Z12" s="20"/>
      <c r="AA12" s="2041" t="s">
        <v>184</v>
      </c>
      <c r="AB12" s="2042"/>
      <c r="AC12" s="2043"/>
      <c r="AD12" s="20"/>
      <c r="AE12" s="2041" t="s">
        <v>185</v>
      </c>
      <c r="AF12" s="2042"/>
      <c r="AG12" s="2043"/>
      <c r="AH12" s="20"/>
      <c r="AI12" s="20"/>
      <c r="AJ12" s="20"/>
      <c r="AK12" s="20"/>
      <c r="AO12" s="20"/>
      <c r="AP12" s="20"/>
      <c r="AQ12" s="20"/>
    </row>
    <row r="13" spans="2:69" s="22" customFormat="1" ht="46.8">
      <c r="B13" s="115" t="s">
        <v>119</v>
      </c>
      <c r="C13" s="438" t="s">
        <v>120</v>
      </c>
      <c r="D13" s="438" t="s">
        <v>121</v>
      </c>
      <c r="E13" s="438" t="s">
        <v>186</v>
      </c>
      <c r="F13" s="439" t="s">
        <v>123</v>
      </c>
      <c r="G13" s="439" t="s">
        <v>124</v>
      </c>
      <c r="H13" s="439" t="s">
        <v>125</v>
      </c>
      <c r="I13" s="292" t="s">
        <v>126</v>
      </c>
      <c r="J13" s="476" t="s">
        <v>127</v>
      </c>
      <c r="K13" s="613" t="s">
        <v>128</v>
      </c>
      <c r="L13" s="439" t="s">
        <v>129</v>
      </c>
      <c r="M13" s="439" t="s">
        <v>130</v>
      </c>
      <c r="N13" s="439" t="s">
        <v>187</v>
      </c>
      <c r="O13" s="439" t="s">
        <v>179</v>
      </c>
      <c r="P13" s="141" t="s">
        <v>180</v>
      </c>
      <c r="Q13" s="440" t="s">
        <v>132</v>
      </c>
      <c r="R13" s="440" t="s">
        <v>133</v>
      </c>
      <c r="S13" s="440" t="s">
        <v>134</v>
      </c>
      <c r="T13" s="440" t="s">
        <v>135</v>
      </c>
      <c r="U13" s="137" t="s">
        <v>165</v>
      </c>
      <c r="V13" s="441" t="s">
        <v>21</v>
      </c>
      <c r="W13" s="440" t="s">
        <v>137</v>
      </c>
      <c r="X13" s="441" t="s">
        <v>138</v>
      </c>
      <c r="Y13" s="442" t="s">
        <v>23</v>
      </c>
      <c r="AA13" s="1099" t="s">
        <v>139</v>
      </c>
      <c r="AB13" s="193" t="s">
        <v>140</v>
      </c>
      <c r="AC13" s="1100" t="s">
        <v>141</v>
      </c>
      <c r="AE13" s="1099" t="s">
        <v>139</v>
      </c>
      <c r="AF13" s="193" t="s">
        <v>140</v>
      </c>
      <c r="AG13" s="1100" t="s">
        <v>141</v>
      </c>
      <c r="AY13" s="480"/>
      <c r="BQ13" s="480"/>
    </row>
    <row r="14" spans="2:69" ht="33.75" customHeight="1">
      <c r="B14" s="103" t="s">
        <v>188</v>
      </c>
      <c r="C14" s="15" t="e">
        <f>SUM(#REF!)</f>
        <v>#REF!</v>
      </c>
      <c r="D14" s="15" t="e">
        <f>SUM(#REF!)</f>
        <v>#REF!</v>
      </c>
      <c r="E14" s="15" t="e">
        <f>SUM(#REF!)</f>
        <v>#REF!</v>
      </c>
      <c r="F14" s="15" t="e">
        <f>SUM(#REF!)</f>
        <v>#REF!</v>
      </c>
      <c r="G14" s="15" t="e">
        <f>SUM(#REF!)</f>
        <v>#REF!</v>
      </c>
      <c r="H14" s="15" t="e">
        <f>SUM(#REF!)</f>
        <v>#REF!</v>
      </c>
      <c r="I14" s="15" t="e">
        <f>SUM(#REF!)</f>
        <v>#REF!</v>
      </c>
      <c r="J14" s="77" t="e">
        <f>SUM(#REF!)</f>
        <v>#REF!</v>
      </c>
      <c r="K14" s="73" t="e">
        <f>J14/$C$9</f>
        <v>#REF!</v>
      </c>
      <c r="L14" s="79" t="e">
        <f t="shared" ref="L14:L23" si="0">D14/C14</f>
        <v>#REF!</v>
      </c>
      <c r="M14" s="52">
        <f>$AB$14/30*7</f>
        <v>340666.66666666663</v>
      </c>
      <c r="N14" s="233" t="e">
        <f t="shared" ref="N14:N19" si="1">J14/E14</f>
        <v>#REF!</v>
      </c>
      <c r="O14" s="233" t="e">
        <f t="shared" ref="O14:O19" si="2">J14/I14</f>
        <v>#REF!</v>
      </c>
      <c r="P14" s="73" t="e">
        <f>I14/M14</f>
        <v>#REF!</v>
      </c>
      <c r="Q14" s="131" t="e">
        <f>SUM(#REF!)</f>
        <v>#REF!</v>
      </c>
      <c r="R14" s="132"/>
      <c r="S14" s="132"/>
      <c r="T14" s="201">
        <f>$AB$16/30*7</f>
        <v>476.23333333333335</v>
      </c>
      <c r="U14" s="139" t="e">
        <f t="shared" ref="U14:U22" si="3">Q14/T14</f>
        <v>#REF!</v>
      </c>
      <c r="V14" s="224" t="e">
        <f t="shared" ref="V14:V22" si="4">J14/Q14</f>
        <v>#REF!</v>
      </c>
      <c r="W14" s="333" t="e">
        <f t="shared" ref="W14:W18" si="5">Q14/D14</f>
        <v>#REF!</v>
      </c>
      <c r="X14" s="501" t="e">
        <f>#REF!</f>
        <v>#REF!</v>
      </c>
      <c r="Y14" s="395" t="e">
        <f>#REF!</f>
        <v>#REF!</v>
      </c>
      <c r="AA14" s="1101" t="e">
        <f>#REF!</f>
        <v>#REF!</v>
      </c>
      <c r="AB14" s="96">
        <v>1460000</v>
      </c>
      <c r="AC14" s="1102" t="e">
        <f>AA14/AB14</f>
        <v>#REF!</v>
      </c>
      <c r="AE14" s="1101" t="e">
        <f>#REF!</f>
        <v>#REF!</v>
      </c>
      <c r="AF14" s="96">
        <f>D9/0.01</f>
        <v>1486667</v>
      </c>
      <c r="AG14" s="1102" t="e">
        <f>AE14/AF14</f>
        <v>#REF!</v>
      </c>
    </row>
    <row r="15" spans="2:69" ht="33.75" customHeight="1">
      <c r="B15" s="103" t="s">
        <v>143</v>
      </c>
      <c r="C15" s="15" t="e">
        <f>SUM(#REF!)</f>
        <v>#REF!</v>
      </c>
      <c r="D15" s="15" t="e">
        <f>SUM(#REF!)</f>
        <v>#REF!</v>
      </c>
      <c r="E15" s="15" t="e">
        <f>SUM(#REF!)</f>
        <v>#REF!</v>
      </c>
      <c r="F15" s="15" t="e">
        <f>SUM(#REF!)</f>
        <v>#REF!</v>
      </c>
      <c r="G15" s="15" t="e">
        <f>SUM(#REF!)</f>
        <v>#REF!</v>
      </c>
      <c r="H15" s="15" t="e">
        <f>SUM(#REF!)</f>
        <v>#REF!</v>
      </c>
      <c r="I15" s="15" t="e">
        <f>SUM(#REF!)</f>
        <v>#REF!</v>
      </c>
      <c r="J15" s="72" t="e">
        <f>SUM(#REF!)</f>
        <v>#REF!</v>
      </c>
      <c r="K15" s="73" t="e">
        <f>J15/$C$9</f>
        <v>#REF!</v>
      </c>
      <c r="L15" s="79" t="e">
        <f t="shared" si="0"/>
        <v>#REF!</v>
      </c>
      <c r="M15" s="52">
        <f>$AB$14/30*7</f>
        <v>340666.66666666663</v>
      </c>
      <c r="N15" s="233" t="e">
        <f t="shared" si="1"/>
        <v>#REF!</v>
      </c>
      <c r="O15" s="233" t="e">
        <f t="shared" si="2"/>
        <v>#REF!</v>
      </c>
      <c r="P15" s="73" t="e">
        <f>I15/M15</f>
        <v>#REF!</v>
      </c>
      <c r="Q15" s="52" t="e">
        <f>SUM(#REF!)</f>
        <v>#REF!</v>
      </c>
      <c r="R15" s="52"/>
      <c r="S15" s="52"/>
      <c r="T15" s="201">
        <f>$AB$16/30*7</f>
        <v>476.23333333333335</v>
      </c>
      <c r="U15" s="139" t="e">
        <f t="shared" si="3"/>
        <v>#REF!</v>
      </c>
      <c r="V15" s="224" t="e">
        <f t="shared" si="4"/>
        <v>#REF!</v>
      </c>
      <c r="W15" s="333" t="e">
        <f t="shared" si="5"/>
        <v>#REF!</v>
      </c>
      <c r="X15" s="707" t="e">
        <f>#REF!</f>
        <v>#REF!</v>
      </c>
      <c r="Y15" s="396" t="e">
        <f>#REF!</f>
        <v>#REF!</v>
      </c>
      <c r="AA15" s="1103" t="s">
        <v>132</v>
      </c>
      <c r="AB15" s="199" t="s">
        <v>144</v>
      </c>
      <c r="AC15" s="1100" t="s">
        <v>141</v>
      </c>
      <c r="AE15" s="1103" t="s">
        <v>132</v>
      </c>
      <c r="AF15" s="199" t="s">
        <v>144</v>
      </c>
      <c r="AG15" s="1100" t="s">
        <v>141</v>
      </c>
    </row>
    <row r="16" spans="2:69" ht="33.75" customHeight="1">
      <c r="B16" s="105" t="s">
        <v>145</v>
      </c>
      <c r="C16" s="15" t="e">
        <f>SUM(#REF!)</f>
        <v>#REF!</v>
      </c>
      <c r="D16" s="15" t="e">
        <f>SUM(#REF!)</f>
        <v>#REF!</v>
      </c>
      <c r="E16" s="15" t="e">
        <f>SUM(#REF!)</f>
        <v>#REF!</v>
      </c>
      <c r="F16" s="15" t="e">
        <f>SUM(#REF!)</f>
        <v>#REF!</v>
      </c>
      <c r="G16" s="15" t="e">
        <f>SUM(#REF!)</f>
        <v>#REF!</v>
      </c>
      <c r="H16" s="15" t="e">
        <f>SUM(#REF!)</f>
        <v>#REF!</v>
      </c>
      <c r="I16" s="15" t="e">
        <f>SUM(#REF!)</f>
        <v>#REF!</v>
      </c>
      <c r="J16" s="72" t="e">
        <f>SUM(#REF!)</f>
        <v>#REF!</v>
      </c>
      <c r="K16" s="73" t="e">
        <f>J16/$C$9</f>
        <v>#REF!</v>
      </c>
      <c r="L16" s="79" t="e">
        <f t="shared" si="0"/>
        <v>#REF!</v>
      </c>
      <c r="M16" s="52">
        <f>$AB$14/30*7</f>
        <v>340666.66666666663</v>
      </c>
      <c r="N16" s="77" t="e">
        <f t="shared" si="1"/>
        <v>#REF!</v>
      </c>
      <c r="O16" s="233" t="e">
        <f t="shared" si="2"/>
        <v>#REF!</v>
      </c>
      <c r="P16" s="73" t="e">
        <f>I16/M16</f>
        <v>#REF!</v>
      </c>
      <c r="Q16" s="15" t="e">
        <f>SUM(#REF!)</f>
        <v>#REF!</v>
      </c>
      <c r="R16" s="52"/>
      <c r="S16" s="52"/>
      <c r="T16" s="201">
        <f>$AB$16/30*7</f>
        <v>476.23333333333335</v>
      </c>
      <c r="U16" s="139" t="e">
        <f t="shared" si="3"/>
        <v>#REF!</v>
      </c>
      <c r="V16" s="224" t="e">
        <f t="shared" si="4"/>
        <v>#REF!</v>
      </c>
      <c r="W16" s="335" t="e">
        <f t="shared" si="5"/>
        <v>#REF!</v>
      </c>
      <c r="X16" s="708" t="e">
        <f>#REF!</f>
        <v>#REF!</v>
      </c>
      <c r="Y16" s="616" t="e">
        <f>#REF!</f>
        <v>#REF!</v>
      </c>
      <c r="Z16" s="40"/>
      <c r="AA16" s="1104" t="e">
        <f>#REF!</f>
        <v>#REF!</v>
      </c>
      <c r="AB16" s="1105">
        <v>2041</v>
      </c>
      <c r="AC16" s="1106" t="e">
        <f>AA16/AB16</f>
        <v>#REF!</v>
      </c>
      <c r="AD16" s="40"/>
      <c r="AE16" s="1104" t="e">
        <f>#REF!</f>
        <v>#REF!</v>
      </c>
      <c r="AF16" s="1105">
        <f>D9/7.15</f>
        <v>2079.2545454545452</v>
      </c>
      <c r="AG16" s="1106" t="e">
        <f>AE16/AF16</f>
        <v>#REF!</v>
      </c>
      <c r="AH16" s="40"/>
      <c r="AI16" s="40"/>
      <c r="AJ16" s="40"/>
    </row>
    <row r="17" spans="2:79" ht="33.75" customHeight="1">
      <c r="B17" s="105" t="s">
        <v>146</v>
      </c>
      <c r="C17" s="15" t="e">
        <f>SUM(#REF!)</f>
        <v>#REF!</v>
      </c>
      <c r="D17" s="15" t="e">
        <f>SUM(#REF!)</f>
        <v>#REF!</v>
      </c>
      <c r="E17" s="15" t="e">
        <f>SUM(#REF!)</f>
        <v>#REF!</v>
      </c>
      <c r="F17" s="15" t="e">
        <f>SUM(#REF!)</f>
        <v>#REF!</v>
      </c>
      <c r="G17" s="15" t="e">
        <f>SUM(#REF!)</f>
        <v>#REF!</v>
      </c>
      <c r="H17" s="15" t="e">
        <f>SUM(#REF!)</f>
        <v>#REF!</v>
      </c>
      <c r="I17" s="15" t="e">
        <f>SUM(#REF!)</f>
        <v>#REF!</v>
      </c>
      <c r="J17" s="77" t="e">
        <f>SUM(#REF!)</f>
        <v>#REF!</v>
      </c>
      <c r="K17" s="662" t="e">
        <f>J17/$C$9</f>
        <v>#REF!</v>
      </c>
      <c r="L17" s="79" t="e">
        <f t="shared" si="0"/>
        <v>#REF!</v>
      </c>
      <c r="M17" s="52">
        <f>$AB$14/30*7</f>
        <v>340666.66666666663</v>
      </c>
      <c r="N17" s="77" t="e">
        <f t="shared" si="1"/>
        <v>#REF!</v>
      </c>
      <c r="O17" s="233" t="e">
        <f t="shared" si="2"/>
        <v>#REF!</v>
      </c>
      <c r="P17" s="73" t="e">
        <f>I17/M17</f>
        <v>#REF!</v>
      </c>
      <c r="Q17" s="15" t="e">
        <f>SUM(#REF!)</f>
        <v>#REF!</v>
      </c>
      <c r="R17" s="52"/>
      <c r="S17" s="52"/>
      <c r="T17" s="201">
        <f>$AB$16/30*7</f>
        <v>476.23333333333335</v>
      </c>
      <c r="U17" s="139" t="e">
        <f t="shared" si="3"/>
        <v>#REF!</v>
      </c>
      <c r="V17" s="224" t="e">
        <f t="shared" si="4"/>
        <v>#REF!</v>
      </c>
      <c r="W17" s="335" t="e">
        <f t="shared" si="5"/>
        <v>#REF!</v>
      </c>
      <c r="X17" s="708" t="e">
        <f>#REF!</f>
        <v>#REF!</v>
      </c>
      <c r="Y17" s="616" t="e">
        <f>#REF!</f>
        <v>#REF!</v>
      </c>
    </row>
    <row r="18" spans="2:79" ht="33.75" customHeight="1">
      <c r="B18" s="105" t="s">
        <v>147</v>
      </c>
      <c r="C18" s="15" t="e">
        <f>SUM(#REF!,#REF!)</f>
        <v>#REF!</v>
      </c>
      <c r="D18" s="15" t="e">
        <f>SUM(#REF!,#REF!)</f>
        <v>#REF!</v>
      </c>
      <c r="E18" s="15" t="e">
        <f>SUM(#REF!,#REF!)</f>
        <v>#REF!</v>
      </c>
      <c r="F18" s="15" t="e">
        <f>SUM(#REF!,#REF!)</f>
        <v>#REF!</v>
      </c>
      <c r="G18" s="15" t="e">
        <f>SUM(#REF!,#REF!)</f>
        <v>#REF!</v>
      </c>
      <c r="H18" s="15" t="e">
        <f>SUM(#REF!,#REF!)</f>
        <v>#REF!</v>
      </c>
      <c r="I18" s="15" t="e">
        <f>SUM(#REF!,#REF!)</f>
        <v>#REF!</v>
      </c>
      <c r="J18" s="77" t="e">
        <f>SUM(#REF!,#REF!)</f>
        <v>#REF!</v>
      </c>
      <c r="K18" s="662" t="e">
        <f>#REF!</f>
        <v>#REF!</v>
      </c>
      <c r="L18" s="79" t="e">
        <f t="shared" si="0"/>
        <v>#REF!</v>
      </c>
      <c r="M18" s="52" t="e">
        <f>#REF!</f>
        <v>#REF!</v>
      </c>
      <c r="N18" s="77" t="e">
        <f t="shared" si="1"/>
        <v>#REF!</v>
      </c>
      <c r="O18" s="233" t="e">
        <f t="shared" si="2"/>
        <v>#REF!</v>
      </c>
      <c r="P18" s="73" t="e">
        <f t="shared" ref="P18:P23" si="6">E18/M18</f>
        <v>#REF!</v>
      </c>
      <c r="Q18" s="15" t="e">
        <f>SUM(#REF!,#REF!)</f>
        <v>#REF!</v>
      </c>
      <c r="R18" s="52"/>
      <c r="S18" s="52"/>
      <c r="T18" s="52" t="e">
        <f>#REF!</f>
        <v>#REF!</v>
      </c>
      <c r="U18" s="73" t="e">
        <f t="shared" si="3"/>
        <v>#REF!</v>
      </c>
      <c r="V18" s="224" t="e">
        <f t="shared" si="4"/>
        <v>#REF!</v>
      </c>
      <c r="W18" s="333" t="e">
        <f t="shared" si="5"/>
        <v>#REF!</v>
      </c>
      <c r="X18" s="705" t="e">
        <f>#REF!</f>
        <v>#REF!</v>
      </c>
      <c r="Y18" s="617" t="e">
        <f>#REF!</f>
        <v>#REF!</v>
      </c>
    </row>
    <row r="19" spans="2:79" ht="33.75" customHeight="1">
      <c r="B19" s="103" t="s">
        <v>148</v>
      </c>
      <c r="C19" s="15" t="e">
        <f>SUM(#REF!)</f>
        <v>#REF!</v>
      </c>
      <c r="D19" s="15" t="e">
        <f>SUM(#REF!)</f>
        <v>#REF!</v>
      </c>
      <c r="E19" s="15" t="e">
        <f>SUM(#REF!)</f>
        <v>#REF!</v>
      </c>
      <c r="F19" s="15" t="e">
        <f>SUM(#REF!)</f>
        <v>#REF!</v>
      </c>
      <c r="G19" s="15" t="e">
        <f>SUM(#REF!)</f>
        <v>#REF!</v>
      </c>
      <c r="H19" s="15" t="e">
        <f>SUM(#REF!)</f>
        <v>#REF!</v>
      </c>
      <c r="I19" s="15" t="e">
        <f>SUM(#REF!)</f>
        <v>#REF!</v>
      </c>
      <c r="J19" s="77" t="e">
        <f>SUM(#REF!)</f>
        <v>#REF!</v>
      </c>
      <c r="K19" s="662" t="e">
        <f>#REF!</f>
        <v>#REF!</v>
      </c>
      <c r="L19" s="79" t="e">
        <f t="shared" si="0"/>
        <v>#REF!</v>
      </c>
      <c r="M19" s="52" t="e">
        <f>#REF!</f>
        <v>#REF!</v>
      </c>
      <c r="N19" s="77" t="e">
        <f t="shared" si="1"/>
        <v>#REF!</v>
      </c>
      <c r="O19" s="233" t="e">
        <f t="shared" si="2"/>
        <v>#REF!</v>
      </c>
      <c r="P19" s="73" t="e">
        <f t="shared" si="6"/>
        <v>#REF!</v>
      </c>
      <c r="Q19" s="15" t="e">
        <f>SUM(#REF!)</f>
        <v>#REF!</v>
      </c>
      <c r="R19" s="52"/>
      <c r="S19" s="52"/>
      <c r="T19" s="52" t="e">
        <f>#REF!</f>
        <v>#REF!</v>
      </c>
      <c r="U19" s="73" t="e">
        <f t="shared" si="3"/>
        <v>#REF!</v>
      </c>
      <c r="V19" s="224" t="e">
        <f t="shared" si="4"/>
        <v>#REF!</v>
      </c>
      <c r="W19" s="333" t="e">
        <f t="shared" ref="W19:W24" si="7">Q19/D19</f>
        <v>#REF!</v>
      </c>
      <c r="X19" s="705" t="e">
        <f>#REF!</f>
        <v>#REF!</v>
      </c>
      <c r="Y19" s="617" t="e">
        <f>#REF!</f>
        <v>#REF!</v>
      </c>
    </row>
    <row r="20" spans="2:79" ht="33.75" customHeight="1">
      <c r="B20" s="103" t="s">
        <v>149</v>
      </c>
      <c r="C20" s="15" t="e">
        <f>SUM(#REF!)</f>
        <v>#REF!</v>
      </c>
      <c r="D20" s="15" t="e">
        <f>SUM(#REF!)</f>
        <v>#REF!</v>
      </c>
      <c r="E20" s="15" t="e">
        <f>SUM(#REF!)</f>
        <v>#REF!</v>
      </c>
      <c r="F20" s="15" t="e">
        <f>SUM(#REF!)</f>
        <v>#REF!</v>
      </c>
      <c r="G20" s="15" t="e">
        <f>SUM(#REF!)</f>
        <v>#REF!</v>
      </c>
      <c r="H20" s="15" t="e">
        <f>SUM(#REF!)</f>
        <v>#REF!</v>
      </c>
      <c r="I20" s="15" t="e">
        <f>SUM(#REF!)</f>
        <v>#REF!</v>
      </c>
      <c r="J20" s="77" t="e">
        <f>SUM(#REF!)</f>
        <v>#REF!</v>
      </c>
      <c r="K20" s="662" t="e">
        <f>#REF!</f>
        <v>#REF!</v>
      </c>
      <c r="L20" s="79" t="e">
        <f t="shared" si="0"/>
        <v>#REF!</v>
      </c>
      <c r="M20" s="52" t="e">
        <f>#REF!</f>
        <v>#REF!</v>
      </c>
      <c r="N20" s="77" t="e">
        <f t="shared" ref="N20:N22" si="8">J20/E20</f>
        <v>#REF!</v>
      </c>
      <c r="O20" s="233" t="e">
        <f t="shared" ref="O20:O22" si="9">J20/I20</f>
        <v>#REF!</v>
      </c>
      <c r="P20" s="73" t="e">
        <f t="shared" si="6"/>
        <v>#REF!</v>
      </c>
      <c r="Q20" s="15" t="e">
        <f>SUM(#REF!)</f>
        <v>#REF!</v>
      </c>
      <c r="R20" s="52"/>
      <c r="S20" s="52"/>
      <c r="T20" s="52" t="e">
        <f>#REF!</f>
        <v>#REF!</v>
      </c>
      <c r="U20" s="73" t="e">
        <f t="shared" si="3"/>
        <v>#REF!</v>
      </c>
      <c r="V20" s="224" t="e">
        <f t="shared" si="4"/>
        <v>#REF!</v>
      </c>
      <c r="W20" s="333" t="e">
        <f t="shared" si="7"/>
        <v>#REF!</v>
      </c>
      <c r="X20" s="705" t="e">
        <f>#REF!</f>
        <v>#REF!</v>
      </c>
      <c r="Y20" s="1414" t="e">
        <f>#REF!</f>
        <v>#REF!</v>
      </c>
      <c r="AB20" s="200"/>
    </row>
    <row r="21" spans="2:79" ht="33.75" customHeight="1">
      <c r="B21" s="105" t="s">
        <v>150</v>
      </c>
      <c r="C21" s="15" t="e">
        <f>SUM(#REF!)</f>
        <v>#REF!</v>
      </c>
      <c r="D21" s="15" t="e">
        <f>SUM(#REF!)</f>
        <v>#REF!</v>
      </c>
      <c r="E21" s="15" t="e">
        <f>SUM(#REF!)</f>
        <v>#REF!</v>
      </c>
      <c r="F21" s="15" t="e">
        <f>SUM(#REF!)</f>
        <v>#REF!</v>
      </c>
      <c r="G21" s="15" t="e">
        <f>SUM(#REF!)</f>
        <v>#REF!</v>
      </c>
      <c r="H21" s="15" t="e">
        <f>SUM(#REF!)</f>
        <v>#REF!</v>
      </c>
      <c r="I21" s="15" t="e">
        <f>SUM(#REF!)</f>
        <v>#REF!</v>
      </c>
      <c r="J21" s="77" t="e">
        <f>SUM(#REF!)</f>
        <v>#REF!</v>
      </c>
      <c r="K21" s="662" t="e">
        <f>#REF!</f>
        <v>#REF!</v>
      </c>
      <c r="L21" s="79" t="e">
        <f t="shared" si="0"/>
        <v>#REF!</v>
      </c>
      <c r="M21" s="52" t="e">
        <f>#REF!</f>
        <v>#REF!</v>
      </c>
      <c r="N21" s="77" t="e">
        <f t="shared" si="8"/>
        <v>#REF!</v>
      </c>
      <c r="O21" s="233" t="e">
        <f t="shared" si="9"/>
        <v>#REF!</v>
      </c>
      <c r="P21" s="73" t="e">
        <f t="shared" si="6"/>
        <v>#REF!</v>
      </c>
      <c r="Q21" s="15" t="e">
        <f>SUM(#REF!)</f>
        <v>#REF!</v>
      </c>
      <c r="R21" s="52"/>
      <c r="S21" s="52"/>
      <c r="T21" s="52" t="e">
        <f>#REF!</f>
        <v>#REF!</v>
      </c>
      <c r="U21" s="73" t="e">
        <f t="shared" si="3"/>
        <v>#REF!</v>
      </c>
      <c r="V21" s="224" t="e">
        <f t="shared" si="4"/>
        <v>#REF!</v>
      </c>
      <c r="W21" s="333" t="e">
        <f t="shared" si="7"/>
        <v>#REF!</v>
      </c>
      <c r="X21" s="705" t="e">
        <f>#REF!</f>
        <v>#REF!</v>
      </c>
      <c r="Y21" s="1414" t="e">
        <f>#REF!</f>
        <v>#REF!</v>
      </c>
    </row>
    <row r="22" spans="2:79" ht="50.4" customHeight="1">
      <c r="B22" s="105" t="s">
        <v>151</v>
      </c>
      <c r="C22" s="15" t="e">
        <f>SUM(#REF!)</f>
        <v>#REF!</v>
      </c>
      <c r="D22" s="15" t="e">
        <f>SUM(#REF!)</f>
        <v>#REF!</v>
      </c>
      <c r="E22" s="15" t="e">
        <f>SUM(#REF!)</f>
        <v>#REF!</v>
      </c>
      <c r="F22" s="15" t="e">
        <f>SUM(#REF!)</f>
        <v>#REF!</v>
      </c>
      <c r="G22" s="15" t="e">
        <f>SUM(#REF!)</f>
        <v>#REF!</v>
      </c>
      <c r="H22" s="15" t="e">
        <f>SUM(#REF!)</f>
        <v>#REF!</v>
      </c>
      <c r="I22" s="15" t="e">
        <f>SUM(#REF!)</f>
        <v>#REF!</v>
      </c>
      <c r="J22" s="77" t="e">
        <f>SUM(#REF!)</f>
        <v>#REF!</v>
      </c>
      <c r="K22" s="662" t="e">
        <f>#REF!</f>
        <v>#REF!</v>
      </c>
      <c r="L22" s="79" t="e">
        <f t="shared" si="0"/>
        <v>#REF!</v>
      </c>
      <c r="M22" s="52" t="e">
        <f>#REF!</f>
        <v>#REF!</v>
      </c>
      <c r="N22" s="77" t="e">
        <f t="shared" si="8"/>
        <v>#REF!</v>
      </c>
      <c r="O22" s="233" t="e">
        <f t="shared" si="9"/>
        <v>#REF!</v>
      </c>
      <c r="P22" s="73" t="e">
        <f t="shared" si="6"/>
        <v>#REF!</v>
      </c>
      <c r="Q22" s="15" t="e">
        <f>SUM(#REF!)</f>
        <v>#REF!</v>
      </c>
      <c r="R22" s="52"/>
      <c r="S22" s="52"/>
      <c r="T22" s="52" t="e">
        <f>#REF!</f>
        <v>#REF!</v>
      </c>
      <c r="U22" s="73" t="e">
        <f t="shared" si="3"/>
        <v>#REF!</v>
      </c>
      <c r="V22" s="224" t="e">
        <f t="shared" si="4"/>
        <v>#REF!</v>
      </c>
      <c r="W22" s="333" t="e">
        <f t="shared" si="7"/>
        <v>#REF!</v>
      </c>
      <c r="X22" s="705" t="e">
        <f>#REF!</f>
        <v>#REF!</v>
      </c>
      <c r="Y22" s="1414" t="e">
        <f>#REF!</f>
        <v>#REF!</v>
      </c>
    </row>
    <row r="23" spans="2:79" ht="48.9" customHeight="1" thickBot="1">
      <c r="B23" s="105" t="s">
        <v>152</v>
      </c>
      <c r="C23" s="15" t="e">
        <f>SUM(#REF!)</f>
        <v>#REF!</v>
      </c>
      <c r="D23" s="15" t="e">
        <f>SUM(#REF!)</f>
        <v>#REF!</v>
      </c>
      <c r="E23" s="15" t="e">
        <f>SUM(#REF!)</f>
        <v>#REF!</v>
      </c>
      <c r="F23" s="15" t="e">
        <f>SUM(#REF!)</f>
        <v>#REF!</v>
      </c>
      <c r="G23" s="15" t="e">
        <f>SUM(#REF!)</f>
        <v>#REF!</v>
      </c>
      <c r="H23" s="15" t="e">
        <f>SUM(#REF!)</f>
        <v>#REF!</v>
      </c>
      <c r="I23" s="15" t="e">
        <f>SUM(#REF!)</f>
        <v>#REF!</v>
      </c>
      <c r="J23" s="77" t="e">
        <f>SUM(#REF!)</f>
        <v>#REF!</v>
      </c>
      <c r="K23" s="662" t="e">
        <f>SUM(#REF!,#REF!,#REF!,#REF!,#REF!)/$D$9</f>
        <v>#REF!</v>
      </c>
      <c r="L23" s="79" t="e">
        <f t="shared" si="0"/>
        <v>#REF!</v>
      </c>
      <c r="M23" s="52" t="e">
        <f>SUM(#REF!)</f>
        <v>#REF!</v>
      </c>
      <c r="N23" s="77" t="e">
        <f t="shared" ref="N23" si="10">J23/E23</f>
        <v>#REF!</v>
      </c>
      <c r="O23" s="233" t="e">
        <f t="shared" ref="O23" si="11">J23/I23</f>
        <v>#REF!</v>
      </c>
      <c r="P23" s="73" t="e">
        <f t="shared" si="6"/>
        <v>#REF!</v>
      </c>
      <c r="Q23" s="15" t="e">
        <f>SUM(#REF!)</f>
        <v>#REF!</v>
      </c>
      <c r="R23" s="52"/>
      <c r="S23" s="52"/>
      <c r="T23" s="52" t="e">
        <f>SUM(#REF!)</f>
        <v>#REF!</v>
      </c>
      <c r="U23" s="73" t="e">
        <f t="shared" ref="U23" si="12">Q23/T23</f>
        <v>#REF!</v>
      </c>
      <c r="V23" s="224" t="e">
        <f t="shared" ref="V23" si="13">J23/Q23</f>
        <v>#REF!</v>
      </c>
      <c r="W23" s="333" t="e">
        <f t="shared" si="7"/>
        <v>#REF!</v>
      </c>
      <c r="X23" s="705" t="e">
        <f>AVERAGE(#REF!)</f>
        <v>#REF!</v>
      </c>
      <c r="Y23" s="1414" t="e">
        <f>AVERAGE(#REF!)</f>
        <v>#REF!</v>
      </c>
    </row>
    <row r="24" spans="2:79">
      <c r="B24" s="107" t="s">
        <v>153</v>
      </c>
      <c r="C24" s="108" t="e">
        <f>SUM(C14:C23)</f>
        <v>#REF!</v>
      </c>
      <c r="D24" s="108" t="e">
        <f t="shared" ref="D24:J24" si="14">SUM(D14:D23)</f>
        <v>#REF!</v>
      </c>
      <c r="E24" s="108" t="e">
        <f t="shared" si="14"/>
        <v>#REF!</v>
      </c>
      <c r="F24" s="108" t="e">
        <f t="shared" si="14"/>
        <v>#REF!</v>
      </c>
      <c r="G24" s="108" t="e">
        <f t="shared" si="14"/>
        <v>#REF!</v>
      </c>
      <c r="H24" s="108" t="e">
        <f t="shared" si="14"/>
        <v>#REF!</v>
      </c>
      <c r="I24" s="108" t="e">
        <f t="shared" si="14"/>
        <v>#REF!</v>
      </c>
      <c r="J24" s="1755" t="e">
        <f t="shared" si="14"/>
        <v>#REF!</v>
      </c>
      <c r="K24" s="111" t="e">
        <f>J24/SUM(C9:D9)</f>
        <v>#REF!</v>
      </c>
      <c r="L24" s="110" t="e">
        <f>D24/C24</f>
        <v>#REF!</v>
      </c>
      <c r="M24" s="108" t="e">
        <f>SUM(M14:M23)</f>
        <v>#REF!</v>
      </c>
      <c r="N24" s="232" t="e">
        <f>J24/E24</f>
        <v>#REF!</v>
      </c>
      <c r="O24" s="232" t="e">
        <f>J24/I24</f>
        <v>#REF!</v>
      </c>
      <c r="P24" s="111" t="e">
        <f>I24/M24</f>
        <v>#REF!</v>
      </c>
      <c r="Q24" s="108" t="e">
        <f>SUM(Q14:Q23)</f>
        <v>#REF!</v>
      </c>
      <c r="R24" s="112"/>
      <c r="S24" s="112"/>
      <c r="T24" s="108" t="e">
        <f>SUM(T14:T23)</f>
        <v>#REF!</v>
      </c>
      <c r="U24" s="138" t="e">
        <f>Q24/T24</f>
        <v>#REF!</v>
      </c>
      <c r="V24" s="340" t="e">
        <f>J24/Q24</f>
        <v>#REF!</v>
      </c>
      <c r="W24" s="138" t="e">
        <f t="shared" si="7"/>
        <v>#REF!</v>
      </c>
      <c r="X24" s="623" t="e">
        <f>AVERAGE(X14:X23)</f>
        <v>#REF!</v>
      </c>
      <c r="Y24" s="138" t="e">
        <f>AVERAGE(Y14:Y23)</f>
        <v>#REF!</v>
      </c>
      <c r="Z24" s="18"/>
      <c r="AA24" s="18"/>
      <c r="AB24" s="18"/>
      <c r="AC24" s="18"/>
      <c r="AD24" s="18"/>
      <c r="AE24" s="18"/>
      <c r="AF24" s="18"/>
      <c r="AG24" s="508"/>
      <c r="AH24" s="18"/>
      <c r="AI24" s="18"/>
      <c r="AJ24" s="18"/>
      <c r="AK24" s="18"/>
      <c r="AL24" s="18"/>
      <c r="AM24" s="18"/>
      <c r="AN24" s="18"/>
      <c r="AO24" s="18"/>
      <c r="AP24" s="18"/>
      <c r="AQ24" s="18"/>
    </row>
    <row r="25" spans="2:79" customFormat="1" ht="14.4">
      <c r="J25" s="477"/>
      <c r="K25" s="607"/>
      <c r="AG25" s="477"/>
      <c r="AY25" s="477"/>
      <c r="BQ25" s="477"/>
    </row>
    <row r="26" spans="2:79">
      <c r="U26" s="30"/>
      <c r="V26" s="30"/>
      <c r="W26" s="30"/>
      <c r="X26" s="30"/>
      <c r="Y26" s="30"/>
      <c r="Z26" s="57" t="s">
        <v>171</v>
      </c>
      <c r="AA26" s="57"/>
      <c r="AB26" s="57"/>
      <c r="AC26" s="57"/>
      <c r="AD26" s="57"/>
      <c r="AE26" s="57"/>
      <c r="AF26" s="57"/>
      <c r="AG26" s="509"/>
      <c r="AH26" s="57"/>
      <c r="AI26" s="57"/>
      <c r="AJ26" s="57"/>
      <c r="AK26" s="57" t="s">
        <v>29</v>
      </c>
      <c r="AL26" s="57"/>
      <c r="AM26" s="57"/>
      <c r="AN26" s="57"/>
      <c r="AO26" s="57"/>
      <c r="AP26" s="57" t="s">
        <v>166</v>
      </c>
      <c r="AQ26" s="57" t="s">
        <v>172</v>
      </c>
    </row>
    <row r="27" spans="2:79">
      <c r="U27" s="30"/>
      <c r="V27" s="30"/>
      <c r="W27" s="30"/>
      <c r="X27" s="30"/>
      <c r="Y27" s="30"/>
      <c r="Z27" s="32"/>
      <c r="AA27" s="32"/>
      <c r="AB27" s="32"/>
      <c r="AC27" s="32"/>
      <c r="AD27" s="32"/>
      <c r="AE27" s="32"/>
      <c r="AF27" s="32"/>
      <c r="AG27" s="510"/>
      <c r="AH27" s="32"/>
      <c r="AI27" s="32"/>
      <c r="AJ27" s="32"/>
      <c r="AK27" s="32"/>
      <c r="AL27" s="32"/>
      <c r="AM27" s="32"/>
      <c r="AN27" s="32"/>
      <c r="AO27" s="32"/>
      <c r="AP27" s="32"/>
      <c r="AQ27" s="33"/>
    </row>
    <row r="28" spans="2:79" ht="13.5" customHeight="1">
      <c r="B28" s="2013" t="s">
        <v>154</v>
      </c>
      <c r="C28" s="2014"/>
      <c r="D28" s="2014"/>
      <c r="E28" s="2014"/>
      <c r="F28" s="2014"/>
      <c r="G28" s="2014"/>
      <c r="H28" s="2014"/>
      <c r="I28" s="2014"/>
      <c r="J28" s="2014"/>
      <c r="K28" s="2014"/>
      <c r="L28" s="2014"/>
      <c r="M28" s="2014"/>
      <c r="N28" s="2014"/>
      <c r="O28" s="2014"/>
      <c r="P28" s="2014"/>
      <c r="Q28" s="2014"/>
      <c r="R28" s="2014"/>
      <c r="S28" s="2014"/>
      <c r="T28" s="2014"/>
      <c r="U28" s="2014"/>
      <c r="V28" s="2014"/>
      <c r="W28" s="2014"/>
      <c r="X28" s="2014"/>
      <c r="Y28" s="2046"/>
      <c r="Z28" s="2037" t="s">
        <v>70</v>
      </c>
      <c r="AA28" s="2038"/>
      <c r="AB28" s="2038"/>
      <c r="AC28" s="2038"/>
      <c r="AD28" s="2038"/>
      <c r="AE28" s="2038"/>
      <c r="AF28" s="2038"/>
      <c r="AG28" s="2039"/>
      <c r="AH28" s="2038"/>
      <c r="AI28" s="2038"/>
      <c r="AJ28" s="2038"/>
      <c r="AK28" s="2038"/>
      <c r="AL28" s="2038"/>
      <c r="AM28" s="2038"/>
      <c r="AN28" s="2038"/>
      <c r="AO28" s="2038"/>
      <c r="AP28" s="2038"/>
      <c r="AQ28" s="2047"/>
      <c r="AR28" s="2048" t="s">
        <v>72</v>
      </c>
      <c r="AS28" s="2049"/>
      <c r="AT28" s="2049"/>
      <c r="AU28" s="2049"/>
      <c r="AV28" s="2049"/>
      <c r="AW28" s="2049"/>
      <c r="AX28" s="2049"/>
      <c r="AY28" s="2050"/>
      <c r="AZ28" s="2049"/>
      <c r="BA28" s="2049"/>
      <c r="BB28" s="2049"/>
      <c r="BC28" s="2049"/>
      <c r="BD28" s="2049"/>
      <c r="BE28" s="2049"/>
      <c r="BF28" s="2049"/>
      <c r="BG28" s="2049"/>
      <c r="BH28" s="2049"/>
      <c r="BI28" s="2051"/>
      <c r="BJ28" s="2037" t="s">
        <v>182</v>
      </c>
      <c r="BK28" s="2038"/>
      <c r="BL28" s="2038"/>
      <c r="BM28" s="2038"/>
      <c r="BN28" s="2038"/>
      <c r="BO28" s="2038"/>
      <c r="BP28" s="2038"/>
      <c r="BQ28" s="2039"/>
      <c r="BR28" s="2038"/>
      <c r="BS28" s="2038"/>
      <c r="BT28" s="2038"/>
      <c r="BU28" s="2038"/>
      <c r="BV28" s="2038"/>
      <c r="BW28" s="2038"/>
      <c r="BX28" s="2038"/>
      <c r="BY28" s="2038"/>
      <c r="BZ28" s="2038"/>
      <c r="CA28" s="2040"/>
    </row>
    <row r="29" spans="2:79" ht="13.5" customHeight="1">
      <c r="B29" s="344"/>
      <c r="C29" s="2023" t="s">
        <v>14</v>
      </c>
      <c r="D29" s="2023"/>
      <c r="E29" s="2023"/>
      <c r="F29" s="2023"/>
      <c r="G29" s="2023"/>
      <c r="H29" s="2023"/>
      <c r="I29" s="2023"/>
      <c r="J29" s="2023"/>
      <c r="K29" s="2023"/>
      <c r="L29" s="2023"/>
      <c r="M29" s="2023"/>
      <c r="N29" s="2023"/>
      <c r="O29" s="2023"/>
      <c r="P29" s="2023"/>
      <c r="Q29" s="2005" t="s">
        <v>116</v>
      </c>
      <c r="R29" s="2005"/>
      <c r="S29" s="2005"/>
      <c r="T29" s="2005"/>
      <c r="U29" s="2005"/>
      <c r="V29" s="2005"/>
      <c r="W29" s="2005"/>
      <c r="X29" s="2005"/>
      <c r="Y29" s="2024"/>
      <c r="Z29" s="2031" t="s">
        <v>14</v>
      </c>
      <c r="AA29" s="2032"/>
      <c r="AB29" s="2032"/>
      <c r="AC29" s="2032"/>
      <c r="AD29" s="2032"/>
      <c r="AE29" s="2032"/>
      <c r="AF29" s="2032"/>
      <c r="AG29" s="2044"/>
      <c r="AH29" s="2032"/>
      <c r="AI29" s="2032"/>
      <c r="AJ29" s="2032"/>
      <c r="AK29" s="2032" t="s">
        <v>116</v>
      </c>
      <c r="AL29" s="2032"/>
      <c r="AM29" s="2032"/>
      <c r="AN29" s="2032"/>
      <c r="AO29" s="2032"/>
      <c r="AP29" s="2032"/>
      <c r="AQ29" s="2033"/>
      <c r="AR29" s="2034" t="s">
        <v>14</v>
      </c>
      <c r="AS29" s="2035"/>
      <c r="AT29" s="2035"/>
      <c r="AU29" s="2035"/>
      <c r="AV29" s="2035"/>
      <c r="AW29" s="2035"/>
      <c r="AX29" s="2035"/>
      <c r="AY29" s="2052"/>
      <c r="AZ29" s="2035"/>
      <c r="BA29" s="2035"/>
      <c r="BB29" s="2035"/>
      <c r="BC29" s="2035" t="s">
        <v>116</v>
      </c>
      <c r="BD29" s="2035"/>
      <c r="BE29" s="2035"/>
      <c r="BF29" s="2035"/>
      <c r="BG29" s="2035"/>
      <c r="BH29" s="2035"/>
      <c r="BI29" s="2036"/>
      <c r="BJ29" s="2031" t="s">
        <v>14</v>
      </c>
      <c r="BK29" s="2032"/>
      <c r="BL29" s="2032"/>
      <c r="BM29" s="2032"/>
      <c r="BN29" s="2032"/>
      <c r="BO29" s="2032"/>
      <c r="BP29" s="2032"/>
      <c r="BQ29" s="2044"/>
      <c r="BR29" s="2032"/>
      <c r="BS29" s="2032"/>
      <c r="BT29" s="2032"/>
      <c r="BU29" s="2032" t="s">
        <v>116</v>
      </c>
      <c r="BV29" s="2032"/>
      <c r="BW29" s="2032"/>
      <c r="BX29" s="2032"/>
      <c r="BY29" s="2032"/>
      <c r="BZ29" s="2032"/>
      <c r="CA29" s="2045"/>
    </row>
    <row r="30" spans="2:79" s="22" customFormat="1" ht="46.8">
      <c r="B30" s="246" t="s">
        <v>119</v>
      </c>
      <c r="C30" s="438" t="s">
        <v>189</v>
      </c>
      <c r="D30" s="438" t="s">
        <v>121</v>
      </c>
      <c r="E30" s="438" t="s">
        <v>186</v>
      </c>
      <c r="F30" s="439" t="s">
        <v>123</v>
      </c>
      <c r="G30" s="439" t="s">
        <v>124</v>
      </c>
      <c r="H30" s="439" t="s">
        <v>125</v>
      </c>
      <c r="I30" s="292" t="s">
        <v>126</v>
      </c>
      <c r="J30" s="476" t="s">
        <v>127</v>
      </c>
      <c r="K30" s="613" t="s">
        <v>128</v>
      </c>
      <c r="L30" s="446" t="s">
        <v>129</v>
      </c>
      <c r="M30" s="446" t="s">
        <v>155</v>
      </c>
      <c r="N30" s="446" t="s">
        <v>190</v>
      </c>
      <c r="O30" s="446" t="s">
        <v>179</v>
      </c>
      <c r="P30" s="297" t="s">
        <v>156</v>
      </c>
      <c r="Q30" s="1353" t="s">
        <v>132</v>
      </c>
      <c r="R30" s="440" t="s">
        <v>133</v>
      </c>
      <c r="S30" s="440" t="s">
        <v>134</v>
      </c>
      <c r="T30" s="440" t="s">
        <v>157</v>
      </c>
      <c r="U30" s="137" t="s">
        <v>158</v>
      </c>
      <c r="V30" s="441" t="s">
        <v>21</v>
      </c>
      <c r="W30" s="440" t="s">
        <v>137</v>
      </c>
      <c r="X30" s="441" t="s">
        <v>191</v>
      </c>
      <c r="Y30" s="453" t="s">
        <v>23</v>
      </c>
      <c r="Z30" s="155" t="s">
        <v>120</v>
      </c>
      <c r="AA30" s="1183" t="s">
        <v>121</v>
      </c>
      <c r="AB30" s="1183" t="s">
        <v>186</v>
      </c>
      <c r="AC30" s="1184" t="s">
        <v>123</v>
      </c>
      <c r="AD30" s="1184" t="s">
        <v>124</v>
      </c>
      <c r="AE30" s="1184" t="s">
        <v>125</v>
      </c>
      <c r="AF30" s="1355" t="s">
        <v>126</v>
      </c>
      <c r="AG30" s="1185" t="s">
        <v>127</v>
      </c>
      <c r="AH30" s="1184" t="s">
        <v>190</v>
      </c>
      <c r="AI30" s="1184" t="s">
        <v>179</v>
      </c>
      <c r="AJ30" s="1196" t="s">
        <v>129</v>
      </c>
      <c r="AK30" s="142" t="s">
        <v>132</v>
      </c>
      <c r="AL30" s="133" t="s">
        <v>133</v>
      </c>
      <c r="AM30" s="133" t="s">
        <v>134</v>
      </c>
      <c r="AN30" s="133" t="s">
        <v>21</v>
      </c>
      <c r="AO30" s="133" t="s">
        <v>137</v>
      </c>
      <c r="AP30" s="134" t="s">
        <v>138</v>
      </c>
      <c r="AQ30" s="156" t="s">
        <v>23</v>
      </c>
      <c r="AR30" s="155" t="s">
        <v>120</v>
      </c>
      <c r="AS30" s="1183" t="s">
        <v>121</v>
      </c>
      <c r="AT30" s="1184" t="s">
        <v>192</v>
      </c>
      <c r="AU30" s="1184" t="s">
        <v>123</v>
      </c>
      <c r="AV30" s="1184" t="s">
        <v>124</v>
      </c>
      <c r="AW30" s="1184" t="s">
        <v>125</v>
      </c>
      <c r="AX30" s="1355" t="s">
        <v>126</v>
      </c>
      <c r="AY30" s="1185" t="s">
        <v>127</v>
      </c>
      <c r="AZ30" s="1184" t="s">
        <v>178</v>
      </c>
      <c r="BA30" s="1184" t="s">
        <v>179</v>
      </c>
      <c r="BB30" s="1196" t="s">
        <v>129</v>
      </c>
      <c r="BC30" s="1197" t="s">
        <v>132</v>
      </c>
      <c r="BD30" s="133" t="s">
        <v>133</v>
      </c>
      <c r="BE30" s="133" t="s">
        <v>134</v>
      </c>
      <c r="BF30" s="133" t="s">
        <v>21</v>
      </c>
      <c r="BG30" s="133" t="s">
        <v>137</v>
      </c>
      <c r="BH30" s="134" t="s">
        <v>138</v>
      </c>
      <c r="BI30" s="156" t="s">
        <v>23</v>
      </c>
      <c r="BJ30" s="155" t="s">
        <v>120</v>
      </c>
      <c r="BK30" s="113" t="s">
        <v>121</v>
      </c>
      <c r="BL30" s="113" t="s">
        <v>186</v>
      </c>
      <c r="BM30" s="114" t="s">
        <v>123</v>
      </c>
      <c r="BN30" s="114" t="s">
        <v>124</v>
      </c>
      <c r="BO30" s="114" t="s">
        <v>125</v>
      </c>
      <c r="BP30" s="114" t="s">
        <v>126</v>
      </c>
      <c r="BQ30" s="481" t="s">
        <v>127</v>
      </c>
      <c r="BR30" s="114" t="s">
        <v>178</v>
      </c>
      <c r="BS30" s="114" t="s">
        <v>179</v>
      </c>
      <c r="BT30" s="145" t="s">
        <v>129</v>
      </c>
      <c r="BU30" s="142" t="s">
        <v>132</v>
      </c>
      <c r="BV30" s="133" t="s">
        <v>133</v>
      </c>
      <c r="BW30" s="133" t="s">
        <v>134</v>
      </c>
      <c r="BX30" s="133" t="s">
        <v>21</v>
      </c>
      <c r="BY30" s="133" t="s">
        <v>137</v>
      </c>
      <c r="BZ30" s="134" t="s">
        <v>138</v>
      </c>
      <c r="CA30" s="247" t="s">
        <v>23</v>
      </c>
    </row>
  </sheetData>
  <mergeCells count="19">
    <mergeCell ref="BC29:BI29"/>
    <mergeCell ref="BJ29:BT29"/>
    <mergeCell ref="BU29:CA29"/>
    <mergeCell ref="B28:Y28"/>
    <mergeCell ref="Z28:AQ28"/>
    <mergeCell ref="AR28:BI28"/>
    <mergeCell ref="C29:P29"/>
    <mergeCell ref="Q29:Y29"/>
    <mergeCell ref="Z29:AJ29"/>
    <mergeCell ref="AK29:AQ29"/>
    <mergeCell ref="AR29:BB29"/>
    <mergeCell ref="B11:Y11"/>
    <mergeCell ref="C12:P12"/>
    <mergeCell ref="Q12:Y12"/>
    <mergeCell ref="B2:D2"/>
    <mergeCell ref="BJ28:CA28"/>
    <mergeCell ref="AA12:AC12"/>
    <mergeCell ref="B7:D7"/>
    <mergeCell ref="AE12:AG12"/>
  </mergeCells>
  <conditionalFormatting sqref="AQ27">
    <cfRule type="cellIs" dxfId="5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7"/>
  <sheetViews>
    <sheetView showGridLines="0" topLeftCell="A48" zoomScale="70" zoomScaleNormal="70" workbookViewId="0">
      <selection activeCell="A58" sqref="A58"/>
    </sheetView>
  </sheetViews>
  <sheetFormatPr defaultColWidth="8.8984375" defaultRowHeight="15.6"/>
  <cols>
    <col min="1" max="1" width="1.69921875" style="17" customWidth="1"/>
    <col min="2" max="2" width="27.3984375" style="17" customWidth="1"/>
    <col min="3" max="3" width="11.09765625" style="17" bestFit="1" customWidth="1"/>
    <col min="4" max="9" width="10.69921875" style="17" customWidth="1"/>
    <col min="10" max="10" width="12.296875" style="473" customWidth="1"/>
    <col min="11" max="11" width="10.69921875" style="60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486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473" customWidth="1"/>
    <col min="34" max="37" width="10.69921875" style="17" customWidth="1"/>
    <col min="38" max="39" width="10.69921875" style="17" hidden="1" customWidth="1"/>
    <col min="40" max="40" width="10.69921875" style="473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473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473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472"/>
      <c r="K1" s="600"/>
      <c r="X1" s="485"/>
      <c r="AG1" s="472"/>
      <c r="AN1" s="472"/>
      <c r="AY1" s="472"/>
      <c r="BQ1" s="472"/>
    </row>
    <row r="2" spans="2:69" s="2" customFormat="1">
      <c r="B2" s="43" t="s">
        <v>14</v>
      </c>
      <c r="C2" s="45" t="s">
        <v>95</v>
      </c>
      <c r="J2" s="472"/>
      <c r="K2" s="600"/>
      <c r="X2" s="485"/>
      <c r="AG2" s="472"/>
      <c r="AN2" s="472"/>
      <c r="AY2" s="472"/>
      <c r="BQ2" s="472"/>
    </row>
    <row r="3" spans="2:69" s="2" customFormat="1" ht="31.8" thickBot="1">
      <c r="B3" s="1307" t="s">
        <v>193</v>
      </c>
      <c r="C3" s="205">
        <v>6600</v>
      </c>
      <c r="J3" s="472"/>
      <c r="K3" s="600"/>
      <c r="X3" s="485"/>
      <c r="AG3" s="472"/>
      <c r="AN3" s="472"/>
      <c r="AY3" s="472"/>
      <c r="BQ3" s="472"/>
    </row>
    <row r="5" spans="2:69" hidden="1">
      <c r="B5" s="43" t="s">
        <v>14</v>
      </c>
      <c r="C5" s="45" t="s">
        <v>95</v>
      </c>
      <c r="D5" s="76"/>
      <c r="E5" s="76"/>
      <c r="F5" s="19"/>
      <c r="G5" s="19"/>
      <c r="H5" s="19"/>
      <c r="I5" s="19"/>
      <c r="J5" s="474"/>
      <c r="K5" s="602"/>
      <c r="L5" s="19"/>
      <c r="M5" s="19"/>
      <c r="N5" s="19"/>
      <c r="O5" s="223"/>
      <c r="P5" s="19"/>
      <c r="Q5" s="19"/>
      <c r="R5" s="19"/>
      <c r="S5" s="19"/>
      <c r="T5" s="19"/>
      <c r="U5" s="19"/>
      <c r="V5" s="19"/>
      <c r="W5" s="19"/>
      <c r="X5" s="487"/>
      <c r="Y5" s="19"/>
    </row>
    <row r="6" spans="2:69" ht="16.2" hidden="1" thickBot="1">
      <c r="B6" s="44" t="s">
        <v>113</v>
      </c>
      <c r="C6" s="205">
        <v>6218</v>
      </c>
      <c r="D6" s="76"/>
      <c r="E6" s="76"/>
      <c r="F6" s="19"/>
      <c r="G6" s="19"/>
      <c r="H6" s="19"/>
      <c r="I6" s="19"/>
      <c r="J6" s="474"/>
      <c r="K6" s="602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87"/>
      <c r="Y6" s="19"/>
      <c r="Z6" s="20"/>
      <c r="AA6" s="20"/>
      <c r="AB6" s="20"/>
      <c r="AC6" s="20"/>
      <c r="AD6" s="20"/>
      <c r="AE6" s="20"/>
      <c r="AF6" s="20"/>
      <c r="AG6" s="507"/>
      <c r="AH6" s="20"/>
      <c r="AI6" s="20"/>
      <c r="AJ6" s="20"/>
      <c r="AK6" s="20"/>
      <c r="AL6" s="20"/>
      <c r="AM6" s="20"/>
      <c r="AN6" s="507"/>
      <c r="AO6" s="20"/>
    </row>
    <row r="7" spans="2:69" hidden="1">
      <c r="B7" s="1309"/>
      <c r="C7" s="1308"/>
      <c r="D7" s="76"/>
      <c r="E7" s="76"/>
      <c r="F7" s="19"/>
      <c r="G7" s="19"/>
      <c r="H7" s="19"/>
      <c r="I7" s="19"/>
      <c r="J7" s="474"/>
      <c r="K7" s="602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87"/>
      <c r="Y7" s="19"/>
      <c r="Z7" s="20"/>
      <c r="AA7" s="20"/>
      <c r="AB7" s="20"/>
      <c r="AC7" s="20"/>
      <c r="AD7" s="20"/>
      <c r="AE7" s="20"/>
      <c r="AF7" s="20"/>
      <c r="AG7" s="507"/>
      <c r="AH7" s="20"/>
      <c r="AI7" s="20"/>
      <c r="AJ7" s="20"/>
      <c r="AK7" s="20"/>
      <c r="AL7" s="20"/>
      <c r="AM7" s="20"/>
      <c r="AN7" s="507"/>
      <c r="AO7" s="20"/>
    </row>
    <row r="8" spans="2:69" ht="16.2" thickBot="1">
      <c r="B8" s="21"/>
      <c r="C8" s="21"/>
      <c r="D8" s="21"/>
      <c r="E8" s="21"/>
      <c r="F8" s="21"/>
      <c r="G8" s="21"/>
      <c r="H8" s="21"/>
      <c r="I8" s="21"/>
      <c r="J8" s="475"/>
      <c r="K8" s="603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488"/>
      <c r="Y8" s="21"/>
      <c r="Z8" s="20"/>
      <c r="AA8" s="20"/>
      <c r="AB8" s="20"/>
      <c r="AC8" s="20"/>
      <c r="AD8" s="20"/>
      <c r="AE8" s="20"/>
      <c r="AF8" s="20"/>
      <c r="AG8" s="507"/>
      <c r="AH8" s="20"/>
      <c r="AI8" s="20"/>
      <c r="AJ8" s="20"/>
      <c r="AK8" s="20"/>
      <c r="AL8" s="20"/>
      <c r="AM8" s="20"/>
      <c r="AN8" s="507"/>
      <c r="AO8" s="20"/>
    </row>
    <row r="9" spans="2:69">
      <c r="B9" s="2001" t="s">
        <v>115</v>
      </c>
      <c r="C9" s="2002"/>
      <c r="D9" s="2002"/>
      <c r="E9" s="2002"/>
      <c r="F9" s="2002"/>
      <c r="G9" s="2002"/>
      <c r="H9" s="2002"/>
      <c r="I9" s="2002"/>
      <c r="J9" s="2002"/>
      <c r="K9" s="2002"/>
      <c r="L9" s="2002"/>
      <c r="M9" s="2002"/>
      <c r="N9" s="2002"/>
      <c r="O9" s="2002"/>
      <c r="P9" s="2002"/>
      <c r="Q9" s="2002"/>
      <c r="R9" s="2002"/>
      <c r="S9" s="2002"/>
      <c r="T9" s="2002"/>
      <c r="U9" s="2002"/>
      <c r="V9" s="2002"/>
      <c r="W9" s="2002"/>
      <c r="X9" s="2002"/>
      <c r="Y9" s="2003"/>
      <c r="Z9" s="20"/>
      <c r="AA9" s="20"/>
      <c r="AB9" s="20"/>
      <c r="AC9" s="20"/>
      <c r="AD9" s="20"/>
      <c r="AE9" s="20"/>
      <c r="AF9" s="20"/>
      <c r="AG9" s="507"/>
      <c r="AH9" s="20"/>
      <c r="AI9" s="20"/>
      <c r="AJ9" s="20"/>
      <c r="AK9" s="20"/>
      <c r="AL9" s="20"/>
      <c r="AM9" s="20"/>
      <c r="AN9" s="507"/>
      <c r="AO9" s="20"/>
    </row>
    <row r="10" spans="2:69">
      <c r="B10" s="116"/>
      <c r="C10" s="2023" t="s">
        <v>14</v>
      </c>
      <c r="D10" s="2023"/>
      <c r="E10" s="2023"/>
      <c r="F10" s="2023"/>
      <c r="G10" s="2023"/>
      <c r="H10" s="2023"/>
      <c r="I10" s="2023"/>
      <c r="J10" s="2023"/>
      <c r="K10" s="2023"/>
      <c r="L10" s="2023"/>
      <c r="M10" s="2023"/>
      <c r="N10" s="2023"/>
      <c r="O10" s="2023"/>
      <c r="P10" s="2023"/>
      <c r="Q10" s="2005" t="s">
        <v>116</v>
      </c>
      <c r="R10" s="2005"/>
      <c r="S10" s="2005"/>
      <c r="T10" s="2005"/>
      <c r="U10" s="2005"/>
      <c r="V10" s="2005"/>
      <c r="W10" s="2005"/>
      <c r="X10" s="2005"/>
      <c r="Y10" s="2006"/>
      <c r="Z10" s="20"/>
      <c r="AA10" s="1999" t="s">
        <v>184</v>
      </c>
      <c r="AB10" s="2000"/>
      <c r="AC10" s="2000"/>
      <c r="AD10" s="20"/>
      <c r="AE10" s="20"/>
      <c r="AF10" s="20"/>
      <c r="AG10" s="507"/>
      <c r="AH10" s="20"/>
      <c r="AI10" s="20"/>
      <c r="AJ10" s="20"/>
      <c r="AK10" s="20"/>
      <c r="AO10" s="20"/>
      <c r="AP10" s="20"/>
      <c r="AQ10" s="20"/>
    </row>
    <row r="11" spans="2:69" s="22" customFormat="1" ht="46.8">
      <c r="B11" s="115" t="s">
        <v>119</v>
      </c>
      <c r="C11" s="438" t="s">
        <v>120</v>
      </c>
      <c r="D11" s="438" t="s">
        <v>121</v>
      </c>
      <c r="E11" s="288" t="s">
        <v>177</v>
      </c>
      <c r="F11" s="439" t="s">
        <v>123</v>
      </c>
      <c r="G11" s="439" t="s">
        <v>124</v>
      </c>
      <c r="H11" s="439" t="s">
        <v>125</v>
      </c>
      <c r="I11" s="439" t="s">
        <v>126</v>
      </c>
      <c r="J11" s="476" t="s">
        <v>127</v>
      </c>
      <c r="K11" s="613" t="s">
        <v>128</v>
      </c>
      <c r="L11" s="439" t="s">
        <v>129</v>
      </c>
      <c r="M11" s="439" t="s">
        <v>130</v>
      </c>
      <c r="N11" s="439" t="s">
        <v>178</v>
      </c>
      <c r="O11" s="439" t="s">
        <v>179</v>
      </c>
      <c r="P11" s="141" t="s">
        <v>180</v>
      </c>
      <c r="Q11" s="440" t="s">
        <v>132</v>
      </c>
      <c r="R11" s="440" t="s">
        <v>133</v>
      </c>
      <c r="S11" s="440" t="s">
        <v>134</v>
      </c>
      <c r="T11" s="440" t="s">
        <v>135</v>
      </c>
      <c r="U11" s="137" t="s">
        <v>165</v>
      </c>
      <c r="V11" s="441" t="s">
        <v>21</v>
      </c>
      <c r="W11" s="440" t="s">
        <v>137</v>
      </c>
      <c r="X11" s="489" t="s">
        <v>138</v>
      </c>
      <c r="Y11" s="442" t="s">
        <v>23</v>
      </c>
      <c r="AA11" s="193" t="s">
        <v>139</v>
      </c>
      <c r="AB11" s="193" t="s">
        <v>140</v>
      </c>
      <c r="AC11" s="198" t="s">
        <v>141</v>
      </c>
      <c r="AG11" s="480"/>
      <c r="AN11" s="480"/>
      <c r="AY11" s="480"/>
      <c r="BQ11" s="480"/>
    </row>
    <row r="12" spans="2:69" ht="31.2">
      <c r="B12" s="103" t="s">
        <v>174</v>
      </c>
      <c r="C12" s="15">
        <f>SUM(C27:C33)</f>
        <v>457560</v>
      </c>
      <c r="D12" s="15">
        <f t="shared" ref="D12:I12" si="0">SUM(D27:D33)</f>
        <v>839</v>
      </c>
      <c r="E12" s="15">
        <f t="shared" si="0"/>
        <v>62562</v>
      </c>
      <c r="F12" s="15">
        <f t="shared" si="0"/>
        <v>15508</v>
      </c>
      <c r="G12" s="15">
        <f t="shared" si="0"/>
        <v>6048</v>
      </c>
      <c r="H12" s="15">
        <f t="shared" si="0"/>
        <v>3726</v>
      </c>
      <c r="I12" s="15">
        <f t="shared" si="0"/>
        <v>2161</v>
      </c>
      <c r="J12" s="77">
        <f>SUM(J27:J33)</f>
        <v>1453.51</v>
      </c>
      <c r="K12" s="73">
        <f>J12/$C$6</f>
        <v>0.2337584432293342</v>
      </c>
      <c r="L12" s="79">
        <f>D12/C12</f>
        <v>1.8336393041349769E-3</v>
      </c>
      <c r="M12" s="202">
        <f>$AB$12/30*7</f>
        <v>9067.9166666666679</v>
      </c>
      <c r="N12" s="77">
        <f>J12/E12</f>
        <v>2.3233112752149867E-2</v>
      </c>
      <c r="O12" s="77">
        <f>J12/I12</f>
        <v>0.67260990282276722</v>
      </c>
      <c r="P12" s="73">
        <f>E12/M12</f>
        <v>6.8992694021963876</v>
      </c>
      <c r="Q12" s="131">
        <f>SUM(Q27:Q33)</f>
        <v>263</v>
      </c>
      <c r="R12" s="132"/>
      <c r="S12" s="132"/>
      <c r="T12" s="293">
        <f>$AB$14/30*7</f>
        <v>1934.4888888888888</v>
      </c>
      <c r="U12" s="139">
        <f>Q12/T12</f>
        <v>0.13595322336074991</v>
      </c>
      <c r="V12" s="224">
        <f>J12/Q12</f>
        <v>5.5266539923954374</v>
      </c>
      <c r="W12" s="333">
        <f>Q12/D12</f>
        <v>0.31346841477949938</v>
      </c>
      <c r="X12" s="382">
        <f t="shared" ref="X12:Y12" si="1">X34</f>
        <v>49.785714285714285</v>
      </c>
      <c r="Y12" s="348">
        <f t="shared" si="1"/>
        <v>0.77666666666666662</v>
      </c>
      <c r="AA12" s="97">
        <f>E20</f>
        <v>247707</v>
      </c>
      <c r="AB12" s="97">
        <f>C6/0.16</f>
        <v>38862.5</v>
      </c>
      <c r="AC12" s="98">
        <f>AA12/AB12</f>
        <v>6.373933740752654</v>
      </c>
    </row>
    <row r="13" spans="2:69" ht="31.2">
      <c r="B13" s="103" t="s">
        <v>175</v>
      </c>
      <c r="C13" s="15">
        <f>SUM(C35:C41)</f>
        <v>475010</v>
      </c>
      <c r="D13" s="15">
        <f>SUM(D35:D41)</f>
        <v>538</v>
      </c>
      <c r="E13" s="15">
        <f t="shared" ref="E13:I13" si="2">SUM(E35:E41)</f>
        <v>59737</v>
      </c>
      <c r="F13" s="15">
        <f t="shared" si="2"/>
        <v>9511</v>
      </c>
      <c r="G13" s="15">
        <f t="shared" si="2"/>
        <v>4085</v>
      </c>
      <c r="H13" s="15">
        <f t="shared" si="2"/>
        <v>2506</v>
      </c>
      <c r="I13" s="15">
        <f t="shared" si="2"/>
        <v>1868</v>
      </c>
      <c r="J13" s="77">
        <f>SUM(J35:J41)</f>
        <v>1607.29</v>
      </c>
      <c r="K13" s="73">
        <f>J13/$C$6</f>
        <v>0.25848986812479896</v>
      </c>
      <c r="L13" s="79">
        <f>D13/C13</f>
        <v>1.1326077345740089E-3</v>
      </c>
      <c r="M13" s="202">
        <f>$AB$12/30*7</f>
        <v>9067.9166666666679</v>
      </c>
      <c r="N13" s="77">
        <f>J13/E13</f>
        <v>2.6906105093995346E-2</v>
      </c>
      <c r="O13" s="77">
        <f>J13/I13</f>
        <v>0.86043361884368308</v>
      </c>
      <c r="P13" s="73">
        <f>E13/M13</f>
        <v>6.5877314708450116</v>
      </c>
      <c r="Q13" s="131">
        <f>SUM(Q35:Q41)</f>
        <v>228</v>
      </c>
      <c r="R13" s="132"/>
      <c r="S13" s="132"/>
      <c r="T13" s="293">
        <f>$AB$14/30*7</f>
        <v>1934.4888888888888</v>
      </c>
      <c r="U13" s="139">
        <f>Q13/T13</f>
        <v>0.11786058907319763</v>
      </c>
      <c r="V13" s="224">
        <f>J13/Q13</f>
        <v>7.0495175438596487</v>
      </c>
      <c r="W13" s="333">
        <f>Q13/D13</f>
        <v>0.42379182156133827</v>
      </c>
      <c r="X13" s="382">
        <f>X42</f>
        <v>59.325090198022522</v>
      </c>
      <c r="Y13" s="348">
        <f>Y42</f>
        <v>0.90342838169905837</v>
      </c>
      <c r="AA13" s="199" t="s">
        <v>132</v>
      </c>
      <c r="AB13" s="199" t="s">
        <v>144</v>
      </c>
      <c r="AC13" s="198" t="s">
        <v>141</v>
      </c>
    </row>
    <row r="14" spans="2:69" ht="31.2">
      <c r="B14" s="105" t="s">
        <v>168</v>
      </c>
      <c r="C14" s="15">
        <f>SUM(C43:C49)</f>
        <v>486961</v>
      </c>
      <c r="D14" s="15">
        <f t="shared" ref="D14:I14" si="3">SUM(D43:D49)</f>
        <v>536</v>
      </c>
      <c r="E14" s="15">
        <f t="shared" si="3"/>
        <v>60533</v>
      </c>
      <c r="F14" s="15">
        <f t="shared" si="3"/>
        <v>15263</v>
      </c>
      <c r="G14" s="15">
        <f t="shared" si="3"/>
        <v>5504</v>
      </c>
      <c r="H14" s="15">
        <f t="shared" si="3"/>
        <v>3176</v>
      </c>
      <c r="I14" s="15">
        <f t="shared" si="3"/>
        <v>1958</v>
      </c>
      <c r="J14" s="77">
        <f>SUM(J43:J49)</f>
        <v>1603.78</v>
      </c>
      <c r="K14" s="73">
        <f>J14/$C$6</f>
        <v>0.25792537793502734</v>
      </c>
      <c r="L14" s="79">
        <f>D14/C14</f>
        <v>1.1007041631670709E-3</v>
      </c>
      <c r="M14" s="202">
        <f>$AB$12/30*7</f>
        <v>9067.9166666666679</v>
      </c>
      <c r="N14" s="77">
        <f>J14/E14</f>
        <v>2.649430888936613E-2</v>
      </c>
      <c r="O14" s="77">
        <f>J14/I14</f>
        <v>0.81909090909090909</v>
      </c>
      <c r="P14" s="73">
        <f>E14/M14</f>
        <v>6.6755134861921599</v>
      </c>
      <c r="Q14" s="52">
        <f>SUM(Q43:Q49)</f>
        <v>167</v>
      </c>
      <c r="R14" s="52"/>
      <c r="S14" s="52"/>
      <c r="T14" s="293">
        <f>$AB$14/30*7</f>
        <v>1934.4888888888888</v>
      </c>
      <c r="U14" s="139">
        <f>Q14/T14</f>
        <v>8.6327712172035109E-2</v>
      </c>
      <c r="V14" s="224">
        <f>J14/Q14</f>
        <v>9.6034730538922162</v>
      </c>
      <c r="W14" s="333">
        <f>Q14/D14</f>
        <v>0.31156716417910446</v>
      </c>
      <c r="X14" s="705">
        <f>AVERAGE(X43:X49)</f>
        <v>30.6895580454404</v>
      </c>
      <c r="Y14" s="617">
        <f>AVERAGE(Y43:Y49)</f>
        <v>0.85191409897292247</v>
      </c>
      <c r="Z14" s="40"/>
      <c r="AA14" s="97">
        <f>Q20</f>
        <v>811</v>
      </c>
      <c r="AB14" s="97">
        <f>C6/0.75</f>
        <v>8290.6666666666661</v>
      </c>
      <c r="AC14" s="98">
        <f>AA14/AB14</f>
        <v>9.7820842714699263E-2</v>
      </c>
      <c r="AD14" s="40"/>
      <c r="AE14" s="40"/>
      <c r="AF14" s="40"/>
      <c r="AG14" s="597"/>
      <c r="AH14" s="40"/>
      <c r="AI14" s="40"/>
      <c r="AJ14" s="40"/>
      <c r="AK14" s="40"/>
    </row>
    <row r="15" spans="2:69" ht="31.2">
      <c r="B15" s="105" t="s">
        <v>169</v>
      </c>
      <c r="C15" s="15">
        <f>SUM(C51:C57)</f>
        <v>449034</v>
      </c>
      <c r="D15" s="15">
        <f t="shared" ref="D15:J15" si="4">SUM(D51:D57)</f>
        <v>486</v>
      </c>
      <c r="E15" s="15">
        <f t="shared" si="4"/>
        <v>56336</v>
      </c>
      <c r="F15" s="15">
        <f t="shared" si="4"/>
        <v>14426</v>
      </c>
      <c r="G15" s="15">
        <f t="shared" si="4"/>
        <v>5242</v>
      </c>
      <c r="H15" s="15">
        <f t="shared" si="4"/>
        <v>2996</v>
      </c>
      <c r="I15" s="15">
        <f t="shared" si="4"/>
        <v>1836</v>
      </c>
      <c r="J15" s="72">
        <f t="shared" si="4"/>
        <v>1550.5899999999997</v>
      </c>
      <c r="K15" s="73">
        <f>J15/$C$6</f>
        <v>0.24937118044387258</v>
      </c>
      <c r="L15" s="79">
        <f>D15/C15</f>
        <v>1.0823233875385829E-3</v>
      </c>
      <c r="M15" s="202">
        <f>$AB$12/30*7</f>
        <v>9067.9166666666679</v>
      </c>
      <c r="N15" s="77">
        <f>J15/E15</f>
        <v>2.752396336268105E-2</v>
      </c>
      <c r="O15" s="77">
        <f>J15/I15</f>
        <v>0.84454793028322428</v>
      </c>
      <c r="P15" s="73">
        <f>E15/M15</f>
        <v>6.2126728851720801</v>
      </c>
      <c r="Q15" s="52">
        <f>SUM(Q51:Q57)</f>
        <v>148</v>
      </c>
      <c r="R15" s="52"/>
      <c r="S15" s="52"/>
      <c r="T15" s="293">
        <f t="shared" ref="T15:T16" si="5">$AB$14/30*7</f>
        <v>1934.4888888888888</v>
      </c>
      <c r="U15" s="139">
        <f>Q15/T15</f>
        <v>7.6505996415935307E-2</v>
      </c>
      <c r="V15" s="224">
        <f>J15/Q15</f>
        <v>10.476959459459458</v>
      </c>
      <c r="W15" s="333">
        <f>Q15/D15</f>
        <v>0.30452674897119342</v>
      </c>
      <c r="X15" s="705">
        <f>AVERAGE(X51:X57)</f>
        <v>35.218065003779294</v>
      </c>
      <c r="Y15" s="617">
        <f>AVERAGE(Y51:Y57)</f>
        <v>0.87681405895691611</v>
      </c>
    </row>
    <row r="16" spans="2:69" ht="31.2">
      <c r="B16" s="105" t="s">
        <v>194</v>
      </c>
      <c r="C16" s="15">
        <f>SUM(C59:C65)</f>
        <v>71063</v>
      </c>
      <c r="D16" s="15">
        <f t="shared" ref="D16:J16" si="6">SUM(D59:D65)</f>
        <v>70</v>
      </c>
      <c r="E16" s="15">
        <f t="shared" si="6"/>
        <v>8539</v>
      </c>
      <c r="F16" s="15">
        <f t="shared" si="6"/>
        <v>2122</v>
      </c>
      <c r="G16" s="15">
        <f t="shared" si="6"/>
        <v>771</v>
      </c>
      <c r="H16" s="15">
        <f t="shared" si="6"/>
        <v>438</v>
      </c>
      <c r="I16" s="15">
        <f t="shared" si="6"/>
        <v>265</v>
      </c>
      <c r="J16" s="72">
        <f t="shared" si="6"/>
        <v>240.3</v>
      </c>
      <c r="K16" s="73">
        <f>J16/$C$6</f>
        <v>3.8645866838211647E-2</v>
      </c>
      <c r="L16" s="79">
        <f>D16/C16</f>
        <v>9.8504144210067126E-4</v>
      </c>
      <c r="M16" s="202">
        <f>$AB$12/30*7</f>
        <v>9067.9166666666679</v>
      </c>
      <c r="N16" s="77">
        <f>J16/E16</f>
        <v>2.8141468556037007E-2</v>
      </c>
      <c r="O16" s="77">
        <f>J16/I16</f>
        <v>0.90679245283018872</v>
      </c>
      <c r="P16" s="73">
        <f>E16/M16</f>
        <v>0.94167164453430119</v>
      </c>
      <c r="Q16" s="15">
        <f t="shared" ref="Q16" si="7">SUM(Q59:Q65)</f>
        <v>5</v>
      </c>
      <c r="R16" s="52"/>
      <c r="S16" s="52"/>
      <c r="T16" s="293">
        <f t="shared" si="5"/>
        <v>1934.4888888888888</v>
      </c>
      <c r="U16" s="139">
        <f>Q16/T16</f>
        <v>2.5846620410788957E-3</v>
      </c>
      <c r="V16" s="224">
        <f>J16/Q16</f>
        <v>48.06</v>
      </c>
      <c r="W16" s="333">
        <f>Q16/D16</f>
        <v>7.1428571428571425E-2</v>
      </c>
      <c r="X16" s="705">
        <f>AVERAGE(X59:X65)</f>
        <v>0</v>
      </c>
      <c r="Y16" s="617">
        <f>AVERAGE(Y59:Y65)</f>
        <v>1</v>
      </c>
    </row>
    <row r="17" spans="2:79">
      <c r="B17" s="103" t="s">
        <v>195</v>
      </c>
      <c r="C17" s="15"/>
      <c r="D17" s="15"/>
      <c r="E17" s="15"/>
      <c r="F17" s="15"/>
      <c r="G17" s="15"/>
      <c r="H17" s="15"/>
      <c r="I17" s="15"/>
      <c r="J17" s="77"/>
      <c r="K17" s="605"/>
      <c r="L17" s="52"/>
      <c r="M17" s="52"/>
      <c r="N17" s="77"/>
      <c r="O17" s="77"/>
      <c r="P17" s="52"/>
      <c r="Q17" s="52"/>
      <c r="R17" s="52"/>
      <c r="S17" s="52"/>
      <c r="T17" s="293"/>
      <c r="U17" s="52"/>
      <c r="V17" s="52"/>
      <c r="W17" s="52"/>
      <c r="X17" s="622"/>
      <c r="Y17" s="104"/>
    </row>
    <row r="18" spans="2:79">
      <c r="B18" s="103" t="s">
        <v>196</v>
      </c>
      <c r="C18" s="102"/>
      <c r="D18" s="102"/>
      <c r="E18" s="102"/>
      <c r="F18" s="102"/>
      <c r="G18" s="102"/>
      <c r="H18" s="102"/>
      <c r="I18" s="102"/>
      <c r="J18" s="77"/>
      <c r="K18" s="605"/>
      <c r="L18" s="52"/>
      <c r="M18" s="52"/>
      <c r="N18" s="77"/>
      <c r="O18" s="77"/>
      <c r="P18" s="52"/>
      <c r="Q18" s="52"/>
      <c r="R18" s="52"/>
      <c r="S18" s="52"/>
      <c r="T18" s="293"/>
      <c r="U18" s="52"/>
      <c r="V18" s="52"/>
      <c r="W18" s="52"/>
      <c r="X18" s="622"/>
      <c r="Y18" s="104"/>
    </row>
    <row r="19" spans="2:79" ht="16.2" thickBot="1">
      <c r="B19" s="106" t="s">
        <v>197</v>
      </c>
      <c r="C19" s="35"/>
      <c r="D19" s="35"/>
      <c r="E19" s="35"/>
      <c r="F19" s="35"/>
      <c r="G19" s="35"/>
      <c r="H19" s="35"/>
      <c r="I19" s="35"/>
      <c r="J19" s="77"/>
      <c r="K19" s="605"/>
      <c r="L19" s="52"/>
      <c r="M19" s="52"/>
      <c r="N19" s="77"/>
      <c r="O19" s="77"/>
      <c r="P19" s="52"/>
      <c r="Q19" s="52"/>
      <c r="R19" s="52"/>
      <c r="S19" s="52"/>
      <c r="T19" s="293"/>
      <c r="U19" s="52"/>
      <c r="V19" s="52"/>
      <c r="W19" s="52"/>
      <c r="X19" s="622"/>
      <c r="Y19" s="104"/>
    </row>
    <row r="20" spans="2:79" ht="16.2" thickBot="1">
      <c r="B20" s="107" t="s">
        <v>153</v>
      </c>
      <c r="C20" s="108">
        <f>SUM(C12:C19)</f>
        <v>1939628</v>
      </c>
      <c r="D20" s="108">
        <f t="shared" ref="D20:I20" si="8">SUM(D12:D19)</f>
        <v>2469</v>
      </c>
      <c r="E20" s="108">
        <f t="shared" si="8"/>
        <v>247707</v>
      </c>
      <c r="F20" s="108">
        <f t="shared" si="8"/>
        <v>56830</v>
      </c>
      <c r="G20" s="108">
        <f t="shared" si="8"/>
        <v>21650</v>
      </c>
      <c r="H20" s="108">
        <f t="shared" si="8"/>
        <v>12842</v>
      </c>
      <c r="I20" s="108">
        <f t="shared" si="8"/>
        <v>8088</v>
      </c>
      <c r="J20" s="109">
        <f>SUM(J12:J19)</f>
        <v>6455.47</v>
      </c>
      <c r="K20" s="111">
        <f>J20/C6</f>
        <v>1.0381907365712448</v>
      </c>
      <c r="L20" s="110">
        <f>D20/C20</f>
        <v>1.2729244989245359E-3</v>
      </c>
      <c r="M20" s="108">
        <f>SUM(M12:M19)</f>
        <v>45339.583333333343</v>
      </c>
      <c r="N20" s="229">
        <f>J20/E20</f>
        <v>2.6060910672689914E-2</v>
      </c>
      <c r="O20" s="229">
        <f>J20/I20</f>
        <v>0.79815405539070228</v>
      </c>
      <c r="P20" s="111">
        <f>E20/M20</f>
        <v>5.4633717777879873</v>
      </c>
      <c r="Q20" s="108">
        <f>SUM(Q12:Q19)</f>
        <v>811</v>
      </c>
      <c r="R20" s="112"/>
      <c r="S20" s="112"/>
      <c r="T20" s="108">
        <f>SUM(T12:T19)</f>
        <v>9672.4444444444434</v>
      </c>
      <c r="U20" s="138">
        <f>Q20/T20</f>
        <v>8.384643661259937E-2</v>
      </c>
      <c r="V20" s="340">
        <f>J20/Q20</f>
        <v>7.9598890258939585</v>
      </c>
      <c r="W20" s="336">
        <f>Q20/D20</f>
        <v>0.32847306601863102</v>
      </c>
      <c r="X20" s="623">
        <f>AVERAGE(X12:X19)</f>
        <v>35.003685506591303</v>
      </c>
      <c r="Y20" s="618">
        <f>AVERAGE(Y12:Y19)</f>
        <v>0.88176464125911269</v>
      </c>
      <c r="Z20" s="18"/>
      <c r="AA20" s="18"/>
      <c r="AB20" s="18"/>
      <c r="AC20" s="18"/>
      <c r="AD20" s="18"/>
      <c r="AE20" s="18"/>
      <c r="AF20" s="18"/>
      <c r="AG20" s="508"/>
      <c r="AH20" s="18"/>
      <c r="AI20" s="18"/>
      <c r="AJ20" s="18"/>
      <c r="AK20" s="18"/>
      <c r="AL20" s="18"/>
      <c r="AM20" s="18"/>
      <c r="AN20" s="508"/>
      <c r="AO20" s="18"/>
      <c r="AP20" s="18"/>
      <c r="AQ20" s="18"/>
    </row>
    <row r="21" spans="2:79" customFormat="1" ht="14.4">
      <c r="J21" s="477"/>
      <c r="K21" s="607"/>
      <c r="X21" s="482"/>
      <c r="AG21" s="477"/>
      <c r="AN21" s="477"/>
      <c r="AY21" s="477"/>
      <c r="BQ21" s="477"/>
    </row>
    <row r="22" spans="2:79">
      <c r="U22" s="30"/>
      <c r="V22" s="30"/>
      <c r="W22" s="30"/>
      <c r="X22" s="490"/>
      <c r="Y22" s="30"/>
      <c r="Z22" s="57" t="s">
        <v>171</v>
      </c>
      <c r="AA22" s="57"/>
      <c r="AB22" s="57"/>
      <c r="AC22" s="57"/>
      <c r="AD22" s="57"/>
      <c r="AE22" s="57"/>
      <c r="AF22" s="57"/>
      <c r="AG22" s="509"/>
      <c r="AH22" s="57"/>
      <c r="AI22" s="57"/>
      <c r="AJ22" s="57"/>
      <c r="AK22" s="57" t="s">
        <v>29</v>
      </c>
      <c r="AL22" s="57"/>
      <c r="AM22" s="57"/>
      <c r="AN22" s="509"/>
      <c r="AO22" s="57"/>
      <c r="AP22" s="57" t="s">
        <v>166</v>
      </c>
      <c r="AQ22" s="57" t="s">
        <v>172</v>
      </c>
    </row>
    <row r="23" spans="2:79" ht="16.2" thickBot="1">
      <c r="U23" s="30"/>
      <c r="V23" s="30"/>
      <c r="W23" s="30"/>
      <c r="X23" s="490"/>
      <c r="Y23" s="30"/>
      <c r="Z23" s="32"/>
      <c r="AA23" s="32"/>
      <c r="AB23" s="32"/>
      <c r="AC23" s="32"/>
      <c r="AD23" s="32"/>
      <c r="AE23" s="32"/>
      <c r="AF23" s="32"/>
      <c r="AG23" s="510"/>
      <c r="AH23" s="32"/>
      <c r="AI23" s="32"/>
      <c r="AJ23" s="32"/>
      <c r="AK23" s="32"/>
      <c r="AL23" s="32"/>
      <c r="AM23" s="32"/>
      <c r="AN23" s="510"/>
      <c r="AO23" s="32"/>
      <c r="AP23" s="32"/>
      <c r="AQ23" s="33"/>
    </row>
    <row r="24" spans="2:79" ht="13.5" customHeight="1" thickBot="1">
      <c r="B24" s="2020" t="s">
        <v>154</v>
      </c>
      <c r="C24" s="2021"/>
      <c r="D24" s="2021"/>
      <c r="E24" s="2021"/>
      <c r="F24" s="2021"/>
      <c r="G24" s="2021"/>
      <c r="H24" s="2021"/>
      <c r="I24" s="2021"/>
      <c r="J24" s="2021"/>
      <c r="K24" s="2021"/>
      <c r="L24" s="2021"/>
      <c r="M24" s="2021"/>
      <c r="N24" s="2021"/>
      <c r="O24" s="2021"/>
      <c r="P24" s="2021"/>
      <c r="Q24" s="2021"/>
      <c r="R24" s="2021"/>
      <c r="S24" s="2021"/>
      <c r="T24" s="2021"/>
      <c r="U24" s="2021"/>
      <c r="V24" s="2021"/>
      <c r="W24" s="2021"/>
      <c r="X24" s="2021"/>
      <c r="Y24" s="2022"/>
      <c r="Z24" s="2028" t="s">
        <v>70</v>
      </c>
      <c r="AA24" s="2029"/>
      <c r="AB24" s="2029"/>
      <c r="AC24" s="2029"/>
      <c r="AD24" s="2029"/>
      <c r="AE24" s="2029"/>
      <c r="AF24" s="2029"/>
      <c r="AG24" s="2029"/>
      <c r="AH24" s="2029"/>
      <c r="AI24" s="2029"/>
      <c r="AJ24" s="2029"/>
      <c r="AK24" s="2029"/>
      <c r="AL24" s="2029"/>
      <c r="AM24" s="2029"/>
      <c r="AN24" s="2029"/>
      <c r="AO24" s="2029"/>
      <c r="AP24" s="2029"/>
      <c r="AQ24" s="2030"/>
      <c r="AR24" s="2025" t="s">
        <v>72</v>
      </c>
      <c r="AS24" s="2026"/>
      <c r="AT24" s="2026"/>
      <c r="AU24" s="2026"/>
      <c r="AV24" s="2026"/>
      <c r="AW24" s="2026"/>
      <c r="AX24" s="2026"/>
      <c r="AY24" s="2026"/>
      <c r="AZ24" s="2026"/>
      <c r="BA24" s="2026"/>
      <c r="BB24" s="2026"/>
      <c r="BC24" s="2026"/>
      <c r="BD24" s="2026"/>
      <c r="BE24" s="2026"/>
      <c r="BF24" s="2026"/>
      <c r="BG24" s="2026"/>
      <c r="BH24" s="2026"/>
      <c r="BI24" s="2027"/>
      <c r="BJ24" s="2028" t="s">
        <v>198</v>
      </c>
      <c r="BK24" s="2029"/>
      <c r="BL24" s="2029"/>
      <c r="BM24" s="2029"/>
      <c r="BN24" s="2029"/>
      <c r="BO24" s="2029"/>
      <c r="BP24" s="2029"/>
      <c r="BQ24" s="2029"/>
      <c r="BR24" s="2029"/>
      <c r="BS24" s="2029"/>
      <c r="BT24" s="2029"/>
      <c r="BU24" s="2029"/>
      <c r="BV24" s="2029"/>
      <c r="BW24" s="2029"/>
      <c r="BX24" s="2029"/>
      <c r="BY24" s="2029"/>
      <c r="BZ24" s="2029"/>
      <c r="CA24" s="2030"/>
    </row>
    <row r="25" spans="2:79" ht="13.5" customHeight="1">
      <c r="B25" s="185"/>
      <c r="C25" s="2023" t="s">
        <v>14</v>
      </c>
      <c r="D25" s="2023"/>
      <c r="E25" s="2023"/>
      <c r="F25" s="2023"/>
      <c r="G25" s="2023"/>
      <c r="H25" s="2023"/>
      <c r="I25" s="2023"/>
      <c r="J25" s="2023"/>
      <c r="K25" s="2023"/>
      <c r="L25" s="2023"/>
      <c r="M25" s="2023"/>
      <c r="N25" s="2023"/>
      <c r="O25" s="2023"/>
      <c r="P25" s="2023"/>
      <c r="Q25" s="2005" t="s">
        <v>116</v>
      </c>
      <c r="R25" s="2005"/>
      <c r="S25" s="2005"/>
      <c r="T25" s="2005"/>
      <c r="U25" s="2005"/>
      <c r="V25" s="2005"/>
      <c r="W25" s="2005"/>
      <c r="X25" s="2005"/>
      <c r="Y25" s="2024"/>
      <c r="Z25" s="2031" t="s">
        <v>14</v>
      </c>
      <c r="AA25" s="2032"/>
      <c r="AB25" s="2032"/>
      <c r="AC25" s="2032"/>
      <c r="AD25" s="2032"/>
      <c r="AE25" s="2032"/>
      <c r="AF25" s="2032"/>
      <c r="AG25" s="2032"/>
      <c r="AH25" s="2032"/>
      <c r="AI25" s="2032"/>
      <c r="AJ25" s="2032"/>
      <c r="AK25" s="2032" t="s">
        <v>116</v>
      </c>
      <c r="AL25" s="2032"/>
      <c r="AM25" s="2032"/>
      <c r="AN25" s="2032"/>
      <c r="AO25" s="2032"/>
      <c r="AP25" s="2032"/>
      <c r="AQ25" s="2033"/>
      <c r="AR25" s="2034" t="s">
        <v>14</v>
      </c>
      <c r="AS25" s="2035"/>
      <c r="AT25" s="2035"/>
      <c r="AU25" s="2035"/>
      <c r="AV25" s="2035"/>
      <c r="AW25" s="2035"/>
      <c r="AX25" s="2035"/>
      <c r="AY25" s="2035"/>
      <c r="AZ25" s="2035"/>
      <c r="BA25" s="2035"/>
      <c r="BB25" s="2035"/>
      <c r="BC25" s="2035" t="s">
        <v>116</v>
      </c>
      <c r="BD25" s="2035"/>
      <c r="BE25" s="2035"/>
      <c r="BF25" s="2035"/>
      <c r="BG25" s="2035"/>
      <c r="BH25" s="2035"/>
      <c r="BI25" s="2036"/>
      <c r="BJ25" s="2031" t="s">
        <v>14</v>
      </c>
      <c r="BK25" s="2032"/>
      <c r="BL25" s="2032"/>
      <c r="BM25" s="2032"/>
      <c r="BN25" s="2032"/>
      <c r="BO25" s="2032"/>
      <c r="BP25" s="2032"/>
      <c r="BQ25" s="2032"/>
      <c r="BR25" s="2032"/>
      <c r="BS25" s="2032"/>
      <c r="BT25" s="2032"/>
      <c r="BU25" s="2032" t="s">
        <v>116</v>
      </c>
      <c r="BV25" s="2032"/>
      <c r="BW25" s="2032"/>
      <c r="BX25" s="2032"/>
      <c r="BY25" s="2032"/>
      <c r="BZ25" s="2032"/>
      <c r="CA25" s="2033"/>
    </row>
    <row r="26" spans="2:79" s="22" customFormat="1" ht="46.8">
      <c r="B26" s="186" t="s">
        <v>119</v>
      </c>
      <c r="C26" s="445" t="s">
        <v>120</v>
      </c>
      <c r="D26" s="445" t="s">
        <v>121</v>
      </c>
      <c r="E26" s="296" t="s">
        <v>177</v>
      </c>
      <c r="F26" s="446" t="s">
        <v>123</v>
      </c>
      <c r="G26" s="446" t="s">
        <v>124</v>
      </c>
      <c r="H26" s="446" t="s">
        <v>125</v>
      </c>
      <c r="I26" s="567" t="s">
        <v>126</v>
      </c>
      <c r="J26" s="478" t="s">
        <v>127</v>
      </c>
      <c r="K26" s="614" t="s">
        <v>128</v>
      </c>
      <c r="L26" s="446" t="s">
        <v>129</v>
      </c>
      <c r="M26" s="446" t="s">
        <v>155</v>
      </c>
      <c r="N26" s="446" t="s">
        <v>178</v>
      </c>
      <c r="O26" s="446" t="s">
        <v>179</v>
      </c>
      <c r="P26" s="297" t="s">
        <v>156</v>
      </c>
      <c r="Q26" s="443" t="s">
        <v>132</v>
      </c>
      <c r="R26" s="440" t="s">
        <v>133</v>
      </c>
      <c r="S26" s="440" t="s">
        <v>134</v>
      </c>
      <c r="T26" s="440" t="s">
        <v>157</v>
      </c>
      <c r="U26" s="137" t="s">
        <v>158</v>
      </c>
      <c r="V26" s="441" t="s">
        <v>21</v>
      </c>
      <c r="W26" s="440" t="s">
        <v>137</v>
      </c>
      <c r="X26" s="489" t="s">
        <v>173</v>
      </c>
      <c r="Y26" s="447" t="s">
        <v>23</v>
      </c>
      <c r="Z26" s="1182" t="s">
        <v>120</v>
      </c>
      <c r="AA26" s="1183" t="s">
        <v>121</v>
      </c>
      <c r="AB26" s="1183" t="s">
        <v>177</v>
      </c>
      <c r="AC26" s="1184" t="s">
        <v>123</v>
      </c>
      <c r="AD26" s="1184" t="s">
        <v>124</v>
      </c>
      <c r="AE26" s="1184" t="s">
        <v>125</v>
      </c>
      <c r="AF26" s="1184" t="s">
        <v>126</v>
      </c>
      <c r="AG26" s="1185" t="s">
        <v>127</v>
      </c>
      <c r="AH26" s="1184" t="s">
        <v>178</v>
      </c>
      <c r="AI26" s="1184" t="s">
        <v>179</v>
      </c>
      <c r="AJ26" s="1196" t="s">
        <v>129</v>
      </c>
      <c r="AK26" s="1197" t="s">
        <v>132</v>
      </c>
      <c r="AL26" s="133" t="s">
        <v>133</v>
      </c>
      <c r="AM26" s="133" t="s">
        <v>134</v>
      </c>
      <c r="AN26" s="643" t="s">
        <v>21</v>
      </c>
      <c r="AO26" s="133" t="s">
        <v>137</v>
      </c>
      <c r="AP26" s="134" t="s">
        <v>138</v>
      </c>
      <c r="AQ26" s="156" t="s">
        <v>23</v>
      </c>
      <c r="AR26" s="1182" t="s">
        <v>120</v>
      </c>
      <c r="AS26" s="1183" t="s">
        <v>121</v>
      </c>
      <c r="AT26" s="1183" t="s">
        <v>177</v>
      </c>
      <c r="AU26" s="1184" t="s">
        <v>123</v>
      </c>
      <c r="AV26" s="1184" t="s">
        <v>124</v>
      </c>
      <c r="AW26" s="1184" t="s">
        <v>125</v>
      </c>
      <c r="AX26" s="1184" t="s">
        <v>126</v>
      </c>
      <c r="AY26" s="1185" t="s">
        <v>127</v>
      </c>
      <c r="AZ26" s="1184" t="s">
        <v>178</v>
      </c>
      <c r="BA26" s="1184" t="s">
        <v>179</v>
      </c>
      <c r="BB26" s="1196" t="s">
        <v>129</v>
      </c>
      <c r="BC26" s="1197" t="s">
        <v>132</v>
      </c>
      <c r="BD26" s="133" t="s">
        <v>133</v>
      </c>
      <c r="BE26" s="133" t="s">
        <v>134</v>
      </c>
      <c r="BF26" s="133" t="s">
        <v>21</v>
      </c>
      <c r="BG26" s="133" t="s">
        <v>137</v>
      </c>
      <c r="BH26" s="134" t="s">
        <v>138</v>
      </c>
      <c r="BI26" s="156" t="s">
        <v>23</v>
      </c>
      <c r="BJ26" s="1182" t="s">
        <v>120</v>
      </c>
      <c r="BK26" s="1183" t="s">
        <v>121</v>
      </c>
      <c r="BL26" s="1183" t="s">
        <v>177</v>
      </c>
      <c r="BM26" s="1184" t="s">
        <v>123</v>
      </c>
      <c r="BN26" s="1184" t="s">
        <v>124</v>
      </c>
      <c r="BO26" s="1184" t="s">
        <v>125</v>
      </c>
      <c r="BP26" s="1184" t="s">
        <v>126</v>
      </c>
      <c r="BQ26" s="1185" t="s">
        <v>127</v>
      </c>
      <c r="BR26" s="1184" t="s">
        <v>178</v>
      </c>
      <c r="BS26" s="1184" t="s">
        <v>179</v>
      </c>
      <c r="BT26" s="1196" t="s">
        <v>129</v>
      </c>
      <c r="BU26" s="1197" t="s">
        <v>132</v>
      </c>
      <c r="BV26" s="1205" t="s">
        <v>133</v>
      </c>
      <c r="BW26" s="1205" t="s">
        <v>134</v>
      </c>
      <c r="BX26" s="1205" t="s">
        <v>21</v>
      </c>
      <c r="BY26" s="1205" t="s">
        <v>137</v>
      </c>
      <c r="BZ26" s="134" t="s">
        <v>138</v>
      </c>
      <c r="CA26" s="178" t="s">
        <v>23</v>
      </c>
    </row>
    <row r="27" spans="2:79">
      <c r="B27" s="188">
        <v>44852</v>
      </c>
      <c r="C27" s="553">
        <v>23901</v>
      </c>
      <c r="D27" s="553">
        <v>64</v>
      </c>
      <c r="E27" s="553">
        <v>3798</v>
      </c>
      <c r="F27" s="553">
        <v>477</v>
      </c>
      <c r="G27" s="553">
        <v>225</v>
      </c>
      <c r="H27" s="553">
        <v>158</v>
      </c>
      <c r="I27" s="553">
        <v>59</v>
      </c>
      <c r="J27" s="642">
        <v>76.89</v>
      </c>
      <c r="K27" s="544">
        <f>SUM($J$27)/$C$6</f>
        <v>1.236571244773239E-2</v>
      </c>
      <c r="L27" s="555">
        <f>D27/C27</f>
        <v>2.6777122296138237E-3</v>
      </c>
      <c r="M27" s="1204">
        <f>$AB$12/30</f>
        <v>1295.4166666666667</v>
      </c>
      <c r="N27" s="1002">
        <f>J27/E27</f>
        <v>2.0244865718799368E-2</v>
      </c>
      <c r="O27" s="1002">
        <f>J27/I27</f>
        <v>1.3032203389830508</v>
      </c>
      <c r="P27" s="544">
        <f>E27/M27</f>
        <v>2.9318752010292699</v>
      </c>
      <c r="Q27" s="553">
        <v>24</v>
      </c>
      <c r="R27" s="1206"/>
      <c r="S27" s="1206"/>
      <c r="T27" s="1003">
        <f>$AB$14/30</f>
        <v>276.35555555555555</v>
      </c>
      <c r="U27" s="1004">
        <f>Q27/T27</f>
        <v>8.6844644580250888E-2</v>
      </c>
      <c r="V27" s="1005">
        <f>J27/Q27</f>
        <v>3.2037499999999999</v>
      </c>
      <c r="W27" s="544">
        <f>Q27/D27</f>
        <v>0.375</v>
      </c>
      <c r="X27" s="1370">
        <v>14.5</v>
      </c>
      <c r="Y27" s="1366">
        <v>0.66666666666666663</v>
      </c>
      <c r="Z27" s="1187">
        <v>9809</v>
      </c>
      <c r="AA27" s="1187">
        <v>33</v>
      </c>
      <c r="AB27" s="1187">
        <v>1735</v>
      </c>
      <c r="AC27" s="1187">
        <v>300</v>
      </c>
      <c r="AD27" s="1187">
        <v>151</v>
      </c>
      <c r="AE27" s="1187">
        <v>104</v>
      </c>
      <c r="AF27" s="1187">
        <v>39</v>
      </c>
      <c r="AG27" s="554">
        <v>39.44</v>
      </c>
      <c r="AH27" s="554">
        <f>AG27/AB27</f>
        <v>2.2731988472622477E-2</v>
      </c>
      <c r="AI27" s="554">
        <f>AG27/AF27</f>
        <v>1.0112820512820513</v>
      </c>
      <c r="AJ27" s="555">
        <f>AA27/Z27</f>
        <v>3.3642573147109798E-3</v>
      </c>
      <c r="AK27" s="1187">
        <v>13</v>
      </c>
      <c r="AL27" s="322"/>
      <c r="AM27" s="132"/>
      <c r="AN27" s="312">
        <f>AG27/AK27</f>
        <v>3.0338461538461536</v>
      </c>
      <c r="AO27" s="316">
        <f>AK27/AA27</f>
        <v>0.39393939393939392</v>
      </c>
      <c r="AP27" s="132"/>
      <c r="AQ27" s="132"/>
      <c r="AR27" s="1187">
        <v>14092</v>
      </c>
      <c r="AS27" s="1187">
        <v>31</v>
      </c>
      <c r="AT27" s="1187">
        <v>2063</v>
      </c>
      <c r="AU27" s="1187">
        <v>177</v>
      </c>
      <c r="AV27" s="1187">
        <v>74</v>
      </c>
      <c r="AW27" s="1187">
        <v>54</v>
      </c>
      <c r="AX27" s="1187">
        <v>20</v>
      </c>
      <c r="AY27" s="554">
        <v>37.450000000000003</v>
      </c>
      <c r="AZ27" s="554">
        <f>AY27/AT27</f>
        <v>1.8153174987881725E-2</v>
      </c>
      <c r="BA27" s="554">
        <f>AY27/AX27</f>
        <v>1.8725000000000001</v>
      </c>
      <c r="BB27" s="555">
        <f>AS27/AR27</f>
        <v>2.1998296906045982E-3</v>
      </c>
      <c r="BC27" s="1187">
        <v>11</v>
      </c>
      <c r="BD27" s="322"/>
      <c r="BE27" s="132"/>
      <c r="BF27" s="228">
        <f>AY27/BC27</f>
        <v>3.4045454545454548</v>
      </c>
      <c r="BG27" s="316">
        <f>BC27/AS27</f>
        <v>0.35483870967741937</v>
      </c>
      <c r="BH27" s="132"/>
      <c r="BI27" s="132"/>
      <c r="BJ27" s="1187"/>
      <c r="BK27" s="1187"/>
      <c r="BL27" s="1187"/>
      <c r="BM27" s="1187"/>
      <c r="BN27" s="1187"/>
      <c r="BO27" s="1187"/>
      <c r="BP27" s="1187"/>
      <c r="BQ27" s="554"/>
      <c r="BR27" s="554" t="e">
        <f>BQ27/BL27</f>
        <v>#DIV/0!</v>
      </c>
      <c r="BS27" s="554" t="e">
        <f>BQ27/BP27</f>
        <v>#DIV/0!</v>
      </c>
      <c r="BT27" s="555" t="e">
        <f>BK27/BJ27</f>
        <v>#DIV/0!</v>
      </c>
      <c r="BU27" s="1187"/>
      <c r="BV27" s="1206"/>
      <c r="BW27" s="1206"/>
      <c r="BX27" s="1192" t="e">
        <f>BQ27/BU27</f>
        <v>#DIV/0!</v>
      </c>
      <c r="BY27" s="544" t="e">
        <f>BU27/BK27</f>
        <v>#DIV/0!</v>
      </c>
      <c r="BZ27" s="322"/>
      <c r="CA27" s="179"/>
    </row>
    <row r="28" spans="2:79" s="24" customFormat="1">
      <c r="B28" s="188">
        <v>44853</v>
      </c>
      <c r="C28" s="553">
        <v>66088</v>
      </c>
      <c r="D28" s="553">
        <v>128</v>
      </c>
      <c r="E28" s="553">
        <v>9754</v>
      </c>
      <c r="F28" s="553">
        <v>2095</v>
      </c>
      <c r="G28" s="553">
        <v>870</v>
      </c>
      <c r="H28" s="553">
        <v>549</v>
      </c>
      <c r="I28" s="553">
        <v>315</v>
      </c>
      <c r="J28" s="642">
        <v>217.16000000000003</v>
      </c>
      <c r="K28" s="544">
        <f>SUM($J$27:J28)/$C$6</f>
        <v>4.7290125442264394E-2</v>
      </c>
      <c r="L28" s="555">
        <f>D28/C28</f>
        <v>1.936811524028568E-3</v>
      </c>
      <c r="M28" s="1204">
        <f t="shared" ref="M28:M60" si="9">$AB$12/30</f>
        <v>1295.4166666666667</v>
      </c>
      <c r="N28" s="1002">
        <f>J28/E28</f>
        <v>2.226368669263892E-2</v>
      </c>
      <c r="O28" s="1002">
        <f t="shared" ref="O28:O33" si="10">J28/I28</f>
        <v>0.68939682539682545</v>
      </c>
      <c r="P28" s="544">
        <f>E28/M28</f>
        <v>7.5296236732068182</v>
      </c>
      <c r="Q28" s="553">
        <v>53</v>
      </c>
      <c r="R28" s="1206"/>
      <c r="S28" s="1206"/>
      <c r="T28" s="1003">
        <f t="shared" ref="T28:T60" si="11">$AB$14/30</f>
        <v>276.35555555555555</v>
      </c>
      <c r="U28" s="1004">
        <f t="shared" ref="U28:U33" si="12">Q28/T28</f>
        <v>0.19178192344805403</v>
      </c>
      <c r="V28" s="1005">
        <f t="shared" ref="V28:V33" si="13">J28/Q28</f>
        <v>4.0973584905660383</v>
      </c>
      <c r="W28" s="544">
        <f t="shared" ref="W28:W33" si="14">Q28/D28</f>
        <v>0.4140625</v>
      </c>
      <c r="X28" s="1370">
        <v>78</v>
      </c>
      <c r="Y28" s="1367">
        <v>0.48</v>
      </c>
      <c r="Z28" s="1187">
        <v>26322</v>
      </c>
      <c r="AA28" s="1187">
        <v>53</v>
      </c>
      <c r="AB28" s="1187">
        <v>4139</v>
      </c>
      <c r="AC28" s="1187">
        <v>1141</v>
      </c>
      <c r="AD28" s="1187">
        <v>476</v>
      </c>
      <c r="AE28" s="1187">
        <v>319</v>
      </c>
      <c r="AF28" s="1187">
        <v>188</v>
      </c>
      <c r="AG28" s="554">
        <v>82.39</v>
      </c>
      <c r="AH28" s="554">
        <f t="shared" ref="AH28:AH29" si="15">AG28/AB28</f>
        <v>1.9905774341628414E-2</v>
      </c>
      <c r="AI28" s="554">
        <f t="shared" ref="AI28:AI33" si="16">AG28/AF28</f>
        <v>0.43824468085106383</v>
      </c>
      <c r="AJ28" s="555">
        <f>AA28/Z28</f>
        <v>2.0135248081452777E-3</v>
      </c>
      <c r="AK28" s="1187">
        <v>18</v>
      </c>
      <c r="AL28" s="322"/>
      <c r="AM28" s="132"/>
      <c r="AN28" s="312">
        <f t="shared" ref="AN28:AN33" si="17">AG28/AK28</f>
        <v>4.5772222222222219</v>
      </c>
      <c r="AO28" s="316">
        <f t="shared" ref="AO28:AO33" si="18">AK28/AA28</f>
        <v>0.33962264150943394</v>
      </c>
      <c r="AP28" s="132"/>
      <c r="AQ28" s="132"/>
      <c r="AR28" s="1187">
        <v>22287</v>
      </c>
      <c r="AS28" s="1187">
        <v>43</v>
      </c>
      <c r="AT28" s="1187">
        <v>3135</v>
      </c>
      <c r="AU28" s="1187">
        <v>342</v>
      </c>
      <c r="AV28" s="1187">
        <v>148</v>
      </c>
      <c r="AW28" s="1187">
        <v>103</v>
      </c>
      <c r="AX28" s="1187">
        <v>57</v>
      </c>
      <c r="AY28" s="554">
        <v>59.01</v>
      </c>
      <c r="AZ28" s="554">
        <f t="shared" ref="AZ28:AZ33" si="19">AY28/AT28</f>
        <v>1.8822966507177033E-2</v>
      </c>
      <c r="BA28" s="554">
        <f t="shared" ref="BA28:BA33" si="20">AY28/AX28</f>
        <v>1.0352631578947369</v>
      </c>
      <c r="BB28" s="555">
        <f>AS28/AR28</f>
        <v>1.9293758693408713E-3</v>
      </c>
      <c r="BC28" s="1187">
        <v>21</v>
      </c>
      <c r="BD28" s="322"/>
      <c r="BE28" s="132"/>
      <c r="BF28" s="228">
        <f t="shared" ref="BF28:BF33" si="21">AY28/BC28</f>
        <v>2.81</v>
      </c>
      <c r="BG28" s="316">
        <f t="shared" ref="BG28:BG33" si="22">BC28/AS28</f>
        <v>0.48837209302325579</v>
      </c>
      <c r="BH28" s="132"/>
      <c r="BI28" s="132"/>
      <c r="BJ28" s="1187">
        <v>17479</v>
      </c>
      <c r="BK28" s="1187">
        <v>32</v>
      </c>
      <c r="BL28" s="1187">
        <v>2480</v>
      </c>
      <c r="BM28" s="1187">
        <v>612</v>
      </c>
      <c r="BN28" s="1187">
        <v>246</v>
      </c>
      <c r="BO28" s="1187">
        <v>127</v>
      </c>
      <c r="BP28" s="1187">
        <v>70</v>
      </c>
      <c r="BQ28" s="554">
        <v>75.760000000000005</v>
      </c>
      <c r="BR28" s="554">
        <f t="shared" ref="BR28:BR33" si="23">BQ28/BL28</f>
        <v>3.0548387096774196E-2</v>
      </c>
      <c r="BS28" s="554">
        <f t="shared" ref="BS28:BS33" si="24">BQ28/BP28</f>
        <v>1.0822857142857143</v>
      </c>
      <c r="BT28" s="555">
        <f>BK28/BJ28</f>
        <v>1.8307683505921391E-3</v>
      </c>
      <c r="BU28" s="1187">
        <v>14</v>
      </c>
      <c r="BV28" s="1206"/>
      <c r="BW28" s="1206"/>
      <c r="BX28" s="1192">
        <f t="shared" ref="BX28:BX33" si="25">BQ28/BU28</f>
        <v>5.4114285714285719</v>
      </c>
      <c r="BY28" s="544">
        <f t="shared" ref="BY28:BY33" si="26">BU28/BK28</f>
        <v>0.4375</v>
      </c>
      <c r="BZ28" s="322"/>
      <c r="CA28" s="158"/>
    </row>
    <row r="29" spans="2:79" s="26" customFormat="1">
      <c r="B29" s="188">
        <v>44854</v>
      </c>
      <c r="C29" s="553">
        <v>68024</v>
      </c>
      <c r="D29" s="553">
        <v>124</v>
      </c>
      <c r="E29" s="553">
        <v>10091</v>
      </c>
      <c r="F29" s="553">
        <v>2827</v>
      </c>
      <c r="G29" s="553">
        <v>1140</v>
      </c>
      <c r="H29" s="553">
        <v>750</v>
      </c>
      <c r="I29" s="553">
        <v>452</v>
      </c>
      <c r="J29" s="642">
        <v>219.07999999999998</v>
      </c>
      <c r="K29" s="544">
        <f>SUM($J$27:J29)/$C$6</f>
        <v>8.2523319395303954E-2</v>
      </c>
      <c r="L29" s="555">
        <f>D29/C29</f>
        <v>1.8228860402210985E-3</v>
      </c>
      <c r="M29" s="1204">
        <f t="shared" si="9"/>
        <v>1295.4166666666667</v>
      </c>
      <c r="N29" s="1002">
        <f>J29/E29</f>
        <v>2.1710435041125756E-2</v>
      </c>
      <c r="O29" s="1002">
        <f t="shared" si="10"/>
        <v>0.48469026548672561</v>
      </c>
      <c r="P29" s="544">
        <f>E29/M29</f>
        <v>7.7897716307494367</v>
      </c>
      <c r="Q29" s="553">
        <v>38</v>
      </c>
      <c r="R29" s="1206"/>
      <c r="S29" s="1206"/>
      <c r="T29" s="1003">
        <f t="shared" si="11"/>
        <v>276.35555555555555</v>
      </c>
      <c r="U29" s="1004">
        <f t="shared" si="12"/>
        <v>0.13750402058539724</v>
      </c>
      <c r="V29" s="1005">
        <f t="shared" si="13"/>
        <v>5.7652631578947364</v>
      </c>
      <c r="W29" s="544">
        <f t="shared" si="14"/>
        <v>0.30645161290322581</v>
      </c>
      <c r="X29" s="1370">
        <v>177</v>
      </c>
      <c r="Y29" s="1367">
        <v>0.9</v>
      </c>
      <c r="Z29" s="1187">
        <v>40741</v>
      </c>
      <c r="AA29" s="1187">
        <v>76</v>
      </c>
      <c r="AB29" s="1187">
        <v>6289</v>
      </c>
      <c r="AC29" s="1187">
        <v>1821</v>
      </c>
      <c r="AD29" s="1187">
        <v>764</v>
      </c>
      <c r="AE29" s="1187">
        <v>529</v>
      </c>
      <c r="AF29" s="1187">
        <v>308</v>
      </c>
      <c r="AG29" s="554">
        <v>116.8</v>
      </c>
      <c r="AH29" s="554">
        <f t="shared" si="15"/>
        <v>1.8572110033391636E-2</v>
      </c>
      <c r="AI29" s="554">
        <f t="shared" si="16"/>
        <v>0.37922077922077924</v>
      </c>
      <c r="AJ29" s="555">
        <f>AA29/Z29</f>
        <v>1.865442674455708E-3</v>
      </c>
      <c r="AK29" s="1187">
        <v>21</v>
      </c>
      <c r="AL29" s="322"/>
      <c r="AM29" s="132"/>
      <c r="AN29" s="312">
        <f t="shared" si="17"/>
        <v>5.5619047619047617</v>
      </c>
      <c r="AO29" s="316">
        <f t="shared" si="18"/>
        <v>0.27631578947368424</v>
      </c>
      <c r="AP29" s="132"/>
      <c r="AQ29" s="132"/>
      <c r="AR29" s="1187">
        <v>19428</v>
      </c>
      <c r="AS29" s="1187">
        <v>38</v>
      </c>
      <c r="AT29" s="1187">
        <v>2860</v>
      </c>
      <c r="AU29" s="1187">
        <v>800</v>
      </c>
      <c r="AV29" s="1187">
        <v>301</v>
      </c>
      <c r="AW29" s="1187">
        <v>181</v>
      </c>
      <c r="AX29" s="1187">
        <v>113</v>
      </c>
      <c r="AY29" s="554">
        <v>74.16</v>
      </c>
      <c r="AZ29" s="554">
        <f t="shared" si="19"/>
        <v>2.5930069930069927E-2</v>
      </c>
      <c r="BA29" s="554">
        <f t="shared" si="20"/>
        <v>0.65628318584070788</v>
      </c>
      <c r="BB29" s="555">
        <f>AS29/AR29</f>
        <v>1.955939880584723E-3</v>
      </c>
      <c r="BC29" s="1187">
        <v>14</v>
      </c>
      <c r="BD29" s="322"/>
      <c r="BE29" s="132"/>
      <c r="BF29" s="228">
        <f t="shared" si="21"/>
        <v>5.2971428571428572</v>
      </c>
      <c r="BG29" s="316">
        <f t="shared" si="22"/>
        <v>0.36842105263157893</v>
      </c>
      <c r="BH29" s="132"/>
      <c r="BI29" s="132"/>
      <c r="BJ29" s="1187">
        <v>7855</v>
      </c>
      <c r="BK29" s="1187">
        <v>10</v>
      </c>
      <c r="BL29" s="1187">
        <v>942</v>
      </c>
      <c r="BM29" s="1187">
        <v>206</v>
      </c>
      <c r="BN29" s="1187">
        <v>75</v>
      </c>
      <c r="BO29" s="1187">
        <v>40</v>
      </c>
      <c r="BP29" s="1187">
        <v>31</v>
      </c>
      <c r="BQ29" s="554">
        <v>28.12</v>
      </c>
      <c r="BR29" s="554">
        <f t="shared" si="23"/>
        <v>2.9851380042462846E-2</v>
      </c>
      <c r="BS29" s="554">
        <f t="shared" si="24"/>
        <v>0.90709677419354839</v>
      </c>
      <c r="BT29" s="555">
        <f>BK29/BJ29</f>
        <v>1.273074474856779E-3</v>
      </c>
      <c r="BU29" s="1187">
        <v>3</v>
      </c>
      <c r="BV29" s="1206"/>
      <c r="BW29" s="1206"/>
      <c r="BX29" s="1192">
        <f t="shared" si="25"/>
        <v>9.3733333333333331</v>
      </c>
      <c r="BY29" s="544">
        <f t="shared" si="26"/>
        <v>0.3</v>
      </c>
      <c r="BZ29" s="322"/>
      <c r="CA29" s="158"/>
    </row>
    <row r="30" spans="2:79">
      <c r="B30" s="295">
        <v>44855</v>
      </c>
      <c r="C30" s="676">
        <v>70902</v>
      </c>
      <c r="D30" s="676">
        <v>131</v>
      </c>
      <c r="E30" s="676">
        <v>9897</v>
      </c>
      <c r="F30" s="676">
        <v>2633</v>
      </c>
      <c r="G30" s="676">
        <v>1053</v>
      </c>
      <c r="H30" s="676">
        <v>631</v>
      </c>
      <c r="I30" s="676">
        <v>346</v>
      </c>
      <c r="J30" s="1202">
        <v>245.51999999999998</v>
      </c>
      <c r="K30" s="544">
        <f>SUM($J$27:J30)/$C$6</f>
        <v>0.12200868446445802</v>
      </c>
      <c r="L30" s="555">
        <f t="shared" ref="L30:L33" si="27">D30/C30</f>
        <v>1.8476206595018476E-3</v>
      </c>
      <c r="M30" s="1204">
        <f t="shared" si="9"/>
        <v>1295.4166666666667</v>
      </c>
      <c r="N30" s="1002">
        <f t="shared" ref="N30:N33" si="28">J30/E30</f>
        <v>2.4807517429524098E-2</v>
      </c>
      <c r="O30" s="1002">
        <f t="shared" si="10"/>
        <v>0.70959537572254328</v>
      </c>
      <c r="P30" s="544">
        <f t="shared" ref="P30:P33" si="29">E30/M30</f>
        <v>7.6400128658732704</v>
      </c>
      <c r="Q30" s="553">
        <v>37</v>
      </c>
      <c r="R30" s="1206"/>
      <c r="S30" s="1206"/>
      <c r="T30" s="1003">
        <f t="shared" si="11"/>
        <v>276.35555555555555</v>
      </c>
      <c r="U30" s="1004">
        <f>Q30/T30</f>
        <v>0.13388549372788677</v>
      </c>
      <c r="V30" s="1005">
        <f t="shared" si="13"/>
        <v>6.6356756756756754</v>
      </c>
      <c r="W30" s="544">
        <f t="shared" si="14"/>
        <v>0.28244274809160308</v>
      </c>
      <c r="X30" s="1370">
        <v>3</v>
      </c>
      <c r="Y30" s="1367">
        <v>0.74</v>
      </c>
      <c r="Z30" s="1187">
        <v>55443</v>
      </c>
      <c r="AA30" s="1187">
        <v>91</v>
      </c>
      <c r="AB30" s="1187">
        <v>7905</v>
      </c>
      <c r="AC30" s="1187">
        <v>2112</v>
      </c>
      <c r="AD30" s="1187">
        <v>855</v>
      </c>
      <c r="AE30" s="1187">
        <v>518</v>
      </c>
      <c r="AF30" s="1187">
        <v>291</v>
      </c>
      <c r="AG30" s="554">
        <v>181.88</v>
      </c>
      <c r="AH30" s="554">
        <f>AG30/AB30</f>
        <v>2.3008222643896268E-2</v>
      </c>
      <c r="AI30" s="554">
        <f t="shared" si="16"/>
        <v>0.62501718213058421</v>
      </c>
      <c r="AJ30" s="555">
        <f t="shared" ref="AJ30:AJ33" si="30">AA30/Z30</f>
        <v>1.6413253251086701E-3</v>
      </c>
      <c r="AK30" s="1187">
        <v>23</v>
      </c>
      <c r="AL30" s="322"/>
      <c r="AM30" s="132"/>
      <c r="AN30" s="312">
        <f t="shared" si="17"/>
        <v>7.9078260869565211</v>
      </c>
      <c r="AO30" s="316">
        <f t="shared" si="18"/>
        <v>0.25274725274725274</v>
      </c>
      <c r="AP30" s="132"/>
      <c r="AQ30" s="132"/>
      <c r="AR30" s="1187">
        <v>7329</v>
      </c>
      <c r="AS30" s="1187">
        <v>17</v>
      </c>
      <c r="AT30" s="1187">
        <v>1078</v>
      </c>
      <c r="AU30" s="1187">
        <v>309</v>
      </c>
      <c r="AV30" s="1187">
        <v>118</v>
      </c>
      <c r="AW30" s="1187">
        <v>69</v>
      </c>
      <c r="AX30" s="1187">
        <v>35</v>
      </c>
      <c r="AY30" s="554">
        <v>32.340000000000003</v>
      </c>
      <c r="AZ30" s="554">
        <f t="shared" si="19"/>
        <v>3.0000000000000002E-2</v>
      </c>
      <c r="BA30" s="554">
        <f t="shared" si="20"/>
        <v>0.92400000000000004</v>
      </c>
      <c r="BB30" s="555">
        <f t="shared" ref="BB30:BB33" si="31">AS30/AR30</f>
        <v>2.3195524628189385E-3</v>
      </c>
      <c r="BC30" s="1187">
        <v>9</v>
      </c>
      <c r="BD30" s="322"/>
      <c r="BE30" s="132"/>
      <c r="BF30" s="228">
        <f t="shared" si="21"/>
        <v>3.5933333333333337</v>
      </c>
      <c r="BG30" s="316">
        <f t="shared" si="22"/>
        <v>0.52941176470588236</v>
      </c>
      <c r="BH30" s="132"/>
      <c r="BI30" s="132"/>
      <c r="BJ30" s="1187">
        <v>8130</v>
      </c>
      <c r="BK30" s="1187">
        <v>23</v>
      </c>
      <c r="BL30" s="1187">
        <v>914</v>
      </c>
      <c r="BM30" s="1187">
        <v>212</v>
      </c>
      <c r="BN30" s="1187">
        <v>80</v>
      </c>
      <c r="BO30" s="1187">
        <v>44</v>
      </c>
      <c r="BP30" s="1187">
        <v>20</v>
      </c>
      <c r="BQ30" s="554">
        <v>31.299999999999997</v>
      </c>
      <c r="BR30" s="554">
        <f t="shared" si="23"/>
        <v>3.4245076586433255E-2</v>
      </c>
      <c r="BS30" s="554">
        <f t="shared" si="24"/>
        <v>1.5649999999999999</v>
      </c>
      <c r="BT30" s="555">
        <f t="shared" ref="BT30:BT33" si="32">BK30/BJ30</f>
        <v>2.8290282902829027E-3</v>
      </c>
      <c r="BU30" s="1187">
        <v>5</v>
      </c>
      <c r="BV30" s="1206"/>
      <c r="BW30" s="1206"/>
      <c r="BX30" s="1192">
        <f t="shared" si="25"/>
        <v>6.26</v>
      </c>
      <c r="BY30" s="544">
        <f t="shared" si="26"/>
        <v>0.21739130434782608</v>
      </c>
      <c r="BZ30" s="322"/>
      <c r="CA30" s="158"/>
    </row>
    <row r="31" spans="2:79">
      <c r="B31" s="295">
        <v>44856</v>
      </c>
      <c r="C31" s="676">
        <v>82412</v>
      </c>
      <c r="D31" s="676">
        <v>137</v>
      </c>
      <c r="E31" s="676">
        <v>10579</v>
      </c>
      <c r="F31" s="676">
        <v>2728</v>
      </c>
      <c r="G31" s="676">
        <v>997</v>
      </c>
      <c r="H31" s="676">
        <v>593</v>
      </c>
      <c r="I31" s="676">
        <v>358</v>
      </c>
      <c r="J31" s="1202">
        <v>249.59</v>
      </c>
      <c r="K31" s="544">
        <f>SUM($J$27:J31)/$C$6</f>
        <v>0.16214860083628177</v>
      </c>
      <c r="L31" s="555">
        <f t="shared" si="27"/>
        <v>1.6623792651555599E-3</v>
      </c>
      <c r="M31" s="1204">
        <f t="shared" si="9"/>
        <v>1295.4166666666667</v>
      </c>
      <c r="N31" s="1002">
        <f t="shared" si="28"/>
        <v>2.3592967199168164E-2</v>
      </c>
      <c r="O31" s="1002">
        <f t="shared" si="10"/>
        <v>0.69717877094972069</v>
      </c>
      <c r="P31" s="544">
        <f t="shared" si="29"/>
        <v>8.1664844001286578</v>
      </c>
      <c r="Q31" s="676">
        <v>27</v>
      </c>
      <c r="R31" s="1206"/>
      <c r="S31" s="1206"/>
      <c r="T31" s="1003">
        <f t="shared" si="11"/>
        <v>276.35555555555555</v>
      </c>
      <c r="U31" s="1004">
        <f>Q31/T31</f>
        <v>9.7700225152782247E-2</v>
      </c>
      <c r="V31" s="1005">
        <f t="shared" si="13"/>
        <v>9.2440740740740743</v>
      </c>
      <c r="W31" s="544">
        <f t="shared" si="14"/>
        <v>0.19708029197080293</v>
      </c>
      <c r="X31" s="1370">
        <v>0</v>
      </c>
      <c r="Y31" s="1367">
        <v>1</v>
      </c>
      <c r="Z31" s="1187">
        <v>67397</v>
      </c>
      <c r="AA31" s="1187">
        <v>109</v>
      </c>
      <c r="AB31" s="1187">
        <v>8783</v>
      </c>
      <c r="AC31" s="1187">
        <v>2294</v>
      </c>
      <c r="AD31" s="1187">
        <v>834</v>
      </c>
      <c r="AE31" s="1187">
        <v>494</v>
      </c>
      <c r="AF31" s="1187">
        <v>297</v>
      </c>
      <c r="AG31" s="554">
        <v>193.31</v>
      </c>
      <c r="AH31" s="554">
        <f t="shared" ref="AH31:AH33" si="33">AG31/AB31</f>
        <v>2.2009563930319935E-2</v>
      </c>
      <c r="AI31" s="554">
        <f t="shared" si="16"/>
        <v>0.65087542087542083</v>
      </c>
      <c r="AJ31" s="555">
        <f t="shared" si="30"/>
        <v>1.6172826683680283E-3</v>
      </c>
      <c r="AK31" s="1187">
        <v>18</v>
      </c>
      <c r="AL31" s="322"/>
      <c r="AM31" s="132"/>
      <c r="AN31" s="312">
        <f t="shared" si="17"/>
        <v>10.739444444444445</v>
      </c>
      <c r="AO31" s="316">
        <f t="shared" si="18"/>
        <v>0.16513761467889909</v>
      </c>
      <c r="AP31" s="132"/>
      <c r="AQ31" s="132"/>
      <c r="AR31" s="1187">
        <v>11359</v>
      </c>
      <c r="AS31" s="1187">
        <v>23</v>
      </c>
      <c r="AT31" s="1187">
        <v>1317</v>
      </c>
      <c r="AU31" s="1187">
        <v>330</v>
      </c>
      <c r="AV31" s="1187">
        <v>130</v>
      </c>
      <c r="AW31" s="1187">
        <v>79</v>
      </c>
      <c r="AX31" s="1187">
        <v>50</v>
      </c>
      <c r="AY31" s="554">
        <v>43.25</v>
      </c>
      <c r="AZ31" s="554">
        <f t="shared" si="19"/>
        <v>3.2839787395596051E-2</v>
      </c>
      <c r="BA31" s="554">
        <f t="shared" si="20"/>
        <v>0.86499999999999999</v>
      </c>
      <c r="BB31" s="555">
        <f t="shared" si="31"/>
        <v>2.0248261290606567E-3</v>
      </c>
      <c r="BC31" s="1187">
        <v>7</v>
      </c>
      <c r="BD31" s="322"/>
      <c r="BE31" s="132"/>
      <c r="BF31" s="228">
        <f t="shared" si="21"/>
        <v>6.1785714285714288</v>
      </c>
      <c r="BG31" s="316">
        <f t="shared" si="22"/>
        <v>0.30434782608695654</v>
      </c>
      <c r="BH31" s="132"/>
      <c r="BI31" s="132"/>
      <c r="BJ31" s="1187">
        <v>3656</v>
      </c>
      <c r="BK31" s="1187">
        <v>5</v>
      </c>
      <c r="BL31" s="1187">
        <v>479</v>
      </c>
      <c r="BM31" s="1187">
        <v>104</v>
      </c>
      <c r="BN31" s="1187">
        <v>33</v>
      </c>
      <c r="BO31" s="1187">
        <v>20</v>
      </c>
      <c r="BP31" s="1187">
        <v>11</v>
      </c>
      <c r="BQ31" s="554">
        <v>13.03</v>
      </c>
      <c r="BR31" s="554">
        <f t="shared" si="23"/>
        <v>2.7202505219206679E-2</v>
      </c>
      <c r="BS31" s="554">
        <f t="shared" si="24"/>
        <v>1.1845454545454546</v>
      </c>
      <c r="BT31" s="555">
        <f t="shared" si="32"/>
        <v>1.3676148796498905E-3</v>
      </c>
      <c r="BU31" s="1187">
        <v>2</v>
      </c>
      <c r="BV31" s="1206"/>
      <c r="BW31" s="1206"/>
      <c r="BX31" s="1192">
        <f t="shared" si="25"/>
        <v>6.5149999999999997</v>
      </c>
      <c r="BY31" s="544">
        <f t="shared" si="26"/>
        <v>0.4</v>
      </c>
      <c r="BZ31" s="322"/>
      <c r="CA31" s="158"/>
    </row>
    <row r="32" spans="2:79">
      <c r="B32" s="188">
        <v>44857</v>
      </c>
      <c r="C32" s="676">
        <v>69972</v>
      </c>
      <c r="D32" s="676">
        <v>116</v>
      </c>
      <c r="E32" s="676">
        <v>8912</v>
      </c>
      <c r="F32" s="676">
        <v>2294</v>
      </c>
      <c r="G32" s="676">
        <v>861</v>
      </c>
      <c r="H32" s="676">
        <v>512</v>
      </c>
      <c r="I32" s="676">
        <v>309</v>
      </c>
      <c r="J32" s="1202">
        <v>213.94</v>
      </c>
      <c r="K32" s="544">
        <f>SUM($J$27:J32)/$C$6</f>
        <v>0.19655516243165005</v>
      </c>
      <c r="L32" s="555">
        <f t="shared" si="27"/>
        <v>1.6578059795346711E-3</v>
      </c>
      <c r="M32" s="1204">
        <f t="shared" si="9"/>
        <v>1295.4166666666667</v>
      </c>
      <c r="N32" s="1002">
        <f t="shared" si="28"/>
        <v>2.4005834829443448E-2</v>
      </c>
      <c r="O32" s="1002">
        <f t="shared" si="10"/>
        <v>0.69236245954692555</v>
      </c>
      <c r="P32" s="544">
        <f t="shared" si="29"/>
        <v>6.879639755548407</v>
      </c>
      <c r="Q32" s="676">
        <v>33</v>
      </c>
      <c r="R32" s="1206"/>
      <c r="S32" s="1206"/>
      <c r="T32" s="1003">
        <f t="shared" si="11"/>
        <v>276.35555555555555</v>
      </c>
      <c r="U32" s="1004">
        <f t="shared" si="12"/>
        <v>0.11941138629784497</v>
      </c>
      <c r="V32" s="1005">
        <f t="shared" si="13"/>
        <v>6.4830303030303034</v>
      </c>
      <c r="W32" s="544">
        <f t="shared" si="14"/>
        <v>0.28448275862068967</v>
      </c>
      <c r="X32" s="1370">
        <v>35</v>
      </c>
      <c r="Y32" s="1367">
        <v>0.75</v>
      </c>
      <c r="Z32" s="1187">
        <v>50191</v>
      </c>
      <c r="AA32" s="1187">
        <v>81</v>
      </c>
      <c r="AB32" s="1187">
        <v>6634</v>
      </c>
      <c r="AC32" s="1187">
        <v>1737</v>
      </c>
      <c r="AD32" s="1187">
        <v>638</v>
      </c>
      <c r="AE32" s="1187">
        <v>374</v>
      </c>
      <c r="AF32" s="1187">
        <v>228</v>
      </c>
      <c r="AG32" s="554">
        <v>137.63999999999999</v>
      </c>
      <c r="AH32" s="554">
        <f t="shared" si="33"/>
        <v>2.0747663551401868E-2</v>
      </c>
      <c r="AI32" s="554">
        <f t="shared" si="16"/>
        <v>0.60368421052631571</v>
      </c>
      <c r="AJ32" s="555">
        <f t="shared" si="30"/>
        <v>1.6138351497280389E-3</v>
      </c>
      <c r="AK32" s="1187">
        <v>28</v>
      </c>
      <c r="AL32" s="322"/>
      <c r="AM32" s="132"/>
      <c r="AN32" s="312">
        <f t="shared" si="17"/>
        <v>4.9157142857142855</v>
      </c>
      <c r="AO32" s="316">
        <f t="shared" si="18"/>
        <v>0.34567901234567899</v>
      </c>
      <c r="AP32" s="132"/>
      <c r="AQ32" s="132"/>
      <c r="AR32" s="1187">
        <v>16184</v>
      </c>
      <c r="AS32" s="1187">
        <v>29</v>
      </c>
      <c r="AT32" s="1187">
        <v>1798</v>
      </c>
      <c r="AU32" s="1187">
        <v>443</v>
      </c>
      <c r="AV32" s="1187">
        <v>181</v>
      </c>
      <c r="AW32" s="1187">
        <v>113</v>
      </c>
      <c r="AX32" s="1187">
        <v>67</v>
      </c>
      <c r="AY32" s="554">
        <v>63.07</v>
      </c>
      <c r="AZ32" s="554">
        <f t="shared" si="19"/>
        <v>3.5077864293659625E-2</v>
      </c>
      <c r="BA32" s="554">
        <f t="shared" si="20"/>
        <v>0.94134328358208952</v>
      </c>
      <c r="BB32" s="555">
        <f t="shared" si="31"/>
        <v>1.7918932278793871E-3</v>
      </c>
      <c r="BC32" s="1187">
        <v>5</v>
      </c>
      <c r="BD32" s="322"/>
      <c r="BE32" s="132"/>
      <c r="BF32" s="228">
        <f t="shared" si="21"/>
        <v>12.614000000000001</v>
      </c>
      <c r="BG32" s="316">
        <f t="shared" si="22"/>
        <v>0.17241379310344829</v>
      </c>
      <c r="BH32" s="132"/>
      <c r="BI32" s="132"/>
      <c r="BJ32" s="1187">
        <v>3597</v>
      </c>
      <c r="BK32" s="1187">
        <v>6</v>
      </c>
      <c r="BL32" s="1187">
        <v>480</v>
      </c>
      <c r="BM32" s="1187">
        <v>114</v>
      </c>
      <c r="BN32" s="1187">
        <v>42</v>
      </c>
      <c r="BO32" s="1187">
        <v>25</v>
      </c>
      <c r="BP32" s="1187">
        <v>14</v>
      </c>
      <c r="BQ32" s="554">
        <v>13.23</v>
      </c>
      <c r="BR32" s="554">
        <f t="shared" si="23"/>
        <v>2.75625E-2</v>
      </c>
      <c r="BS32" s="554">
        <f t="shared" si="24"/>
        <v>0.94500000000000006</v>
      </c>
      <c r="BT32" s="555">
        <f t="shared" si="32"/>
        <v>1.6680567139282735E-3</v>
      </c>
      <c r="BU32" s="1187"/>
      <c r="BV32" s="1206"/>
      <c r="BW32" s="1206"/>
      <c r="BX32" s="1192" t="e">
        <f t="shared" si="25"/>
        <v>#DIV/0!</v>
      </c>
      <c r="BY32" s="544">
        <f t="shared" si="26"/>
        <v>0</v>
      </c>
      <c r="BZ32" s="322"/>
      <c r="CA32" s="158"/>
    </row>
    <row r="33" spans="2:79">
      <c r="B33" s="188">
        <v>44858</v>
      </c>
      <c r="C33" s="676">
        <v>76261</v>
      </c>
      <c r="D33" s="676">
        <v>139</v>
      </c>
      <c r="E33" s="676">
        <v>9531</v>
      </c>
      <c r="F33" s="676">
        <v>2454</v>
      </c>
      <c r="G33" s="676">
        <v>902</v>
      </c>
      <c r="H33" s="676">
        <v>533</v>
      </c>
      <c r="I33" s="676">
        <v>322</v>
      </c>
      <c r="J33" s="1202">
        <v>231.32999999999998</v>
      </c>
      <c r="K33" s="544">
        <f>SUM($J$27:J33)/$C$6</f>
        <v>0.2337584432293342</v>
      </c>
      <c r="L33" s="555">
        <f t="shared" si="27"/>
        <v>1.8226878745361324E-3</v>
      </c>
      <c r="M33" s="1204">
        <f t="shared" si="9"/>
        <v>1295.4166666666667</v>
      </c>
      <c r="N33" s="1002">
        <f t="shared" si="28"/>
        <v>2.4271325149512118E-2</v>
      </c>
      <c r="O33" s="1002">
        <f t="shared" si="10"/>
        <v>0.71841614906832296</v>
      </c>
      <c r="P33" s="544">
        <f t="shared" si="29"/>
        <v>7.3574782888388546</v>
      </c>
      <c r="Q33" s="676">
        <v>51</v>
      </c>
      <c r="R33" s="1206"/>
      <c r="S33" s="1206"/>
      <c r="T33" s="1003">
        <f t="shared" si="11"/>
        <v>276.35555555555555</v>
      </c>
      <c r="U33" s="1004">
        <f t="shared" si="12"/>
        <v>0.18454486973303313</v>
      </c>
      <c r="V33" s="1005">
        <f t="shared" si="13"/>
        <v>4.5358823529411758</v>
      </c>
      <c r="W33" s="544">
        <f t="shared" si="14"/>
        <v>0.36690647482014388</v>
      </c>
      <c r="X33" s="1370">
        <v>41</v>
      </c>
      <c r="Y33" s="1367">
        <v>0.9</v>
      </c>
      <c r="Z33" s="1187">
        <v>41354</v>
      </c>
      <c r="AA33" s="1187">
        <v>72</v>
      </c>
      <c r="AB33" s="1187">
        <v>5391</v>
      </c>
      <c r="AC33" s="1187">
        <v>1387</v>
      </c>
      <c r="AD33" s="1187">
        <v>535</v>
      </c>
      <c r="AE33" s="1187">
        <v>317</v>
      </c>
      <c r="AF33" s="1187">
        <v>189</v>
      </c>
      <c r="AG33" s="554">
        <v>102.05</v>
      </c>
      <c r="AH33" s="554">
        <f t="shared" si="33"/>
        <v>1.8929697644221852E-2</v>
      </c>
      <c r="AI33" s="554">
        <f t="shared" si="16"/>
        <v>0.53994708994708995</v>
      </c>
      <c r="AJ33" s="555">
        <f t="shared" si="30"/>
        <v>1.7410649513952701E-3</v>
      </c>
      <c r="AK33" s="1187">
        <v>21</v>
      </c>
      <c r="AL33" s="322"/>
      <c r="AM33" s="132"/>
      <c r="AN33" s="312">
        <f t="shared" si="17"/>
        <v>4.8595238095238091</v>
      </c>
      <c r="AO33" s="316">
        <f t="shared" si="18"/>
        <v>0.29166666666666669</v>
      </c>
      <c r="AP33" s="132"/>
      <c r="AQ33" s="132"/>
      <c r="AR33" s="1187">
        <v>25773</v>
      </c>
      <c r="AS33" s="1187">
        <v>46</v>
      </c>
      <c r="AT33" s="1187">
        <v>2911</v>
      </c>
      <c r="AU33" s="1187">
        <v>768</v>
      </c>
      <c r="AV33" s="1187">
        <v>269</v>
      </c>
      <c r="AW33" s="1187">
        <v>162</v>
      </c>
      <c r="AX33" s="1187">
        <v>103</v>
      </c>
      <c r="AY33" s="554">
        <v>96.72</v>
      </c>
      <c r="AZ33" s="554">
        <f t="shared" si="19"/>
        <v>3.322569563723806E-2</v>
      </c>
      <c r="BA33" s="554">
        <f t="shared" si="20"/>
        <v>0.93902912621359225</v>
      </c>
      <c r="BB33" s="555">
        <f t="shared" si="31"/>
        <v>1.7848135645830909E-3</v>
      </c>
      <c r="BC33" s="1187">
        <v>19</v>
      </c>
      <c r="BD33" s="322"/>
      <c r="BE33" s="132"/>
      <c r="BF33" s="228">
        <f t="shared" si="21"/>
        <v>5.0905263157894733</v>
      </c>
      <c r="BG33" s="316">
        <f t="shared" si="22"/>
        <v>0.41304347826086957</v>
      </c>
      <c r="BH33" s="132"/>
      <c r="BI33" s="132"/>
      <c r="BJ33" s="1187">
        <v>9134</v>
      </c>
      <c r="BK33" s="1187">
        <v>21</v>
      </c>
      <c r="BL33" s="1187">
        <v>1229</v>
      </c>
      <c r="BM33" s="1187">
        <v>299</v>
      </c>
      <c r="BN33" s="1187">
        <v>98</v>
      </c>
      <c r="BO33" s="1187">
        <v>54</v>
      </c>
      <c r="BP33" s="1187">
        <v>30</v>
      </c>
      <c r="BQ33" s="554">
        <v>32.56</v>
      </c>
      <c r="BR33" s="554">
        <f t="shared" si="23"/>
        <v>2.6493083807973966E-2</v>
      </c>
      <c r="BS33" s="554">
        <f t="shared" si="24"/>
        <v>1.0853333333333335</v>
      </c>
      <c r="BT33" s="555">
        <f t="shared" si="32"/>
        <v>2.2991022553098314E-3</v>
      </c>
      <c r="BU33" s="1187">
        <v>11</v>
      </c>
      <c r="BV33" s="1206"/>
      <c r="BW33" s="1206"/>
      <c r="BX33" s="1192">
        <f t="shared" si="25"/>
        <v>2.9600000000000004</v>
      </c>
      <c r="BY33" s="544">
        <f t="shared" si="26"/>
        <v>0.52380952380952384</v>
      </c>
      <c r="BZ33" s="322"/>
      <c r="CA33" s="158"/>
    </row>
    <row r="34" spans="2:79">
      <c r="B34" s="190" t="s">
        <v>160</v>
      </c>
      <c r="C34" s="298">
        <f>SUM(C27:C33)</f>
        <v>457560</v>
      </c>
      <c r="D34" s="298">
        <f t="shared" ref="D34:J34" si="34">SUM(D27:D33)</f>
        <v>839</v>
      </c>
      <c r="E34" s="298">
        <f t="shared" si="34"/>
        <v>62562</v>
      </c>
      <c r="F34" s="298">
        <f t="shared" si="34"/>
        <v>15508</v>
      </c>
      <c r="G34" s="298">
        <f t="shared" si="34"/>
        <v>6048</v>
      </c>
      <c r="H34" s="298">
        <f t="shared" si="34"/>
        <v>3726</v>
      </c>
      <c r="I34" s="298">
        <f t="shared" si="34"/>
        <v>2161</v>
      </c>
      <c r="J34" s="479">
        <f t="shared" si="34"/>
        <v>1453.51</v>
      </c>
      <c r="K34" s="599">
        <f>J34/$C$6</f>
        <v>0.2337584432293342</v>
      </c>
      <c r="L34" s="299">
        <f>D34/C34</f>
        <v>1.8336393041349769E-3</v>
      </c>
      <c r="M34" s="300">
        <f>SUM(M27:M33)</f>
        <v>9067.9166666666679</v>
      </c>
      <c r="N34" s="301">
        <f>J34/E34</f>
        <v>2.3233112752149867E-2</v>
      </c>
      <c r="O34" s="301">
        <f>J34/I34</f>
        <v>0.67260990282276722</v>
      </c>
      <c r="P34" s="302">
        <f>E34/M34</f>
        <v>6.8992694021963876</v>
      </c>
      <c r="Q34" s="1323">
        <f>SUM(Q27:Q33)</f>
        <v>263</v>
      </c>
      <c r="R34" s="1326"/>
      <c r="S34" s="1326"/>
      <c r="T34" s="1326">
        <f>SUM(T27:T33)</f>
        <v>1934.4888888888891</v>
      </c>
      <c r="U34" s="1344">
        <f>Q34/T34</f>
        <v>0.13595322336074989</v>
      </c>
      <c r="V34" s="1368">
        <f>J34/Q34</f>
        <v>5.5266539923954374</v>
      </c>
      <c r="W34" s="545">
        <f>Q34/D34</f>
        <v>0.31346841477949938</v>
      </c>
      <c r="X34" s="1369">
        <f>AVERAGE(X27:X33)</f>
        <v>49.785714285714285</v>
      </c>
      <c r="Y34" s="317">
        <f>AVERAGE(Y27:Y33)</f>
        <v>0.77666666666666662</v>
      </c>
      <c r="Z34" s="1186">
        <f>SUM(Z27:Z33)</f>
        <v>291257</v>
      </c>
      <c r="AA34" s="298">
        <f t="shared" ref="AA34:AK34" si="35">SUM(AA27:AA33)</f>
        <v>515</v>
      </c>
      <c r="AB34" s="298">
        <f t="shared" si="35"/>
        <v>40876</v>
      </c>
      <c r="AC34" s="298">
        <f t="shared" si="35"/>
        <v>10792</v>
      </c>
      <c r="AD34" s="298">
        <f t="shared" si="35"/>
        <v>4253</v>
      </c>
      <c r="AE34" s="298">
        <f t="shared" si="35"/>
        <v>2655</v>
      </c>
      <c r="AF34" s="298">
        <f t="shared" si="35"/>
        <v>1540</v>
      </c>
      <c r="AG34" s="479">
        <f t="shared" si="35"/>
        <v>853.50999999999988</v>
      </c>
      <c r="AH34" s="1179">
        <f>AG34/AB34</f>
        <v>2.0880467756140518E-2</v>
      </c>
      <c r="AI34" s="1179">
        <f>AG34/AF34</f>
        <v>0.55422727272727268</v>
      </c>
      <c r="AJ34" s="1180">
        <f>AA34/Z34</f>
        <v>1.7681978458886824E-3</v>
      </c>
      <c r="AK34" s="551">
        <f t="shared" si="35"/>
        <v>142</v>
      </c>
      <c r="AL34" s="27"/>
      <c r="AM34" s="27"/>
      <c r="AN34" s="227">
        <f>AG34/AK34</f>
        <v>6.0106338028169004</v>
      </c>
      <c r="AO34" s="147">
        <f>AK34/AA34</f>
        <v>0.27572815533980582</v>
      </c>
      <c r="AP34" s="130"/>
      <c r="AQ34" s="165"/>
      <c r="AR34" s="1186">
        <f>SUM(AR27:AR33)</f>
        <v>116452</v>
      </c>
      <c r="AS34" s="298">
        <f t="shared" ref="AS34:AY34" si="36">SUM(AS27:AS33)</f>
        <v>227</v>
      </c>
      <c r="AT34" s="298">
        <f t="shared" si="36"/>
        <v>15162</v>
      </c>
      <c r="AU34" s="298">
        <f t="shared" si="36"/>
        <v>3169</v>
      </c>
      <c r="AV34" s="298">
        <f t="shared" si="36"/>
        <v>1221</v>
      </c>
      <c r="AW34" s="298">
        <f t="shared" si="36"/>
        <v>761</v>
      </c>
      <c r="AX34" s="298">
        <f t="shared" si="36"/>
        <v>445</v>
      </c>
      <c r="AY34" s="479">
        <f t="shared" si="36"/>
        <v>406</v>
      </c>
      <c r="AZ34" s="1179">
        <f>AY34/AT34</f>
        <v>2.6777469990766391E-2</v>
      </c>
      <c r="BA34" s="1179">
        <f>AY34/AX34</f>
        <v>0.91235955056179774</v>
      </c>
      <c r="BB34" s="1180">
        <f>AS34/AR34</f>
        <v>1.949300999553464E-3</v>
      </c>
      <c r="BC34" s="551">
        <f t="shared" ref="BC34" si="37">SUM(BC27:BC33)</f>
        <v>86</v>
      </c>
      <c r="BD34" s="27"/>
      <c r="BE34" s="27"/>
      <c r="BF34" s="227">
        <f>AY34/BC34</f>
        <v>4.7209302325581399</v>
      </c>
      <c r="BG34" s="147">
        <f>BC34/AS34</f>
        <v>0.3788546255506608</v>
      </c>
      <c r="BH34" s="130"/>
      <c r="BI34" s="165"/>
      <c r="BJ34" s="1186">
        <f>SUM(BJ27:BJ33)</f>
        <v>49851</v>
      </c>
      <c r="BK34" s="298">
        <f t="shared" ref="BK34:BQ34" si="38">SUM(BK27:BK33)</f>
        <v>97</v>
      </c>
      <c r="BL34" s="298">
        <f t="shared" si="38"/>
        <v>6524</v>
      </c>
      <c r="BM34" s="298">
        <f t="shared" si="38"/>
        <v>1547</v>
      </c>
      <c r="BN34" s="298">
        <f t="shared" si="38"/>
        <v>574</v>
      </c>
      <c r="BO34" s="298">
        <f t="shared" si="38"/>
        <v>310</v>
      </c>
      <c r="BP34" s="298">
        <f t="shared" si="38"/>
        <v>176</v>
      </c>
      <c r="BQ34" s="479">
        <f t="shared" si="38"/>
        <v>194</v>
      </c>
      <c r="BR34" s="1179">
        <f>BQ34/BL34</f>
        <v>2.9736358062538319E-2</v>
      </c>
      <c r="BS34" s="1179">
        <f>BQ34/BP34</f>
        <v>1.1022727272727273</v>
      </c>
      <c r="BT34" s="1180">
        <f>BK34/BJ34</f>
        <v>1.9457984794688172E-3</v>
      </c>
      <c r="BU34" s="551">
        <f t="shared" ref="BU34" si="39">SUM(BU27:BU33)</f>
        <v>35</v>
      </c>
      <c r="BV34" s="298"/>
      <c r="BW34" s="298"/>
      <c r="BX34" s="552">
        <f>BQ34/BU34</f>
        <v>5.5428571428571427</v>
      </c>
      <c r="BY34" s="1180">
        <f>BU34/BK34</f>
        <v>0.36082474226804123</v>
      </c>
      <c r="BZ34" s="130"/>
      <c r="CA34" s="165"/>
    </row>
    <row r="35" spans="2:79">
      <c r="B35" s="187">
        <v>44859</v>
      </c>
      <c r="C35" s="15">
        <v>70588</v>
      </c>
      <c r="D35" s="15">
        <v>139</v>
      </c>
      <c r="E35" s="15">
        <v>9363</v>
      </c>
      <c r="F35" s="52">
        <v>2304</v>
      </c>
      <c r="G35" s="52">
        <v>860</v>
      </c>
      <c r="H35" s="52">
        <v>504</v>
      </c>
      <c r="I35" s="52">
        <v>307</v>
      </c>
      <c r="J35" s="77">
        <v>221.98000000000002</v>
      </c>
      <c r="K35" s="308">
        <f>SUM($J$34:J35)/$C$6</f>
        <v>0.2694580250884529</v>
      </c>
      <c r="L35" s="305">
        <f>D35/C35</f>
        <v>1.9691732305774355E-3</v>
      </c>
      <c r="M35" s="1204">
        <f t="shared" si="9"/>
        <v>1295.4166666666667</v>
      </c>
      <c r="N35" s="307">
        <f>J35/E35</f>
        <v>2.3708213179536475E-2</v>
      </c>
      <c r="O35" s="307">
        <f>J35/I35</f>
        <v>0.72306188925081438</v>
      </c>
      <c r="P35" s="1125">
        <f>E35/M35</f>
        <v>7.2277902862656802</v>
      </c>
      <c r="Q35" s="553">
        <v>36</v>
      </c>
      <c r="R35" s="553"/>
      <c r="S35" s="553"/>
      <c r="T35" s="1003">
        <f t="shared" si="11"/>
        <v>276.35555555555555</v>
      </c>
      <c r="U35" s="1004">
        <f>Q35/T35</f>
        <v>0.13026696687037634</v>
      </c>
      <c r="V35" s="1005">
        <f>J35/Q35</f>
        <v>6.1661111111111113</v>
      </c>
      <c r="W35" s="544">
        <f>Q35/D35</f>
        <v>0.25899280575539568</v>
      </c>
      <c r="X35" s="1006">
        <v>0</v>
      </c>
      <c r="Y35" s="392">
        <v>1</v>
      </c>
      <c r="Z35" s="166">
        <v>42500</v>
      </c>
      <c r="AA35" s="15">
        <v>69</v>
      </c>
      <c r="AB35" s="15">
        <v>5639</v>
      </c>
      <c r="AC35" s="52">
        <v>1449</v>
      </c>
      <c r="AD35" s="52">
        <v>539</v>
      </c>
      <c r="AE35" s="52">
        <v>321</v>
      </c>
      <c r="AF35" s="52">
        <v>185</v>
      </c>
      <c r="AG35" s="77">
        <v>116.9</v>
      </c>
      <c r="AH35" s="554">
        <f>AG35/AB35</f>
        <v>2.073062599751729E-2</v>
      </c>
      <c r="AI35" s="554">
        <f>AG35/AF35</f>
        <v>0.63189189189189188</v>
      </c>
      <c r="AJ35" s="555">
        <f>AA35/Z35</f>
        <v>1.623529411764706E-3</v>
      </c>
      <c r="AK35" s="1178">
        <v>20</v>
      </c>
      <c r="AL35" s="132"/>
      <c r="AM35" s="132"/>
      <c r="AN35" s="312">
        <f>AG35/AK35</f>
        <v>5.8450000000000006</v>
      </c>
      <c r="AO35" s="316">
        <f>AK35/AA35</f>
        <v>0.28985507246376813</v>
      </c>
      <c r="AP35" s="122"/>
      <c r="AQ35" s="167"/>
      <c r="AR35" s="166">
        <v>9050</v>
      </c>
      <c r="AS35" s="15">
        <v>23</v>
      </c>
      <c r="AT35" s="15">
        <v>1268</v>
      </c>
      <c r="AU35" s="52">
        <v>312</v>
      </c>
      <c r="AV35" s="52">
        <v>130</v>
      </c>
      <c r="AW35" s="52">
        <v>86</v>
      </c>
      <c r="AX35" s="52">
        <v>59</v>
      </c>
      <c r="AY35" s="77">
        <v>42.1</v>
      </c>
      <c r="AZ35" s="554">
        <f>AY35/AT35</f>
        <v>3.3201892744479496E-2</v>
      </c>
      <c r="BA35" s="554">
        <f>AY35/AX35</f>
        <v>0.71355932203389838</v>
      </c>
      <c r="BB35" s="555">
        <f>AS35/AR35</f>
        <v>2.5414364640883977E-3</v>
      </c>
      <c r="BC35" s="1178">
        <v>2</v>
      </c>
      <c r="BD35" s="132"/>
      <c r="BE35" s="132"/>
      <c r="BF35" s="228">
        <f>AY35/BC35</f>
        <v>21.05</v>
      </c>
      <c r="BG35" s="316">
        <f>BC35/AS35</f>
        <v>8.6956521739130432E-2</v>
      </c>
      <c r="BH35" s="122"/>
      <c r="BI35" s="167"/>
      <c r="BJ35" s="166">
        <v>19038</v>
      </c>
      <c r="BK35" s="15">
        <v>47</v>
      </c>
      <c r="BL35" s="15">
        <v>2456</v>
      </c>
      <c r="BM35" s="52">
        <v>543</v>
      </c>
      <c r="BN35" s="52">
        <v>191</v>
      </c>
      <c r="BO35" s="52">
        <v>97</v>
      </c>
      <c r="BP35" s="52">
        <v>63</v>
      </c>
      <c r="BQ35" s="562">
        <v>62.98</v>
      </c>
      <c r="BR35" s="554">
        <f>BQ35/BL35</f>
        <v>2.5643322475570031E-2</v>
      </c>
      <c r="BS35" s="554">
        <f>BQ35/BP35</f>
        <v>0.99968253968253962</v>
      </c>
      <c r="BT35" s="555">
        <f>BK35/BJ35</f>
        <v>2.4687467170921317E-3</v>
      </c>
      <c r="BU35" s="1195">
        <v>14</v>
      </c>
      <c r="BV35" s="132"/>
      <c r="BW35" s="132"/>
      <c r="BX35" s="228">
        <f>BQ35/BU35</f>
        <v>4.4985714285714282</v>
      </c>
      <c r="BY35" s="544">
        <f>BU35/BK35</f>
        <v>0.2978723404255319</v>
      </c>
      <c r="BZ35" s="122"/>
      <c r="CA35" s="167"/>
    </row>
    <row r="36" spans="2:79" s="24" customFormat="1">
      <c r="B36" s="187">
        <v>44860</v>
      </c>
      <c r="C36" s="15">
        <v>74880</v>
      </c>
      <c r="D36" s="15">
        <v>64</v>
      </c>
      <c r="E36" s="15">
        <v>9589</v>
      </c>
      <c r="F36" s="52">
        <v>855</v>
      </c>
      <c r="G36" s="52">
        <v>518</v>
      </c>
      <c r="H36" s="52">
        <v>345</v>
      </c>
      <c r="I36" s="52">
        <v>302</v>
      </c>
      <c r="J36" s="77">
        <v>239.14000000000001</v>
      </c>
      <c r="K36" s="308">
        <f>SUM($J$34:J36)/$C$6</f>
        <v>0.30791733676423289</v>
      </c>
      <c r="L36" s="305">
        <f>D36/C36</f>
        <v>8.547008547008547E-4</v>
      </c>
      <c r="M36" s="1204">
        <f t="shared" si="9"/>
        <v>1295.4166666666667</v>
      </c>
      <c r="N36" s="307">
        <f>J36/E36</f>
        <v>2.4938992595682555E-2</v>
      </c>
      <c r="O36" s="307">
        <f t="shared" ref="O36:O41" si="40">J36/I36</f>
        <v>0.79185430463576167</v>
      </c>
      <c r="P36" s="1125">
        <f>E36/M36</f>
        <v>7.4022515278224503</v>
      </c>
      <c r="Q36" s="553">
        <v>28</v>
      </c>
      <c r="R36" s="553"/>
      <c r="S36" s="553"/>
      <c r="T36" s="1003">
        <f t="shared" si="11"/>
        <v>276.35555555555555</v>
      </c>
      <c r="U36" s="1004">
        <f t="shared" ref="U36:U41" si="41">Q36/T36</f>
        <v>0.1013187520102927</v>
      </c>
      <c r="V36" s="1005">
        <f t="shared" ref="V36:V41" si="42">J36/Q36</f>
        <v>8.5407142857142855</v>
      </c>
      <c r="W36" s="544">
        <f t="shared" ref="W36:W41" si="43">Q36/D36</f>
        <v>0.4375</v>
      </c>
      <c r="X36" s="1006">
        <v>84.746031746031747</v>
      </c>
      <c r="Y36" s="392">
        <v>0.88624338624338639</v>
      </c>
      <c r="Z36" s="166">
        <v>51944</v>
      </c>
      <c r="AA36" s="15">
        <v>40</v>
      </c>
      <c r="AB36" s="15">
        <v>6682</v>
      </c>
      <c r="AC36" s="52">
        <v>637</v>
      </c>
      <c r="AD36" s="52">
        <v>410</v>
      </c>
      <c r="AE36" s="52">
        <v>269</v>
      </c>
      <c r="AF36" s="52">
        <v>229</v>
      </c>
      <c r="AG36" s="77">
        <v>148.13</v>
      </c>
      <c r="AH36" s="554">
        <f t="shared" ref="AH36:AH41" si="44">AG36/AB36</f>
        <v>2.2168512421430708E-2</v>
      </c>
      <c r="AI36" s="554">
        <f t="shared" ref="AI36:AI41" si="45">AG36/AF36</f>
        <v>0.64685589519650655</v>
      </c>
      <c r="AJ36" s="555">
        <f>AA36/Z36</f>
        <v>7.7006006468504544E-4</v>
      </c>
      <c r="AK36" s="1178">
        <v>18</v>
      </c>
      <c r="AL36" s="132"/>
      <c r="AM36" s="132"/>
      <c r="AN36" s="312">
        <f t="shared" ref="AN36:AN41" si="46">AG36/AK36</f>
        <v>8.2294444444444448</v>
      </c>
      <c r="AO36" s="316">
        <f t="shared" ref="AO36:AO41" si="47">AK36/AA36</f>
        <v>0.45</v>
      </c>
      <c r="AP36" s="123"/>
      <c r="AQ36" s="168"/>
      <c r="AR36" s="166">
        <v>5069</v>
      </c>
      <c r="AS36" s="15">
        <v>5</v>
      </c>
      <c r="AT36" s="15">
        <v>668</v>
      </c>
      <c r="AU36" s="52">
        <v>70</v>
      </c>
      <c r="AV36" s="52">
        <v>45</v>
      </c>
      <c r="AW36" s="52">
        <v>36</v>
      </c>
      <c r="AX36" s="52">
        <v>34</v>
      </c>
      <c r="AY36" s="77">
        <v>28.55</v>
      </c>
      <c r="AZ36" s="554">
        <f t="shared" ref="AZ36:AZ41" si="48">AY36/AT36</f>
        <v>4.2739520958083831E-2</v>
      </c>
      <c r="BA36" s="554">
        <f t="shared" ref="BA36:BA41" si="49">AY36/AX36</f>
        <v>0.83970588235294119</v>
      </c>
      <c r="BB36" s="555">
        <f>AS36/AR36</f>
        <v>9.8638784770171636E-4</v>
      </c>
      <c r="BC36" s="1178">
        <v>3</v>
      </c>
      <c r="BD36" s="132"/>
      <c r="BE36" s="132"/>
      <c r="BF36" s="228">
        <f t="shared" ref="BF36:BF41" si="50">AY36/BC36</f>
        <v>9.5166666666666675</v>
      </c>
      <c r="BG36" s="316">
        <f t="shared" ref="BG36:BG41" si="51">BC36/AS36</f>
        <v>0.6</v>
      </c>
      <c r="BH36" s="123"/>
      <c r="BI36" s="168"/>
      <c r="BJ36" s="166">
        <v>17867</v>
      </c>
      <c r="BK36" s="15">
        <v>19</v>
      </c>
      <c r="BL36" s="15">
        <v>2239</v>
      </c>
      <c r="BM36" s="52">
        <v>148</v>
      </c>
      <c r="BN36" s="52">
        <v>63</v>
      </c>
      <c r="BO36" s="52">
        <v>40</v>
      </c>
      <c r="BP36" s="52">
        <v>39</v>
      </c>
      <c r="BQ36" s="563">
        <v>62.46</v>
      </c>
      <c r="BR36" s="554">
        <f t="shared" ref="BR36:BR41" si="52">BQ36/BL36</f>
        <v>2.7896382313532829E-2</v>
      </c>
      <c r="BS36" s="554">
        <f t="shared" ref="BS36:BS41" si="53">BQ36/BP36</f>
        <v>1.6015384615384616</v>
      </c>
      <c r="BT36" s="555">
        <f>BK36/BJ36</f>
        <v>1.0634129960261935E-3</v>
      </c>
      <c r="BU36" s="1195">
        <v>7</v>
      </c>
      <c r="BV36" s="132"/>
      <c r="BW36" s="132"/>
      <c r="BX36" s="228">
        <f t="shared" ref="BX36:BX41" si="54">BQ36/BU36</f>
        <v>8.9228571428571435</v>
      </c>
      <c r="BY36" s="544">
        <f t="shared" ref="BY36:BY41" si="55">BU36/BK36</f>
        <v>0.36842105263157893</v>
      </c>
      <c r="BZ36" s="123"/>
      <c r="CA36" s="168"/>
    </row>
    <row r="37" spans="2:79" s="26" customFormat="1">
      <c r="B37" s="187">
        <v>44861</v>
      </c>
      <c r="C37" s="15">
        <v>55572</v>
      </c>
      <c r="D37" s="15">
        <v>53</v>
      </c>
      <c r="E37" s="15">
        <v>7370</v>
      </c>
      <c r="F37" s="52">
        <v>671</v>
      </c>
      <c r="G37" s="52">
        <v>384</v>
      </c>
      <c r="H37" s="52">
        <v>258</v>
      </c>
      <c r="I37" s="52">
        <v>225</v>
      </c>
      <c r="J37" s="77">
        <v>198.44</v>
      </c>
      <c r="K37" s="308">
        <f>SUM($J$34:J37)/$C$6</f>
        <v>0.33983113541331622</v>
      </c>
      <c r="L37" s="305">
        <f>D37/C37</f>
        <v>9.5371769956092999E-4</v>
      </c>
      <c r="M37" s="1204">
        <f t="shared" si="9"/>
        <v>1295.4166666666667</v>
      </c>
      <c r="N37" s="307">
        <f>J37/E37</f>
        <v>2.6925373134328356E-2</v>
      </c>
      <c r="O37" s="307">
        <f t="shared" si="40"/>
        <v>0.88195555555555549</v>
      </c>
      <c r="P37" s="1363">
        <f>E37/M37</f>
        <v>5.6892891605017688</v>
      </c>
      <c r="Q37" s="553">
        <v>21</v>
      </c>
      <c r="R37" s="553"/>
      <c r="S37" s="553"/>
      <c r="T37" s="1003">
        <f t="shared" si="11"/>
        <v>276.35555555555555</v>
      </c>
      <c r="U37" s="1004">
        <f t="shared" si="41"/>
        <v>7.5989064007719528E-2</v>
      </c>
      <c r="V37" s="1005">
        <f t="shared" si="42"/>
        <v>9.449523809523809</v>
      </c>
      <c r="W37" s="544">
        <f t="shared" si="43"/>
        <v>0.39622641509433965</v>
      </c>
      <c r="X37" s="1006">
        <v>48.133333333333333</v>
      </c>
      <c r="Y37" s="392">
        <v>0.8222222222222223</v>
      </c>
      <c r="Z37" s="166">
        <v>30094</v>
      </c>
      <c r="AA37" s="15">
        <v>25</v>
      </c>
      <c r="AB37" s="15">
        <v>4237</v>
      </c>
      <c r="AC37" s="52">
        <v>402</v>
      </c>
      <c r="AD37" s="52">
        <v>244</v>
      </c>
      <c r="AE37" s="52">
        <v>166</v>
      </c>
      <c r="AF37" s="52">
        <v>145</v>
      </c>
      <c r="AG37" s="77">
        <v>93</v>
      </c>
      <c r="AH37" s="554">
        <f t="shared" si="44"/>
        <v>2.1949492565494454E-2</v>
      </c>
      <c r="AI37" s="554">
        <f t="shared" si="45"/>
        <v>0.64137931034482754</v>
      </c>
      <c r="AJ37" s="555">
        <f>AA37/Z37</f>
        <v>8.3073037814846817E-4</v>
      </c>
      <c r="AK37" s="1178">
        <v>12</v>
      </c>
      <c r="AL37" s="132"/>
      <c r="AM37" s="132"/>
      <c r="AN37" s="312">
        <f t="shared" si="46"/>
        <v>7.75</v>
      </c>
      <c r="AO37" s="316">
        <f t="shared" si="47"/>
        <v>0.48</v>
      </c>
      <c r="AP37" s="124"/>
      <c r="AQ37" s="169"/>
      <c r="AR37" s="166">
        <v>12567</v>
      </c>
      <c r="AS37" s="15">
        <v>15</v>
      </c>
      <c r="AT37" s="15">
        <v>1480</v>
      </c>
      <c r="AU37" s="52">
        <v>141</v>
      </c>
      <c r="AV37" s="52">
        <v>79</v>
      </c>
      <c r="AW37" s="52">
        <v>51</v>
      </c>
      <c r="AX37" s="52">
        <v>44</v>
      </c>
      <c r="AY37" s="77">
        <v>55.28</v>
      </c>
      <c r="AZ37" s="554">
        <f t="shared" si="48"/>
        <v>3.7351351351351349E-2</v>
      </c>
      <c r="BA37" s="554">
        <f t="shared" si="49"/>
        <v>1.2563636363636363</v>
      </c>
      <c r="BB37" s="555">
        <f>AS37/AR37</f>
        <v>1.1936022917164002E-3</v>
      </c>
      <c r="BC37" s="1178">
        <v>4</v>
      </c>
      <c r="BD37" s="132"/>
      <c r="BE37" s="132"/>
      <c r="BF37" s="228">
        <f t="shared" si="50"/>
        <v>13.82</v>
      </c>
      <c r="BG37" s="316">
        <f t="shared" si="51"/>
        <v>0.26666666666666666</v>
      </c>
      <c r="BH37" s="124"/>
      <c r="BI37" s="169"/>
      <c r="BJ37" s="166">
        <v>12911</v>
      </c>
      <c r="BK37" s="15">
        <v>13</v>
      </c>
      <c r="BL37" s="15">
        <v>1653</v>
      </c>
      <c r="BM37" s="52">
        <v>128</v>
      </c>
      <c r="BN37" s="52">
        <v>61</v>
      </c>
      <c r="BO37" s="52">
        <v>41</v>
      </c>
      <c r="BP37" s="52">
        <v>36</v>
      </c>
      <c r="BQ37" s="77">
        <v>50.16</v>
      </c>
      <c r="BR37" s="554">
        <f t="shared" si="52"/>
        <v>3.0344827586206893E-2</v>
      </c>
      <c r="BS37" s="554">
        <f t="shared" si="53"/>
        <v>1.3933333333333333</v>
      </c>
      <c r="BT37" s="555">
        <f>BK37/BJ37</f>
        <v>1.006893346758578E-3</v>
      </c>
      <c r="BU37" s="1195">
        <v>5</v>
      </c>
      <c r="BV37" s="132"/>
      <c r="BW37" s="132"/>
      <c r="BX37" s="228">
        <f t="shared" si="54"/>
        <v>10.032</v>
      </c>
      <c r="BY37" s="544">
        <f t="shared" si="55"/>
        <v>0.38461538461538464</v>
      </c>
      <c r="BZ37" s="124"/>
      <c r="CA37" s="169"/>
    </row>
    <row r="38" spans="2:79">
      <c r="B38" s="189">
        <v>44862</v>
      </c>
      <c r="C38" s="15">
        <v>61726</v>
      </c>
      <c r="D38" s="15">
        <v>66</v>
      </c>
      <c r="E38" s="15">
        <v>7656</v>
      </c>
      <c r="F38" s="52">
        <v>647</v>
      </c>
      <c r="G38" s="52">
        <v>347</v>
      </c>
      <c r="H38" s="52">
        <v>231</v>
      </c>
      <c r="I38" s="52">
        <v>218</v>
      </c>
      <c r="J38" s="77">
        <v>227.18</v>
      </c>
      <c r="K38" s="308">
        <f>SUM($J$34:J38)/$C$6</f>
        <v>0.37636699903505949</v>
      </c>
      <c r="L38" s="305">
        <f t="shared" ref="L38:L41" si="56">D38/C38</f>
        <v>1.0692414865696789E-3</v>
      </c>
      <c r="M38" s="1204">
        <f t="shared" si="9"/>
        <v>1295.4166666666667</v>
      </c>
      <c r="N38" s="307">
        <f t="shared" ref="N38:N41" si="57">J38/E38</f>
        <v>2.9673458725182865E-2</v>
      </c>
      <c r="O38" s="307">
        <f t="shared" si="40"/>
        <v>1.0421100917431192</v>
      </c>
      <c r="P38" s="1363">
        <f t="shared" ref="P38:P41" si="58">E38/M38</f>
        <v>5.9100675458346732</v>
      </c>
      <c r="Q38" s="553">
        <v>33</v>
      </c>
      <c r="R38" s="553"/>
      <c r="S38" s="553"/>
      <c r="T38" s="1003">
        <f t="shared" si="11"/>
        <v>276.35555555555555</v>
      </c>
      <c r="U38" s="1004">
        <f t="shared" si="41"/>
        <v>0.11941138629784497</v>
      </c>
      <c r="V38" s="1005">
        <f t="shared" si="42"/>
        <v>6.8842424242424247</v>
      </c>
      <c r="W38" s="544">
        <f t="shared" si="43"/>
        <v>0.5</v>
      </c>
      <c r="X38" s="1006">
        <v>277.56410256410254</v>
      </c>
      <c r="Y38" s="392">
        <v>0.7286324786324786</v>
      </c>
      <c r="Z38" s="166">
        <v>27826</v>
      </c>
      <c r="AA38" s="15">
        <v>21</v>
      </c>
      <c r="AB38" s="15">
        <v>3611</v>
      </c>
      <c r="AC38" s="52">
        <v>326</v>
      </c>
      <c r="AD38" s="52">
        <v>173</v>
      </c>
      <c r="AE38" s="52">
        <v>116</v>
      </c>
      <c r="AF38" s="52">
        <v>109</v>
      </c>
      <c r="AG38" s="77">
        <v>85.69</v>
      </c>
      <c r="AH38" s="554">
        <f t="shared" si="44"/>
        <v>2.3730268623649957E-2</v>
      </c>
      <c r="AI38" s="554">
        <f t="shared" si="45"/>
        <v>0.78614678899082568</v>
      </c>
      <c r="AJ38" s="555">
        <f t="shared" ref="AJ38:AJ41" si="59">AA38/Z38</f>
        <v>7.5468985840580749E-4</v>
      </c>
      <c r="AK38" s="1178">
        <v>13</v>
      </c>
      <c r="AL38" s="132"/>
      <c r="AM38" s="132"/>
      <c r="AN38" s="312">
        <f t="shared" si="46"/>
        <v>6.5915384615384616</v>
      </c>
      <c r="AO38" s="316">
        <f t="shared" si="47"/>
        <v>0.61904761904761907</v>
      </c>
      <c r="AP38" s="125"/>
      <c r="AQ38" s="170"/>
      <c r="AR38" s="166">
        <v>15413</v>
      </c>
      <c r="AS38" s="15">
        <v>22</v>
      </c>
      <c r="AT38" s="15">
        <v>1734</v>
      </c>
      <c r="AU38" s="52">
        <v>142</v>
      </c>
      <c r="AV38" s="52">
        <v>77</v>
      </c>
      <c r="AW38" s="52">
        <v>52</v>
      </c>
      <c r="AX38" s="52">
        <v>48</v>
      </c>
      <c r="AY38" s="77">
        <v>63.97</v>
      </c>
      <c r="AZ38" s="554">
        <f t="shared" si="48"/>
        <v>3.6891580161476353E-2</v>
      </c>
      <c r="BA38" s="554">
        <f t="shared" si="49"/>
        <v>1.3327083333333334</v>
      </c>
      <c r="BB38" s="555">
        <f t="shared" ref="BB38:BB50" si="60">AS38/AR38</f>
        <v>1.4273665087912802E-3</v>
      </c>
      <c r="BC38" s="1178">
        <v>8</v>
      </c>
      <c r="BD38" s="132"/>
      <c r="BE38" s="132"/>
      <c r="BF38" s="228">
        <f t="shared" si="50"/>
        <v>7.9962499999999999</v>
      </c>
      <c r="BG38" s="316">
        <f t="shared" si="51"/>
        <v>0.36363636363636365</v>
      </c>
      <c r="BH38" s="125"/>
      <c r="BI38" s="170"/>
      <c r="BJ38" s="166">
        <v>18487</v>
      </c>
      <c r="BK38" s="15">
        <v>23</v>
      </c>
      <c r="BL38" s="15">
        <v>2311</v>
      </c>
      <c r="BM38" s="52">
        <v>179</v>
      </c>
      <c r="BN38" s="52">
        <v>97</v>
      </c>
      <c r="BO38" s="52">
        <v>63</v>
      </c>
      <c r="BP38" s="52">
        <v>61</v>
      </c>
      <c r="BQ38" s="77">
        <v>77.52</v>
      </c>
      <c r="BR38" s="554">
        <f t="shared" si="52"/>
        <v>3.3543920380787538E-2</v>
      </c>
      <c r="BS38" s="554">
        <f t="shared" si="53"/>
        <v>1.2708196721311475</v>
      </c>
      <c r="BT38" s="555">
        <f t="shared" ref="BT38:BT50" si="61">BK38/BJ38</f>
        <v>1.2441174879645157E-3</v>
      </c>
      <c r="BU38" s="1195">
        <v>12</v>
      </c>
      <c r="BV38" s="132"/>
      <c r="BW38" s="132"/>
      <c r="BX38" s="228">
        <f t="shared" si="54"/>
        <v>6.46</v>
      </c>
      <c r="BY38" s="544">
        <f t="shared" si="55"/>
        <v>0.52173913043478259</v>
      </c>
      <c r="BZ38" s="125"/>
      <c r="CA38" s="170"/>
    </row>
    <row r="39" spans="2:79">
      <c r="B39" s="189">
        <v>44863</v>
      </c>
      <c r="C39" s="15">
        <v>75858</v>
      </c>
      <c r="D39" s="15">
        <v>72</v>
      </c>
      <c r="E39" s="15">
        <v>8951</v>
      </c>
      <c r="F39" s="52">
        <v>829</v>
      </c>
      <c r="G39" s="52">
        <v>467</v>
      </c>
      <c r="H39" s="52">
        <v>318</v>
      </c>
      <c r="I39" s="52">
        <v>294</v>
      </c>
      <c r="J39" s="77">
        <v>258.94</v>
      </c>
      <c r="K39" s="308">
        <f>SUM($J$34:J39)/$C$6</f>
        <v>0.41801061434544873</v>
      </c>
      <c r="L39" s="305">
        <f t="shared" si="56"/>
        <v>9.4914181760658066E-4</v>
      </c>
      <c r="M39" s="1204">
        <f t="shared" si="9"/>
        <v>1295.4166666666667</v>
      </c>
      <c r="N39" s="307">
        <f t="shared" si="57"/>
        <v>2.8928611328343203E-2</v>
      </c>
      <c r="O39" s="307">
        <f t="shared" si="40"/>
        <v>0.88074829931972787</v>
      </c>
      <c r="P39" s="1363">
        <f t="shared" si="58"/>
        <v>6.9097458990028944</v>
      </c>
      <c r="Q39" s="553">
        <v>33</v>
      </c>
      <c r="R39" s="553"/>
      <c r="S39" s="553"/>
      <c r="T39" s="1003">
        <f t="shared" si="11"/>
        <v>276.35555555555555</v>
      </c>
      <c r="U39" s="1004">
        <f t="shared" si="41"/>
        <v>0.11941138629784497</v>
      </c>
      <c r="V39" s="1005">
        <f t="shared" si="42"/>
        <v>7.8466666666666667</v>
      </c>
      <c r="W39" s="544">
        <f t="shared" si="43"/>
        <v>0.45833333333333331</v>
      </c>
      <c r="X39" s="1006">
        <v>1.4210526315789473</v>
      </c>
      <c r="Y39" s="392">
        <v>0.98245614035087714</v>
      </c>
      <c r="Z39" s="166">
        <v>45442</v>
      </c>
      <c r="AA39" s="15">
        <v>44</v>
      </c>
      <c r="AB39" s="15">
        <v>5451</v>
      </c>
      <c r="AC39" s="52">
        <v>562</v>
      </c>
      <c r="AD39" s="52">
        <v>328</v>
      </c>
      <c r="AE39" s="52">
        <v>226</v>
      </c>
      <c r="AF39" s="52">
        <v>208</v>
      </c>
      <c r="AG39" s="77">
        <v>135.76</v>
      </c>
      <c r="AH39" s="554">
        <f t="shared" si="44"/>
        <v>2.490552192258301E-2</v>
      </c>
      <c r="AI39" s="554">
        <f t="shared" si="45"/>
        <v>0.65269230769230768</v>
      </c>
      <c r="AJ39" s="555">
        <f t="shared" si="59"/>
        <v>9.6826724175872543E-4</v>
      </c>
      <c r="AK39" s="1178">
        <v>19</v>
      </c>
      <c r="AL39" s="132"/>
      <c r="AM39" s="132"/>
      <c r="AN39" s="312">
        <f t="shared" si="46"/>
        <v>7.1452631578947363</v>
      </c>
      <c r="AO39" s="316">
        <f t="shared" si="47"/>
        <v>0.43181818181818182</v>
      </c>
      <c r="AP39" s="125"/>
      <c r="AQ39" s="170"/>
      <c r="AR39" s="166">
        <v>8781</v>
      </c>
      <c r="AS39" s="15">
        <v>8</v>
      </c>
      <c r="AT39" s="15">
        <v>1047</v>
      </c>
      <c r="AU39" s="52">
        <v>102</v>
      </c>
      <c r="AV39" s="52">
        <v>62</v>
      </c>
      <c r="AW39" s="52">
        <v>49</v>
      </c>
      <c r="AX39" s="52">
        <v>46</v>
      </c>
      <c r="AY39" s="77">
        <v>41.01</v>
      </c>
      <c r="AZ39" s="554">
        <f t="shared" si="48"/>
        <v>3.9169054441260745E-2</v>
      </c>
      <c r="BA39" s="554">
        <f t="shared" si="49"/>
        <v>0.89152173913043475</v>
      </c>
      <c r="BB39" s="555">
        <f t="shared" si="60"/>
        <v>9.110579660630908E-4</v>
      </c>
      <c r="BC39" s="1178">
        <v>6</v>
      </c>
      <c r="BD39" s="132"/>
      <c r="BE39" s="132"/>
      <c r="BF39" s="228">
        <f t="shared" si="50"/>
        <v>6.835</v>
      </c>
      <c r="BG39" s="316">
        <f t="shared" si="51"/>
        <v>0.75</v>
      </c>
      <c r="BH39" s="125"/>
      <c r="BI39" s="170"/>
      <c r="BJ39" s="166">
        <v>21635</v>
      </c>
      <c r="BK39" s="15">
        <v>20</v>
      </c>
      <c r="BL39" s="15">
        <v>2453</v>
      </c>
      <c r="BM39" s="52">
        <v>165</v>
      </c>
      <c r="BN39" s="52">
        <v>77</v>
      </c>
      <c r="BO39" s="52">
        <v>43</v>
      </c>
      <c r="BP39" s="52">
        <v>40</v>
      </c>
      <c r="BQ39" s="564">
        <v>82.17</v>
      </c>
      <c r="BR39" s="554">
        <f t="shared" si="52"/>
        <v>3.349775784753363E-2</v>
      </c>
      <c r="BS39" s="554">
        <f t="shared" si="53"/>
        <v>2.0542500000000001</v>
      </c>
      <c r="BT39" s="555">
        <f t="shared" si="61"/>
        <v>9.2442801016870814E-4</v>
      </c>
      <c r="BU39" s="1195">
        <v>8</v>
      </c>
      <c r="BV39" s="132"/>
      <c r="BW39" s="132"/>
      <c r="BX39" s="228">
        <f t="shared" si="54"/>
        <v>10.27125</v>
      </c>
      <c r="BY39" s="544">
        <f t="shared" si="55"/>
        <v>0.4</v>
      </c>
      <c r="BZ39" s="125"/>
      <c r="CA39" s="170"/>
    </row>
    <row r="40" spans="2:79">
      <c r="B40" s="187">
        <v>44864</v>
      </c>
      <c r="C40" s="15">
        <v>70792</v>
      </c>
      <c r="D40" s="15">
        <v>74</v>
      </c>
      <c r="E40" s="15">
        <v>8627</v>
      </c>
      <c r="F40" s="52">
        <v>2197</v>
      </c>
      <c r="G40" s="52">
        <v>754</v>
      </c>
      <c r="H40" s="52">
        <v>424</v>
      </c>
      <c r="I40" s="52">
        <v>262</v>
      </c>
      <c r="J40" s="77">
        <v>243.60999999999999</v>
      </c>
      <c r="K40" s="308">
        <f>SUM($J$34:J40)/$C$6</f>
        <v>0.45718880669025413</v>
      </c>
      <c r="L40" s="305">
        <f t="shared" si="56"/>
        <v>1.0453158548988585E-3</v>
      </c>
      <c r="M40" s="1204">
        <f t="shared" si="9"/>
        <v>1295.4166666666667</v>
      </c>
      <c r="N40" s="307">
        <f t="shared" si="57"/>
        <v>2.8238089718326184E-2</v>
      </c>
      <c r="O40" s="307">
        <f t="shared" si="40"/>
        <v>0.92980916030534344</v>
      </c>
      <c r="P40" s="1363">
        <f t="shared" si="58"/>
        <v>6.6596333226117723</v>
      </c>
      <c r="Q40" s="553">
        <v>36</v>
      </c>
      <c r="R40" s="553"/>
      <c r="S40" s="553"/>
      <c r="T40" s="1003">
        <f t="shared" si="11"/>
        <v>276.35555555555555</v>
      </c>
      <c r="U40" s="1004">
        <f t="shared" si="41"/>
        <v>0.13026696687037634</v>
      </c>
      <c r="V40" s="1005">
        <f t="shared" si="42"/>
        <v>6.7669444444444444</v>
      </c>
      <c r="W40" s="544">
        <f t="shared" si="43"/>
        <v>0.48648648648648651</v>
      </c>
      <c r="X40" s="1006">
        <v>0.27777777777777779</v>
      </c>
      <c r="Y40" s="392">
        <v>0.94444444444444453</v>
      </c>
      <c r="Z40" s="166">
        <v>51083</v>
      </c>
      <c r="AA40" s="15">
        <v>51</v>
      </c>
      <c r="AB40" s="15">
        <v>6350</v>
      </c>
      <c r="AC40" s="52">
        <v>1715</v>
      </c>
      <c r="AD40" s="52">
        <v>577</v>
      </c>
      <c r="AE40" s="52">
        <v>325</v>
      </c>
      <c r="AF40" s="52">
        <v>203</v>
      </c>
      <c r="AG40" s="77">
        <v>151</v>
      </c>
      <c r="AH40" s="554">
        <f t="shared" si="44"/>
        <v>2.3779527559055116E-2</v>
      </c>
      <c r="AI40" s="554">
        <f t="shared" si="45"/>
        <v>0.74384236453201968</v>
      </c>
      <c r="AJ40" s="555">
        <f t="shared" si="59"/>
        <v>9.9837519331284373E-4</v>
      </c>
      <c r="AK40" s="1178">
        <v>26</v>
      </c>
      <c r="AL40" s="132"/>
      <c r="AM40" s="132"/>
      <c r="AN40" s="312">
        <f t="shared" si="46"/>
        <v>5.8076923076923075</v>
      </c>
      <c r="AO40" s="316">
        <f t="shared" si="47"/>
        <v>0.50980392156862742</v>
      </c>
      <c r="AP40" s="125"/>
      <c r="AQ40" s="170"/>
      <c r="AR40" s="166">
        <v>4062</v>
      </c>
      <c r="AS40" s="15">
        <v>4</v>
      </c>
      <c r="AT40" s="15">
        <v>576</v>
      </c>
      <c r="AU40" s="52">
        <v>144</v>
      </c>
      <c r="AV40" s="52">
        <v>56</v>
      </c>
      <c r="AW40" s="52">
        <v>40</v>
      </c>
      <c r="AX40" s="52">
        <v>27</v>
      </c>
      <c r="AY40" s="77">
        <v>27.7</v>
      </c>
      <c r="AZ40" s="554">
        <f t="shared" si="48"/>
        <v>4.8090277777777773E-2</v>
      </c>
      <c r="BA40" s="554">
        <f t="shared" si="49"/>
        <v>1.0259259259259259</v>
      </c>
      <c r="BB40" s="555">
        <f t="shared" si="60"/>
        <v>9.8473658296405718E-4</v>
      </c>
      <c r="BC40" s="1178">
        <v>4</v>
      </c>
      <c r="BD40" s="132"/>
      <c r="BE40" s="132"/>
      <c r="BF40" s="976">
        <f t="shared" si="50"/>
        <v>6.9249999999999998</v>
      </c>
      <c r="BG40" s="560">
        <f t="shared" si="51"/>
        <v>1</v>
      </c>
      <c r="BH40" s="125"/>
      <c r="BI40" s="170"/>
      <c r="BJ40" s="166">
        <v>15647</v>
      </c>
      <c r="BK40" s="15">
        <v>19</v>
      </c>
      <c r="BL40" s="15">
        <v>1701</v>
      </c>
      <c r="BM40" s="52">
        <v>338</v>
      </c>
      <c r="BN40" s="52">
        <v>121</v>
      </c>
      <c r="BO40" s="52">
        <v>59</v>
      </c>
      <c r="BP40" s="52">
        <v>32</v>
      </c>
      <c r="BQ40" s="338">
        <v>64.91</v>
      </c>
      <c r="BR40" s="554">
        <f t="shared" si="52"/>
        <v>3.8159905937683716E-2</v>
      </c>
      <c r="BS40" s="554">
        <f t="shared" si="53"/>
        <v>2.0284374999999999</v>
      </c>
      <c r="BT40" s="555">
        <f t="shared" si="61"/>
        <v>1.2142902792867643E-3</v>
      </c>
      <c r="BU40" s="1195">
        <v>6</v>
      </c>
      <c r="BV40" s="132"/>
      <c r="BW40" s="132"/>
      <c r="BX40" s="228">
        <f t="shared" si="54"/>
        <v>10.818333333333333</v>
      </c>
      <c r="BY40" s="544">
        <f t="shared" si="55"/>
        <v>0.31578947368421051</v>
      </c>
      <c r="BZ40" s="125"/>
      <c r="CA40" s="170"/>
    </row>
    <row r="41" spans="2:79">
      <c r="B41" s="187">
        <v>44865</v>
      </c>
      <c r="C41" s="15">
        <v>65594</v>
      </c>
      <c r="D41" s="15">
        <v>70</v>
      </c>
      <c r="E41" s="15">
        <v>8181</v>
      </c>
      <c r="F41" s="52">
        <v>2008</v>
      </c>
      <c r="G41" s="52">
        <v>755</v>
      </c>
      <c r="H41" s="52">
        <v>426</v>
      </c>
      <c r="I41" s="52">
        <v>260</v>
      </c>
      <c r="J41" s="77">
        <v>218</v>
      </c>
      <c r="K41" s="308">
        <f>SUM($J$34:J41)/$C$6</f>
        <v>0.49224831135413322</v>
      </c>
      <c r="L41" s="305">
        <f t="shared" si="56"/>
        <v>1.067170777815044E-3</v>
      </c>
      <c r="M41" s="1204">
        <f t="shared" si="9"/>
        <v>1295.4166666666667</v>
      </c>
      <c r="N41" s="307">
        <f t="shared" si="57"/>
        <v>2.6647109155359981E-2</v>
      </c>
      <c r="O41" s="307">
        <f t="shared" si="40"/>
        <v>0.83846153846153848</v>
      </c>
      <c r="P41" s="1363">
        <f t="shared" si="58"/>
        <v>6.3153425538758441</v>
      </c>
      <c r="Q41" s="553">
        <v>41</v>
      </c>
      <c r="R41" s="553"/>
      <c r="S41" s="553"/>
      <c r="T41" s="1003">
        <f t="shared" si="11"/>
        <v>276.35555555555555</v>
      </c>
      <c r="U41" s="1004">
        <f t="shared" si="41"/>
        <v>0.14835960115792859</v>
      </c>
      <c r="V41" s="1005">
        <f t="shared" si="42"/>
        <v>5.3170731707317076</v>
      </c>
      <c r="W41" s="544">
        <f t="shared" si="43"/>
        <v>0.58571428571428574</v>
      </c>
      <c r="X41" s="1006">
        <v>3.1333333333333333</v>
      </c>
      <c r="Y41" s="392">
        <v>0.96</v>
      </c>
      <c r="Z41" s="166">
        <v>39854</v>
      </c>
      <c r="AA41" s="15">
        <v>34</v>
      </c>
      <c r="AB41" s="15">
        <v>5242</v>
      </c>
      <c r="AC41" s="52">
        <v>1343</v>
      </c>
      <c r="AD41" s="52">
        <v>525</v>
      </c>
      <c r="AE41" s="52">
        <v>306</v>
      </c>
      <c r="AF41" s="52">
        <v>184</v>
      </c>
      <c r="AG41" s="77">
        <v>117.9</v>
      </c>
      <c r="AH41" s="554">
        <f t="shared" si="44"/>
        <v>2.2491415490270891E-2</v>
      </c>
      <c r="AI41" s="554">
        <f t="shared" si="45"/>
        <v>0.64076086956521738</v>
      </c>
      <c r="AJ41" s="555">
        <f t="shared" si="59"/>
        <v>8.5311386560947458E-4</v>
      </c>
      <c r="AK41" s="1178">
        <v>25</v>
      </c>
      <c r="AL41" s="132"/>
      <c r="AM41" s="132"/>
      <c r="AN41" s="312">
        <f t="shared" si="46"/>
        <v>4.7160000000000002</v>
      </c>
      <c r="AO41" s="316">
        <f t="shared" si="47"/>
        <v>0.73529411764705888</v>
      </c>
      <c r="AP41" s="125"/>
      <c r="AQ41" s="170"/>
      <c r="AR41" s="166">
        <v>7980</v>
      </c>
      <c r="AS41" s="15">
        <v>18</v>
      </c>
      <c r="AT41" s="15">
        <v>936</v>
      </c>
      <c r="AU41" s="52">
        <v>242</v>
      </c>
      <c r="AV41" s="52">
        <v>85</v>
      </c>
      <c r="AW41" s="52">
        <v>42</v>
      </c>
      <c r="AX41" s="52">
        <v>24</v>
      </c>
      <c r="AY41" s="77">
        <v>40.44</v>
      </c>
      <c r="AZ41" s="554">
        <f t="shared" si="48"/>
        <v>4.3205128205128202E-2</v>
      </c>
      <c r="BA41" s="554">
        <f t="shared" si="49"/>
        <v>1.6849999999999998</v>
      </c>
      <c r="BB41" s="555">
        <f t="shared" si="60"/>
        <v>2.255639097744361E-3</v>
      </c>
      <c r="BC41" s="1178">
        <v>6</v>
      </c>
      <c r="BD41" s="132"/>
      <c r="BE41" s="132"/>
      <c r="BF41" s="1409">
        <f t="shared" si="50"/>
        <v>6.7399999999999993</v>
      </c>
      <c r="BG41" s="1410">
        <f t="shared" si="51"/>
        <v>0.33333333333333331</v>
      </c>
      <c r="BH41" s="125"/>
      <c r="BI41" s="170"/>
      <c r="BJ41" s="166">
        <v>17760</v>
      </c>
      <c r="BK41" s="15">
        <v>18</v>
      </c>
      <c r="BL41" s="15">
        <v>2003</v>
      </c>
      <c r="BM41" s="52">
        <v>423</v>
      </c>
      <c r="BN41" s="52">
        <v>145</v>
      </c>
      <c r="BO41" s="52">
        <v>78</v>
      </c>
      <c r="BP41" s="52">
        <v>52</v>
      </c>
      <c r="BQ41" s="77">
        <v>59.66</v>
      </c>
      <c r="BR41" s="554">
        <f t="shared" si="52"/>
        <v>2.9785322016974536E-2</v>
      </c>
      <c r="BS41" s="554">
        <f t="shared" si="53"/>
        <v>1.1473076923076921</v>
      </c>
      <c r="BT41" s="555">
        <f t="shared" si="61"/>
        <v>1.0135135135135136E-3</v>
      </c>
      <c r="BU41" s="1195">
        <v>10</v>
      </c>
      <c r="BV41" s="132"/>
      <c r="BW41" s="132"/>
      <c r="BX41" s="228">
        <f t="shared" si="54"/>
        <v>5.9659999999999993</v>
      </c>
      <c r="BY41" s="544">
        <f t="shared" si="55"/>
        <v>0.55555555555555558</v>
      </c>
      <c r="BZ41" s="125"/>
      <c r="CA41" s="170"/>
    </row>
    <row r="42" spans="2:79">
      <c r="B42" s="190" t="s">
        <v>160</v>
      </c>
      <c r="C42" s="298">
        <f>SUM(C35:C41)</f>
        <v>475010</v>
      </c>
      <c r="D42" s="298">
        <f t="shared" ref="D42:J42" si="62">SUM(D35:D41)</f>
        <v>538</v>
      </c>
      <c r="E42" s="298">
        <f t="shared" si="62"/>
        <v>59737</v>
      </c>
      <c r="F42" s="298">
        <f t="shared" si="62"/>
        <v>9511</v>
      </c>
      <c r="G42" s="298">
        <f t="shared" si="62"/>
        <v>4085</v>
      </c>
      <c r="H42" s="298">
        <f t="shared" si="62"/>
        <v>2506</v>
      </c>
      <c r="I42" s="298">
        <f t="shared" si="62"/>
        <v>1868</v>
      </c>
      <c r="J42" s="479">
        <f t="shared" si="62"/>
        <v>1607.29</v>
      </c>
      <c r="K42" s="599">
        <f>SUM($J$34,J42)/C$6</f>
        <v>0.49224831135413322</v>
      </c>
      <c r="L42" s="299">
        <f>D42/C42</f>
        <v>1.1326077345740089E-3</v>
      </c>
      <c r="M42" s="300">
        <f>SUM(M35:M41)</f>
        <v>9067.9166666666679</v>
      </c>
      <c r="N42" s="301">
        <f>J42/E42</f>
        <v>2.6906105093995346E-2</v>
      </c>
      <c r="O42" s="301">
        <f>J42/I42</f>
        <v>0.86043361884368308</v>
      </c>
      <c r="P42" s="302">
        <f>E42/M42</f>
        <v>6.5877314708450116</v>
      </c>
      <c r="Q42" s="551">
        <f>SUM(Q35:Q41)</f>
        <v>228</v>
      </c>
      <c r="R42" s="298"/>
      <c r="S42" s="298"/>
      <c r="T42" s="298">
        <f>SUM(T35:T41)</f>
        <v>1934.4888888888891</v>
      </c>
      <c r="U42" s="1344">
        <f>Q42/T42</f>
        <v>0.11786058907319762</v>
      </c>
      <c r="V42" s="552">
        <f>J42/Q42</f>
        <v>7.0495175438596487</v>
      </c>
      <c r="W42" s="1364">
        <f>Q42/D42</f>
        <v>0.42379182156133827</v>
      </c>
      <c r="X42" s="1365">
        <f>AVERAGE(X35:X41)</f>
        <v>59.325090198022522</v>
      </c>
      <c r="Y42" s="566">
        <f>AVERAGE(Y35:Y41)</f>
        <v>0.90342838169905837</v>
      </c>
      <c r="Z42" s="164">
        <f>SUM(Z35:Z41)</f>
        <v>288743</v>
      </c>
      <c r="AA42" s="27">
        <f t="shared" ref="AA42:AK42" si="63">SUM(AA35:AA41)</f>
        <v>284</v>
      </c>
      <c r="AB42" s="27">
        <f t="shared" si="63"/>
        <v>37212</v>
      </c>
      <c r="AC42" s="27">
        <f t="shared" si="63"/>
        <v>6434</v>
      </c>
      <c r="AD42" s="27">
        <f t="shared" si="63"/>
        <v>2796</v>
      </c>
      <c r="AE42" s="27">
        <f t="shared" si="63"/>
        <v>1729</v>
      </c>
      <c r="AF42" s="27">
        <f t="shared" si="63"/>
        <v>1263</v>
      </c>
      <c r="AG42" s="598">
        <f t="shared" si="63"/>
        <v>848.38</v>
      </c>
      <c r="AH42" s="1179">
        <f>AG42/AB42</f>
        <v>2.279855960442868E-2</v>
      </c>
      <c r="AI42" s="1179">
        <f>AG42/AF42</f>
        <v>0.67171813143309578</v>
      </c>
      <c r="AJ42" s="1180">
        <f>AA42/Z42</f>
        <v>9.8357362775894136E-4</v>
      </c>
      <c r="AK42" s="379">
        <f t="shared" si="63"/>
        <v>133</v>
      </c>
      <c r="AL42" s="376"/>
      <c r="AM42" s="376"/>
      <c r="AN42" s="548">
        <f>AG42/AK42</f>
        <v>6.3787969924812034</v>
      </c>
      <c r="AO42" s="547">
        <f>AK42/AA42</f>
        <v>0.46830985915492956</v>
      </c>
      <c r="AP42" s="130"/>
      <c r="AQ42" s="165"/>
      <c r="AR42" s="164">
        <f>SUM(AR35:AR41)</f>
        <v>62922</v>
      </c>
      <c r="AS42" s="27">
        <f t="shared" ref="AS42:AY42" si="64">SUM(AS35:AS41)</f>
        <v>95</v>
      </c>
      <c r="AT42" s="27">
        <f t="shared" si="64"/>
        <v>7709</v>
      </c>
      <c r="AU42" s="27">
        <f t="shared" si="64"/>
        <v>1153</v>
      </c>
      <c r="AV42" s="27">
        <f t="shared" si="64"/>
        <v>534</v>
      </c>
      <c r="AW42" s="27">
        <f t="shared" si="64"/>
        <v>356</v>
      </c>
      <c r="AX42" s="27">
        <f t="shared" si="64"/>
        <v>282</v>
      </c>
      <c r="AY42" s="74">
        <f t="shared" si="64"/>
        <v>299.05</v>
      </c>
      <c r="AZ42" s="1179">
        <f>AY42/AT42</f>
        <v>3.8792320664158775E-2</v>
      </c>
      <c r="BA42" s="1179">
        <f>AY42/AX42</f>
        <v>1.0604609929078015</v>
      </c>
      <c r="BB42" s="1180">
        <f t="shared" si="60"/>
        <v>1.5098057912971616E-3</v>
      </c>
      <c r="BC42" s="379">
        <f t="shared" ref="BC42" si="65">SUM(BC35:BC41)</f>
        <v>33</v>
      </c>
      <c r="BD42" s="376"/>
      <c r="BE42" s="376"/>
      <c r="BF42" s="1408">
        <f>AY42/BC42</f>
        <v>9.0621212121212125</v>
      </c>
      <c r="BG42" s="1411">
        <f>BC42/AS42</f>
        <v>0.3473684210526316</v>
      </c>
      <c r="BH42" s="130"/>
      <c r="BI42" s="165"/>
      <c r="BJ42" s="164">
        <f>SUM(BJ35:BJ41)</f>
        <v>123345</v>
      </c>
      <c r="BK42" s="27">
        <f t="shared" ref="BK42:BQ42" si="66">SUM(BK35:BK41)</f>
        <v>159</v>
      </c>
      <c r="BL42" s="27">
        <f t="shared" si="66"/>
        <v>14816</v>
      </c>
      <c r="BM42" s="27">
        <f t="shared" si="66"/>
        <v>1924</v>
      </c>
      <c r="BN42" s="27">
        <f t="shared" si="66"/>
        <v>755</v>
      </c>
      <c r="BO42" s="27">
        <f t="shared" si="66"/>
        <v>421</v>
      </c>
      <c r="BP42" s="27">
        <f t="shared" si="66"/>
        <v>323</v>
      </c>
      <c r="BQ42" s="74">
        <f t="shared" si="66"/>
        <v>459.86</v>
      </c>
      <c r="BR42" s="1179">
        <f>BQ42/BL42</f>
        <v>3.1038066954643631E-2</v>
      </c>
      <c r="BS42" s="1179">
        <f>BQ42/BP42</f>
        <v>1.4237151702786379</v>
      </c>
      <c r="BT42" s="1180">
        <f t="shared" si="61"/>
        <v>1.2890672503952328E-3</v>
      </c>
      <c r="BU42" s="379">
        <f t="shared" ref="BU42" si="67">SUM(BU35:BU41)</f>
        <v>62</v>
      </c>
      <c r="BV42" s="376"/>
      <c r="BW42" s="376"/>
      <c r="BX42" s="548">
        <f>BQ42/BU42</f>
        <v>7.4170967741935483</v>
      </c>
      <c r="BY42" s="1180">
        <f>BU42/BK42</f>
        <v>0.38993710691823902</v>
      </c>
      <c r="BZ42" s="126"/>
      <c r="CA42" s="171"/>
    </row>
    <row r="43" spans="2:79">
      <c r="B43" s="187">
        <v>44866</v>
      </c>
      <c r="C43" s="15">
        <v>66952</v>
      </c>
      <c r="D43" s="15">
        <v>76</v>
      </c>
      <c r="E43" s="15">
        <v>8383</v>
      </c>
      <c r="F43" s="52">
        <v>2115</v>
      </c>
      <c r="G43" s="52">
        <v>761</v>
      </c>
      <c r="H43" s="52">
        <v>440</v>
      </c>
      <c r="I43" s="52">
        <v>282</v>
      </c>
      <c r="J43" s="77">
        <v>224.17000000000002</v>
      </c>
      <c r="K43" s="73">
        <f>SUM($J$34,$J$42:J43)/$C$6</f>
        <v>0.52830009649404952</v>
      </c>
      <c r="L43" s="305">
        <f>D43/C43</f>
        <v>1.1351415939777751E-3</v>
      </c>
      <c r="M43" s="1204">
        <f t="shared" si="9"/>
        <v>1295.4166666666667</v>
      </c>
      <c r="N43" s="307">
        <f>J43/E43</f>
        <v>2.6741023499940356E-2</v>
      </c>
      <c r="O43" s="307">
        <f>J43/I43</f>
        <v>0.79492907801418444</v>
      </c>
      <c r="P43" s="380">
        <f>E43/M43</f>
        <v>6.4712769379221609</v>
      </c>
      <c r="Q43" s="143">
        <v>29</v>
      </c>
      <c r="R43" s="52"/>
      <c r="S43" s="52"/>
      <c r="T43" s="1003">
        <f t="shared" si="11"/>
        <v>276.35555555555555</v>
      </c>
      <c r="U43" s="455">
        <f>Q43/T43</f>
        <v>0.10493727886780316</v>
      </c>
      <c r="V43" s="225">
        <f>J43/Q43</f>
        <v>7.73</v>
      </c>
      <c r="W43" s="308">
        <f>Q43/D43</f>
        <v>0.38157894736842107</v>
      </c>
      <c r="X43" s="684">
        <v>43.6</v>
      </c>
      <c r="Y43" s="392">
        <v>0.78333333333333333</v>
      </c>
      <c r="Z43" s="166">
        <v>34082</v>
      </c>
      <c r="AA43" s="15">
        <v>36</v>
      </c>
      <c r="AB43" s="15">
        <v>4584</v>
      </c>
      <c r="AC43" s="52">
        <v>1238</v>
      </c>
      <c r="AD43" s="52">
        <v>448</v>
      </c>
      <c r="AE43" s="52">
        <v>260</v>
      </c>
      <c r="AF43" s="52">
        <v>157</v>
      </c>
      <c r="AG43" s="642">
        <v>99.72</v>
      </c>
      <c r="AH43" s="554">
        <f>AG43/AB43</f>
        <v>2.175392670157068E-2</v>
      </c>
      <c r="AI43" s="554">
        <f>AG43/AF43</f>
        <v>0.63515923566878985</v>
      </c>
      <c r="AJ43" s="555">
        <f>AA43/Z43</f>
        <v>1.0562760401384896E-3</v>
      </c>
      <c r="AK43" s="565">
        <v>20</v>
      </c>
      <c r="AL43" s="553"/>
      <c r="AM43" s="553"/>
      <c r="AN43" s="644">
        <f>AG43/AK43</f>
        <v>4.9859999999999998</v>
      </c>
      <c r="AO43" s="1203">
        <f>AK43/AA43</f>
        <v>0.55555555555555558</v>
      </c>
      <c r="AP43" s="125"/>
      <c r="AQ43" s="170"/>
      <c r="AR43" s="1416">
        <v>19936</v>
      </c>
      <c r="AS43" s="15">
        <v>31</v>
      </c>
      <c r="AT43" s="15">
        <v>2201</v>
      </c>
      <c r="AU43" s="52">
        <v>559</v>
      </c>
      <c r="AV43" s="52">
        <v>205</v>
      </c>
      <c r="AW43" s="52">
        <v>113</v>
      </c>
      <c r="AX43" s="52">
        <v>82</v>
      </c>
      <c r="AY43" s="77">
        <v>82.58</v>
      </c>
      <c r="AZ43" s="554">
        <f>AY43/AT43</f>
        <v>3.7519309404815994E-2</v>
      </c>
      <c r="BA43" s="554">
        <f>AY43/AX43</f>
        <v>1.0070731707317073</v>
      </c>
      <c r="BB43" s="555">
        <f t="shared" si="60"/>
        <v>1.554975922953451E-3</v>
      </c>
      <c r="BC43" s="902">
        <v>5</v>
      </c>
      <c r="BD43" s="553"/>
      <c r="BE43" s="553"/>
      <c r="BF43" s="1407">
        <f>AY43/BC43</f>
        <v>16.515999999999998</v>
      </c>
      <c r="BG43" s="1203">
        <f>BC43/AS43</f>
        <v>0.16129032258064516</v>
      </c>
      <c r="BH43" s="125"/>
      <c r="BI43" s="170"/>
      <c r="BJ43" s="166">
        <v>12934</v>
      </c>
      <c r="BK43" s="15">
        <v>9</v>
      </c>
      <c r="BL43" s="15">
        <v>1598</v>
      </c>
      <c r="BM43" s="52">
        <v>318</v>
      </c>
      <c r="BN43" s="52">
        <v>108</v>
      </c>
      <c r="BO43" s="52">
        <v>67</v>
      </c>
      <c r="BP43" s="52">
        <v>43</v>
      </c>
      <c r="BQ43" s="77">
        <v>41.87</v>
      </c>
      <c r="BR43" s="554">
        <f>BQ43/BL43</f>
        <v>2.6201501877346683E-2</v>
      </c>
      <c r="BS43" s="554">
        <f>BQ43/BP43</f>
        <v>0.97372093023255812</v>
      </c>
      <c r="BT43" s="555">
        <f t="shared" si="61"/>
        <v>6.9584042059687642E-4</v>
      </c>
      <c r="BU43" s="902">
        <v>4</v>
      </c>
      <c r="BV43" s="553"/>
      <c r="BW43" s="1123"/>
      <c r="BX43" s="1192">
        <f>BQ43/BU43</f>
        <v>10.467499999999999</v>
      </c>
      <c r="BY43" s="544">
        <f>BU43/BK43</f>
        <v>0.44444444444444442</v>
      </c>
      <c r="BZ43" s="125"/>
      <c r="CA43" s="170"/>
    </row>
    <row r="44" spans="2:79" s="24" customFormat="1">
      <c r="B44" s="187">
        <v>44867</v>
      </c>
      <c r="C44" s="15">
        <v>67819</v>
      </c>
      <c r="D44" s="15">
        <v>64</v>
      </c>
      <c r="E44" s="15">
        <v>8291</v>
      </c>
      <c r="F44" s="52">
        <v>2158</v>
      </c>
      <c r="G44" s="52">
        <v>791</v>
      </c>
      <c r="H44" s="52">
        <v>465</v>
      </c>
      <c r="I44" s="52">
        <v>274</v>
      </c>
      <c r="J44" s="77">
        <v>205.67</v>
      </c>
      <c r="K44" s="73">
        <f>SUM($J$34,$J$42:J44)/$C$6</f>
        <v>0.56137664844001289</v>
      </c>
      <c r="L44" s="305">
        <f t="shared" ref="L44:L49" si="68">D44/C44</f>
        <v>9.436883469234285E-4</v>
      </c>
      <c r="M44" s="1204">
        <f t="shared" si="9"/>
        <v>1295.4166666666667</v>
      </c>
      <c r="N44" s="307">
        <f t="shared" ref="N44:N49" si="69">J44/E44</f>
        <v>2.480641659630925E-2</v>
      </c>
      <c r="O44" s="307">
        <f t="shared" ref="O44:O49" si="70">J44/I44</f>
        <v>0.75062043795620437</v>
      </c>
      <c r="P44" s="380">
        <f t="shared" ref="P44:P49" si="71">E44/M44</f>
        <v>6.4002573174654227</v>
      </c>
      <c r="Q44" s="143">
        <v>18</v>
      </c>
      <c r="R44" s="52"/>
      <c r="S44" s="52"/>
      <c r="T44" s="1003">
        <f t="shared" si="11"/>
        <v>276.35555555555555</v>
      </c>
      <c r="U44" s="455">
        <f t="shared" ref="U44:U49" si="72">Q44/T44</f>
        <v>6.5133483435188169E-2</v>
      </c>
      <c r="V44" s="225">
        <f t="shared" ref="V44:V49" si="73">J44/Q44</f>
        <v>11.42611111111111</v>
      </c>
      <c r="W44" s="308">
        <f t="shared" ref="W44:W49" si="74">Q44/D44</f>
        <v>0.28125</v>
      </c>
      <c r="X44" s="684">
        <v>0.26666666666666666</v>
      </c>
      <c r="Y44" s="392">
        <v>0.93333333333333324</v>
      </c>
      <c r="Z44" s="166">
        <v>42222</v>
      </c>
      <c r="AA44" s="15">
        <v>33</v>
      </c>
      <c r="AB44" s="15">
        <v>5377</v>
      </c>
      <c r="AC44" s="52">
        <v>1451</v>
      </c>
      <c r="AD44" s="52">
        <v>529</v>
      </c>
      <c r="AE44" s="52">
        <v>326</v>
      </c>
      <c r="AF44" s="52">
        <v>185</v>
      </c>
      <c r="AG44" s="642">
        <v>115.85</v>
      </c>
      <c r="AH44" s="554">
        <f t="shared" ref="AH44:AH49" si="75">AG44/AB44</f>
        <v>2.1545471452482794E-2</v>
      </c>
      <c r="AI44" s="554">
        <f t="shared" ref="AI44:AI49" si="76">AG44/AF44</f>
        <v>0.62621621621621615</v>
      </c>
      <c r="AJ44" s="555">
        <f t="shared" ref="AJ44:AJ49" si="77">AA44/Z44</f>
        <v>7.8158306096347871E-4</v>
      </c>
      <c r="AK44" s="553">
        <v>7</v>
      </c>
      <c r="AL44" s="553"/>
      <c r="AM44" s="553"/>
      <c r="AN44" s="312">
        <f t="shared" ref="AN44:AN60" si="78">AG44/AK44</f>
        <v>16.55</v>
      </c>
      <c r="AO44" s="316">
        <f t="shared" ref="AO44:AO60" si="79">AK44/AA44</f>
        <v>0.21212121212121213</v>
      </c>
      <c r="AP44" s="123"/>
      <c r="AQ44" s="168"/>
      <c r="AR44" s="1415">
        <v>15552</v>
      </c>
      <c r="AS44" s="15">
        <v>14</v>
      </c>
      <c r="AT44" s="15">
        <v>1745</v>
      </c>
      <c r="AU44" s="52">
        <v>444</v>
      </c>
      <c r="AV44" s="52">
        <v>164</v>
      </c>
      <c r="AW44" s="52">
        <v>85</v>
      </c>
      <c r="AX44" s="52">
        <v>60</v>
      </c>
      <c r="AY44" s="77">
        <v>60.04</v>
      </c>
      <c r="AZ44" s="554">
        <f t="shared" ref="AZ44:AZ59" si="80">AY44/AT44</f>
        <v>3.4406876790830945E-2</v>
      </c>
      <c r="BA44" s="554">
        <f t="shared" ref="BA44:BA59" si="81">AY44/AX44</f>
        <v>1.0006666666666666</v>
      </c>
      <c r="BB44" s="555">
        <f t="shared" si="60"/>
        <v>9.0020576131687245E-4</v>
      </c>
      <c r="BC44" s="902">
        <v>6</v>
      </c>
      <c r="BD44" s="553"/>
      <c r="BE44" s="553"/>
      <c r="BF44" s="228">
        <f t="shared" ref="BF44:BF60" si="82">AY44/BC44</f>
        <v>10.006666666666666</v>
      </c>
      <c r="BG44" s="316">
        <f t="shared" ref="BG44:BG60" si="83">BC44/AS44</f>
        <v>0.42857142857142855</v>
      </c>
      <c r="BH44" s="123"/>
      <c r="BI44" s="168"/>
      <c r="BJ44" s="166">
        <v>10045</v>
      </c>
      <c r="BK44" s="15">
        <v>17</v>
      </c>
      <c r="BL44" s="15">
        <v>1169</v>
      </c>
      <c r="BM44" s="52">
        <v>263</v>
      </c>
      <c r="BN44" s="52">
        <v>98</v>
      </c>
      <c r="BO44" s="52">
        <v>54</v>
      </c>
      <c r="BP44" s="52">
        <v>29</v>
      </c>
      <c r="BQ44" s="77">
        <v>29.78</v>
      </c>
      <c r="BR44" s="554">
        <f t="shared" ref="BR44:BR60" si="84">BQ44/BL44</f>
        <v>2.5474764756201883E-2</v>
      </c>
      <c r="BS44" s="554">
        <f t="shared" ref="BS44:BS60" si="85">BQ44/BP44</f>
        <v>1.026896551724138</v>
      </c>
      <c r="BT44" s="555">
        <f t="shared" si="61"/>
        <v>1.6923842707814833E-3</v>
      </c>
      <c r="BU44" s="902">
        <v>5</v>
      </c>
      <c r="BV44" s="553"/>
      <c r="BW44" s="1123"/>
      <c r="BX44" s="1192">
        <f t="shared" ref="BX44:BX60" si="86">BQ44/BU44</f>
        <v>5.9560000000000004</v>
      </c>
      <c r="BY44" s="544">
        <f t="shared" ref="BY44:BY60" si="87">BU44/BK44</f>
        <v>0.29411764705882354</v>
      </c>
      <c r="BZ44" s="123"/>
      <c r="CA44" s="168"/>
    </row>
    <row r="45" spans="2:79" s="26" customFormat="1">
      <c r="B45" s="187">
        <v>44868</v>
      </c>
      <c r="C45" s="15">
        <v>65762</v>
      </c>
      <c r="D45" s="15">
        <v>86</v>
      </c>
      <c r="E45" s="15">
        <v>7877</v>
      </c>
      <c r="F45" s="52">
        <v>1907</v>
      </c>
      <c r="G45" s="52">
        <v>699</v>
      </c>
      <c r="H45" s="52">
        <v>389</v>
      </c>
      <c r="I45" s="52">
        <v>246</v>
      </c>
      <c r="J45" s="77">
        <v>211.12</v>
      </c>
      <c r="K45" s="73">
        <f>SUM($J$34,$J$42:J45)/$C$6</f>
        <v>0.59532968800257324</v>
      </c>
      <c r="L45" s="305">
        <f t="shared" si="68"/>
        <v>1.3077461147775311E-3</v>
      </c>
      <c r="M45" s="1204">
        <f t="shared" si="9"/>
        <v>1295.4166666666667</v>
      </c>
      <c r="N45" s="307">
        <f t="shared" si="69"/>
        <v>2.6802082010917862E-2</v>
      </c>
      <c r="O45" s="307">
        <f t="shared" si="70"/>
        <v>0.8582113821138212</v>
      </c>
      <c r="P45" s="380">
        <f t="shared" si="71"/>
        <v>6.0806690254100992</v>
      </c>
      <c r="Q45" s="143">
        <v>24</v>
      </c>
      <c r="R45" s="52"/>
      <c r="S45" s="52"/>
      <c r="T45" s="1003">
        <f t="shared" si="11"/>
        <v>276.35555555555555</v>
      </c>
      <c r="U45" s="455">
        <f t="shared" si="72"/>
        <v>8.6844644580250888E-2</v>
      </c>
      <c r="V45" s="225">
        <f t="shared" si="73"/>
        <v>8.7966666666666669</v>
      </c>
      <c r="W45" s="308">
        <f t="shared" si="74"/>
        <v>0.27906976744186046</v>
      </c>
      <c r="X45" s="684">
        <v>9.8039215686274508E-2</v>
      </c>
      <c r="Y45" s="392">
        <v>0.98039215686274517</v>
      </c>
      <c r="Z45" s="166">
        <v>32555</v>
      </c>
      <c r="AA45" s="15">
        <v>48</v>
      </c>
      <c r="AB45" s="15">
        <v>4331</v>
      </c>
      <c r="AC45" s="52">
        <v>1136</v>
      </c>
      <c r="AD45" s="52">
        <v>432</v>
      </c>
      <c r="AE45" s="52">
        <v>239</v>
      </c>
      <c r="AF45" s="52">
        <v>154</v>
      </c>
      <c r="AG45" s="642">
        <v>100.36</v>
      </c>
      <c r="AH45" s="554">
        <f t="shared" si="75"/>
        <v>2.3172477487878089E-2</v>
      </c>
      <c r="AI45" s="554">
        <f t="shared" si="76"/>
        <v>0.65168831168831165</v>
      </c>
      <c r="AJ45" s="555">
        <f t="shared" si="77"/>
        <v>1.474427891260943E-3</v>
      </c>
      <c r="AK45" s="553">
        <v>17</v>
      </c>
      <c r="AL45" s="553"/>
      <c r="AM45" s="553"/>
      <c r="AN45" s="312">
        <f t="shared" si="78"/>
        <v>5.9035294117647057</v>
      </c>
      <c r="AO45" s="316">
        <f t="shared" si="79"/>
        <v>0.35416666666666669</v>
      </c>
      <c r="AP45" s="124"/>
      <c r="AQ45" s="169"/>
      <c r="AR45" s="166">
        <v>8675</v>
      </c>
      <c r="AS45" s="15">
        <v>9</v>
      </c>
      <c r="AT45" s="15">
        <v>1000</v>
      </c>
      <c r="AU45" s="52">
        <v>247</v>
      </c>
      <c r="AV45" s="52">
        <v>83</v>
      </c>
      <c r="AW45" s="52">
        <v>51</v>
      </c>
      <c r="AX45" s="52">
        <v>31</v>
      </c>
      <c r="AY45" s="77">
        <v>34.9</v>
      </c>
      <c r="AZ45" s="554">
        <f t="shared" si="80"/>
        <v>3.49E-2</v>
      </c>
      <c r="BA45" s="554">
        <f t="shared" si="81"/>
        <v>1.1258064516129032</v>
      </c>
      <c r="BB45" s="555">
        <f t="shared" si="60"/>
        <v>1.0374639769452449E-3</v>
      </c>
      <c r="BC45" s="902">
        <v>3</v>
      </c>
      <c r="BD45" s="553"/>
      <c r="BE45" s="553"/>
      <c r="BF45" s="228">
        <f t="shared" si="82"/>
        <v>11.633333333333333</v>
      </c>
      <c r="BG45" s="316">
        <f t="shared" si="83"/>
        <v>0.33333333333333331</v>
      </c>
      <c r="BH45" s="124"/>
      <c r="BI45" s="169"/>
      <c r="BJ45" s="166">
        <v>24532</v>
      </c>
      <c r="BK45" s="15">
        <v>29</v>
      </c>
      <c r="BL45" s="15">
        <v>2546</v>
      </c>
      <c r="BM45" s="52">
        <v>524</v>
      </c>
      <c r="BN45" s="52">
        <v>184</v>
      </c>
      <c r="BO45" s="52">
        <v>99</v>
      </c>
      <c r="BP45" s="52">
        <v>61</v>
      </c>
      <c r="BQ45" s="77">
        <v>75.86</v>
      </c>
      <c r="BR45" s="554">
        <f t="shared" si="84"/>
        <v>2.9795758051846033E-2</v>
      </c>
      <c r="BS45" s="554">
        <f t="shared" si="85"/>
        <v>1.2436065573770492</v>
      </c>
      <c r="BT45" s="555">
        <f t="shared" si="61"/>
        <v>1.182129463557802E-3</v>
      </c>
      <c r="BU45" s="902">
        <v>4</v>
      </c>
      <c r="BV45" s="553"/>
      <c r="BW45" s="1123"/>
      <c r="BX45" s="1192">
        <f t="shared" si="86"/>
        <v>18.965</v>
      </c>
      <c r="BY45" s="544">
        <f t="shared" si="87"/>
        <v>0.13793103448275862</v>
      </c>
      <c r="BZ45" s="124"/>
      <c r="CA45" s="169"/>
    </row>
    <row r="46" spans="2:79">
      <c r="B46" s="189">
        <v>44869</v>
      </c>
      <c r="C46" s="15">
        <v>73240</v>
      </c>
      <c r="D46" s="15">
        <v>79</v>
      </c>
      <c r="E46" s="15">
        <v>8828</v>
      </c>
      <c r="F46" s="52">
        <v>2222</v>
      </c>
      <c r="G46" s="52">
        <v>777</v>
      </c>
      <c r="H46" s="52">
        <v>454</v>
      </c>
      <c r="I46" s="52">
        <v>271</v>
      </c>
      <c r="J46" s="77">
        <v>234.70999999999998</v>
      </c>
      <c r="K46" s="73">
        <f>SUM($J$34,$J$42:J46)/$C$6</f>
        <v>0.63307655194596335</v>
      </c>
      <c r="L46" s="305">
        <f t="shared" si="68"/>
        <v>1.0786455488803932E-3</v>
      </c>
      <c r="M46" s="1204">
        <f t="shared" si="9"/>
        <v>1295.4166666666667</v>
      </c>
      <c r="N46" s="307">
        <f t="shared" si="69"/>
        <v>2.6586995922066151E-2</v>
      </c>
      <c r="O46" s="307">
        <f t="shared" si="70"/>
        <v>0.86608856088560882</v>
      </c>
      <c r="P46" s="380">
        <f t="shared" si="71"/>
        <v>6.8147957542618203</v>
      </c>
      <c r="Q46" s="143">
        <v>17</v>
      </c>
      <c r="R46" s="52"/>
      <c r="S46" s="52"/>
      <c r="T46" s="1003">
        <f t="shared" si="11"/>
        <v>276.35555555555555</v>
      </c>
      <c r="U46" s="455">
        <f t="shared" si="72"/>
        <v>6.1514956577677707E-2</v>
      </c>
      <c r="V46" s="225">
        <f t="shared" si="73"/>
        <v>13.806470588235292</v>
      </c>
      <c r="W46" s="308">
        <f t="shared" si="74"/>
        <v>0.21518987341772153</v>
      </c>
      <c r="X46" s="684">
        <v>114.44444444444444</v>
      </c>
      <c r="Y46" s="392">
        <v>0.72222222222222221</v>
      </c>
      <c r="Z46" s="166">
        <v>52082</v>
      </c>
      <c r="AA46" s="15">
        <v>54</v>
      </c>
      <c r="AB46" s="15">
        <v>6253</v>
      </c>
      <c r="AC46" s="52">
        <v>1600</v>
      </c>
      <c r="AD46" s="52">
        <v>563</v>
      </c>
      <c r="AE46" s="52">
        <v>332</v>
      </c>
      <c r="AF46" s="52">
        <v>199</v>
      </c>
      <c r="AG46" s="642">
        <v>159.47999999999999</v>
      </c>
      <c r="AH46" s="554">
        <f t="shared" si="75"/>
        <v>2.5504557812250118E-2</v>
      </c>
      <c r="AI46" s="554">
        <f t="shared" si="76"/>
        <v>0.8014070351758793</v>
      </c>
      <c r="AJ46" s="555">
        <f t="shared" si="77"/>
        <v>1.0368265427594947E-3</v>
      </c>
      <c r="AK46" s="553">
        <v>9</v>
      </c>
      <c r="AL46" s="553"/>
      <c r="AM46" s="553"/>
      <c r="AN46" s="581">
        <f t="shared" si="78"/>
        <v>17.72</v>
      </c>
      <c r="AO46" s="595">
        <f t="shared" si="79"/>
        <v>0.16666666666666666</v>
      </c>
      <c r="AP46" s="125"/>
      <c r="AQ46" s="170"/>
      <c r="AR46" s="166">
        <v>5640</v>
      </c>
      <c r="AS46" s="15">
        <v>6</v>
      </c>
      <c r="AT46" s="15">
        <v>793</v>
      </c>
      <c r="AU46" s="52">
        <v>236</v>
      </c>
      <c r="AV46" s="52">
        <v>81</v>
      </c>
      <c r="AW46" s="52">
        <v>49</v>
      </c>
      <c r="AX46" s="52">
        <v>29</v>
      </c>
      <c r="AY46" s="77">
        <v>25.19</v>
      </c>
      <c r="AZ46" s="1176">
        <f t="shared" si="80"/>
        <v>3.1765447667087013E-2</v>
      </c>
      <c r="BA46" s="1176">
        <f t="shared" si="81"/>
        <v>0.86862068965517247</v>
      </c>
      <c r="BB46" s="1177">
        <f t="shared" si="60"/>
        <v>1.0638297872340426E-3</v>
      </c>
      <c r="BC46" s="902">
        <v>2</v>
      </c>
      <c r="BD46" s="553"/>
      <c r="BE46" s="553"/>
      <c r="BF46" s="594">
        <f t="shared" si="82"/>
        <v>12.595000000000001</v>
      </c>
      <c r="BG46" s="595">
        <f t="shared" si="83"/>
        <v>0.33333333333333331</v>
      </c>
      <c r="BH46" s="125"/>
      <c r="BI46" s="170"/>
      <c r="BJ46" s="166">
        <v>15518</v>
      </c>
      <c r="BK46" s="15">
        <v>19</v>
      </c>
      <c r="BL46" s="15">
        <v>1782</v>
      </c>
      <c r="BM46" s="52">
        <v>386</v>
      </c>
      <c r="BN46" s="52">
        <v>133</v>
      </c>
      <c r="BO46" s="52">
        <v>73</v>
      </c>
      <c r="BP46" s="52">
        <v>43</v>
      </c>
      <c r="BQ46" s="77">
        <v>50.04</v>
      </c>
      <c r="BR46" s="1176">
        <f t="shared" si="84"/>
        <v>2.8080808080808081E-2</v>
      </c>
      <c r="BS46" s="1176">
        <f t="shared" si="85"/>
        <v>1.1637209302325582</v>
      </c>
      <c r="BT46" s="1177">
        <f t="shared" si="61"/>
        <v>1.2243845856424796E-3</v>
      </c>
      <c r="BU46" s="902">
        <v>6</v>
      </c>
      <c r="BV46" s="553"/>
      <c r="BW46" s="1123"/>
      <c r="BX46" s="1316">
        <f t="shared" si="86"/>
        <v>8.34</v>
      </c>
      <c r="BY46" s="1211">
        <f t="shared" si="87"/>
        <v>0.31578947368421051</v>
      </c>
      <c r="BZ46" s="125"/>
      <c r="CA46" s="170"/>
    </row>
    <row r="47" spans="2:79">
      <c r="B47" s="189">
        <v>44870</v>
      </c>
      <c r="C47" s="15">
        <v>73422</v>
      </c>
      <c r="D47" s="15">
        <v>91</v>
      </c>
      <c r="E47" s="15">
        <v>9143</v>
      </c>
      <c r="F47" s="52">
        <v>2361</v>
      </c>
      <c r="G47" s="52">
        <v>858</v>
      </c>
      <c r="H47" s="52">
        <v>502</v>
      </c>
      <c r="I47" s="52">
        <v>322</v>
      </c>
      <c r="J47" s="77">
        <v>257.56</v>
      </c>
      <c r="K47" s="73">
        <f>SUM($J$34,$J$42:J47)/$C$6</f>
        <v>0.67449823094242534</v>
      </c>
      <c r="L47" s="305">
        <f t="shared" si="68"/>
        <v>1.2394105309035438E-3</v>
      </c>
      <c r="M47" s="1204">
        <f t="shared" si="9"/>
        <v>1295.4166666666667</v>
      </c>
      <c r="N47" s="307">
        <f t="shared" si="69"/>
        <v>2.817018484086186E-2</v>
      </c>
      <c r="O47" s="307">
        <f t="shared" si="70"/>
        <v>0.7998757763975155</v>
      </c>
      <c r="P47" s="380">
        <f t="shared" si="71"/>
        <v>7.057960759086523</v>
      </c>
      <c r="Q47" s="143">
        <v>29</v>
      </c>
      <c r="R47" s="52"/>
      <c r="S47" s="52"/>
      <c r="T47" s="1003">
        <f t="shared" si="11"/>
        <v>276.35555555555555</v>
      </c>
      <c r="U47" s="455">
        <f t="shared" si="72"/>
        <v>0.10493727886780316</v>
      </c>
      <c r="V47" s="225">
        <f t="shared" si="73"/>
        <v>8.881379310344828</v>
      </c>
      <c r="W47" s="308">
        <f t="shared" si="74"/>
        <v>0.31868131868131866</v>
      </c>
      <c r="X47" s="684">
        <v>10.111111111111111</v>
      </c>
      <c r="Y47" s="392">
        <v>0.92592592592592593</v>
      </c>
      <c r="Z47" s="166">
        <v>50543</v>
      </c>
      <c r="AA47" s="15">
        <v>57</v>
      </c>
      <c r="AB47" s="15">
        <v>6346</v>
      </c>
      <c r="AC47" s="52">
        <v>1686</v>
      </c>
      <c r="AD47" s="52">
        <v>613</v>
      </c>
      <c r="AE47" s="52">
        <v>372</v>
      </c>
      <c r="AF47" s="52">
        <v>238</v>
      </c>
      <c r="AG47" s="642">
        <v>160.71</v>
      </c>
      <c r="AH47" s="554">
        <f t="shared" si="75"/>
        <v>2.532461393003467E-2</v>
      </c>
      <c r="AI47" s="554">
        <f t="shared" si="76"/>
        <v>0.67525210084033616</v>
      </c>
      <c r="AJ47" s="555">
        <f t="shared" si="77"/>
        <v>1.127752606691332E-3</v>
      </c>
      <c r="AK47" s="553">
        <v>18</v>
      </c>
      <c r="AL47" s="553"/>
      <c r="AM47" s="553"/>
      <c r="AN47" s="581">
        <f t="shared" si="78"/>
        <v>8.9283333333333346</v>
      </c>
      <c r="AO47" s="595">
        <f t="shared" si="79"/>
        <v>0.31578947368421051</v>
      </c>
      <c r="AP47" s="125"/>
      <c r="AQ47" s="170"/>
      <c r="AR47" s="166">
        <v>5267</v>
      </c>
      <c r="AS47" s="15">
        <v>10</v>
      </c>
      <c r="AT47" s="15">
        <v>672</v>
      </c>
      <c r="AU47" s="52">
        <v>182</v>
      </c>
      <c r="AV47" s="52">
        <v>67</v>
      </c>
      <c r="AW47" s="52">
        <v>44</v>
      </c>
      <c r="AX47" s="52">
        <v>32</v>
      </c>
      <c r="AY47" s="77">
        <v>28.52</v>
      </c>
      <c r="AZ47" s="1176">
        <f t="shared" si="80"/>
        <v>4.2440476190476188E-2</v>
      </c>
      <c r="BA47" s="1176">
        <f t="shared" si="81"/>
        <v>0.89124999999999999</v>
      </c>
      <c r="BB47" s="1177">
        <f t="shared" si="60"/>
        <v>1.8986140117714068E-3</v>
      </c>
      <c r="BC47" s="902">
        <v>2</v>
      </c>
      <c r="BD47" s="553"/>
      <c r="BE47" s="553"/>
      <c r="BF47" s="594">
        <f t="shared" si="82"/>
        <v>14.26</v>
      </c>
      <c r="BG47" s="595">
        <f t="shared" si="83"/>
        <v>0.2</v>
      </c>
      <c r="BH47" s="125"/>
      <c r="BI47" s="170"/>
      <c r="BJ47" s="166">
        <v>17612</v>
      </c>
      <c r="BK47" s="15">
        <v>24</v>
      </c>
      <c r="BL47" s="15">
        <v>2125</v>
      </c>
      <c r="BM47" s="52">
        <v>493</v>
      </c>
      <c r="BN47" s="52">
        <v>178</v>
      </c>
      <c r="BO47" s="52">
        <v>86</v>
      </c>
      <c r="BP47" s="52">
        <v>52</v>
      </c>
      <c r="BQ47" s="77">
        <v>68.33</v>
      </c>
      <c r="BR47" s="1176">
        <f t="shared" si="84"/>
        <v>3.215529411764706E-2</v>
      </c>
      <c r="BS47" s="1176">
        <f t="shared" si="85"/>
        <v>1.3140384615384615</v>
      </c>
      <c r="BT47" s="1177">
        <f t="shared" si="61"/>
        <v>1.3627072450601862E-3</v>
      </c>
      <c r="BU47" s="902">
        <v>9</v>
      </c>
      <c r="BV47" s="553"/>
      <c r="BW47" s="1123"/>
      <c r="BX47" s="1316">
        <f t="shared" si="86"/>
        <v>7.5922222222222224</v>
      </c>
      <c r="BY47" s="1211">
        <f t="shared" si="87"/>
        <v>0.375</v>
      </c>
      <c r="BZ47" s="125"/>
      <c r="CA47" s="170"/>
    </row>
    <row r="48" spans="2:79">
      <c r="B48" s="187">
        <v>44871</v>
      </c>
      <c r="C48" s="15">
        <v>71563</v>
      </c>
      <c r="D48" s="15">
        <v>62</v>
      </c>
      <c r="E48" s="15">
        <v>9120</v>
      </c>
      <c r="F48" s="52">
        <v>2240</v>
      </c>
      <c r="G48" s="52">
        <v>776</v>
      </c>
      <c r="H48" s="52">
        <v>438</v>
      </c>
      <c r="I48" s="52">
        <v>269</v>
      </c>
      <c r="J48" s="77">
        <v>241.22</v>
      </c>
      <c r="K48" s="73">
        <f>SUM($J$34,$J$42:J48)/$C$6</f>
        <v>0.71329205532325524</v>
      </c>
      <c r="L48" s="305">
        <f t="shared" si="68"/>
        <v>8.6636949261489871E-4</v>
      </c>
      <c r="M48" s="1204">
        <f t="shared" si="9"/>
        <v>1295.4166666666667</v>
      </c>
      <c r="N48" s="307">
        <f t="shared" si="69"/>
        <v>2.6449561403508771E-2</v>
      </c>
      <c r="O48" s="307">
        <f t="shared" si="70"/>
        <v>0.89672862453531599</v>
      </c>
      <c r="P48" s="380">
        <f t="shared" si="71"/>
        <v>7.0402058539723376</v>
      </c>
      <c r="Q48" s="143">
        <v>24</v>
      </c>
      <c r="R48" s="52"/>
      <c r="S48" s="52"/>
      <c r="T48" s="1003">
        <f t="shared" si="11"/>
        <v>276.35555555555555</v>
      </c>
      <c r="U48" s="455">
        <f t="shared" si="72"/>
        <v>8.6844644580250888E-2</v>
      </c>
      <c r="V48" s="225">
        <f t="shared" si="73"/>
        <v>10.050833333333333</v>
      </c>
      <c r="W48" s="316">
        <f t="shared" si="74"/>
        <v>0.38709677419354838</v>
      </c>
      <c r="X48" s="686">
        <v>37.269607843137258</v>
      </c>
      <c r="Y48" s="392">
        <v>0.87745098039215685</v>
      </c>
      <c r="Z48" s="166">
        <v>43434</v>
      </c>
      <c r="AA48" s="15">
        <v>35</v>
      </c>
      <c r="AB48" s="15">
        <v>5748</v>
      </c>
      <c r="AC48" s="52">
        <v>1445</v>
      </c>
      <c r="AD48" s="52">
        <v>500</v>
      </c>
      <c r="AE48" s="52">
        <v>289</v>
      </c>
      <c r="AF48" s="52">
        <v>171</v>
      </c>
      <c r="AG48" s="642">
        <v>136.66</v>
      </c>
      <c r="AH48" s="554">
        <f t="shared" si="75"/>
        <v>2.3775226165622824E-2</v>
      </c>
      <c r="AI48" s="554">
        <f t="shared" si="76"/>
        <v>0.79918128654970755</v>
      </c>
      <c r="AJ48" s="555">
        <f t="shared" si="77"/>
        <v>8.0582032509094262E-4</v>
      </c>
      <c r="AK48" s="553">
        <v>17</v>
      </c>
      <c r="AL48" s="553"/>
      <c r="AM48" s="553"/>
      <c r="AN48" s="581">
        <f t="shared" si="78"/>
        <v>8.0388235294117649</v>
      </c>
      <c r="AO48" s="595">
        <f t="shared" si="79"/>
        <v>0.48571428571428571</v>
      </c>
      <c r="AP48" s="125"/>
      <c r="AQ48" s="170"/>
      <c r="AR48" s="166">
        <v>7456</v>
      </c>
      <c r="AS48" s="15">
        <v>10</v>
      </c>
      <c r="AT48" s="15">
        <v>973</v>
      </c>
      <c r="AU48" s="52">
        <v>277</v>
      </c>
      <c r="AV48" s="52">
        <v>106</v>
      </c>
      <c r="AW48" s="52">
        <v>68</v>
      </c>
      <c r="AX48" s="52">
        <v>45</v>
      </c>
      <c r="AY48" s="77">
        <v>35.6</v>
      </c>
      <c r="AZ48" s="1176">
        <f t="shared" si="80"/>
        <v>3.6587872559095583E-2</v>
      </c>
      <c r="BA48" s="1176">
        <f t="shared" si="81"/>
        <v>0.7911111111111111</v>
      </c>
      <c r="BB48" s="1177">
        <f t="shared" si="60"/>
        <v>1.3412017167381974E-3</v>
      </c>
      <c r="BC48" s="902">
        <v>4</v>
      </c>
      <c r="BD48" s="553"/>
      <c r="BE48" s="553"/>
      <c r="BF48" s="594">
        <f t="shared" si="82"/>
        <v>8.9</v>
      </c>
      <c r="BG48" s="595">
        <f t="shared" si="83"/>
        <v>0.4</v>
      </c>
      <c r="BH48" s="125"/>
      <c r="BI48" s="170"/>
      <c r="BJ48" s="166">
        <v>20673</v>
      </c>
      <c r="BK48" s="15">
        <v>17</v>
      </c>
      <c r="BL48" s="15">
        <v>2399</v>
      </c>
      <c r="BM48" s="52">
        <v>518</v>
      </c>
      <c r="BN48" s="52">
        <v>170</v>
      </c>
      <c r="BO48" s="52">
        <v>81</v>
      </c>
      <c r="BP48" s="52">
        <v>53</v>
      </c>
      <c r="BQ48" s="77">
        <v>68.959999999999994</v>
      </c>
      <c r="BR48" s="1176">
        <f t="shared" si="84"/>
        <v>2.8745310546060856E-2</v>
      </c>
      <c r="BS48" s="1176">
        <f t="shared" si="85"/>
        <v>1.301132075471698</v>
      </c>
      <c r="BT48" s="1177">
        <f t="shared" si="61"/>
        <v>8.2232864122285107E-4</v>
      </c>
      <c r="BU48" s="902">
        <v>3</v>
      </c>
      <c r="BV48" s="553"/>
      <c r="BW48" s="1123"/>
      <c r="BX48" s="1316">
        <f t="shared" si="86"/>
        <v>22.986666666666665</v>
      </c>
      <c r="BY48" s="1211">
        <f t="shared" si="87"/>
        <v>0.17647058823529413</v>
      </c>
      <c r="BZ48" s="125"/>
      <c r="CA48" s="170"/>
    </row>
    <row r="49" spans="2:79">
      <c r="B49" s="187">
        <v>44872</v>
      </c>
      <c r="C49" s="15">
        <v>68203</v>
      </c>
      <c r="D49" s="15">
        <v>78</v>
      </c>
      <c r="E49" s="15">
        <v>8891</v>
      </c>
      <c r="F49" s="52">
        <v>2260</v>
      </c>
      <c r="G49" s="52">
        <v>842</v>
      </c>
      <c r="H49" s="52">
        <v>488</v>
      </c>
      <c r="I49" s="52">
        <v>294</v>
      </c>
      <c r="J49" s="77">
        <v>229.32999999999998</v>
      </c>
      <c r="K49" s="73">
        <f>SUM($J$34,$J$42:J49)/$C$6</f>
        <v>0.75017368928916062</v>
      </c>
      <c r="L49" s="305">
        <f t="shared" si="68"/>
        <v>1.1436447077108045E-3</v>
      </c>
      <c r="M49" s="1204">
        <f t="shared" si="9"/>
        <v>1295.4166666666667</v>
      </c>
      <c r="N49" s="307">
        <f t="shared" si="69"/>
        <v>2.5793499043977052E-2</v>
      </c>
      <c r="O49" s="307">
        <f t="shared" si="70"/>
        <v>0.78003401360544211</v>
      </c>
      <c r="P49" s="380">
        <f t="shared" si="71"/>
        <v>6.863428755226761</v>
      </c>
      <c r="Q49" s="143">
        <v>26</v>
      </c>
      <c r="R49" s="52"/>
      <c r="S49" s="52"/>
      <c r="T49" s="1003">
        <f t="shared" si="11"/>
        <v>276.35555555555555</v>
      </c>
      <c r="U49" s="455">
        <f t="shared" si="72"/>
        <v>9.4081698295271798E-2</v>
      </c>
      <c r="V49" s="225">
        <f t="shared" si="73"/>
        <v>8.820384615384615</v>
      </c>
      <c r="W49" s="561">
        <f t="shared" si="74"/>
        <v>0.33333333333333331</v>
      </c>
      <c r="X49" s="687">
        <v>9.0370370370370381</v>
      </c>
      <c r="Y49" s="392">
        <v>0.74074074074074081</v>
      </c>
      <c r="Z49" s="166">
        <v>46014</v>
      </c>
      <c r="AA49" s="15">
        <v>51</v>
      </c>
      <c r="AB49" s="15">
        <v>6117</v>
      </c>
      <c r="AC49" s="52">
        <v>1606</v>
      </c>
      <c r="AD49" s="52">
        <v>612</v>
      </c>
      <c r="AE49" s="52">
        <v>366</v>
      </c>
      <c r="AF49" s="52">
        <v>215</v>
      </c>
      <c r="AG49" s="642">
        <v>138.91</v>
      </c>
      <c r="AH49" s="554">
        <f t="shared" si="75"/>
        <v>2.2708844204675494E-2</v>
      </c>
      <c r="AI49" s="554">
        <f t="shared" si="76"/>
        <v>0.64609302325581397</v>
      </c>
      <c r="AJ49" s="555">
        <f t="shared" si="77"/>
        <v>1.1083583257269526E-3</v>
      </c>
      <c r="AK49" s="553">
        <v>18</v>
      </c>
      <c r="AL49" s="553"/>
      <c r="AM49" s="553"/>
      <c r="AN49" s="581">
        <f t="shared" si="78"/>
        <v>7.7172222222222224</v>
      </c>
      <c r="AO49" s="595">
        <f t="shared" si="79"/>
        <v>0.35294117647058826</v>
      </c>
      <c r="AP49" s="125"/>
      <c r="AQ49" s="170"/>
      <c r="AR49" s="166">
        <v>10170</v>
      </c>
      <c r="AS49" s="15">
        <v>14</v>
      </c>
      <c r="AT49" s="15">
        <v>1305</v>
      </c>
      <c r="AU49" s="52">
        <v>342</v>
      </c>
      <c r="AV49" s="52">
        <v>122</v>
      </c>
      <c r="AW49" s="52">
        <v>71</v>
      </c>
      <c r="AX49" s="52">
        <v>52</v>
      </c>
      <c r="AY49" s="77">
        <v>44.91</v>
      </c>
      <c r="AZ49" s="1176">
        <f t="shared" si="80"/>
        <v>3.4413793103448276E-2</v>
      </c>
      <c r="BA49" s="1176">
        <f t="shared" si="81"/>
        <v>0.86365384615384611</v>
      </c>
      <c r="BB49" s="1177">
        <f t="shared" si="60"/>
        <v>1.3765978367748278E-3</v>
      </c>
      <c r="BC49" s="902">
        <v>2</v>
      </c>
      <c r="BD49" s="553"/>
      <c r="BE49" s="553"/>
      <c r="BF49" s="594">
        <f t="shared" si="82"/>
        <v>22.454999999999998</v>
      </c>
      <c r="BG49" s="595">
        <f t="shared" si="83"/>
        <v>0.14285714285714285</v>
      </c>
      <c r="BH49" s="125"/>
      <c r="BI49" s="170"/>
      <c r="BJ49" s="166">
        <v>12019</v>
      </c>
      <c r="BK49" s="15">
        <v>13</v>
      </c>
      <c r="BL49" s="15">
        <v>1469</v>
      </c>
      <c r="BM49" s="52">
        <v>312</v>
      </c>
      <c r="BN49" s="52">
        <v>108</v>
      </c>
      <c r="BO49" s="52">
        <v>51</v>
      </c>
      <c r="BP49" s="52">
        <v>27</v>
      </c>
      <c r="BQ49" s="77">
        <v>45.51</v>
      </c>
      <c r="BR49" s="1176">
        <f t="shared" si="84"/>
        <v>3.0980258679373721E-2</v>
      </c>
      <c r="BS49" s="1176">
        <f t="shared" si="85"/>
        <v>1.6855555555555555</v>
      </c>
      <c r="BT49" s="1177">
        <f t="shared" si="61"/>
        <v>1.0816207671187287E-3</v>
      </c>
      <c r="BU49" s="902">
        <v>6</v>
      </c>
      <c r="BV49" s="553"/>
      <c r="BW49" s="1123"/>
      <c r="BX49" s="1316">
        <f t="shared" si="86"/>
        <v>7.585</v>
      </c>
      <c r="BY49" s="1211">
        <f t="shared" si="87"/>
        <v>0.46153846153846156</v>
      </c>
      <c r="BZ49" s="125"/>
      <c r="CA49" s="170"/>
    </row>
    <row r="50" spans="2:79">
      <c r="B50" s="190" t="s">
        <v>160</v>
      </c>
      <c r="C50" s="298">
        <f>SUM(C43:C49)</f>
        <v>486961</v>
      </c>
      <c r="D50" s="298">
        <f t="shared" ref="D50:J50" si="88">SUM(D43:D49)</f>
        <v>536</v>
      </c>
      <c r="E50" s="298">
        <f t="shared" si="88"/>
        <v>60533</v>
      </c>
      <c r="F50" s="298">
        <f t="shared" si="88"/>
        <v>15263</v>
      </c>
      <c r="G50" s="298">
        <f t="shared" si="88"/>
        <v>5504</v>
      </c>
      <c r="H50" s="298">
        <f t="shared" si="88"/>
        <v>3176</v>
      </c>
      <c r="I50" s="298">
        <f t="shared" si="88"/>
        <v>1958</v>
      </c>
      <c r="J50" s="479">
        <f t="shared" si="88"/>
        <v>1603.78</v>
      </c>
      <c r="K50" s="599">
        <f>SUM($J$34,$J$42:J49)/C$6</f>
        <v>0.75017368928916062</v>
      </c>
      <c r="L50" s="299">
        <f>D50/C50</f>
        <v>1.1007041631670709E-3</v>
      </c>
      <c r="M50" s="300">
        <f>SUM(M43:M49)</f>
        <v>9067.9166666666679</v>
      </c>
      <c r="N50" s="301">
        <f>J50/E50</f>
        <v>2.649430888936613E-2</v>
      </c>
      <c r="O50" s="301">
        <f>J50/I50</f>
        <v>0.81909090909090909</v>
      </c>
      <c r="P50" s="302">
        <f>E50/M50</f>
        <v>6.6755134861921599</v>
      </c>
      <c r="Q50" s="121">
        <f>SUM(Q43:Q49)</f>
        <v>167</v>
      </c>
      <c r="R50" s="27"/>
      <c r="S50" s="27"/>
      <c r="T50" s="27">
        <f>SUM(T43:T49)</f>
        <v>1934.4888888888891</v>
      </c>
      <c r="U50" s="572">
        <f>Q50/T50</f>
        <v>8.6327712172035095E-2</v>
      </c>
      <c r="V50" s="237">
        <f>J50/Q50</f>
        <v>9.6034730538922162</v>
      </c>
      <c r="W50" s="317">
        <f>Q50/D50</f>
        <v>0.31156716417910446</v>
      </c>
      <c r="X50" s="682">
        <f>AVERAGE(X43:X49)</f>
        <v>30.6895580454404</v>
      </c>
      <c r="Y50" s="317">
        <f>AVERAGE(Y43:Y49)</f>
        <v>0.85191409897292247</v>
      </c>
      <c r="Z50" s="164">
        <f>SUM(Z43:Z49)</f>
        <v>300932</v>
      </c>
      <c r="AA50" s="27">
        <f t="shared" ref="AA50:AK50" si="89">SUM(AA43:AA49)</f>
        <v>314</v>
      </c>
      <c r="AB50" s="27">
        <f t="shared" si="89"/>
        <v>38756</v>
      </c>
      <c r="AC50" s="27">
        <f t="shared" si="89"/>
        <v>10162</v>
      </c>
      <c r="AD50" s="27">
        <f t="shared" si="89"/>
        <v>3697</v>
      </c>
      <c r="AE50" s="27">
        <f t="shared" si="89"/>
        <v>2184</v>
      </c>
      <c r="AF50" s="27">
        <f t="shared" si="89"/>
        <v>1319</v>
      </c>
      <c r="AG50" s="479">
        <f t="shared" si="89"/>
        <v>911.68999999999994</v>
      </c>
      <c r="AH50" s="549">
        <f>AG50/AB50</f>
        <v>2.3523841469707915E-2</v>
      </c>
      <c r="AI50" s="549">
        <f>AG50/AF50</f>
        <v>0.69119787717968151</v>
      </c>
      <c r="AJ50" s="550">
        <f>AA50/Z50</f>
        <v>1.0434250927119748E-3</v>
      </c>
      <c r="AK50" s="551">
        <f t="shared" si="89"/>
        <v>106</v>
      </c>
      <c r="AL50" s="298"/>
      <c r="AM50" s="298"/>
      <c r="AN50" s="552">
        <f t="shared" si="78"/>
        <v>8.6008490566037725</v>
      </c>
      <c r="AO50" s="550">
        <f t="shared" si="79"/>
        <v>0.33757961783439489</v>
      </c>
      <c r="AP50" s="130"/>
      <c r="AQ50" s="165"/>
      <c r="AR50" s="164">
        <f>SUM(AR43:AR49)</f>
        <v>72696</v>
      </c>
      <c r="AS50" s="27">
        <f t="shared" ref="AS50:AY50" si="90">SUM(AS43:AS49)</f>
        <v>94</v>
      </c>
      <c r="AT50" s="27">
        <f t="shared" si="90"/>
        <v>8689</v>
      </c>
      <c r="AU50" s="27">
        <f t="shared" si="90"/>
        <v>2287</v>
      </c>
      <c r="AV50" s="27">
        <f t="shared" si="90"/>
        <v>828</v>
      </c>
      <c r="AW50" s="27">
        <f t="shared" si="90"/>
        <v>481</v>
      </c>
      <c r="AX50" s="27">
        <f t="shared" si="90"/>
        <v>331</v>
      </c>
      <c r="AY50" s="74">
        <f t="shared" si="90"/>
        <v>311.74</v>
      </c>
      <c r="AZ50" s="549">
        <f t="shared" si="80"/>
        <v>3.5877546322937048E-2</v>
      </c>
      <c r="BA50" s="549">
        <f t="shared" si="81"/>
        <v>0.94181268882175229</v>
      </c>
      <c r="BB50" s="550">
        <f t="shared" si="60"/>
        <v>1.2930560140860571E-3</v>
      </c>
      <c r="BC50" s="551">
        <f t="shared" ref="BC50" si="91">SUM(BC43:BC49)</f>
        <v>24</v>
      </c>
      <c r="BD50" s="298"/>
      <c r="BE50" s="298"/>
      <c r="BF50" s="552">
        <f t="shared" si="82"/>
        <v>12.989166666666668</v>
      </c>
      <c r="BG50" s="550">
        <f t="shared" si="83"/>
        <v>0.25531914893617019</v>
      </c>
      <c r="BH50" s="130"/>
      <c r="BI50" s="165"/>
      <c r="BJ50" s="164">
        <f>SUM(BJ43:BJ49)</f>
        <v>113333</v>
      </c>
      <c r="BK50" s="27">
        <f t="shared" ref="BK50:BQ50" si="92">SUM(BK43:BK49)</f>
        <v>128</v>
      </c>
      <c r="BL50" s="27">
        <f t="shared" si="92"/>
        <v>13088</v>
      </c>
      <c r="BM50" s="27">
        <f t="shared" si="92"/>
        <v>2814</v>
      </c>
      <c r="BN50" s="27">
        <f t="shared" si="92"/>
        <v>979</v>
      </c>
      <c r="BO50" s="27">
        <f t="shared" si="92"/>
        <v>511</v>
      </c>
      <c r="BP50" s="27">
        <f t="shared" si="92"/>
        <v>308</v>
      </c>
      <c r="BQ50" s="227">
        <f t="shared" si="92"/>
        <v>380.34999999999997</v>
      </c>
      <c r="BR50" s="1142">
        <f t="shared" si="84"/>
        <v>2.9060971882640584E-2</v>
      </c>
      <c r="BS50" s="1142">
        <f t="shared" si="85"/>
        <v>1.2349025974025973</v>
      </c>
      <c r="BT50" s="900">
        <f t="shared" si="61"/>
        <v>1.1294150865149603E-3</v>
      </c>
      <c r="BU50" s="551">
        <f t="shared" ref="BU50" si="93">SUM(BU43:BU49)</f>
        <v>37</v>
      </c>
      <c r="BV50" s="298"/>
      <c r="BW50" s="300"/>
      <c r="BX50" s="899">
        <f t="shared" si="86"/>
        <v>10.279729729729729</v>
      </c>
      <c r="BY50" s="900">
        <f>BU50/BK50</f>
        <v>0.2890625</v>
      </c>
      <c r="BZ50" s="126"/>
      <c r="CA50" s="171"/>
    </row>
    <row r="51" spans="2:79">
      <c r="B51" s="187">
        <v>44873</v>
      </c>
      <c r="C51" s="15">
        <v>64322</v>
      </c>
      <c r="D51" s="15">
        <v>73</v>
      </c>
      <c r="E51" s="15">
        <v>8664</v>
      </c>
      <c r="F51" s="52">
        <v>2273</v>
      </c>
      <c r="G51" s="52">
        <v>804</v>
      </c>
      <c r="H51" s="52">
        <v>461</v>
      </c>
      <c r="I51" s="52">
        <v>271</v>
      </c>
      <c r="J51" s="77">
        <v>234.31</v>
      </c>
      <c r="K51" s="998">
        <f>SUM($J$34,$J$42,$J$50:J51)/$C$6</f>
        <v>0.78785622386619492</v>
      </c>
      <c r="L51" s="1615">
        <f>D51/C51</f>
        <v>1.1349149591119679E-3</v>
      </c>
      <c r="M51" s="1616">
        <f t="shared" si="9"/>
        <v>1295.4166666666667</v>
      </c>
      <c r="N51" s="996">
        <f>J51/E51</f>
        <v>2.7044090489381348E-2</v>
      </c>
      <c r="O51" s="307">
        <f>J51/I51</f>
        <v>0.86461254612546123</v>
      </c>
      <c r="P51" s="380">
        <f>E51/M51</f>
        <v>6.6881955612737212</v>
      </c>
      <c r="Q51" s="143">
        <v>16</v>
      </c>
      <c r="R51" s="52"/>
      <c r="S51" s="52"/>
      <c r="T51" s="1003">
        <f t="shared" si="11"/>
        <v>276.35555555555555</v>
      </c>
      <c r="U51" s="139">
        <f>Q51/T51</f>
        <v>5.7896429720167258E-2</v>
      </c>
      <c r="V51" s="225">
        <f>J51/Q51</f>
        <v>14.644375</v>
      </c>
      <c r="W51" s="561">
        <f>Q51/D51</f>
        <v>0.21917808219178081</v>
      </c>
      <c r="X51" s="687">
        <v>35.166666666666664</v>
      </c>
      <c r="Y51" s="392">
        <v>0.80555555555555547</v>
      </c>
      <c r="Z51" s="166">
        <v>47249</v>
      </c>
      <c r="AA51" s="15">
        <v>54</v>
      </c>
      <c r="AB51" s="15">
        <v>6362</v>
      </c>
      <c r="AC51" s="52">
        <v>1727</v>
      </c>
      <c r="AD51" s="52">
        <v>609</v>
      </c>
      <c r="AE51" s="52">
        <v>357</v>
      </c>
      <c r="AF51" s="52">
        <v>210</v>
      </c>
      <c r="AG51" s="641">
        <v>153.62</v>
      </c>
      <c r="AH51" s="713">
        <f>AG51/AB51</f>
        <v>2.4146494812951901E-2</v>
      </c>
      <c r="AI51" s="714">
        <f>AG51/AF51</f>
        <v>0.73152380952380958</v>
      </c>
      <c r="AJ51" s="715">
        <f>AA51/Z51</f>
        <v>1.1428813308218162E-3</v>
      </c>
      <c r="AK51" s="143">
        <v>12</v>
      </c>
      <c r="AL51" s="52"/>
      <c r="AM51" s="52"/>
      <c r="AN51" s="312">
        <f t="shared" si="78"/>
        <v>12.801666666666668</v>
      </c>
      <c r="AO51" s="316">
        <f t="shared" si="79"/>
        <v>0.22222222222222221</v>
      </c>
      <c r="AP51" s="125"/>
      <c r="AQ51" s="170"/>
      <c r="AR51" s="166">
        <v>9696</v>
      </c>
      <c r="AS51" s="15">
        <v>10</v>
      </c>
      <c r="AT51" s="15">
        <v>1293</v>
      </c>
      <c r="AU51" s="52">
        <v>308</v>
      </c>
      <c r="AV51" s="52">
        <v>107</v>
      </c>
      <c r="AW51" s="52">
        <v>60</v>
      </c>
      <c r="AX51" s="52">
        <v>41</v>
      </c>
      <c r="AY51" s="641">
        <v>45.88</v>
      </c>
      <c r="AZ51" s="713">
        <f t="shared" si="80"/>
        <v>3.548337200309358E-2</v>
      </c>
      <c r="BA51" s="714">
        <f t="shared" si="81"/>
        <v>1.1190243902439025</v>
      </c>
      <c r="BB51" s="715">
        <f>AS51/AR51</f>
        <v>1.0313531353135313E-3</v>
      </c>
      <c r="BC51" s="143">
        <v>2</v>
      </c>
      <c r="BD51" s="52"/>
      <c r="BE51" s="52"/>
      <c r="BF51" s="228">
        <f t="shared" si="82"/>
        <v>22.94</v>
      </c>
      <c r="BG51" s="316">
        <f t="shared" si="83"/>
        <v>0.2</v>
      </c>
      <c r="BH51" s="125"/>
      <c r="BI51" s="170"/>
      <c r="BJ51" s="166">
        <v>7377</v>
      </c>
      <c r="BK51" s="15">
        <v>9</v>
      </c>
      <c r="BL51" s="15">
        <v>1009</v>
      </c>
      <c r="BM51" s="52">
        <v>238</v>
      </c>
      <c r="BN51" s="52">
        <v>88</v>
      </c>
      <c r="BO51" s="52">
        <v>44</v>
      </c>
      <c r="BP51" s="52">
        <v>20</v>
      </c>
      <c r="BQ51" s="77">
        <v>34.81</v>
      </c>
      <c r="BR51" s="554">
        <f t="shared" si="84"/>
        <v>3.4499504459861254E-2</v>
      </c>
      <c r="BS51" s="554">
        <f t="shared" si="85"/>
        <v>1.7405000000000002</v>
      </c>
      <c r="BT51" s="555">
        <f>BK51/BJ51</f>
        <v>1.2200081333875558E-3</v>
      </c>
      <c r="BU51" s="143">
        <v>2</v>
      </c>
      <c r="BV51" s="52"/>
      <c r="BW51" s="52"/>
      <c r="BX51" s="1192">
        <f t="shared" si="86"/>
        <v>17.405000000000001</v>
      </c>
      <c r="BY51" s="544">
        <f t="shared" si="87"/>
        <v>0.22222222222222221</v>
      </c>
      <c r="BZ51" s="125"/>
      <c r="CA51" s="170"/>
    </row>
    <row r="52" spans="2:79" s="24" customFormat="1">
      <c r="B52" s="187">
        <v>44874</v>
      </c>
      <c r="C52" s="15">
        <v>60884</v>
      </c>
      <c r="D52" s="15">
        <v>67</v>
      </c>
      <c r="E52" s="15">
        <v>7670</v>
      </c>
      <c r="F52" s="52">
        <v>1957</v>
      </c>
      <c r="G52" s="52">
        <v>689</v>
      </c>
      <c r="H52" s="52">
        <v>397</v>
      </c>
      <c r="I52" s="52">
        <v>244</v>
      </c>
      <c r="J52" s="77">
        <v>207.88</v>
      </c>
      <c r="K52" s="1004">
        <f>SUM($J$34,$J$42,$J$50:J52)/$C$6</f>
        <v>0.82128819556127375</v>
      </c>
      <c r="L52" s="555">
        <f t="shared" ref="L52:L60" si="94">D52/C52</f>
        <v>1.1004533210695749E-3</v>
      </c>
      <c r="M52" s="1204">
        <f t="shared" si="9"/>
        <v>1295.4166666666667</v>
      </c>
      <c r="N52" s="996">
        <f t="shared" ref="N52:N57" si="95">J52/E52</f>
        <v>2.7102998696219033E-2</v>
      </c>
      <c r="O52" s="307">
        <f t="shared" ref="O52:O57" si="96">J52/I52</f>
        <v>0.8519672131147541</v>
      </c>
      <c r="P52" s="380">
        <f t="shared" ref="P52:P57" si="97">E52/M52</f>
        <v>5.9208748793824375</v>
      </c>
      <c r="Q52" s="143">
        <v>17</v>
      </c>
      <c r="R52" s="52"/>
      <c r="S52" s="52"/>
      <c r="T52" s="1003">
        <f t="shared" si="11"/>
        <v>276.35555555555555</v>
      </c>
      <c r="U52" s="139">
        <f t="shared" ref="U52:U57" si="98">Q52/T52</f>
        <v>6.1514956577677707E-2</v>
      </c>
      <c r="V52" s="225">
        <f t="shared" ref="V52:V57" si="99">J52/Q52</f>
        <v>12.228235294117647</v>
      </c>
      <c r="W52" s="561">
        <f t="shared" ref="W52:W57" si="100">Q52/D52</f>
        <v>0.2537313432835821</v>
      </c>
      <c r="X52" s="687">
        <v>0.47619047619047622</v>
      </c>
      <c r="Y52" s="392">
        <v>0.95238095238095244</v>
      </c>
      <c r="Z52" s="166">
        <v>37740</v>
      </c>
      <c r="AA52" s="15">
        <v>29</v>
      </c>
      <c r="AB52" s="15">
        <v>4999</v>
      </c>
      <c r="AC52" s="52">
        <v>1322</v>
      </c>
      <c r="AD52" s="52">
        <v>476</v>
      </c>
      <c r="AE52" s="52">
        <v>277</v>
      </c>
      <c r="AF52" s="52">
        <v>166</v>
      </c>
      <c r="AG52" s="641">
        <v>119.73</v>
      </c>
      <c r="AH52" s="713">
        <f t="shared" ref="AH52:AH60" si="101">AG52/AB52</f>
        <v>2.3950790158031608E-2</v>
      </c>
      <c r="AI52" s="714">
        <f t="shared" ref="AI52:AI60" si="102">AG52/AF52</f>
        <v>0.72126506024096393</v>
      </c>
      <c r="AJ52" s="715">
        <f t="shared" ref="AJ52:AJ60" si="103">AA52/Z52</f>
        <v>7.6841547429782719E-4</v>
      </c>
      <c r="AK52" s="143">
        <v>7</v>
      </c>
      <c r="AL52" s="52"/>
      <c r="AM52" s="52"/>
      <c r="AN52" s="312">
        <f t="shared" si="78"/>
        <v>17.104285714285716</v>
      </c>
      <c r="AO52" s="316">
        <f t="shared" si="79"/>
        <v>0.2413793103448276</v>
      </c>
      <c r="AP52" s="123"/>
      <c r="AQ52" s="168"/>
      <c r="AR52" s="166">
        <v>10543</v>
      </c>
      <c r="AS52" s="15">
        <v>17</v>
      </c>
      <c r="AT52" s="15">
        <v>1190</v>
      </c>
      <c r="AU52" s="52">
        <v>316</v>
      </c>
      <c r="AV52" s="52">
        <v>113</v>
      </c>
      <c r="AW52" s="52">
        <v>71</v>
      </c>
      <c r="AX52" s="52">
        <v>45</v>
      </c>
      <c r="AY52" s="641">
        <v>42.68</v>
      </c>
      <c r="AZ52" s="713">
        <f t="shared" si="80"/>
        <v>3.5865546218487393E-2</v>
      </c>
      <c r="BA52" s="714">
        <f t="shared" si="81"/>
        <v>0.94844444444444442</v>
      </c>
      <c r="BB52" s="715">
        <f t="shared" ref="BB52:BB59" si="104">AS52/AR52</f>
        <v>1.6124442758228207E-3</v>
      </c>
      <c r="BC52" s="143">
        <v>4</v>
      </c>
      <c r="BD52" s="52"/>
      <c r="BE52" s="52"/>
      <c r="BF52" s="228">
        <f t="shared" si="82"/>
        <v>10.67</v>
      </c>
      <c r="BG52" s="316">
        <f t="shared" si="83"/>
        <v>0.23529411764705882</v>
      </c>
      <c r="BH52" s="123"/>
      <c r="BI52" s="168"/>
      <c r="BJ52" s="166">
        <v>12601</v>
      </c>
      <c r="BK52" s="15">
        <v>21</v>
      </c>
      <c r="BL52" s="15">
        <v>1481</v>
      </c>
      <c r="BM52" s="52">
        <v>319</v>
      </c>
      <c r="BN52" s="52">
        <v>100</v>
      </c>
      <c r="BO52" s="52">
        <v>49</v>
      </c>
      <c r="BP52" s="52">
        <v>33</v>
      </c>
      <c r="BQ52" s="77">
        <v>45.47</v>
      </c>
      <c r="BR52" s="554">
        <f t="shared" si="84"/>
        <v>3.0702228224172855E-2</v>
      </c>
      <c r="BS52" s="554">
        <f t="shared" si="85"/>
        <v>1.3778787878787879</v>
      </c>
      <c r="BT52" s="555">
        <f t="shared" ref="BT52:BT60" si="105">BK52/BJ52</f>
        <v>1.6665344020315848E-3</v>
      </c>
      <c r="BU52" s="143">
        <v>6</v>
      </c>
      <c r="BV52" s="52"/>
      <c r="BW52" s="52"/>
      <c r="BX52" s="1192">
        <f t="shared" si="86"/>
        <v>7.5783333333333331</v>
      </c>
      <c r="BY52" s="544">
        <f t="shared" si="87"/>
        <v>0.2857142857142857</v>
      </c>
      <c r="BZ52" s="123"/>
      <c r="CA52" s="168"/>
    </row>
    <row r="53" spans="2:79" s="26" customFormat="1">
      <c r="B53" s="187">
        <v>44875</v>
      </c>
      <c r="C53" s="15">
        <v>62016</v>
      </c>
      <c r="D53" s="15">
        <v>67</v>
      </c>
      <c r="E53" s="15">
        <v>7667</v>
      </c>
      <c r="F53" s="52">
        <v>1970</v>
      </c>
      <c r="G53" s="52">
        <v>730</v>
      </c>
      <c r="H53" s="52">
        <v>418</v>
      </c>
      <c r="I53" s="52">
        <v>264</v>
      </c>
      <c r="J53" s="77">
        <v>216.39999999999998</v>
      </c>
      <c r="K53" s="1004">
        <f>SUM($J$34,$J$42,$J$50:J53)/$C$6</f>
        <v>0.85609038275972982</v>
      </c>
      <c r="L53" s="555">
        <f t="shared" si="94"/>
        <v>1.0803663570691435E-3</v>
      </c>
      <c r="M53" s="1204">
        <f t="shared" si="9"/>
        <v>1295.4166666666667</v>
      </c>
      <c r="N53" s="996">
        <f t="shared" si="95"/>
        <v>2.8224859788704836E-2</v>
      </c>
      <c r="O53" s="307">
        <f t="shared" si="96"/>
        <v>0.81969696969696959</v>
      </c>
      <c r="P53" s="380">
        <f t="shared" si="97"/>
        <v>5.9185590221936311</v>
      </c>
      <c r="Q53" s="143">
        <v>26</v>
      </c>
      <c r="R53" s="52"/>
      <c r="S53" s="52"/>
      <c r="T53" s="1003">
        <f t="shared" si="11"/>
        <v>276.35555555555555</v>
      </c>
      <c r="U53" s="139">
        <f t="shared" si="98"/>
        <v>9.4081698295271798E-2</v>
      </c>
      <c r="V53" s="225">
        <f t="shared" si="99"/>
        <v>8.3230769230769219</v>
      </c>
      <c r="W53" s="561">
        <f t="shared" si="100"/>
        <v>0.38805970149253732</v>
      </c>
      <c r="X53" s="687">
        <v>43.592592592592588</v>
      </c>
      <c r="Y53" s="392">
        <v>0.96296296296296291</v>
      </c>
      <c r="Z53" s="166">
        <v>31997</v>
      </c>
      <c r="AA53" s="15">
        <v>37</v>
      </c>
      <c r="AB53" s="15">
        <v>4078</v>
      </c>
      <c r="AC53" s="52">
        <v>1076</v>
      </c>
      <c r="AD53" s="52">
        <v>374</v>
      </c>
      <c r="AE53" s="52">
        <v>227</v>
      </c>
      <c r="AF53" s="52">
        <v>154</v>
      </c>
      <c r="AG53" s="641">
        <v>103.07</v>
      </c>
      <c r="AH53" s="713">
        <f t="shared" si="101"/>
        <v>2.5274644433545854E-2</v>
      </c>
      <c r="AI53" s="714">
        <f t="shared" si="102"/>
        <v>0.66928571428571426</v>
      </c>
      <c r="AJ53" s="715">
        <f t="shared" si="103"/>
        <v>1.1563584086008063E-3</v>
      </c>
      <c r="AK53" s="143">
        <v>18</v>
      </c>
      <c r="AL53" s="52"/>
      <c r="AM53" s="52"/>
      <c r="AN53" s="312">
        <f t="shared" si="78"/>
        <v>5.7261111111111109</v>
      </c>
      <c r="AO53" s="316">
        <f t="shared" si="79"/>
        <v>0.48648648648648651</v>
      </c>
      <c r="AP53" s="124"/>
      <c r="AQ53" s="169"/>
      <c r="AR53" s="166">
        <v>12636</v>
      </c>
      <c r="AS53" s="15">
        <v>13</v>
      </c>
      <c r="AT53" s="15">
        <v>1581</v>
      </c>
      <c r="AU53" s="52">
        <v>451</v>
      </c>
      <c r="AV53" s="52">
        <v>180</v>
      </c>
      <c r="AW53" s="52">
        <v>102</v>
      </c>
      <c r="AX53" s="52">
        <v>62</v>
      </c>
      <c r="AY53" s="641">
        <v>51</v>
      </c>
      <c r="AZ53" s="713">
        <f t="shared" si="80"/>
        <v>3.2258064516129031E-2</v>
      </c>
      <c r="BA53" s="714">
        <f t="shared" si="81"/>
        <v>0.82258064516129037</v>
      </c>
      <c r="BB53" s="715">
        <f t="shared" si="104"/>
        <v>1.02880658436214E-3</v>
      </c>
      <c r="BC53" s="143">
        <v>4</v>
      </c>
      <c r="BD53" s="52"/>
      <c r="BE53" s="52"/>
      <c r="BF53" s="228">
        <f t="shared" si="82"/>
        <v>12.75</v>
      </c>
      <c r="BG53" s="316">
        <f t="shared" si="83"/>
        <v>0.30769230769230771</v>
      </c>
      <c r="BH53" s="124"/>
      <c r="BI53" s="169"/>
      <c r="BJ53" s="166">
        <v>17383</v>
      </c>
      <c r="BK53" s="15">
        <v>17</v>
      </c>
      <c r="BL53" s="15">
        <v>2008</v>
      </c>
      <c r="BM53" s="52">
        <v>443</v>
      </c>
      <c r="BN53" s="52">
        <v>176</v>
      </c>
      <c r="BO53" s="52">
        <v>89</v>
      </c>
      <c r="BP53" s="52">
        <v>48</v>
      </c>
      <c r="BQ53" s="77">
        <v>62.33</v>
      </c>
      <c r="BR53" s="554">
        <f t="shared" si="84"/>
        <v>3.1040836653386455E-2</v>
      </c>
      <c r="BS53" s="554">
        <f t="shared" si="85"/>
        <v>1.2985416666666667</v>
      </c>
      <c r="BT53" s="555">
        <f t="shared" si="105"/>
        <v>9.7796697923258351E-4</v>
      </c>
      <c r="BU53" s="143">
        <v>4</v>
      </c>
      <c r="BV53" s="52"/>
      <c r="BW53" s="52"/>
      <c r="BX53" s="1192">
        <f t="shared" si="86"/>
        <v>15.5825</v>
      </c>
      <c r="BY53" s="544">
        <f t="shared" si="87"/>
        <v>0.23529411764705882</v>
      </c>
      <c r="BZ53" s="124"/>
      <c r="CA53" s="169"/>
    </row>
    <row r="54" spans="2:79">
      <c r="B54" s="189">
        <v>44876</v>
      </c>
      <c r="C54" s="15">
        <v>72463</v>
      </c>
      <c r="D54" s="15">
        <v>75</v>
      </c>
      <c r="E54" s="15">
        <v>8797</v>
      </c>
      <c r="F54" s="52">
        <v>2278</v>
      </c>
      <c r="G54" s="52">
        <v>816</v>
      </c>
      <c r="H54" s="52">
        <v>449</v>
      </c>
      <c r="I54" s="52">
        <v>285</v>
      </c>
      <c r="J54" s="77">
        <v>262.47000000000003</v>
      </c>
      <c r="K54" s="1004">
        <f>SUM($J$34,$J$42,$J$50:J54)/$C$6</f>
        <v>0.89830170472820847</v>
      </c>
      <c r="L54" s="555">
        <f t="shared" si="94"/>
        <v>1.0350109711162938E-3</v>
      </c>
      <c r="M54" s="1204">
        <f t="shared" si="9"/>
        <v>1295.4166666666667</v>
      </c>
      <c r="N54" s="996">
        <f t="shared" si="95"/>
        <v>2.9836307832215532E-2</v>
      </c>
      <c r="O54" s="307">
        <f t="shared" si="96"/>
        <v>0.92094736842105274</v>
      </c>
      <c r="P54" s="380">
        <f t="shared" si="97"/>
        <v>6.7908652299774843</v>
      </c>
      <c r="Q54" s="143">
        <v>21</v>
      </c>
      <c r="R54" s="52"/>
      <c r="S54" s="52"/>
      <c r="T54" s="1003">
        <f t="shared" si="11"/>
        <v>276.35555555555555</v>
      </c>
      <c r="U54" s="139">
        <f t="shared" si="98"/>
        <v>7.5989064007719528E-2</v>
      </c>
      <c r="V54" s="225">
        <f t="shared" si="99"/>
        <v>12.498571428571429</v>
      </c>
      <c r="W54" s="561">
        <f t="shared" si="100"/>
        <v>0.28000000000000003</v>
      </c>
      <c r="X54" s="687">
        <v>109.10000000000001</v>
      </c>
      <c r="Y54" s="392">
        <v>0.72777777777777786</v>
      </c>
      <c r="Z54" s="166">
        <v>47234</v>
      </c>
      <c r="AA54" s="15">
        <v>51</v>
      </c>
      <c r="AB54" s="15">
        <v>5687</v>
      </c>
      <c r="AC54" s="52">
        <v>1534</v>
      </c>
      <c r="AD54" s="52">
        <v>556</v>
      </c>
      <c r="AE54" s="52">
        <v>315</v>
      </c>
      <c r="AF54" s="52">
        <v>198</v>
      </c>
      <c r="AG54" s="641">
        <v>164.1</v>
      </c>
      <c r="AH54" s="713">
        <f t="shared" si="101"/>
        <v>2.8855283981009318E-2</v>
      </c>
      <c r="AI54" s="714">
        <f t="shared" si="102"/>
        <v>0.82878787878787874</v>
      </c>
      <c r="AJ54" s="715">
        <f t="shared" si="103"/>
        <v>1.0797307024600924E-3</v>
      </c>
      <c r="AK54" s="143">
        <v>15</v>
      </c>
      <c r="AL54" s="52"/>
      <c r="AM54" s="52"/>
      <c r="AN54" s="312">
        <f t="shared" si="78"/>
        <v>10.94</v>
      </c>
      <c r="AO54" s="316">
        <f t="shared" si="79"/>
        <v>0.29411764705882354</v>
      </c>
      <c r="AP54" s="125"/>
      <c r="AQ54" s="170"/>
      <c r="AR54" s="166">
        <v>13155</v>
      </c>
      <c r="AS54" s="15">
        <v>9</v>
      </c>
      <c r="AT54" s="15">
        <v>1588</v>
      </c>
      <c r="AU54" s="52">
        <v>414</v>
      </c>
      <c r="AV54" s="52">
        <v>146</v>
      </c>
      <c r="AW54" s="52">
        <v>84</v>
      </c>
      <c r="AX54" s="52">
        <v>55</v>
      </c>
      <c r="AY54" s="641">
        <v>50.24</v>
      </c>
      <c r="AZ54" s="713">
        <f t="shared" si="80"/>
        <v>3.1637279596977333E-2</v>
      </c>
      <c r="BA54" s="714">
        <f t="shared" si="81"/>
        <v>0.91345454545454552</v>
      </c>
      <c r="BB54" s="715">
        <f t="shared" si="104"/>
        <v>6.8415051311288488E-4</v>
      </c>
      <c r="BC54" s="143">
        <v>2</v>
      </c>
      <c r="BD54" s="52"/>
      <c r="BE54" s="52"/>
      <c r="BF54" s="228">
        <f t="shared" si="82"/>
        <v>25.12</v>
      </c>
      <c r="BG54" s="316">
        <f t="shared" si="83"/>
        <v>0.22222222222222221</v>
      </c>
      <c r="BH54" s="125"/>
      <c r="BI54" s="170"/>
      <c r="BJ54" s="166">
        <v>12074</v>
      </c>
      <c r="BK54" s="15">
        <v>15</v>
      </c>
      <c r="BL54" s="15">
        <v>1522</v>
      </c>
      <c r="BM54" s="52">
        <v>330</v>
      </c>
      <c r="BN54" s="52">
        <v>114</v>
      </c>
      <c r="BO54" s="52">
        <v>50</v>
      </c>
      <c r="BP54" s="52">
        <v>32</v>
      </c>
      <c r="BQ54" s="77">
        <v>48.13</v>
      </c>
      <c r="BR54" s="554">
        <f t="shared" si="84"/>
        <v>3.1622864651773983E-2</v>
      </c>
      <c r="BS54" s="554">
        <f t="shared" si="85"/>
        <v>1.5040625000000001</v>
      </c>
      <c r="BT54" s="555">
        <f t="shared" si="105"/>
        <v>1.2423389100546629E-3</v>
      </c>
      <c r="BU54" s="143">
        <v>4</v>
      </c>
      <c r="BV54" s="52"/>
      <c r="BW54" s="52"/>
      <c r="BX54" s="1192">
        <f t="shared" si="86"/>
        <v>12.032500000000001</v>
      </c>
      <c r="BY54" s="544">
        <f t="shared" si="87"/>
        <v>0.26666666666666666</v>
      </c>
      <c r="BZ54" s="125"/>
      <c r="CA54" s="170"/>
    </row>
    <row r="55" spans="2:79">
      <c r="B55" s="189">
        <v>44877</v>
      </c>
      <c r="C55" s="15">
        <v>78659</v>
      </c>
      <c r="D55" s="15">
        <v>88</v>
      </c>
      <c r="E55" s="15">
        <v>9551</v>
      </c>
      <c r="F55" s="52">
        <v>2402</v>
      </c>
      <c r="G55" s="52">
        <v>891</v>
      </c>
      <c r="H55" s="52">
        <v>508</v>
      </c>
      <c r="I55" s="52">
        <v>306</v>
      </c>
      <c r="J55" s="77">
        <v>270.81</v>
      </c>
      <c r="K55" s="1004">
        <f>SUM($J$34,$J$42,$J$50:J55)/$C$6</f>
        <v>0.94185429398520437</v>
      </c>
      <c r="L55" s="555">
        <f t="shared" si="94"/>
        <v>1.1187530988189527E-3</v>
      </c>
      <c r="M55" s="1204">
        <f t="shared" si="9"/>
        <v>1295.4166666666667</v>
      </c>
      <c r="N55" s="996">
        <f t="shared" si="95"/>
        <v>2.8354099047220187E-2</v>
      </c>
      <c r="O55" s="307">
        <f t="shared" si="96"/>
        <v>0.88500000000000001</v>
      </c>
      <c r="P55" s="380">
        <f t="shared" si="97"/>
        <v>7.3729173367642327</v>
      </c>
      <c r="Q55" s="143">
        <v>27</v>
      </c>
      <c r="R55" s="52"/>
      <c r="S55" s="52"/>
      <c r="T55" s="1003">
        <f t="shared" si="11"/>
        <v>276.35555555555555</v>
      </c>
      <c r="U55" s="139">
        <f t="shared" si="98"/>
        <v>9.7700225152782247E-2</v>
      </c>
      <c r="V55" s="225">
        <f t="shared" si="99"/>
        <v>10.029999999999999</v>
      </c>
      <c r="W55" s="561">
        <f t="shared" si="100"/>
        <v>0.30681818181818182</v>
      </c>
      <c r="X55" s="711">
        <v>50.481481481481488</v>
      </c>
      <c r="Y55" s="392">
        <v>0.81759259259259254</v>
      </c>
      <c r="Z55" s="166">
        <v>51754</v>
      </c>
      <c r="AA55" s="15">
        <v>45</v>
      </c>
      <c r="AB55" s="15">
        <v>6277</v>
      </c>
      <c r="AC55" s="52">
        <v>1625</v>
      </c>
      <c r="AD55" s="52">
        <v>599</v>
      </c>
      <c r="AE55" s="52">
        <v>347</v>
      </c>
      <c r="AF55" s="52">
        <v>207</v>
      </c>
      <c r="AG55" s="641">
        <v>165.19</v>
      </c>
      <c r="AH55" s="713">
        <f t="shared" si="101"/>
        <v>2.6316711805002391E-2</v>
      </c>
      <c r="AI55" s="714">
        <f t="shared" si="102"/>
        <v>0.79801932367149753</v>
      </c>
      <c r="AJ55" s="715">
        <f t="shared" si="103"/>
        <v>8.6949800981566642E-4</v>
      </c>
      <c r="AK55" s="143">
        <v>9</v>
      </c>
      <c r="AL55" s="52"/>
      <c r="AM55" s="52"/>
      <c r="AN55" s="312">
        <f t="shared" si="78"/>
        <v>18.354444444444443</v>
      </c>
      <c r="AO55" s="316">
        <f t="shared" si="79"/>
        <v>0.2</v>
      </c>
      <c r="AP55" s="125"/>
      <c r="AQ55" s="170"/>
      <c r="AR55" s="166">
        <v>7596</v>
      </c>
      <c r="AS55" s="15">
        <v>18</v>
      </c>
      <c r="AT55" s="15">
        <v>1012</v>
      </c>
      <c r="AU55" s="52">
        <v>280</v>
      </c>
      <c r="AV55" s="52">
        <v>120</v>
      </c>
      <c r="AW55" s="52">
        <v>70</v>
      </c>
      <c r="AX55" s="52">
        <v>41</v>
      </c>
      <c r="AY55" s="641">
        <v>30.51</v>
      </c>
      <c r="AZ55" s="713">
        <f t="shared" si="80"/>
        <v>3.0148221343873519E-2</v>
      </c>
      <c r="BA55" s="714">
        <f t="shared" si="81"/>
        <v>0.74414634146341463</v>
      </c>
      <c r="BB55" s="715">
        <f t="shared" si="104"/>
        <v>2.3696682464454978E-3</v>
      </c>
      <c r="BC55" s="143">
        <v>10</v>
      </c>
      <c r="BD55" s="52"/>
      <c r="BE55" s="52"/>
      <c r="BF55" s="228">
        <f t="shared" si="82"/>
        <v>3.0510000000000002</v>
      </c>
      <c r="BG55" s="316">
        <f t="shared" si="83"/>
        <v>0.55555555555555558</v>
      </c>
      <c r="BH55" s="125"/>
      <c r="BI55" s="170"/>
      <c r="BJ55" s="166">
        <v>19309</v>
      </c>
      <c r="BK55" s="15">
        <v>25</v>
      </c>
      <c r="BL55" s="15">
        <v>2262</v>
      </c>
      <c r="BM55" s="52">
        <v>497</v>
      </c>
      <c r="BN55" s="52">
        <v>172</v>
      </c>
      <c r="BO55" s="52">
        <v>91</v>
      </c>
      <c r="BP55" s="52">
        <v>58</v>
      </c>
      <c r="BQ55" s="77">
        <v>75.11</v>
      </c>
      <c r="BR55" s="554">
        <f t="shared" si="84"/>
        <v>3.3205128205128207E-2</v>
      </c>
      <c r="BS55" s="554">
        <f t="shared" si="85"/>
        <v>1.2949999999999999</v>
      </c>
      <c r="BT55" s="555">
        <f t="shared" si="105"/>
        <v>1.2947330260500284E-3</v>
      </c>
      <c r="BU55" s="143">
        <v>8</v>
      </c>
      <c r="BV55" s="52"/>
      <c r="BW55" s="52"/>
      <c r="BX55" s="1192">
        <f t="shared" si="86"/>
        <v>9.3887499999999999</v>
      </c>
      <c r="BY55" s="544">
        <f t="shared" si="87"/>
        <v>0.32</v>
      </c>
      <c r="BZ55" s="125"/>
      <c r="CA55" s="170"/>
    </row>
    <row r="56" spans="2:79">
      <c r="B56" s="187">
        <v>44878</v>
      </c>
      <c r="C56" s="15">
        <v>73997</v>
      </c>
      <c r="D56" s="15">
        <v>70</v>
      </c>
      <c r="E56" s="15">
        <v>9299</v>
      </c>
      <c r="F56" s="52">
        <v>2374</v>
      </c>
      <c r="G56" s="52">
        <v>894</v>
      </c>
      <c r="H56" s="52">
        <v>525</v>
      </c>
      <c r="I56" s="52">
        <v>326</v>
      </c>
      <c r="J56" s="77">
        <v>240.35</v>
      </c>
      <c r="K56" s="1004">
        <f>SUM($J$34,$J$42,$J$50:J56)/$C$6</f>
        <v>0.98050820199421052</v>
      </c>
      <c r="L56" s="555">
        <f t="shared" si="94"/>
        <v>9.4598429666067538E-4</v>
      </c>
      <c r="M56" s="1204">
        <f t="shared" si="9"/>
        <v>1295.4166666666667</v>
      </c>
      <c r="N56" s="996">
        <f t="shared" si="95"/>
        <v>2.5846865254328423E-2</v>
      </c>
      <c r="O56" s="307">
        <f t="shared" si="96"/>
        <v>0.73726993865030677</v>
      </c>
      <c r="P56" s="380">
        <f t="shared" si="97"/>
        <v>7.1783853329044707</v>
      </c>
      <c r="Q56" s="143">
        <v>24</v>
      </c>
      <c r="R56" s="52"/>
      <c r="S56" s="52"/>
      <c r="T56" s="1003">
        <f t="shared" si="11"/>
        <v>276.35555555555555</v>
      </c>
      <c r="U56" s="139">
        <f t="shared" si="98"/>
        <v>8.6844644580250888E-2</v>
      </c>
      <c r="V56" s="225">
        <f t="shared" si="99"/>
        <v>10.014583333333333</v>
      </c>
      <c r="W56" s="561">
        <f t="shared" si="100"/>
        <v>0.34285714285714286</v>
      </c>
      <c r="X56" s="687">
        <v>0.47619047619047622</v>
      </c>
      <c r="Y56" s="392">
        <v>0.90476190476190477</v>
      </c>
      <c r="Z56" s="166">
        <v>42162</v>
      </c>
      <c r="AA56" s="15">
        <v>34</v>
      </c>
      <c r="AB56" s="15">
        <v>5453</v>
      </c>
      <c r="AC56" s="52">
        <v>1435</v>
      </c>
      <c r="AD56" s="52">
        <v>560</v>
      </c>
      <c r="AE56" s="52">
        <v>348</v>
      </c>
      <c r="AF56" s="52">
        <v>216</v>
      </c>
      <c r="AG56" s="641">
        <v>125.14</v>
      </c>
      <c r="AH56" s="713">
        <f t="shared" si="101"/>
        <v>2.2948835503392627E-2</v>
      </c>
      <c r="AI56" s="714">
        <f t="shared" si="102"/>
        <v>0.5793518518518519</v>
      </c>
      <c r="AJ56" s="715">
        <f t="shared" si="103"/>
        <v>8.0641335800009492E-4</v>
      </c>
      <c r="AK56" s="143">
        <v>10</v>
      </c>
      <c r="AL56" s="52"/>
      <c r="AM56" s="52"/>
      <c r="AN56" s="312">
        <f t="shared" si="78"/>
        <v>12.513999999999999</v>
      </c>
      <c r="AO56" s="316">
        <f t="shared" si="79"/>
        <v>0.29411764705882354</v>
      </c>
      <c r="AP56" s="125"/>
      <c r="AQ56" s="170"/>
      <c r="AR56" s="166">
        <v>11125</v>
      </c>
      <c r="AS56" s="15">
        <v>12</v>
      </c>
      <c r="AT56" s="15">
        <v>1458</v>
      </c>
      <c r="AU56" s="52">
        <v>385</v>
      </c>
      <c r="AV56" s="52">
        <v>132</v>
      </c>
      <c r="AW56" s="52">
        <v>72</v>
      </c>
      <c r="AX56" s="52">
        <v>50</v>
      </c>
      <c r="AY56" s="641">
        <v>39.9</v>
      </c>
      <c r="AZ56" s="713">
        <f t="shared" si="80"/>
        <v>2.736625514403292E-2</v>
      </c>
      <c r="BA56" s="714">
        <f t="shared" si="81"/>
        <v>0.79799999999999993</v>
      </c>
      <c r="BB56" s="715">
        <f t="shared" si="104"/>
        <v>1.0786516853932583E-3</v>
      </c>
      <c r="BC56" s="143">
        <v>7</v>
      </c>
      <c r="BD56" s="52"/>
      <c r="BE56" s="52"/>
      <c r="BF56" s="228">
        <f t="shared" ref="BF56:BF57" si="106">AY56/BC56</f>
        <v>5.7</v>
      </c>
      <c r="BG56" s="316">
        <f t="shared" ref="BG56:BG57" si="107">BC56/AS56</f>
        <v>0.58333333333333337</v>
      </c>
      <c r="BH56" s="125"/>
      <c r="BI56" s="170"/>
      <c r="BJ56" s="166">
        <v>20710</v>
      </c>
      <c r="BK56" s="15">
        <v>24</v>
      </c>
      <c r="BL56" s="15">
        <v>2388</v>
      </c>
      <c r="BM56" s="52">
        <v>554</v>
      </c>
      <c r="BN56" s="52">
        <v>202</v>
      </c>
      <c r="BO56" s="52">
        <v>105</v>
      </c>
      <c r="BP56" s="52">
        <v>60</v>
      </c>
      <c r="BQ56" s="77">
        <v>75.31</v>
      </c>
      <c r="BR56" s="554">
        <f t="shared" si="84"/>
        <v>3.1536850921273035E-2</v>
      </c>
      <c r="BS56" s="554">
        <f t="shared" si="85"/>
        <v>1.2551666666666668</v>
      </c>
      <c r="BT56" s="555">
        <f t="shared" si="105"/>
        <v>1.1588604538870111E-3</v>
      </c>
      <c r="BU56" s="143">
        <v>7</v>
      </c>
      <c r="BV56" s="52"/>
      <c r="BW56" s="52"/>
      <c r="BX56" s="1192">
        <f t="shared" si="86"/>
        <v>10.758571428571429</v>
      </c>
      <c r="BY56" s="544">
        <f t="shared" si="87"/>
        <v>0.29166666666666669</v>
      </c>
      <c r="BZ56" s="125"/>
      <c r="CA56" s="170"/>
    </row>
    <row r="57" spans="2:79">
      <c r="B57" s="187">
        <v>44879</v>
      </c>
      <c r="C57" s="15">
        <v>36693</v>
      </c>
      <c r="D57" s="15">
        <v>46</v>
      </c>
      <c r="E57" s="15">
        <v>4688</v>
      </c>
      <c r="F57" s="52">
        <v>1172</v>
      </c>
      <c r="G57" s="52">
        <v>418</v>
      </c>
      <c r="H57" s="52">
        <v>238</v>
      </c>
      <c r="I57" s="52">
        <v>140</v>
      </c>
      <c r="J57" s="77">
        <v>118.37</v>
      </c>
      <c r="K57" s="1004">
        <f>SUM($J$34,$J$42,$J$50:J57)/$C$6</f>
        <v>0.99954486973303325</v>
      </c>
      <c r="L57" s="555">
        <f t="shared" si="94"/>
        <v>1.2536451094214156E-3</v>
      </c>
      <c r="M57" s="1204">
        <f t="shared" si="9"/>
        <v>1295.4166666666667</v>
      </c>
      <c r="N57" s="1624">
        <f t="shared" si="95"/>
        <v>2.5249573378839592E-2</v>
      </c>
      <c r="O57" s="307">
        <f t="shared" si="96"/>
        <v>0.84550000000000003</v>
      </c>
      <c r="P57" s="380">
        <f t="shared" si="97"/>
        <v>3.6189128337085879</v>
      </c>
      <c r="Q57" s="143">
        <v>17</v>
      </c>
      <c r="R57" s="52"/>
      <c r="S57" s="52"/>
      <c r="T57" s="1003">
        <f t="shared" si="11"/>
        <v>276.35555555555555</v>
      </c>
      <c r="U57" s="139">
        <f t="shared" si="98"/>
        <v>6.1514956577677707E-2</v>
      </c>
      <c r="V57" s="225">
        <f t="shared" si="99"/>
        <v>6.9629411764705882</v>
      </c>
      <c r="W57" s="561">
        <f t="shared" si="100"/>
        <v>0.36956521739130432</v>
      </c>
      <c r="X57" s="687">
        <v>7.2333333333333334</v>
      </c>
      <c r="Y57" s="392">
        <v>0.96666666666666667</v>
      </c>
      <c r="Z57" s="166">
        <v>18149</v>
      </c>
      <c r="AA57" s="15">
        <v>15</v>
      </c>
      <c r="AB57" s="15">
        <v>2494</v>
      </c>
      <c r="AC57" s="52">
        <v>636</v>
      </c>
      <c r="AD57" s="52">
        <v>219</v>
      </c>
      <c r="AE57" s="52">
        <v>127</v>
      </c>
      <c r="AF57" s="52">
        <v>74</v>
      </c>
      <c r="AG57" s="641">
        <v>55.33</v>
      </c>
      <c r="AH57" s="713">
        <f t="shared" si="101"/>
        <v>2.218524458700882E-2</v>
      </c>
      <c r="AI57" s="714">
        <f t="shared" si="102"/>
        <v>0.74770270270270267</v>
      </c>
      <c r="AJ57" s="715">
        <f t="shared" si="103"/>
        <v>8.2649181773100449E-4</v>
      </c>
      <c r="AK57" s="143">
        <v>10</v>
      </c>
      <c r="AL57" s="52"/>
      <c r="AM57" s="52"/>
      <c r="AN57" s="312">
        <f t="shared" si="78"/>
        <v>5.5329999999999995</v>
      </c>
      <c r="AO57" s="316">
        <f t="shared" si="79"/>
        <v>0.66666666666666663</v>
      </c>
      <c r="AP57" s="125"/>
      <c r="AQ57" s="170"/>
      <c r="AR57" s="166">
        <v>10959</v>
      </c>
      <c r="AS57" s="15">
        <v>25</v>
      </c>
      <c r="AT57" s="15">
        <v>1248</v>
      </c>
      <c r="AU57" s="52">
        <v>309</v>
      </c>
      <c r="AV57" s="52">
        <v>115</v>
      </c>
      <c r="AW57" s="52">
        <v>65</v>
      </c>
      <c r="AX57" s="52">
        <v>43</v>
      </c>
      <c r="AY57" s="641">
        <v>36.74</v>
      </c>
      <c r="AZ57" s="713">
        <f t="shared" si="80"/>
        <v>2.9439102564102565E-2</v>
      </c>
      <c r="BA57" s="714">
        <f t="shared" si="81"/>
        <v>0.85441860465116282</v>
      </c>
      <c r="BB57" s="715">
        <f t="shared" si="104"/>
        <v>2.2812300392371565E-3</v>
      </c>
      <c r="BC57" s="143">
        <v>6</v>
      </c>
      <c r="BD57" s="52"/>
      <c r="BE57" s="52"/>
      <c r="BF57" s="228">
        <f t="shared" si="106"/>
        <v>6.123333333333334</v>
      </c>
      <c r="BG57" s="316">
        <f t="shared" si="107"/>
        <v>0.24</v>
      </c>
      <c r="BH57" s="125"/>
      <c r="BI57" s="170"/>
      <c r="BJ57" s="166">
        <v>7585</v>
      </c>
      <c r="BK57" s="15">
        <v>6</v>
      </c>
      <c r="BL57" s="15">
        <v>946</v>
      </c>
      <c r="BM57" s="52">
        <v>227</v>
      </c>
      <c r="BN57" s="52">
        <v>84</v>
      </c>
      <c r="BO57" s="52">
        <v>46</v>
      </c>
      <c r="BP57" s="52">
        <v>23</v>
      </c>
      <c r="BQ57" s="77">
        <v>26.3</v>
      </c>
      <c r="BR57" s="554">
        <f t="shared" si="84"/>
        <v>2.7801268498942919E-2</v>
      </c>
      <c r="BS57" s="554">
        <f t="shared" si="85"/>
        <v>1.1434782608695653</v>
      </c>
      <c r="BT57" s="555">
        <f t="shared" si="105"/>
        <v>7.9103493737640081E-4</v>
      </c>
      <c r="BU57" s="143">
        <v>1</v>
      </c>
      <c r="BV57" s="52"/>
      <c r="BW57" s="52"/>
      <c r="BX57" s="1192">
        <f t="shared" si="86"/>
        <v>26.3</v>
      </c>
      <c r="BY57" s="544">
        <f t="shared" si="87"/>
        <v>0.16666666666666666</v>
      </c>
      <c r="BZ57" s="125"/>
      <c r="CA57" s="170"/>
    </row>
    <row r="58" spans="2:79">
      <c r="B58" s="190" t="s">
        <v>160</v>
      </c>
      <c r="C58" s="298">
        <f>SUM(C51:C57)</f>
        <v>449034</v>
      </c>
      <c r="D58" s="298">
        <f t="shared" ref="D58:J58" si="108">SUM(D51:D57)</f>
        <v>486</v>
      </c>
      <c r="E58" s="298">
        <f t="shared" si="108"/>
        <v>56336</v>
      </c>
      <c r="F58" s="298">
        <f t="shared" si="108"/>
        <v>14426</v>
      </c>
      <c r="G58" s="298">
        <f t="shared" si="108"/>
        <v>5242</v>
      </c>
      <c r="H58" s="298">
        <f t="shared" si="108"/>
        <v>2996</v>
      </c>
      <c r="I58" s="298">
        <f t="shared" si="108"/>
        <v>1836</v>
      </c>
      <c r="J58" s="479">
        <f t="shared" si="108"/>
        <v>1550.5899999999997</v>
      </c>
      <c r="K58" s="599">
        <f>SUM($J$34,$J$42,$J$50,$J$58)/$C$6</f>
        <v>0.99954486973303314</v>
      </c>
      <c r="L58" s="299">
        <f>D58/C58</f>
        <v>1.0823233875385829E-3</v>
      </c>
      <c r="M58" s="300">
        <f>SUM(M51:M57)</f>
        <v>9067.9166666666679</v>
      </c>
      <c r="N58" s="301">
        <f>J58/E58</f>
        <v>2.752396336268105E-2</v>
      </c>
      <c r="O58" s="301">
        <f>J58/I58</f>
        <v>0.84454793028322428</v>
      </c>
      <c r="P58" s="302">
        <f>E58/M58</f>
        <v>6.2126728851720801</v>
      </c>
      <c r="Q58" s="121">
        <f>SUM(Q51:Q57)</f>
        <v>148</v>
      </c>
      <c r="R58" s="27"/>
      <c r="S58" s="27"/>
      <c r="T58" s="27">
        <f>SUM(T51:T57)</f>
        <v>1934.4888888888891</v>
      </c>
      <c r="U58" s="572">
        <f>Q58/T58</f>
        <v>7.6505996415935293E-2</v>
      </c>
      <c r="V58" s="237">
        <f>J58/Q58</f>
        <v>10.476959459459458</v>
      </c>
      <c r="W58" s="317">
        <f>Q58/D58</f>
        <v>0.30452674897119342</v>
      </c>
      <c r="X58" s="682">
        <f>AVERAGE(X51:X57)</f>
        <v>35.218065003779294</v>
      </c>
      <c r="Y58" s="317">
        <f>AVERAGE(Y51:Y57)</f>
        <v>0.87681405895691611</v>
      </c>
      <c r="Z58" s="164">
        <f>SUM(Z51:Z57)</f>
        <v>276285</v>
      </c>
      <c r="AA58" s="27">
        <f t="shared" ref="AA58:AK58" si="109">SUM(AA51:AA57)</f>
        <v>265</v>
      </c>
      <c r="AB58" s="27">
        <f t="shared" si="109"/>
        <v>35350</v>
      </c>
      <c r="AC58" s="27">
        <f t="shared" si="109"/>
        <v>9355</v>
      </c>
      <c r="AD58" s="27">
        <f t="shared" si="109"/>
        <v>3393</v>
      </c>
      <c r="AE58" s="27">
        <f t="shared" si="109"/>
        <v>1998</v>
      </c>
      <c r="AF58" s="27">
        <f t="shared" si="109"/>
        <v>1225</v>
      </c>
      <c r="AG58" s="479">
        <f t="shared" si="109"/>
        <v>886.18000000000006</v>
      </c>
      <c r="AH58" s="549">
        <f>AG58/AB58</f>
        <v>2.5068741159830269E-2</v>
      </c>
      <c r="AI58" s="549">
        <f>AG58/AF58</f>
        <v>0.72341224489795919</v>
      </c>
      <c r="AJ58" s="550">
        <f>AA58/Z58</f>
        <v>9.5915449626291687E-4</v>
      </c>
      <c r="AK58" s="551">
        <f t="shared" si="109"/>
        <v>81</v>
      </c>
      <c r="AL58" s="298"/>
      <c r="AM58" s="298"/>
      <c r="AN58" s="552">
        <f t="shared" si="78"/>
        <v>10.940493827160495</v>
      </c>
      <c r="AO58" s="550">
        <f t="shared" si="79"/>
        <v>0.30566037735849055</v>
      </c>
      <c r="AP58" s="130"/>
      <c r="AQ58" s="165"/>
      <c r="AR58" s="164">
        <f>SUM(AR51:AR57)</f>
        <v>75710</v>
      </c>
      <c r="AS58" s="27">
        <f t="shared" ref="AS58:AY58" si="110">SUM(AS51:AS57)</f>
        <v>104</v>
      </c>
      <c r="AT58" s="27">
        <f t="shared" si="110"/>
        <v>9370</v>
      </c>
      <c r="AU58" s="27">
        <f t="shared" si="110"/>
        <v>2463</v>
      </c>
      <c r="AV58" s="27">
        <f t="shared" si="110"/>
        <v>913</v>
      </c>
      <c r="AW58" s="27">
        <f t="shared" si="110"/>
        <v>524</v>
      </c>
      <c r="AX58" s="27">
        <f t="shared" si="110"/>
        <v>337</v>
      </c>
      <c r="AY58" s="74">
        <f t="shared" si="110"/>
        <v>296.95</v>
      </c>
      <c r="AZ58" s="226">
        <f t="shared" si="80"/>
        <v>3.1691568836712911E-2</v>
      </c>
      <c r="BA58" s="226">
        <f t="shared" si="81"/>
        <v>0.88115727002967359</v>
      </c>
      <c r="BB58" s="147">
        <f t="shared" ref="BB58" si="111">AS58/AR58</f>
        <v>1.3736626601505745E-3</v>
      </c>
      <c r="BC58" s="551">
        <f t="shared" ref="BC58" si="112">SUM(BC51:BC57)</f>
        <v>35</v>
      </c>
      <c r="BD58" s="298"/>
      <c r="BE58" s="298"/>
      <c r="BF58" s="552">
        <f t="shared" si="82"/>
        <v>8.4842857142857131</v>
      </c>
      <c r="BG58" s="550">
        <f t="shared" si="83"/>
        <v>0.33653846153846156</v>
      </c>
      <c r="BH58" s="130"/>
      <c r="BI58" s="165"/>
      <c r="BJ58" s="164">
        <f>SUM(BJ51:BJ57)</f>
        <v>97039</v>
      </c>
      <c r="BK58" s="27">
        <f t="shared" ref="BK58:BQ58" si="113">SUM(BK51:BK57)</f>
        <v>117</v>
      </c>
      <c r="BL58" s="27">
        <f t="shared" si="113"/>
        <v>11616</v>
      </c>
      <c r="BM58" s="27">
        <f t="shared" si="113"/>
        <v>2608</v>
      </c>
      <c r="BN58" s="27">
        <f t="shared" si="113"/>
        <v>936</v>
      </c>
      <c r="BO58" s="27">
        <f t="shared" si="113"/>
        <v>474</v>
      </c>
      <c r="BP58" s="27">
        <f t="shared" si="113"/>
        <v>274</v>
      </c>
      <c r="BQ58" s="227">
        <f t="shared" si="113"/>
        <v>367.46000000000004</v>
      </c>
      <c r="BR58" s="1142">
        <f t="shared" si="84"/>
        <v>3.1633953168044078E-2</v>
      </c>
      <c r="BS58" s="1142">
        <f t="shared" si="85"/>
        <v>1.341094890510949</v>
      </c>
      <c r="BT58" s="900">
        <f t="shared" ref="BT58" si="114">BK58/BJ58</f>
        <v>1.2057008007089933E-3</v>
      </c>
      <c r="BU58" s="551">
        <f t="shared" ref="BU58" si="115">SUM(BU51:BU57)</f>
        <v>32</v>
      </c>
      <c r="BV58" s="298"/>
      <c r="BW58" s="298"/>
      <c r="BX58" s="552">
        <f t="shared" si="86"/>
        <v>11.483125000000001</v>
      </c>
      <c r="BY58" s="547">
        <f>BU58/BK58</f>
        <v>0.27350427350427353</v>
      </c>
      <c r="BZ58" s="126"/>
      <c r="CA58" s="171"/>
    </row>
    <row r="59" spans="2:79">
      <c r="B59" s="187">
        <v>44880</v>
      </c>
      <c r="C59" s="15"/>
      <c r="D59" s="15"/>
      <c r="E59" s="15"/>
      <c r="F59" s="52"/>
      <c r="G59" s="52"/>
      <c r="H59" s="52"/>
      <c r="I59" s="52"/>
      <c r="J59" s="77"/>
      <c r="K59" s="662">
        <f>SUM($J$34,$J$42,$J$50,$J$58:J59)/$C$6</f>
        <v>0.99954486973303314</v>
      </c>
      <c r="L59" s="555" t="e">
        <f t="shared" si="94"/>
        <v>#DIV/0!</v>
      </c>
      <c r="M59" s="1204">
        <f t="shared" si="9"/>
        <v>1295.4166666666667</v>
      </c>
      <c r="N59" s="1624" t="e">
        <f t="shared" ref="N59:N60" si="116">J59/E59</f>
        <v>#DIV/0!</v>
      </c>
      <c r="O59" s="307" t="e">
        <f t="shared" ref="O59:O60" si="117">J59/I59</f>
        <v>#DIV/0!</v>
      </c>
      <c r="P59" s="380">
        <f t="shared" ref="P59:P60" si="118">E59/M59</f>
        <v>0</v>
      </c>
      <c r="Q59" s="143">
        <v>2</v>
      </c>
      <c r="R59" s="52"/>
      <c r="S59" s="52"/>
      <c r="T59" s="1003">
        <f t="shared" si="11"/>
        <v>276.35555555555555</v>
      </c>
      <c r="U59" s="139">
        <f t="shared" ref="U59:U60" si="119">Q59/T59</f>
        <v>7.2370537150209073E-3</v>
      </c>
      <c r="V59" s="225">
        <f t="shared" ref="V59:V60" si="120">J59/Q59</f>
        <v>0</v>
      </c>
      <c r="W59" s="561" t="e">
        <f t="shared" ref="W59:W60" si="121">Q59/D59</f>
        <v>#DIV/0!</v>
      </c>
      <c r="X59" s="687">
        <v>0</v>
      </c>
      <c r="Y59" s="392">
        <v>1</v>
      </c>
      <c r="Z59" s="166"/>
      <c r="AA59" s="15"/>
      <c r="AB59" s="15"/>
      <c r="AC59" s="52"/>
      <c r="AD59" s="52"/>
      <c r="AE59" s="52"/>
      <c r="AF59" s="52"/>
      <c r="AG59" s="77"/>
      <c r="AH59" s="713" t="e">
        <f t="shared" si="101"/>
        <v>#DIV/0!</v>
      </c>
      <c r="AI59" s="714" t="e">
        <f t="shared" si="102"/>
        <v>#DIV/0!</v>
      </c>
      <c r="AJ59" s="715" t="e">
        <f t="shared" si="103"/>
        <v>#DIV/0!</v>
      </c>
      <c r="AK59" s="143">
        <v>1</v>
      </c>
      <c r="AL59" s="52"/>
      <c r="AM59" s="52"/>
      <c r="AN59" s="312">
        <f t="shared" si="78"/>
        <v>0</v>
      </c>
      <c r="AO59" s="316" t="e">
        <f t="shared" si="79"/>
        <v>#DIV/0!</v>
      </c>
      <c r="AP59" s="125"/>
      <c r="AQ59" s="170"/>
      <c r="AR59" s="166"/>
      <c r="AS59" s="15"/>
      <c r="AT59" s="15"/>
      <c r="AU59" s="52"/>
      <c r="AV59" s="52"/>
      <c r="AW59" s="52"/>
      <c r="AX59" s="52"/>
      <c r="AY59" s="77"/>
      <c r="AZ59" s="713" t="e">
        <f t="shared" si="80"/>
        <v>#DIV/0!</v>
      </c>
      <c r="BA59" s="714" t="e">
        <f t="shared" si="81"/>
        <v>#DIV/0!</v>
      </c>
      <c r="BB59" s="715" t="e">
        <f t="shared" si="104"/>
        <v>#DIV/0!</v>
      </c>
      <c r="BC59" s="1543">
        <v>1</v>
      </c>
      <c r="BD59" s="143"/>
      <c r="BE59" s="52"/>
      <c r="BF59" s="228">
        <f t="shared" si="82"/>
        <v>0</v>
      </c>
      <c r="BG59" s="316" t="e">
        <f t="shared" si="83"/>
        <v>#DIV/0!</v>
      </c>
      <c r="BH59" s="125"/>
      <c r="BI59" s="170"/>
      <c r="BJ59" s="166"/>
      <c r="BK59" s="15"/>
      <c r="BL59" s="15"/>
      <c r="BM59" s="52"/>
      <c r="BN59" s="52"/>
      <c r="BO59" s="52"/>
      <c r="BP59" s="52"/>
      <c r="BQ59" s="77"/>
      <c r="BR59" s="554" t="e">
        <f t="shared" si="84"/>
        <v>#DIV/0!</v>
      </c>
      <c r="BS59" s="554" t="e">
        <f t="shared" si="85"/>
        <v>#DIV/0!</v>
      </c>
      <c r="BT59" s="555" t="e">
        <f t="shared" si="105"/>
        <v>#DIV/0!</v>
      </c>
      <c r="BU59" s="1543" t="s">
        <v>176</v>
      </c>
      <c r="BV59" s="143"/>
      <c r="BW59" s="52"/>
      <c r="BX59" s="1192" t="e">
        <f t="shared" si="86"/>
        <v>#VALUE!</v>
      </c>
      <c r="BY59" s="544" t="e">
        <f t="shared" si="87"/>
        <v>#VALUE!</v>
      </c>
      <c r="BZ59" s="125"/>
      <c r="CA59" s="170"/>
    </row>
    <row r="60" spans="2:79" s="24" customFormat="1">
      <c r="B60" s="187">
        <v>44881</v>
      </c>
      <c r="C60" s="15">
        <v>71063</v>
      </c>
      <c r="D60" s="15">
        <v>70</v>
      </c>
      <c r="E60" s="15">
        <v>8539</v>
      </c>
      <c r="F60" s="52">
        <v>2122</v>
      </c>
      <c r="G60" s="52">
        <v>771</v>
      </c>
      <c r="H60" s="52">
        <v>438</v>
      </c>
      <c r="I60" s="52">
        <v>265</v>
      </c>
      <c r="J60" s="77">
        <v>240.3</v>
      </c>
      <c r="K60" s="662">
        <f>SUM($J$34,$J$42,$J$50,$J$58:J60)/$C$6</f>
        <v>1.0381907365712448</v>
      </c>
      <c r="L60" s="555">
        <f t="shared" si="94"/>
        <v>9.8504144210067126E-4</v>
      </c>
      <c r="M60" s="1204">
        <f t="shared" si="9"/>
        <v>1295.4166666666667</v>
      </c>
      <c r="N60" s="1624">
        <f t="shared" si="116"/>
        <v>2.8141468556037007E-2</v>
      </c>
      <c r="O60" s="307">
        <f t="shared" si="117"/>
        <v>0.90679245283018872</v>
      </c>
      <c r="P60" s="380">
        <f t="shared" si="118"/>
        <v>6.5917015117401085</v>
      </c>
      <c r="Q60" s="143">
        <v>3</v>
      </c>
      <c r="R60" s="52"/>
      <c r="S60" s="52"/>
      <c r="T60" s="1003">
        <f t="shared" si="11"/>
        <v>276.35555555555555</v>
      </c>
      <c r="U60" s="139">
        <f t="shared" si="119"/>
        <v>1.0855580572531361E-2</v>
      </c>
      <c r="V60" s="225">
        <f t="shared" si="120"/>
        <v>80.100000000000009</v>
      </c>
      <c r="W60" s="561">
        <f t="shared" si="121"/>
        <v>4.2857142857142858E-2</v>
      </c>
      <c r="X60" s="687">
        <v>0</v>
      </c>
      <c r="Y60" s="392">
        <v>1</v>
      </c>
      <c r="Z60" s="166">
        <v>51754</v>
      </c>
      <c r="AA60" s="15">
        <v>45</v>
      </c>
      <c r="AB60" s="15">
        <v>6277</v>
      </c>
      <c r="AC60" s="52">
        <v>1625</v>
      </c>
      <c r="AD60" s="52">
        <v>599</v>
      </c>
      <c r="AE60" s="52">
        <v>347</v>
      </c>
      <c r="AF60" s="52">
        <v>207</v>
      </c>
      <c r="AG60" s="77">
        <v>165.19</v>
      </c>
      <c r="AH60" s="713">
        <f t="shared" si="101"/>
        <v>2.6316711805002391E-2</v>
      </c>
      <c r="AI60" s="714">
        <f t="shared" si="102"/>
        <v>0.79801932367149753</v>
      </c>
      <c r="AJ60" s="715">
        <f t="shared" si="103"/>
        <v>8.6949800981566642E-4</v>
      </c>
      <c r="AK60" s="143">
        <v>2</v>
      </c>
      <c r="AL60" s="52"/>
      <c r="AM60" s="52"/>
      <c r="AN60" s="312">
        <f t="shared" si="78"/>
        <v>82.594999999999999</v>
      </c>
      <c r="AO60" s="316">
        <f t="shared" si="79"/>
        <v>4.4444444444444446E-2</v>
      </c>
      <c r="AP60" s="123"/>
      <c r="AQ60" s="168"/>
      <c r="AR60" s="166"/>
      <c r="AS60" s="15"/>
      <c r="AT60" s="15"/>
      <c r="AU60" s="52"/>
      <c r="AV60" s="52"/>
      <c r="AW60" s="52"/>
      <c r="AX60" s="52"/>
      <c r="AY60" s="77"/>
      <c r="AZ60" s="713"/>
      <c r="BA60" s="714"/>
      <c r="BB60" s="715"/>
      <c r="BC60" s="1716" t="s">
        <v>176</v>
      </c>
      <c r="BD60" s="143"/>
      <c r="BE60" s="52"/>
      <c r="BF60" s="228" t="e">
        <f t="shared" si="82"/>
        <v>#VALUE!</v>
      </c>
      <c r="BG60" s="316" t="e">
        <f t="shared" si="83"/>
        <v>#VALUE!</v>
      </c>
      <c r="BH60" s="123"/>
      <c r="BI60" s="168"/>
      <c r="BJ60" s="166">
        <v>19309</v>
      </c>
      <c r="BK60" s="15">
        <v>25</v>
      </c>
      <c r="BL60" s="15">
        <v>2262</v>
      </c>
      <c r="BM60" s="52">
        <v>497</v>
      </c>
      <c r="BN60" s="52">
        <v>172</v>
      </c>
      <c r="BO60" s="52">
        <v>91</v>
      </c>
      <c r="BP60" s="52">
        <v>58</v>
      </c>
      <c r="BQ60" s="77">
        <v>75.11</v>
      </c>
      <c r="BR60" s="554">
        <f t="shared" si="84"/>
        <v>3.3205128205128207E-2</v>
      </c>
      <c r="BS60" s="554">
        <f t="shared" si="85"/>
        <v>1.2949999999999999</v>
      </c>
      <c r="BT60" s="555">
        <f t="shared" si="105"/>
        <v>1.2947330260500284E-3</v>
      </c>
      <c r="BU60" s="1543">
        <v>1</v>
      </c>
      <c r="BV60" s="143"/>
      <c r="BW60" s="52"/>
      <c r="BX60" s="1192">
        <f t="shared" si="86"/>
        <v>75.11</v>
      </c>
      <c r="BY60" s="544">
        <f t="shared" si="87"/>
        <v>0.04</v>
      </c>
      <c r="BZ60" s="123"/>
      <c r="CA60" s="168"/>
    </row>
    <row r="61" spans="2:79" s="26" customFormat="1">
      <c r="B61" s="1696">
        <v>44882</v>
      </c>
      <c r="C61" s="1697"/>
      <c r="D61" s="1697"/>
      <c r="E61" s="1697"/>
      <c r="F61" s="1698"/>
      <c r="G61" s="1698"/>
      <c r="H61" s="1698"/>
      <c r="I61" s="1698"/>
      <c r="J61" s="1709"/>
      <c r="K61" s="1700"/>
      <c r="L61" s="1698"/>
      <c r="M61" s="1698"/>
      <c r="N61" s="1698"/>
      <c r="O61" s="1698"/>
      <c r="P61" s="1710"/>
      <c r="Q61" s="1702"/>
      <c r="R61" s="1698"/>
      <c r="S61" s="1698"/>
      <c r="T61" s="1698"/>
      <c r="U61" s="1717"/>
      <c r="V61" s="1718"/>
      <c r="W61" s="1718"/>
      <c r="X61" s="1719"/>
      <c r="Y61" s="1720"/>
      <c r="Z61" s="1708"/>
      <c r="AA61" s="1697"/>
      <c r="AB61" s="1697"/>
      <c r="AC61" s="1698"/>
      <c r="AD61" s="1698"/>
      <c r="AE61" s="1698"/>
      <c r="AF61" s="1698"/>
      <c r="AG61" s="1709"/>
      <c r="AH61" s="1698"/>
      <c r="AI61" s="1698"/>
      <c r="AJ61" s="1710"/>
      <c r="AK61" s="1702"/>
      <c r="AL61" s="1698"/>
      <c r="AM61" s="1698"/>
      <c r="AN61" s="1721"/>
      <c r="AO61" s="1718"/>
      <c r="AP61" s="1718"/>
      <c r="AQ61" s="1720"/>
      <c r="AR61" s="1708"/>
      <c r="AS61" s="1697"/>
      <c r="AT61" s="1697"/>
      <c r="AU61" s="1698"/>
      <c r="AV61" s="1698"/>
      <c r="AW61" s="1698"/>
      <c r="AX61" s="1698"/>
      <c r="AY61" s="1709"/>
      <c r="AZ61" s="1698"/>
      <c r="BA61" s="1698"/>
      <c r="BB61" s="1710"/>
      <c r="BC61" s="1722"/>
      <c r="BD61" s="1702"/>
      <c r="BE61" s="1698"/>
      <c r="BF61" s="1723"/>
      <c r="BG61" s="1718"/>
      <c r="BH61" s="1718"/>
      <c r="BI61" s="1720"/>
      <c r="BJ61" s="1708"/>
      <c r="BK61" s="1697"/>
      <c r="BL61" s="1697"/>
      <c r="BM61" s="1698"/>
      <c r="BN61" s="1698"/>
      <c r="BO61" s="1698"/>
      <c r="BP61" s="1698"/>
      <c r="BQ61" s="1709"/>
      <c r="BR61" s="1698"/>
      <c r="BS61" s="1698"/>
      <c r="BT61" s="1710"/>
      <c r="BU61" s="1722"/>
      <c r="BV61" s="1702"/>
      <c r="BW61" s="1698"/>
      <c r="BX61" s="1723"/>
      <c r="BY61" s="1718"/>
      <c r="BZ61" s="124"/>
      <c r="CA61" s="169"/>
    </row>
    <row r="62" spans="2:79">
      <c r="B62" s="1714">
        <v>44883</v>
      </c>
      <c r="C62" s="1697"/>
      <c r="D62" s="1697"/>
      <c r="E62" s="1697"/>
      <c r="F62" s="1698"/>
      <c r="G62" s="1698"/>
      <c r="H62" s="1698"/>
      <c r="I62" s="1698"/>
      <c r="J62" s="1709"/>
      <c r="K62" s="1700"/>
      <c r="L62" s="1698"/>
      <c r="M62" s="1698"/>
      <c r="N62" s="1698"/>
      <c r="O62" s="1698"/>
      <c r="P62" s="1710"/>
      <c r="Q62" s="1702"/>
      <c r="R62" s="1698"/>
      <c r="S62" s="1698"/>
      <c r="T62" s="1698"/>
      <c r="U62" s="1703"/>
      <c r="V62" s="1704"/>
      <c r="W62" s="1704"/>
      <c r="X62" s="1706"/>
      <c r="Y62" s="1707"/>
      <c r="Z62" s="1708"/>
      <c r="AA62" s="1697"/>
      <c r="AB62" s="1697"/>
      <c r="AC62" s="1698"/>
      <c r="AD62" s="1698"/>
      <c r="AE62" s="1698"/>
      <c r="AF62" s="1698"/>
      <c r="AG62" s="1709"/>
      <c r="AH62" s="1698"/>
      <c r="AI62" s="1698"/>
      <c r="AJ62" s="1710"/>
      <c r="AK62" s="1702"/>
      <c r="AL62" s="1698"/>
      <c r="AM62" s="1698"/>
      <c r="AN62" s="1721"/>
      <c r="AO62" s="1704"/>
      <c r="AP62" s="1704"/>
      <c r="AQ62" s="1707"/>
      <c r="AR62" s="1708"/>
      <c r="AS62" s="1697"/>
      <c r="AT62" s="1697"/>
      <c r="AU62" s="1698"/>
      <c r="AV62" s="1698"/>
      <c r="AW62" s="1698"/>
      <c r="AX62" s="1698"/>
      <c r="AY62" s="1709"/>
      <c r="AZ62" s="1698"/>
      <c r="BA62" s="1698"/>
      <c r="BB62" s="1710"/>
      <c r="BC62" s="1722"/>
      <c r="BD62" s="1702"/>
      <c r="BE62" s="1698"/>
      <c r="BF62" s="1723"/>
      <c r="BG62" s="1704"/>
      <c r="BH62" s="1704"/>
      <c r="BI62" s="1707"/>
      <c r="BJ62" s="1708"/>
      <c r="BK62" s="1697"/>
      <c r="BL62" s="1697"/>
      <c r="BM62" s="1698"/>
      <c r="BN62" s="1698"/>
      <c r="BO62" s="1698"/>
      <c r="BP62" s="1698"/>
      <c r="BQ62" s="1709"/>
      <c r="BR62" s="1698"/>
      <c r="BS62" s="1698"/>
      <c r="BT62" s="1710"/>
      <c r="BU62" s="1722"/>
      <c r="BV62" s="1702"/>
      <c r="BW62" s="1698"/>
      <c r="BX62" s="1723"/>
      <c r="BY62" s="1704"/>
      <c r="BZ62" s="125"/>
      <c r="CA62" s="170"/>
    </row>
    <row r="63" spans="2:79">
      <c r="B63" s="1714">
        <v>44884</v>
      </c>
      <c r="C63" s="1697"/>
      <c r="D63" s="1697"/>
      <c r="E63" s="1697"/>
      <c r="F63" s="1698"/>
      <c r="G63" s="1698"/>
      <c r="H63" s="1698"/>
      <c r="I63" s="1698"/>
      <c r="J63" s="1709"/>
      <c r="K63" s="1700"/>
      <c r="L63" s="1698"/>
      <c r="M63" s="1698"/>
      <c r="N63" s="1698"/>
      <c r="O63" s="1698"/>
      <c r="P63" s="1710"/>
      <c r="Q63" s="1702"/>
      <c r="R63" s="1698"/>
      <c r="S63" s="1698"/>
      <c r="T63" s="1698"/>
      <c r="U63" s="1703"/>
      <c r="V63" s="1704"/>
      <c r="W63" s="1704"/>
      <c r="X63" s="1706"/>
      <c r="Y63" s="1707"/>
      <c r="Z63" s="1708"/>
      <c r="AA63" s="1697"/>
      <c r="AB63" s="1697"/>
      <c r="AC63" s="1698"/>
      <c r="AD63" s="1698"/>
      <c r="AE63" s="1698"/>
      <c r="AF63" s="1698"/>
      <c r="AG63" s="1709"/>
      <c r="AH63" s="1698"/>
      <c r="AI63" s="1698"/>
      <c r="AJ63" s="1710"/>
      <c r="AK63" s="1702"/>
      <c r="AL63" s="1698"/>
      <c r="AM63" s="1698"/>
      <c r="AN63" s="1721"/>
      <c r="AO63" s="1704"/>
      <c r="AP63" s="1704"/>
      <c r="AQ63" s="1707"/>
      <c r="AR63" s="1708"/>
      <c r="AS63" s="1697"/>
      <c r="AT63" s="1697"/>
      <c r="AU63" s="1698"/>
      <c r="AV63" s="1698"/>
      <c r="AW63" s="1698"/>
      <c r="AX63" s="1698"/>
      <c r="AY63" s="1709"/>
      <c r="AZ63" s="1698"/>
      <c r="BA63" s="1698"/>
      <c r="BB63" s="1710"/>
      <c r="BC63" s="1722"/>
      <c r="BD63" s="1702"/>
      <c r="BE63" s="1698"/>
      <c r="BF63" s="1723"/>
      <c r="BG63" s="1704"/>
      <c r="BH63" s="1704"/>
      <c r="BI63" s="1707"/>
      <c r="BJ63" s="1708"/>
      <c r="BK63" s="1697"/>
      <c r="BL63" s="1697"/>
      <c r="BM63" s="1698"/>
      <c r="BN63" s="1698"/>
      <c r="BO63" s="1698"/>
      <c r="BP63" s="1698"/>
      <c r="BQ63" s="1709"/>
      <c r="BR63" s="1698"/>
      <c r="BS63" s="1698"/>
      <c r="BT63" s="1710"/>
      <c r="BU63" s="1722"/>
      <c r="BV63" s="1702"/>
      <c r="BW63" s="1698"/>
      <c r="BX63" s="1723"/>
      <c r="BY63" s="1704"/>
      <c r="BZ63" s="125"/>
      <c r="CA63" s="170"/>
    </row>
    <row r="64" spans="2:79">
      <c r="B64" s="1696">
        <v>44885</v>
      </c>
      <c r="C64" s="1697"/>
      <c r="D64" s="1697"/>
      <c r="E64" s="1697"/>
      <c r="F64" s="1698"/>
      <c r="G64" s="1698"/>
      <c r="H64" s="1698"/>
      <c r="I64" s="1698"/>
      <c r="J64" s="1709"/>
      <c r="K64" s="1700"/>
      <c r="L64" s="1698"/>
      <c r="M64" s="1698"/>
      <c r="N64" s="1698"/>
      <c r="O64" s="1698"/>
      <c r="P64" s="1710"/>
      <c r="Q64" s="1702"/>
      <c r="R64" s="1698"/>
      <c r="S64" s="1698"/>
      <c r="T64" s="1698"/>
      <c r="U64" s="1703"/>
      <c r="V64" s="1704"/>
      <c r="W64" s="1704"/>
      <c r="X64" s="1706"/>
      <c r="Y64" s="1707"/>
      <c r="Z64" s="1708"/>
      <c r="AA64" s="1697"/>
      <c r="AB64" s="1697"/>
      <c r="AC64" s="1698"/>
      <c r="AD64" s="1698"/>
      <c r="AE64" s="1698"/>
      <c r="AF64" s="1698"/>
      <c r="AG64" s="1709"/>
      <c r="AH64" s="1698"/>
      <c r="AI64" s="1698"/>
      <c r="AJ64" s="1710"/>
      <c r="AK64" s="1702"/>
      <c r="AL64" s="1698"/>
      <c r="AM64" s="1698"/>
      <c r="AN64" s="1721"/>
      <c r="AO64" s="1704"/>
      <c r="AP64" s="1704"/>
      <c r="AQ64" s="1707"/>
      <c r="AR64" s="1708"/>
      <c r="AS64" s="1697"/>
      <c r="AT64" s="1697"/>
      <c r="AU64" s="1698"/>
      <c r="AV64" s="1698"/>
      <c r="AW64" s="1698"/>
      <c r="AX64" s="1698"/>
      <c r="AY64" s="1709"/>
      <c r="AZ64" s="1698"/>
      <c r="BA64" s="1698"/>
      <c r="BB64" s="1710"/>
      <c r="BC64" s="1722"/>
      <c r="BD64" s="1702"/>
      <c r="BE64" s="1698"/>
      <c r="BF64" s="1723"/>
      <c r="BG64" s="1704"/>
      <c r="BH64" s="1704"/>
      <c r="BI64" s="1707"/>
      <c r="BJ64" s="1708"/>
      <c r="BK64" s="1697"/>
      <c r="BL64" s="1697"/>
      <c r="BM64" s="1698"/>
      <c r="BN64" s="1698"/>
      <c r="BO64" s="1698"/>
      <c r="BP64" s="1698"/>
      <c r="BQ64" s="1709"/>
      <c r="BR64" s="1698"/>
      <c r="BS64" s="1698"/>
      <c r="BT64" s="1710"/>
      <c r="BU64" s="1722"/>
      <c r="BV64" s="1702"/>
      <c r="BW64" s="1698"/>
      <c r="BX64" s="1723"/>
      <c r="BY64" s="1704"/>
      <c r="BZ64" s="125"/>
      <c r="CA64" s="170"/>
    </row>
    <row r="65" spans="2:79">
      <c r="B65" s="1696">
        <v>44886</v>
      </c>
      <c r="C65" s="1697"/>
      <c r="D65" s="1697"/>
      <c r="E65" s="1697"/>
      <c r="F65" s="1698"/>
      <c r="G65" s="1698"/>
      <c r="H65" s="1698"/>
      <c r="I65" s="1698"/>
      <c r="J65" s="1709"/>
      <c r="K65" s="1700"/>
      <c r="L65" s="1698"/>
      <c r="M65" s="1698"/>
      <c r="N65" s="1698"/>
      <c r="O65" s="1698"/>
      <c r="P65" s="1710"/>
      <c r="Q65" s="1702"/>
      <c r="R65" s="1698"/>
      <c r="S65" s="1698"/>
      <c r="T65" s="1698"/>
      <c r="U65" s="1703"/>
      <c r="V65" s="1704"/>
      <c r="W65" s="1704"/>
      <c r="X65" s="1706"/>
      <c r="Y65" s="1707"/>
      <c r="Z65" s="1708"/>
      <c r="AA65" s="1697"/>
      <c r="AB65" s="1697"/>
      <c r="AC65" s="1698"/>
      <c r="AD65" s="1698"/>
      <c r="AE65" s="1698"/>
      <c r="AF65" s="1698"/>
      <c r="AG65" s="1709"/>
      <c r="AH65" s="1698"/>
      <c r="AI65" s="1698"/>
      <c r="AJ65" s="1710"/>
      <c r="AK65" s="1702"/>
      <c r="AL65" s="1698"/>
      <c r="AM65" s="1698"/>
      <c r="AN65" s="1721"/>
      <c r="AO65" s="1704"/>
      <c r="AP65" s="1704"/>
      <c r="AQ65" s="1707"/>
      <c r="AR65" s="1708"/>
      <c r="AS65" s="1697"/>
      <c r="AT65" s="1697"/>
      <c r="AU65" s="1698"/>
      <c r="AV65" s="1698"/>
      <c r="AW65" s="1698"/>
      <c r="AX65" s="1698"/>
      <c r="AY65" s="1709"/>
      <c r="AZ65" s="1698"/>
      <c r="BA65" s="1698"/>
      <c r="BB65" s="1710"/>
      <c r="BC65" s="1722"/>
      <c r="BD65" s="1702"/>
      <c r="BE65" s="1698"/>
      <c r="BF65" s="1723"/>
      <c r="BG65" s="1704"/>
      <c r="BH65" s="1704"/>
      <c r="BI65" s="1707"/>
      <c r="BJ65" s="1708"/>
      <c r="BK65" s="1697"/>
      <c r="BL65" s="1697"/>
      <c r="BM65" s="1698"/>
      <c r="BN65" s="1698"/>
      <c r="BO65" s="1698"/>
      <c r="BP65" s="1698"/>
      <c r="BQ65" s="1709"/>
      <c r="BR65" s="1698"/>
      <c r="BS65" s="1698"/>
      <c r="BT65" s="1710"/>
      <c r="BU65" s="1722"/>
      <c r="BV65" s="1702"/>
      <c r="BW65" s="1698"/>
      <c r="BX65" s="1723"/>
      <c r="BY65" s="1704"/>
      <c r="BZ65" s="125"/>
      <c r="CA65" s="170"/>
    </row>
    <row r="66" spans="2:79">
      <c r="B66" s="190" t="s">
        <v>160</v>
      </c>
      <c r="C66" s="298">
        <f>SUM(C59:C65)</f>
        <v>71063</v>
      </c>
      <c r="D66" s="298">
        <f t="shared" ref="D66:J66" si="122">SUM(D59:D65)</f>
        <v>70</v>
      </c>
      <c r="E66" s="298">
        <f t="shared" si="122"/>
        <v>8539</v>
      </c>
      <c r="F66" s="298">
        <f t="shared" si="122"/>
        <v>2122</v>
      </c>
      <c r="G66" s="298">
        <f t="shared" si="122"/>
        <v>771</v>
      </c>
      <c r="H66" s="298">
        <f t="shared" si="122"/>
        <v>438</v>
      </c>
      <c r="I66" s="298">
        <f t="shared" si="122"/>
        <v>265</v>
      </c>
      <c r="J66" s="479">
        <f t="shared" si="122"/>
        <v>240.3</v>
      </c>
      <c r="K66" s="599">
        <f>SUM($J$34,$J$42,$J$50,$J$58)/$C$6</f>
        <v>0.99954486973303314</v>
      </c>
      <c r="L66" s="299">
        <f>D66/C66</f>
        <v>9.8504144210067126E-4</v>
      </c>
      <c r="M66" s="300">
        <f>SUM(M59:M65)</f>
        <v>2590.8333333333335</v>
      </c>
      <c r="N66" s="301">
        <f>J66/E66</f>
        <v>2.8141468556037007E-2</v>
      </c>
      <c r="O66" s="301">
        <f>J66/I66</f>
        <v>0.90679245283018872</v>
      </c>
      <c r="P66" s="302">
        <f>E66/M66</f>
        <v>3.2958507558700543</v>
      </c>
      <c r="Q66" s="121">
        <f>SUM(Q59:Q65)</f>
        <v>5</v>
      </c>
      <c r="R66" s="27"/>
      <c r="S66" s="27"/>
      <c r="T66" s="27">
        <f>SUM(T59:T65)</f>
        <v>552.71111111111111</v>
      </c>
      <c r="U66" s="140">
        <f>Q66/T66</f>
        <v>9.0463171437761333E-3</v>
      </c>
      <c r="V66" s="237">
        <f>J66/Q66</f>
        <v>48.06</v>
      </c>
      <c r="W66" s="317">
        <f>Q66/D66</f>
        <v>7.1428571428571425E-2</v>
      </c>
      <c r="X66" s="682">
        <f>AVERAGE(X59:X65)</f>
        <v>0</v>
      </c>
      <c r="Y66" s="317">
        <f>AVERAGE(Y59:Y65)</f>
        <v>1</v>
      </c>
      <c r="Z66" s="164">
        <f>SUM(Z59:Z65)</f>
        <v>51754</v>
      </c>
      <c r="AA66" s="27">
        <f t="shared" ref="AA66:AK66" si="123">SUM(AA59:AA65)</f>
        <v>45</v>
      </c>
      <c r="AB66" s="27">
        <f t="shared" si="123"/>
        <v>6277</v>
      </c>
      <c r="AC66" s="27">
        <f t="shared" si="123"/>
        <v>1625</v>
      </c>
      <c r="AD66" s="27">
        <f t="shared" si="123"/>
        <v>599</v>
      </c>
      <c r="AE66" s="27">
        <f t="shared" si="123"/>
        <v>347</v>
      </c>
      <c r="AF66" s="27">
        <f t="shared" si="123"/>
        <v>207</v>
      </c>
      <c r="AG66" s="479">
        <f t="shared" si="123"/>
        <v>165.19</v>
      </c>
      <c r="AH66" s="549">
        <f>AG66/AB66</f>
        <v>2.6316711805002391E-2</v>
      </c>
      <c r="AI66" s="549">
        <f>AG66/AF66</f>
        <v>0.79801932367149753</v>
      </c>
      <c r="AJ66" s="550">
        <f>AA66/Z66</f>
        <v>8.6949800981566642E-4</v>
      </c>
      <c r="AK66" s="551">
        <f t="shared" si="123"/>
        <v>3</v>
      </c>
      <c r="AL66" s="298"/>
      <c r="AM66" s="298"/>
      <c r="AN66" s="552">
        <f t="shared" ref="AN66" si="124">AG66/AK66</f>
        <v>55.063333333333333</v>
      </c>
      <c r="AO66" s="550">
        <f t="shared" ref="AO66" si="125">AK66/AA66</f>
        <v>6.6666666666666666E-2</v>
      </c>
      <c r="AP66" s="130"/>
      <c r="AQ66" s="165"/>
      <c r="AR66" s="164">
        <f>SUM(AR59:AR65)</f>
        <v>0</v>
      </c>
      <c r="AS66" s="27">
        <f t="shared" ref="AS66:AY66" si="126">SUM(AS59:AS65)</f>
        <v>0</v>
      </c>
      <c r="AT66" s="27">
        <f t="shared" si="126"/>
        <v>0</v>
      </c>
      <c r="AU66" s="27">
        <f t="shared" si="126"/>
        <v>0</v>
      </c>
      <c r="AV66" s="27">
        <f t="shared" si="126"/>
        <v>0</v>
      </c>
      <c r="AW66" s="27">
        <f t="shared" si="126"/>
        <v>0</v>
      </c>
      <c r="AX66" s="27">
        <f t="shared" si="126"/>
        <v>0</v>
      </c>
      <c r="AY66" s="74">
        <f t="shared" si="126"/>
        <v>0</v>
      </c>
      <c r="AZ66" s="226" t="e">
        <f t="shared" ref="AZ66" si="127">AY66/AT66</f>
        <v>#DIV/0!</v>
      </c>
      <c r="BA66" s="226" t="e">
        <f t="shared" ref="BA66" si="128">AY66/AX66</f>
        <v>#DIV/0!</v>
      </c>
      <c r="BB66" s="147" t="e">
        <f t="shared" ref="BB66" si="129">AS66/AR66</f>
        <v>#DIV/0!</v>
      </c>
      <c r="BC66" s="551">
        <f t="shared" ref="BC66" si="130">SUM(BC59:BC65)</f>
        <v>1</v>
      </c>
      <c r="BD66" s="298"/>
      <c r="BE66" s="298"/>
      <c r="BF66" s="552">
        <f t="shared" ref="BF66" si="131">AY66/BC66</f>
        <v>0</v>
      </c>
      <c r="BG66" s="550" t="e">
        <f t="shared" ref="BG66" si="132">BC66/AS66</f>
        <v>#DIV/0!</v>
      </c>
      <c r="BH66" s="130"/>
      <c r="BI66" s="165"/>
      <c r="BJ66" s="164">
        <f>SUM(BJ59:BJ65)</f>
        <v>19309</v>
      </c>
      <c r="BK66" s="27">
        <f t="shared" ref="BK66:BQ66" si="133">SUM(BK59:BK65)</f>
        <v>25</v>
      </c>
      <c r="BL66" s="27">
        <f t="shared" si="133"/>
        <v>2262</v>
      </c>
      <c r="BM66" s="27">
        <f t="shared" si="133"/>
        <v>497</v>
      </c>
      <c r="BN66" s="27">
        <f t="shared" si="133"/>
        <v>172</v>
      </c>
      <c r="BO66" s="27">
        <f t="shared" si="133"/>
        <v>91</v>
      </c>
      <c r="BP66" s="27">
        <f t="shared" si="133"/>
        <v>58</v>
      </c>
      <c r="BQ66" s="227">
        <f t="shared" si="133"/>
        <v>75.11</v>
      </c>
      <c r="BR66" s="1142">
        <f t="shared" ref="BR66" si="134">BQ66/BL66</f>
        <v>3.3205128205128207E-2</v>
      </c>
      <c r="BS66" s="1142">
        <f t="shared" ref="BS66" si="135">BQ66/BP66</f>
        <v>1.2949999999999999</v>
      </c>
      <c r="BT66" s="900">
        <f t="shared" ref="BT66" si="136">BK66/BJ66</f>
        <v>1.2947330260500284E-3</v>
      </c>
      <c r="BU66" s="551">
        <f t="shared" ref="BU66" si="137">SUM(BU59:BU65)</f>
        <v>1</v>
      </c>
      <c r="BV66" s="298"/>
      <c r="BW66" s="298"/>
      <c r="BX66" s="552">
        <f t="shared" ref="BX66" si="138">BQ66/BU66</f>
        <v>75.11</v>
      </c>
      <c r="BY66" s="547">
        <f>BU66/BK66</f>
        <v>0.04</v>
      </c>
      <c r="BZ66" s="126"/>
      <c r="CA66" s="171"/>
    </row>
    <row r="67" spans="2:79" ht="16.2" thickBot="1">
      <c r="B67" s="191" t="s">
        <v>36</v>
      </c>
      <c r="C67" s="173">
        <f t="shared" ref="C67:J67" si="139">SUM(C34,C42,C50,C58,C66,)</f>
        <v>1939628</v>
      </c>
      <c r="D67" s="173">
        <f t="shared" si="139"/>
        <v>2469</v>
      </c>
      <c r="E67" s="173">
        <f>SUM(E34,E42,E50,E58,E66,)</f>
        <v>247707</v>
      </c>
      <c r="F67" s="173">
        <f t="shared" si="139"/>
        <v>56830</v>
      </c>
      <c r="G67" s="173">
        <f t="shared" si="139"/>
        <v>21650</v>
      </c>
      <c r="H67" s="173">
        <f t="shared" si="139"/>
        <v>12842</v>
      </c>
      <c r="I67" s="173">
        <f t="shared" si="139"/>
        <v>8088</v>
      </c>
      <c r="J67" s="174">
        <f t="shared" si="139"/>
        <v>6455.47</v>
      </c>
      <c r="K67" s="615">
        <f>J67/C6</f>
        <v>1.0381907365712448</v>
      </c>
      <c r="L67" s="175">
        <f>D67/C67</f>
        <v>1.2729244989245359E-3</v>
      </c>
      <c r="M67" s="173">
        <f>SUM(M34,M42,M50,M58,M66)</f>
        <v>38862.500000000007</v>
      </c>
      <c r="N67" s="216">
        <f>J67/E67</f>
        <v>2.6060910672689914E-2</v>
      </c>
      <c r="O67" s="1096">
        <f>J67/I67</f>
        <v>0.79815405539070228</v>
      </c>
      <c r="P67" s="981">
        <f>E67/M67</f>
        <v>6.3739337407526522</v>
      </c>
      <c r="Q67" s="173">
        <f>SUM(Q34,Q42,Q50,Q58,Q66)</f>
        <v>811</v>
      </c>
      <c r="R67" s="181"/>
      <c r="S67" s="181"/>
      <c r="T67" s="181">
        <f>SUM(T34,T42,T50,T58,T66)</f>
        <v>8290.6666666666679</v>
      </c>
      <c r="U67" s="192">
        <f>Q67/T67</f>
        <v>9.7820842714699249E-2</v>
      </c>
      <c r="V67" s="970">
        <f>J67/Q67</f>
        <v>7.9598890258939585</v>
      </c>
      <c r="W67" s="182">
        <f>Q67/D67</f>
        <v>0.32847306601863102</v>
      </c>
      <c r="X67" s="692">
        <f>AVERAGE(X27:X33,X43:X49,X35:X41,X51:X57,X59:X62)</f>
        <v>40.837633091023186</v>
      </c>
      <c r="Y67" s="982">
        <f>AVERAGE(Y27:Y33,Y43:Y49,Y35:Y41,Y51:Y57,Y59:Y62)</f>
        <v>0.86205874813563144</v>
      </c>
      <c r="Z67" s="172">
        <f>SUM(Z34,Z42,Z50,Z58,Z66)</f>
        <v>1208971</v>
      </c>
      <c r="AA67" s="172">
        <f t="shared" ref="AA67:AG67" si="140">SUM(AA34,AA42,AA50,AA58,AA66)</f>
        <v>1423</v>
      </c>
      <c r="AB67" s="172">
        <f t="shared" si="140"/>
        <v>158471</v>
      </c>
      <c r="AC67" s="172">
        <f t="shared" si="140"/>
        <v>38368</v>
      </c>
      <c r="AD67" s="172">
        <f t="shared" si="140"/>
        <v>14738</v>
      </c>
      <c r="AE67" s="172">
        <f t="shared" si="140"/>
        <v>8913</v>
      </c>
      <c r="AF67" s="172">
        <f t="shared" si="140"/>
        <v>5554</v>
      </c>
      <c r="AG67" s="968">
        <f t="shared" si="140"/>
        <v>3664.9500000000003</v>
      </c>
      <c r="AH67" s="216">
        <f>AG67/AB67</f>
        <v>2.3126944362059938E-2</v>
      </c>
      <c r="AI67" s="216">
        <f>AG67/AF67</f>
        <v>0.65987576521426006</v>
      </c>
      <c r="AJ67" s="180">
        <f>AA67/Z67</f>
        <v>1.1770340231486115E-3</v>
      </c>
      <c r="AK67" s="176">
        <f>SUM(AK34,AK42,AK50,AK58,AK66)</f>
        <v>465</v>
      </c>
      <c r="AL67" s="173" t="e">
        <f>SUM(AL34,AL42,AL50,AL58,AL66,#REF!,#REF!,#REF!,#REF!)</f>
        <v>#REF!</v>
      </c>
      <c r="AM67" s="173" t="e">
        <f>SUM(AM34,AM42,AM50,AM58,AM66,#REF!,#REF!,#REF!,#REF!)</f>
        <v>#REF!</v>
      </c>
      <c r="AN67" s="174">
        <f>AG67/AK67</f>
        <v>7.8816129032258067</v>
      </c>
      <c r="AO67" s="615">
        <f>AK67/AA67</f>
        <v>0.32677442023893183</v>
      </c>
      <c r="AP67" s="173" t="e">
        <f>SUM(AP34,AP42,AP50,AP58,AP66,#REF!,#REF!,#REF!,#REF!)</f>
        <v>#REF!</v>
      </c>
      <c r="AQ67" s="177" t="e">
        <f>SUM(AQ34,AQ42,AQ50,AQ58,AQ66,#REF!,#REF!,#REF!,#REF!)</f>
        <v>#REF!</v>
      </c>
      <c r="AR67" s="172">
        <f>SUM(AR34,AR42,AR50,AR58,AR66)</f>
        <v>327780</v>
      </c>
      <c r="AS67" s="172">
        <f t="shared" ref="AS67" si="141">SUM(AS34,AS42,AS50,AS58,AS66)</f>
        <v>520</v>
      </c>
      <c r="AT67" s="172">
        <f t="shared" ref="AT67" si="142">SUM(AT34,AT42,AT50,AT58,AT66)</f>
        <v>40930</v>
      </c>
      <c r="AU67" s="172">
        <f t="shared" ref="AU67" si="143">SUM(AU34,AU42,AU50,AU58,AU66)</f>
        <v>9072</v>
      </c>
      <c r="AV67" s="172">
        <f t="shared" ref="AV67" si="144">SUM(AV34,AV42,AV50,AV58,AV66)</f>
        <v>3496</v>
      </c>
      <c r="AW67" s="172">
        <f t="shared" ref="AW67" si="145">SUM(AW34,AW42,AW50,AW58,AW66)</f>
        <v>2122</v>
      </c>
      <c r="AX67" s="172">
        <f t="shared" ref="AX67" si="146">SUM(AX34,AX42,AX50,AX58,AX66)</f>
        <v>1395</v>
      </c>
      <c r="AY67" s="968">
        <f t="shared" ref="AY67" si="147">SUM(AY34,AY42,AY50,AY58,AY66)</f>
        <v>1313.74</v>
      </c>
      <c r="AZ67" s="216">
        <f>AY67/AT67</f>
        <v>3.2097239188859025E-2</v>
      </c>
      <c r="BA67" s="216">
        <f>AY67/AX67</f>
        <v>0.94174910394265232</v>
      </c>
      <c r="BB67" s="180">
        <f>AS67/AR67</f>
        <v>1.5864299225089998E-3</v>
      </c>
      <c r="BC67" s="176">
        <f>SUM(BC34,BC42,BC50,BC58,BC66)</f>
        <v>179</v>
      </c>
      <c r="BD67" s="173" t="e">
        <f>SUM(BD34,BD42,BD50,BD58,BD66,#REF!,#REF!,#REF!,#REF!)</f>
        <v>#REF!</v>
      </c>
      <c r="BE67" s="173" t="e">
        <f>SUM(BE34,BE42,BE50,BE58,BE66,#REF!,#REF!,#REF!,#REF!)</f>
        <v>#REF!</v>
      </c>
      <c r="BF67" s="174">
        <f>AY67/BC67</f>
        <v>7.3393296089385478</v>
      </c>
      <c r="BG67" s="615">
        <f>BC67/AS67</f>
        <v>0.34423076923076923</v>
      </c>
      <c r="BH67" s="173" t="e">
        <f>SUM(BH34,BH42,BH50,BH58,BH66,#REF!,#REF!,#REF!,#REF!)</f>
        <v>#REF!</v>
      </c>
      <c r="BI67" s="177" t="e">
        <f>SUM(BI34,BI42,BI50,BI58,BI66,#REF!,#REF!,#REF!,#REF!)</f>
        <v>#REF!</v>
      </c>
      <c r="BJ67" s="172">
        <f>SUM(BJ34,BJ42,BJ50,BJ58,BJ66)</f>
        <v>402877</v>
      </c>
      <c r="BK67" s="172">
        <f t="shared" ref="BK67" si="148">SUM(BK34,BK42,BK50,BK58,BK66)</f>
        <v>526</v>
      </c>
      <c r="BL67" s="172">
        <f t="shared" ref="BL67" si="149">SUM(BL34,BL42,BL50,BL58,BL66)</f>
        <v>48306</v>
      </c>
      <c r="BM67" s="172">
        <f t="shared" ref="BM67" si="150">SUM(BM34,BM42,BM50,BM58,BM66)</f>
        <v>9390</v>
      </c>
      <c r="BN67" s="172">
        <f t="shared" ref="BN67" si="151">SUM(BN34,BN42,BN50,BN58,BN66)</f>
        <v>3416</v>
      </c>
      <c r="BO67" s="172">
        <f t="shared" ref="BO67" si="152">SUM(BO34,BO42,BO50,BO58,BO66)</f>
        <v>1807</v>
      </c>
      <c r="BP67" s="172">
        <f t="shared" ref="BP67" si="153">SUM(BP34,BP42,BP50,BP58,BP66)</f>
        <v>1139</v>
      </c>
      <c r="BQ67" s="968">
        <f t="shared" ref="BQ67" si="154">SUM(BQ34,BQ42,BQ50,BQ58,BQ66)</f>
        <v>1476.78</v>
      </c>
      <c r="BR67" s="216">
        <f>BQ67/BL67</f>
        <v>3.0571357595329772E-2</v>
      </c>
      <c r="BS67" s="216">
        <f>BQ67/BP67</f>
        <v>1.296558384547849</v>
      </c>
      <c r="BT67" s="180">
        <f>BK67/BJ67</f>
        <v>1.3056094043591468E-3</v>
      </c>
      <c r="BU67" s="176">
        <f>SUM(BU34,BU42,BU50,BU58,BU66)</f>
        <v>167</v>
      </c>
      <c r="BV67" s="173" t="e">
        <f>SUM(BV34,BV42,BV50,BV58,BV66,#REF!,#REF!,#REF!,#REF!)</f>
        <v>#REF!</v>
      </c>
      <c r="BW67" s="173" t="e">
        <f>SUM(BW34,BW42,BW50,BW58,BW66,#REF!,#REF!,#REF!,#REF!)</f>
        <v>#REF!</v>
      </c>
      <c r="BX67" s="174">
        <f>BQ67/BU67</f>
        <v>8.8429940119760477</v>
      </c>
      <c r="BY67" s="615">
        <f>BU67/BK67</f>
        <v>0.31749049429657794</v>
      </c>
      <c r="BZ67" s="183"/>
      <c r="CA67" s="184"/>
    </row>
  </sheetData>
  <mergeCells count="16">
    <mergeCell ref="B9:Y9"/>
    <mergeCell ref="C10:P10"/>
    <mergeCell ref="Q10:Y10"/>
    <mergeCell ref="AA10:AC10"/>
    <mergeCell ref="B24:Y24"/>
    <mergeCell ref="Z24:AQ24"/>
    <mergeCell ref="AR24:BI24"/>
    <mergeCell ref="BJ24:CA24"/>
    <mergeCell ref="C25:P25"/>
    <mergeCell ref="Q25:Y25"/>
    <mergeCell ref="Z25:AJ25"/>
    <mergeCell ref="AK25:AQ25"/>
    <mergeCell ref="AR25:BB25"/>
    <mergeCell ref="BC25:BI25"/>
    <mergeCell ref="BJ25:BT25"/>
    <mergeCell ref="BU25:CA25"/>
  </mergeCells>
  <conditionalFormatting sqref="AQ23">
    <cfRule type="cellIs" dxfId="4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68"/>
  <sheetViews>
    <sheetView showGridLines="0" topLeftCell="A48" zoomScale="80" zoomScaleNormal="80" workbookViewId="0">
      <selection activeCell="A5" sqref="A5"/>
    </sheetView>
  </sheetViews>
  <sheetFormatPr defaultColWidth="8.8984375" defaultRowHeight="15.6"/>
  <cols>
    <col min="1" max="1" width="1.69921875" style="17" customWidth="1"/>
    <col min="2" max="2" width="24" style="17" customWidth="1"/>
    <col min="3" max="3" width="16.3984375" style="17" customWidth="1"/>
    <col min="4" max="9" width="10.69921875" style="17" customWidth="1"/>
    <col min="10" max="10" width="12.296875" style="473" customWidth="1"/>
    <col min="11" max="11" width="10.69921875" style="601" customWidth="1"/>
    <col min="12" max="17" width="10.69921875" style="17" customWidth="1"/>
    <col min="18" max="19" width="10.69921875" style="17" hidden="1" customWidth="1"/>
    <col min="20" max="23" width="10.69921875" style="17" customWidth="1"/>
    <col min="24" max="24" width="10.69921875" style="486" customWidth="1"/>
    <col min="25" max="27" width="10.69921875" style="17" customWidth="1"/>
    <col min="28" max="28" width="15.3984375" style="17" bestFit="1" customWidth="1"/>
    <col min="29" max="32" width="10.69921875" style="17" customWidth="1"/>
    <col min="33" max="33" width="10.69921875" style="473" customWidth="1"/>
    <col min="34" max="37" width="10.69921875" style="17" customWidth="1"/>
    <col min="38" max="39" width="10.69921875" style="17" hidden="1" customWidth="1"/>
    <col min="40" max="40" width="10.69921875" style="473" customWidth="1"/>
    <col min="41" max="41" width="10.69921875" style="17" customWidth="1"/>
    <col min="42" max="43" width="10.69921875" style="17" hidden="1" customWidth="1"/>
    <col min="44" max="50" width="10.69921875" style="17" customWidth="1"/>
    <col min="51" max="51" width="10.69921875" style="473" customWidth="1"/>
    <col min="52" max="55" width="10.69921875" style="17" customWidth="1"/>
    <col min="56" max="57" width="10.69921875" style="17" hidden="1" customWidth="1"/>
    <col min="58" max="59" width="10.69921875" style="17" customWidth="1"/>
    <col min="60" max="61" width="10.69921875" style="17" hidden="1" customWidth="1"/>
    <col min="62" max="68" width="10.69921875" style="17" customWidth="1"/>
    <col min="69" max="69" width="10.69921875" style="473" customWidth="1"/>
    <col min="70" max="73" width="10.69921875" style="17" customWidth="1"/>
    <col min="74" max="75" width="10.69921875" style="17" hidden="1" customWidth="1"/>
    <col min="76" max="77" width="10.69921875" style="17" customWidth="1"/>
    <col min="78" max="79" width="10.69921875" style="17" hidden="1" customWidth="1"/>
    <col min="80" max="16384" width="8.8984375" style="17"/>
  </cols>
  <sheetData>
    <row r="1" spans="2:69" s="2" customFormat="1" ht="16.2" thickBot="1">
      <c r="J1" s="472"/>
      <c r="K1" s="600"/>
      <c r="X1" s="485"/>
      <c r="AG1" s="472"/>
      <c r="AN1" s="472"/>
      <c r="AY1" s="472"/>
      <c r="BQ1" s="472"/>
    </row>
    <row r="2" spans="2:69" s="2" customFormat="1">
      <c r="B2" s="43" t="s">
        <v>14</v>
      </c>
      <c r="C2" s="45" t="s">
        <v>199</v>
      </c>
      <c r="J2" s="472"/>
      <c r="K2" s="600"/>
      <c r="X2" s="485"/>
      <c r="AG2" s="472"/>
      <c r="AN2" s="472"/>
      <c r="AY2" s="472"/>
      <c r="BQ2" s="472"/>
    </row>
    <row r="3" spans="2:69" s="2" customFormat="1" ht="31.8" thickBot="1">
      <c r="B3" s="1307" t="s">
        <v>193</v>
      </c>
      <c r="C3" s="205">
        <v>7110</v>
      </c>
      <c r="J3" s="472"/>
      <c r="K3" s="600"/>
      <c r="X3" s="485"/>
      <c r="AG3" s="472"/>
      <c r="AN3" s="472"/>
      <c r="AY3" s="472"/>
      <c r="BQ3" s="472"/>
    </row>
    <row r="4" spans="2:69" s="2" customFormat="1">
      <c r="J4" s="472"/>
      <c r="K4" s="600"/>
      <c r="X4" s="485"/>
      <c r="AG4" s="472"/>
      <c r="AN4" s="472"/>
      <c r="AY4" s="472"/>
      <c r="BQ4" s="472"/>
    </row>
    <row r="5" spans="2:69" s="2" customFormat="1" hidden="1">
      <c r="J5" s="472"/>
      <c r="K5" s="600"/>
      <c r="X5" s="485"/>
      <c r="AG5" s="472"/>
      <c r="AN5" s="472"/>
      <c r="AY5" s="472"/>
      <c r="BQ5" s="472"/>
    </row>
    <row r="6" spans="2:69" ht="16.2" hidden="1" thickBot="1"/>
    <row r="7" spans="2:69" hidden="1">
      <c r="B7" s="43" t="s">
        <v>14</v>
      </c>
      <c r="C7" s="45" t="s">
        <v>199</v>
      </c>
      <c r="D7" s="76"/>
      <c r="E7" s="76"/>
      <c r="F7" s="19"/>
      <c r="G7" s="19"/>
      <c r="H7" s="19"/>
      <c r="I7" s="19"/>
      <c r="J7" s="474"/>
      <c r="K7" s="602"/>
      <c r="L7" s="19"/>
      <c r="M7" s="19"/>
      <c r="N7" s="19"/>
      <c r="O7" s="223"/>
      <c r="P7" s="19"/>
      <c r="Q7" s="19"/>
      <c r="R7" s="19"/>
      <c r="S7" s="19"/>
      <c r="T7" s="19"/>
      <c r="U7" s="19"/>
      <c r="V7" s="19"/>
      <c r="W7" s="19"/>
      <c r="X7" s="487"/>
      <c r="Y7" s="19"/>
    </row>
    <row r="8" spans="2:69" ht="16.2" hidden="1" thickBot="1">
      <c r="B8" s="44" t="s">
        <v>113</v>
      </c>
      <c r="C8" s="205">
        <v>6715</v>
      </c>
      <c r="D8" s="76"/>
      <c r="E8" s="76"/>
      <c r="F8" s="19"/>
      <c r="G8" s="19"/>
      <c r="H8" s="19"/>
      <c r="I8" s="19"/>
      <c r="J8" s="474"/>
      <c r="K8" s="602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87"/>
      <c r="Y8" s="19"/>
      <c r="Z8" s="20"/>
      <c r="AA8" s="20"/>
      <c r="AB8" s="20"/>
      <c r="AC8" s="20"/>
      <c r="AD8" s="20"/>
      <c r="AE8" s="20"/>
      <c r="AF8" s="20"/>
      <c r="AG8" s="507"/>
      <c r="AH8" s="20"/>
      <c r="AI8" s="20"/>
      <c r="AJ8" s="20"/>
      <c r="AK8" s="20"/>
      <c r="AL8" s="20"/>
      <c r="AM8" s="20"/>
      <c r="AN8" s="507"/>
      <c r="AO8" s="20"/>
    </row>
    <row r="9" spans="2:69" ht="16.2" thickBot="1">
      <c r="B9" s="21"/>
      <c r="C9" s="21"/>
      <c r="D9" s="21"/>
      <c r="E9" s="21"/>
      <c r="F9" s="21"/>
      <c r="G9" s="21"/>
      <c r="H9" s="21"/>
      <c r="I9" s="21"/>
      <c r="J9" s="475"/>
      <c r="K9" s="603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488"/>
      <c r="Y9" s="21"/>
      <c r="Z9" s="20"/>
      <c r="AA9" s="20"/>
      <c r="AB9" s="20"/>
      <c r="AC9" s="20"/>
      <c r="AD9" s="20"/>
      <c r="AE9" s="20"/>
      <c r="AF9" s="20"/>
      <c r="AG9" s="507"/>
      <c r="AH9" s="20"/>
      <c r="AI9" s="20"/>
      <c r="AJ9" s="20"/>
      <c r="AK9" s="20"/>
      <c r="AL9" s="20"/>
      <c r="AM9" s="20"/>
      <c r="AN9" s="507"/>
      <c r="AO9" s="20"/>
    </row>
    <row r="10" spans="2:69">
      <c r="B10" s="2001" t="s">
        <v>115</v>
      </c>
      <c r="C10" s="2002"/>
      <c r="D10" s="2002"/>
      <c r="E10" s="2002"/>
      <c r="F10" s="2002"/>
      <c r="G10" s="2002"/>
      <c r="H10" s="2002"/>
      <c r="I10" s="2002"/>
      <c r="J10" s="2002"/>
      <c r="K10" s="2002"/>
      <c r="L10" s="2002"/>
      <c r="M10" s="2002"/>
      <c r="N10" s="2002"/>
      <c r="O10" s="2002"/>
      <c r="P10" s="2002"/>
      <c r="Q10" s="2002"/>
      <c r="R10" s="2002"/>
      <c r="S10" s="2002"/>
      <c r="T10" s="2002"/>
      <c r="U10" s="2002"/>
      <c r="V10" s="2002"/>
      <c r="W10" s="2002"/>
      <c r="X10" s="2002"/>
      <c r="Y10" s="2003"/>
      <c r="Z10" s="20"/>
      <c r="AA10" s="20"/>
      <c r="AB10" s="20"/>
      <c r="AC10" s="20"/>
      <c r="AD10" s="20"/>
      <c r="AE10" s="20"/>
      <c r="AF10" s="20"/>
      <c r="AG10" s="507"/>
      <c r="AH10" s="20"/>
      <c r="AI10" s="20"/>
      <c r="AJ10" s="20"/>
      <c r="AK10" s="20"/>
      <c r="AL10" s="20"/>
      <c r="AM10" s="20"/>
      <c r="AN10" s="507"/>
      <c r="AO10" s="20"/>
    </row>
    <row r="11" spans="2:69">
      <c r="B11" s="116"/>
      <c r="C11" s="2023" t="s">
        <v>14</v>
      </c>
      <c r="D11" s="2023"/>
      <c r="E11" s="2023"/>
      <c r="F11" s="2023"/>
      <c r="G11" s="2023"/>
      <c r="H11" s="2023"/>
      <c r="I11" s="2023"/>
      <c r="J11" s="2023"/>
      <c r="K11" s="2023"/>
      <c r="L11" s="2023"/>
      <c r="M11" s="2023"/>
      <c r="N11" s="2023"/>
      <c r="O11" s="2023"/>
      <c r="P11" s="2023"/>
      <c r="Q11" s="2005" t="s">
        <v>116</v>
      </c>
      <c r="R11" s="2005"/>
      <c r="S11" s="2005"/>
      <c r="T11" s="2005"/>
      <c r="U11" s="2005"/>
      <c r="V11" s="2005"/>
      <c r="W11" s="2005"/>
      <c r="X11" s="2005"/>
      <c r="Y11" s="2006"/>
      <c r="Z11" s="20"/>
      <c r="AA11" s="1999" t="s">
        <v>184</v>
      </c>
      <c r="AB11" s="2000"/>
      <c r="AC11" s="2000"/>
      <c r="AD11" s="20"/>
      <c r="AE11" s="20"/>
      <c r="AF11" s="20"/>
      <c r="AG11" s="507"/>
      <c r="AH11" s="20"/>
      <c r="AI11" s="20"/>
      <c r="AJ11" s="20"/>
      <c r="AK11" s="20"/>
      <c r="AO11" s="20"/>
      <c r="AP11" s="20"/>
      <c r="AQ11" s="20"/>
    </row>
    <row r="12" spans="2:69" s="22" customFormat="1" ht="46.8">
      <c r="B12" s="115" t="s">
        <v>119</v>
      </c>
      <c r="C12" s="438" t="s">
        <v>120</v>
      </c>
      <c r="D12" s="438" t="s">
        <v>121</v>
      </c>
      <c r="E12" s="288" t="s">
        <v>177</v>
      </c>
      <c r="F12" s="439" t="s">
        <v>123</v>
      </c>
      <c r="G12" s="439" t="s">
        <v>124</v>
      </c>
      <c r="H12" s="439" t="s">
        <v>125</v>
      </c>
      <c r="I12" s="439" t="s">
        <v>126</v>
      </c>
      <c r="J12" s="476" t="s">
        <v>127</v>
      </c>
      <c r="K12" s="613" t="s">
        <v>128</v>
      </c>
      <c r="L12" s="439" t="s">
        <v>129</v>
      </c>
      <c r="M12" s="439" t="s">
        <v>130</v>
      </c>
      <c r="N12" s="439" t="s">
        <v>178</v>
      </c>
      <c r="O12" s="439" t="s">
        <v>179</v>
      </c>
      <c r="P12" s="141" t="s">
        <v>180</v>
      </c>
      <c r="Q12" s="440" t="s">
        <v>132</v>
      </c>
      <c r="R12" s="440" t="s">
        <v>133</v>
      </c>
      <c r="S12" s="440" t="s">
        <v>134</v>
      </c>
      <c r="T12" s="440" t="s">
        <v>135</v>
      </c>
      <c r="U12" s="137" t="s">
        <v>165</v>
      </c>
      <c r="V12" s="441" t="s">
        <v>21</v>
      </c>
      <c r="W12" s="440" t="s">
        <v>137</v>
      </c>
      <c r="X12" s="489" t="s">
        <v>138</v>
      </c>
      <c r="Y12" s="442" t="s">
        <v>23</v>
      </c>
      <c r="AA12" s="193" t="s">
        <v>139</v>
      </c>
      <c r="AB12" s="193" t="s">
        <v>140</v>
      </c>
      <c r="AC12" s="198" t="s">
        <v>141</v>
      </c>
      <c r="AG12" s="480"/>
      <c r="AN12" s="480"/>
      <c r="AY12" s="480"/>
      <c r="BQ12" s="480"/>
    </row>
    <row r="13" spans="2:69" ht="31.2">
      <c r="B13" s="103" t="s">
        <v>174</v>
      </c>
      <c r="C13" s="15">
        <f>SUM(C28:C34)</f>
        <v>536434</v>
      </c>
      <c r="D13" s="15">
        <f t="shared" ref="D13:I13" si="0">SUM(D28:D34)</f>
        <v>6943</v>
      </c>
      <c r="E13" s="15">
        <f t="shared" si="0"/>
        <v>60795</v>
      </c>
      <c r="F13" s="15">
        <f t="shared" si="0"/>
        <v>6425</v>
      </c>
      <c r="G13" s="15">
        <f t="shared" si="0"/>
        <v>3279</v>
      </c>
      <c r="H13" s="15">
        <f t="shared" si="0"/>
        <v>2326</v>
      </c>
      <c r="I13" s="15">
        <f t="shared" si="0"/>
        <v>1294</v>
      </c>
      <c r="J13" s="77">
        <f>SUM(J28:J34)</f>
        <v>1371.19</v>
      </c>
      <c r="K13" s="73">
        <f>J13/$C$8</f>
        <v>0.20419806403574089</v>
      </c>
      <c r="L13" s="79">
        <f>D13/C13</f>
        <v>1.2942878341044751E-2</v>
      </c>
      <c r="M13" s="202">
        <f>$AB$13/30*7</f>
        <v>13825</v>
      </c>
      <c r="N13" s="77">
        <f>J13/E13</f>
        <v>2.2554321901472163E-2</v>
      </c>
      <c r="O13" s="77">
        <f>J13/I13</f>
        <v>1.0596522411128284</v>
      </c>
      <c r="P13" s="73">
        <f>E13/M13</f>
        <v>4.3974683544303801</v>
      </c>
      <c r="Q13" s="131">
        <f>SUM(Q28:Q34)</f>
        <v>1289</v>
      </c>
      <c r="R13" s="132"/>
      <c r="S13" s="132"/>
      <c r="T13" s="293">
        <f>$AB$15/30*7</f>
        <v>655.73122529644274</v>
      </c>
      <c r="U13" s="139">
        <f>Q13/T13</f>
        <v>1.965744424352019</v>
      </c>
      <c r="V13" s="224">
        <f>J13/Q13</f>
        <v>1.0637626066718386</v>
      </c>
      <c r="W13" s="333">
        <f>Q13/D13</f>
        <v>0.18565461616016132</v>
      </c>
      <c r="X13" s="382">
        <f t="shared" ref="X13:Y13" si="1">X35</f>
        <v>21.071428571428573</v>
      </c>
      <c r="Y13" s="348">
        <f t="shared" si="1"/>
        <v>0.91482142857142856</v>
      </c>
      <c r="AA13" s="97">
        <f>E21</f>
        <v>215190</v>
      </c>
      <c r="AB13" s="97">
        <f>C3/0.12</f>
        <v>59250</v>
      </c>
      <c r="AC13" s="98">
        <f>AA13/AB13</f>
        <v>3.6318987341772151</v>
      </c>
    </row>
    <row r="14" spans="2:69" ht="31.2">
      <c r="B14" s="103" t="s">
        <v>175</v>
      </c>
      <c r="C14" s="15">
        <f>SUM(C36:C42)</f>
        <v>583432</v>
      </c>
      <c r="D14" s="15">
        <f>SUM(D36:D42)</f>
        <v>8442</v>
      </c>
      <c r="E14" s="15">
        <f t="shared" ref="E14:I14" si="2">SUM(E36:E42)</f>
        <v>67740</v>
      </c>
      <c r="F14" s="15">
        <f t="shared" si="2"/>
        <v>7563</v>
      </c>
      <c r="G14" s="15">
        <f t="shared" si="2"/>
        <v>3330</v>
      </c>
      <c r="H14" s="15">
        <f t="shared" si="2"/>
        <v>2118</v>
      </c>
      <c r="I14" s="15">
        <f t="shared" si="2"/>
        <v>1341</v>
      </c>
      <c r="J14" s="77">
        <f>SUM(J36:J42)</f>
        <v>1840.9900000000002</v>
      </c>
      <c r="K14" s="73">
        <f>J14/$C$8</f>
        <v>0.27416083395383473</v>
      </c>
      <c r="L14" s="79">
        <f>D14/C14</f>
        <v>1.4469552578535287E-2</v>
      </c>
      <c r="M14" s="202">
        <f>$AB$13/30*7</f>
        <v>13825</v>
      </c>
      <c r="N14" s="77">
        <f>J14/E14</f>
        <v>2.7177295541777387E-2</v>
      </c>
      <c r="O14" s="77">
        <f>J14/I14</f>
        <v>1.3728486204325132</v>
      </c>
      <c r="P14" s="73">
        <f>E14/M14</f>
        <v>4.8998191681735985</v>
      </c>
      <c r="Q14" s="131">
        <f>SUM(Q36:Q42)</f>
        <v>1614</v>
      </c>
      <c r="R14" s="132"/>
      <c r="S14" s="132"/>
      <c r="T14" s="293">
        <f>$AB$15/30*7</f>
        <v>655.73122529644274</v>
      </c>
      <c r="U14" s="139">
        <f>Q14/T14</f>
        <v>2.4613743218806508</v>
      </c>
      <c r="V14" s="224">
        <f>J14/Q14</f>
        <v>1.1406381660470881</v>
      </c>
      <c r="W14" s="333">
        <f>Q14/D14</f>
        <v>0.19118692253020611</v>
      </c>
      <c r="X14" s="382">
        <f>X43</f>
        <v>19.392313352776672</v>
      </c>
      <c r="Y14" s="348">
        <f>Y43</f>
        <v>0.94890865587738704</v>
      </c>
      <c r="AA14" s="199" t="s">
        <v>132</v>
      </c>
      <c r="AB14" s="199" t="s">
        <v>144</v>
      </c>
      <c r="AC14" s="198" t="s">
        <v>141</v>
      </c>
    </row>
    <row r="15" spans="2:69" ht="31.2">
      <c r="B15" s="105" t="s">
        <v>168</v>
      </c>
      <c r="C15" s="15">
        <f>SUM(C44:C50)</f>
        <v>545435</v>
      </c>
      <c r="D15" s="15">
        <f t="shared" ref="D15:I15" si="3">SUM(D44:D50)</f>
        <v>8890</v>
      </c>
      <c r="E15" s="15">
        <f t="shared" si="3"/>
        <v>51539</v>
      </c>
      <c r="F15" s="15">
        <f t="shared" si="3"/>
        <v>6820</v>
      </c>
      <c r="G15" s="15">
        <f t="shared" si="3"/>
        <v>3463</v>
      </c>
      <c r="H15" s="15">
        <f t="shared" si="3"/>
        <v>2399</v>
      </c>
      <c r="I15" s="15">
        <f t="shared" si="3"/>
        <v>1539</v>
      </c>
      <c r="J15" s="77">
        <f>SUM(J44:J50)</f>
        <v>1753.3899999999999</v>
      </c>
      <c r="K15" s="73">
        <f>J15/$C$8</f>
        <v>0.26111541325390913</v>
      </c>
      <c r="L15" s="79">
        <f>D15/C15</f>
        <v>1.6298917377872708E-2</v>
      </c>
      <c r="M15" s="202">
        <f>$AB$13/30*7</f>
        <v>13825</v>
      </c>
      <c r="N15" s="77">
        <f>J15/E15</f>
        <v>3.4020644560429962E-2</v>
      </c>
      <c r="O15" s="77">
        <f>J15/I15</f>
        <v>1.1393047433398309</v>
      </c>
      <c r="P15" s="73">
        <f>E15/M15</f>
        <v>3.7279566003616638</v>
      </c>
      <c r="Q15" s="52">
        <f>SUM(Q44:Q50)</f>
        <v>1664</v>
      </c>
      <c r="R15" s="52"/>
      <c r="S15" s="52"/>
      <c r="T15" s="293">
        <f>$AB$15/30*7</f>
        <v>655.73122529644274</v>
      </c>
      <c r="U15" s="139">
        <f>Q15/T15</f>
        <v>2.5376250753465941</v>
      </c>
      <c r="V15" s="224">
        <f>J15/Q15</f>
        <v>1.0537199519230769</v>
      </c>
      <c r="W15" s="333">
        <f>Q15/D15</f>
        <v>0.18717660292463442</v>
      </c>
      <c r="X15" s="705">
        <f>X51</f>
        <v>15.767744622068459</v>
      </c>
      <c r="Y15" s="617">
        <f>Y51</f>
        <v>0.93311939400044186</v>
      </c>
      <c r="Z15" s="40"/>
      <c r="AA15" s="97">
        <f>Q21</f>
        <v>5898</v>
      </c>
      <c r="AB15" s="97">
        <f>C3/2.53</f>
        <v>2810.2766798418975</v>
      </c>
      <c r="AC15" s="98">
        <f>AA15/AB15</f>
        <v>2.0987257383966242</v>
      </c>
      <c r="AD15" s="40"/>
      <c r="AE15" s="40"/>
      <c r="AF15" s="40"/>
      <c r="AG15" s="597"/>
      <c r="AH15" s="40"/>
      <c r="AI15" s="40"/>
      <c r="AJ15" s="40"/>
      <c r="AK15" s="40"/>
    </row>
    <row r="16" spans="2:69" ht="31.2">
      <c r="B16" s="105" t="s">
        <v>169</v>
      </c>
      <c r="C16" s="15">
        <f>SUM(C52:C58)</f>
        <v>351818</v>
      </c>
      <c r="D16" s="15">
        <f t="shared" ref="D16:J16" si="4">SUM(D52:D58)</f>
        <v>6493</v>
      </c>
      <c r="E16" s="15">
        <f t="shared" si="4"/>
        <v>35116</v>
      </c>
      <c r="F16" s="15">
        <f t="shared" si="4"/>
        <v>5019</v>
      </c>
      <c r="G16" s="15">
        <f t="shared" si="4"/>
        <v>2469</v>
      </c>
      <c r="H16" s="15">
        <f t="shared" si="4"/>
        <v>1646</v>
      </c>
      <c r="I16" s="15">
        <f t="shared" si="4"/>
        <v>1109</v>
      </c>
      <c r="J16" s="72">
        <f t="shared" si="4"/>
        <v>1346.6000000000001</v>
      </c>
      <c r="K16" s="73">
        <f>J16/$C$8</f>
        <v>0.20053611317944903</v>
      </c>
      <c r="L16" s="79">
        <f>D16/C16</f>
        <v>1.8455565093315293E-2</v>
      </c>
      <c r="M16" s="202">
        <f>$AB$13/30*7</f>
        <v>13825</v>
      </c>
      <c r="N16" s="77">
        <f>J16/E16</f>
        <v>3.8347192163116529E-2</v>
      </c>
      <c r="O16" s="77">
        <f>J16/I16</f>
        <v>1.2142470694319207</v>
      </c>
      <c r="P16" s="73">
        <f>E16/M16</f>
        <v>2.5400361663652804</v>
      </c>
      <c r="Q16" s="52">
        <f>SUM(Q52:Q58)</f>
        <v>1330</v>
      </c>
      <c r="R16" s="52"/>
      <c r="S16" s="52"/>
      <c r="T16" s="293">
        <f>$AB$15/30*7</f>
        <v>655.73122529644274</v>
      </c>
      <c r="U16" s="139">
        <f>Q16/T16</f>
        <v>2.0282700421940927</v>
      </c>
      <c r="V16" s="224">
        <f>J16/Q16</f>
        <v>1.012481203007519</v>
      </c>
      <c r="W16" s="333">
        <f>Q16/D16</f>
        <v>0.2048359772062221</v>
      </c>
      <c r="X16" s="705">
        <f>X59</f>
        <v>14.079688182365933</v>
      </c>
      <c r="Y16" s="616">
        <f>Y59</f>
        <v>0.93176327844790219</v>
      </c>
    </row>
    <row r="17" spans="2:79" ht="31.2">
      <c r="B17" s="105" t="s">
        <v>194</v>
      </c>
      <c r="C17" s="15">
        <f>SUM(C60:C66)</f>
        <v>0</v>
      </c>
      <c r="D17" s="15">
        <f t="shared" ref="D17:J17" si="5">SUM(D60:D66)</f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15">
        <f t="shared" si="5"/>
        <v>0</v>
      </c>
      <c r="J17" s="72">
        <f t="shared" si="5"/>
        <v>0</v>
      </c>
      <c r="K17" s="73">
        <f>J17/$C$8</f>
        <v>0</v>
      </c>
      <c r="L17" s="79" t="e">
        <f>D17/C17</f>
        <v>#DIV/0!</v>
      </c>
      <c r="M17" s="202">
        <f>$AB$13/30*7</f>
        <v>13825</v>
      </c>
      <c r="N17" s="77" t="e">
        <f>J17/E17</f>
        <v>#DIV/0!</v>
      </c>
      <c r="O17" s="77" t="e">
        <f>J17/I17</f>
        <v>#DIV/0!</v>
      </c>
      <c r="P17" s="73">
        <f>E17/M17</f>
        <v>0</v>
      </c>
      <c r="Q17" s="52">
        <f>SUM(Q60:Q66)</f>
        <v>1</v>
      </c>
      <c r="R17" s="52"/>
      <c r="S17" s="52"/>
      <c r="T17" s="293">
        <f>$AB$15/30*7</f>
        <v>655.73122529644274</v>
      </c>
      <c r="U17" s="139">
        <f>Q17/T17</f>
        <v>1.5250150693188666E-3</v>
      </c>
      <c r="V17" s="224">
        <f>J17/Q17</f>
        <v>0</v>
      </c>
      <c r="W17" s="333" t="e">
        <f>Q17/D17</f>
        <v>#DIV/0!</v>
      </c>
      <c r="X17" s="705">
        <f>AVERAGE(X60:X66)</f>
        <v>0</v>
      </c>
      <c r="Y17" s="616">
        <f>Y67</f>
        <v>1</v>
      </c>
    </row>
    <row r="18" spans="2:79">
      <c r="B18" s="103" t="s">
        <v>195</v>
      </c>
      <c r="C18" s="15"/>
      <c r="D18" s="15"/>
      <c r="E18" s="15"/>
      <c r="F18" s="15"/>
      <c r="G18" s="15"/>
      <c r="H18" s="15"/>
      <c r="I18" s="15"/>
      <c r="J18" s="77"/>
      <c r="K18" s="605"/>
      <c r="L18" s="52"/>
      <c r="M18" s="52"/>
      <c r="N18" s="77"/>
      <c r="O18" s="77"/>
      <c r="P18" s="52"/>
      <c r="Q18" s="52"/>
      <c r="R18" s="52"/>
      <c r="S18" s="52"/>
      <c r="T18" s="52"/>
      <c r="U18" s="52"/>
      <c r="V18" s="52"/>
      <c r="W18" s="52"/>
      <c r="X18" s="622"/>
      <c r="Y18" s="104"/>
    </row>
    <row r="19" spans="2:79">
      <c r="B19" s="103" t="s">
        <v>196</v>
      </c>
      <c r="C19" s="102"/>
      <c r="D19" s="102"/>
      <c r="E19" s="102"/>
      <c r="F19" s="102"/>
      <c r="G19" s="102"/>
      <c r="H19" s="102"/>
      <c r="I19" s="102"/>
      <c r="J19" s="77"/>
      <c r="K19" s="605"/>
      <c r="L19" s="52"/>
      <c r="M19" s="52"/>
      <c r="N19" s="77"/>
      <c r="O19" s="77"/>
      <c r="P19" s="52"/>
      <c r="Q19" s="52"/>
      <c r="R19" s="52"/>
      <c r="S19" s="52"/>
      <c r="T19" s="52"/>
      <c r="U19" s="52"/>
      <c r="V19" s="52"/>
      <c r="W19" s="52"/>
      <c r="X19" s="622"/>
      <c r="Y19" s="104"/>
    </row>
    <row r="20" spans="2:79" ht="16.2" thickBot="1">
      <c r="B20" s="106" t="s">
        <v>197</v>
      </c>
      <c r="C20" s="35"/>
      <c r="D20" s="35"/>
      <c r="E20" s="35"/>
      <c r="F20" s="35"/>
      <c r="G20" s="35"/>
      <c r="H20" s="35"/>
      <c r="I20" s="35"/>
      <c r="J20" s="77"/>
      <c r="K20" s="605"/>
      <c r="L20" s="52"/>
      <c r="M20" s="52"/>
      <c r="N20" s="77"/>
      <c r="O20" s="77"/>
      <c r="P20" s="52"/>
      <c r="Q20" s="52"/>
      <c r="R20" s="52"/>
      <c r="S20" s="52"/>
      <c r="T20" s="52"/>
      <c r="U20" s="52"/>
      <c r="V20" s="52"/>
      <c r="W20" s="52"/>
      <c r="X20" s="622"/>
      <c r="Y20" s="104"/>
    </row>
    <row r="21" spans="2:79" ht="16.2" thickBot="1">
      <c r="B21" s="107" t="s">
        <v>153</v>
      </c>
      <c r="C21" s="108">
        <f>SUM(C13:C20)</f>
        <v>2017119</v>
      </c>
      <c r="D21" s="108">
        <f t="shared" ref="D21:I21" si="6">SUM(D13:D20)</f>
        <v>30768</v>
      </c>
      <c r="E21" s="108">
        <f t="shared" si="6"/>
        <v>215190</v>
      </c>
      <c r="F21" s="108">
        <f t="shared" si="6"/>
        <v>25827</v>
      </c>
      <c r="G21" s="108">
        <f t="shared" si="6"/>
        <v>12541</v>
      </c>
      <c r="H21" s="108">
        <f t="shared" si="6"/>
        <v>8489</v>
      </c>
      <c r="I21" s="108">
        <f t="shared" si="6"/>
        <v>5283</v>
      </c>
      <c r="J21" s="109">
        <f>SUM(J13:J20)</f>
        <v>6312.17</v>
      </c>
      <c r="K21" s="111">
        <f>J21/C8</f>
        <v>0.9400104244229337</v>
      </c>
      <c r="L21" s="110">
        <f>D21/C21</f>
        <v>1.5253438195763363E-2</v>
      </c>
      <c r="M21" s="108">
        <f>SUM(M13:M20)</f>
        <v>69125</v>
      </c>
      <c r="N21" s="229">
        <f>J21/E21</f>
        <v>2.9333008039407037E-2</v>
      </c>
      <c r="O21" s="229">
        <f>J21/I21</f>
        <v>1.1948078743138368</v>
      </c>
      <c r="P21" s="111">
        <f>E21/M21</f>
        <v>3.1130560578661846</v>
      </c>
      <c r="Q21" s="108">
        <f>SUM(Q13:Q20)</f>
        <v>5898</v>
      </c>
      <c r="R21" s="112"/>
      <c r="S21" s="112"/>
      <c r="T21" s="108">
        <f>SUM(T13:T20)</f>
        <v>3278.6561264822139</v>
      </c>
      <c r="U21" s="138">
        <f>Q21/T21</f>
        <v>1.798907775768535</v>
      </c>
      <c r="V21" s="340">
        <f>J21/Q21</f>
        <v>1.0702221091895558</v>
      </c>
      <c r="W21" s="336">
        <f>Q21/D21</f>
        <v>0.19169266770670826</v>
      </c>
      <c r="X21" s="623">
        <f>AVERAGE(X13:X20)</f>
        <v>14.062234945727926</v>
      </c>
      <c r="Y21" s="618">
        <f>AVERAGE(Y13:Y20)</f>
        <v>0.94572255137943206</v>
      </c>
      <c r="Z21" s="18"/>
      <c r="AA21" s="18"/>
      <c r="AB21" s="18"/>
      <c r="AC21" s="18"/>
      <c r="AD21" s="18"/>
      <c r="AE21" s="18"/>
      <c r="AF21" s="18"/>
      <c r="AG21" s="508"/>
      <c r="AH21" s="18"/>
      <c r="AI21" s="18"/>
      <c r="AJ21" s="18"/>
      <c r="AK21" s="18"/>
      <c r="AL21" s="18"/>
      <c r="AM21" s="18"/>
      <c r="AN21" s="508"/>
      <c r="AO21" s="18"/>
      <c r="AP21" s="18"/>
      <c r="AQ21" s="18"/>
    </row>
    <row r="22" spans="2:79" customFormat="1" ht="14.4">
      <c r="J22" s="477"/>
      <c r="K22" s="607"/>
      <c r="X22" s="482"/>
      <c r="AG22" s="477"/>
      <c r="AN22" s="477"/>
      <c r="AY22" s="477"/>
      <c r="BQ22" s="477"/>
    </row>
    <row r="23" spans="2:79">
      <c r="U23" s="30"/>
      <c r="V23" s="30"/>
      <c r="W23" s="30"/>
      <c r="X23" s="490"/>
      <c r="Y23" s="30"/>
      <c r="Z23" s="57" t="s">
        <v>171</v>
      </c>
      <c r="AA23" s="57"/>
      <c r="AB23" s="57"/>
      <c r="AC23" s="57"/>
      <c r="AD23" s="57"/>
      <c r="AE23" s="57"/>
      <c r="AF23" s="57"/>
      <c r="AG23" s="509"/>
      <c r="AH23" s="57"/>
      <c r="AI23" s="57"/>
      <c r="AJ23" s="57"/>
      <c r="AK23" s="57" t="s">
        <v>29</v>
      </c>
      <c r="AL23" s="57"/>
      <c r="AM23" s="57"/>
      <c r="AN23" s="509"/>
      <c r="AO23" s="57"/>
      <c r="AP23" s="57" t="s">
        <v>166</v>
      </c>
      <c r="AQ23" s="57" t="s">
        <v>172</v>
      </c>
    </row>
    <row r="24" spans="2:79" ht="16.2" thickBot="1">
      <c r="U24" s="30"/>
      <c r="V24" s="30"/>
      <c r="W24" s="30"/>
      <c r="X24" s="490"/>
      <c r="Y24" s="30"/>
      <c r="Z24" s="32"/>
      <c r="AA24" s="32"/>
      <c r="AB24" s="32"/>
      <c r="AC24" s="32"/>
      <c r="AD24" s="32"/>
      <c r="AE24" s="32"/>
      <c r="AF24" s="32"/>
      <c r="AG24" s="510"/>
      <c r="AH24" s="32"/>
      <c r="AI24" s="32"/>
      <c r="AJ24" s="32"/>
      <c r="AK24" s="32"/>
      <c r="AL24" s="32"/>
      <c r="AM24" s="32"/>
      <c r="AN24" s="510"/>
      <c r="AO24" s="32"/>
      <c r="AP24" s="32"/>
      <c r="AQ24" s="33"/>
    </row>
    <row r="25" spans="2:79" ht="13.5" customHeight="1" thickBot="1">
      <c r="B25" s="2020" t="s">
        <v>154</v>
      </c>
      <c r="C25" s="2021"/>
      <c r="D25" s="2021"/>
      <c r="E25" s="2021"/>
      <c r="F25" s="2021"/>
      <c r="G25" s="2021"/>
      <c r="H25" s="2021"/>
      <c r="I25" s="2021"/>
      <c r="J25" s="2021"/>
      <c r="K25" s="2021"/>
      <c r="L25" s="2021"/>
      <c r="M25" s="2021"/>
      <c r="N25" s="2021"/>
      <c r="O25" s="2021"/>
      <c r="P25" s="2021"/>
      <c r="Q25" s="2021"/>
      <c r="R25" s="2021"/>
      <c r="S25" s="2021"/>
      <c r="T25" s="2021"/>
      <c r="U25" s="2021"/>
      <c r="V25" s="2021"/>
      <c r="W25" s="2021"/>
      <c r="X25" s="2021"/>
      <c r="Y25" s="2022"/>
      <c r="Z25" s="2028" t="s">
        <v>70</v>
      </c>
      <c r="AA25" s="2029"/>
      <c r="AB25" s="2029"/>
      <c r="AC25" s="2029"/>
      <c r="AD25" s="2029"/>
      <c r="AE25" s="2029"/>
      <c r="AF25" s="2029"/>
      <c r="AG25" s="2029"/>
      <c r="AH25" s="2029"/>
      <c r="AI25" s="2029"/>
      <c r="AJ25" s="2029"/>
      <c r="AK25" s="2029"/>
      <c r="AL25" s="2029"/>
      <c r="AM25" s="2029"/>
      <c r="AN25" s="2029"/>
      <c r="AO25" s="2029"/>
      <c r="AP25" s="2029"/>
      <c r="AQ25" s="2030"/>
      <c r="AR25" s="2025" t="s">
        <v>72</v>
      </c>
      <c r="AS25" s="2026"/>
      <c r="AT25" s="2026"/>
      <c r="AU25" s="2026"/>
      <c r="AV25" s="2026"/>
      <c r="AW25" s="2026"/>
      <c r="AX25" s="2026"/>
      <c r="AY25" s="2026"/>
      <c r="AZ25" s="2026"/>
      <c r="BA25" s="2026"/>
      <c r="BB25" s="2026"/>
      <c r="BC25" s="2026"/>
      <c r="BD25" s="2026"/>
      <c r="BE25" s="2026"/>
      <c r="BF25" s="2026"/>
      <c r="BG25" s="2026"/>
      <c r="BH25" s="2026"/>
      <c r="BI25" s="2027"/>
      <c r="BJ25" s="2028" t="s">
        <v>73</v>
      </c>
      <c r="BK25" s="2029"/>
      <c r="BL25" s="2029"/>
      <c r="BM25" s="2029"/>
      <c r="BN25" s="2029"/>
      <c r="BO25" s="2029"/>
      <c r="BP25" s="2029"/>
      <c r="BQ25" s="2029"/>
      <c r="BR25" s="2029"/>
      <c r="BS25" s="2029"/>
      <c r="BT25" s="2029"/>
      <c r="BU25" s="2029"/>
      <c r="BV25" s="2029"/>
      <c r="BW25" s="2029"/>
      <c r="BX25" s="2029"/>
      <c r="BY25" s="2029"/>
      <c r="BZ25" s="2029"/>
      <c r="CA25" s="2030"/>
    </row>
    <row r="26" spans="2:79" ht="13.5" customHeight="1">
      <c r="B26" s="185"/>
      <c r="C26" s="2023" t="s">
        <v>14</v>
      </c>
      <c r="D26" s="2023"/>
      <c r="E26" s="2023"/>
      <c r="F26" s="2023"/>
      <c r="G26" s="2023"/>
      <c r="H26" s="2023"/>
      <c r="I26" s="2023"/>
      <c r="J26" s="2023"/>
      <c r="K26" s="2023"/>
      <c r="L26" s="2023"/>
      <c r="M26" s="2023"/>
      <c r="N26" s="2023"/>
      <c r="O26" s="2023"/>
      <c r="P26" s="2023"/>
      <c r="Q26" s="2005" t="s">
        <v>116</v>
      </c>
      <c r="R26" s="2005"/>
      <c r="S26" s="2005"/>
      <c r="T26" s="2005"/>
      <c r="U26" s="2005"/>
      <c r="V26" s="2005"/>
      <c r="W26" s="2005"/>
      <c r="X26" s="2005"/>
      <c r="Y26" s="2024"/>
      <c r="Z26" s="2031" t="s">
        <v>14</v>
      </c>
      <c r="AA26" s="2032"/>
      <c r="AB26" s="2032"/>
      <c r="AC26" s="2032"/>
      <c r="AD26" s="2032"/>
      <c r="AE26" s="2032"/>
      <c r="AF26" s="2032"/>
      <c r="AG26" s="2032"/>
      <c r="AH26" s="2032"/>
      <c r="AI26" s="2032"/>
      <c r="AJ26" s="2032"/>
      <c r="AK26" s="2032" t="s">
        <v>116</v>
      </c>
      <c r="AL26" s="2032"/>
      <c r="AM26" s="2032"/>
      <c r="AN26" s="2032"/>
      <c r="AO26" s="2032"/>
      <c r="AP26" s="2032"/>
      <c r="AQ26" s="2033"/>
      <c r="AR26" s="2034" t="s">
        <v>14</v>
      </c>
      <c r="AS26" s="2035"/>
      <c r="AT26" s="2035"/>
      <c r="AU26" s="2035"/>
      <c r="AV26" s="2035"/>
      <c r="AW26" s="2035"/>
      <c r="AX26" s="2035"/>
      <c r="AY26" s="2035"/>
      <c r="AZ26" s="2035"/>
      <c r="BA26" s="2035"/>
      <c r="BB26" s="2035"/>
      <c r="BC26" s="2035" t="s">
        <v>116</v>
      </c>
      <c r="BD26" s="2035"/>
      <c r="BE26" s="2035"/>
      <c r="BF26" s="2035"/>
      <c r="BG26" s="2035"/>
      <c r="BH26" s="2035"/>
      <c r="BI26" s="2036"/>
      <c r="BJ26" s="2031" t="s">
        <v>14</v>
      </c>
      <c r="BK26" s="2032"/>
      <c r="BL26" s="2032"/>
      <c r="BM26" s="2032"/>
      <c r="BN26" s="2032"/>
      <c r="BO26" s="2032"/>
      <c r="BP26" s="2032"/>
      <c r="BQ26" s="2032"/>
      <c r="BR26" s="2032"/>
      <c r="BS26" s="2032"/>
      <c r="BT26" s="2032"/>
      <c r="BU26" s="2032" t="s">
        <v>116</v>
      </c>
      <c r="BV26" s="2032"/>
      <c r="BW26" s="2032"/>
      <c r="BX26" s="2032"/>
      <c r="BY26" s="2032"/>
      <c r="BZ26" s="2032"/>
      <c r="CA26" s="2033"/>
    </row>
    <row r="27" spans="2:79" s="22" customFormat="1" ht="46.8">
      <c r="B27" s="186" t="s">
        <v>119</v>
      </c>
      <c r="C27" s="445" t="s">
        <v>120</v>
      </c>
      <c r="D27" s="445" t="s">
        <v>121</v>
      </c>
      <c r="E27" s="296" t="s">
        <v>177</v>
      </c>
      <c r="F27" s="446" t="s">
        <v>123</v>
      </c>
      <c r="G27" s="446" t="s">
        <v>124</v>
      </c>
      <c r="H27" s="446" t="s">
        <v>125</v>
      </c>
      <c r="I27" s="446" t="s">
        <v>126</v>
      </c>
      <c r="J27" s="478" t="s">
        <v>127</v>
      </c>
      <c r="K27" s="614" t="s">
        <v>128</v>
      </c>
      <c r="L27" s="446" t="s">
        <v>129</v>
      </c>
      <c r="M27" s="446" t="s">
        <v>155</v>
      </c>
      <c r="N27" s="446" t="s">
        <v>178</v>
      </c>
      <c r="O27" s="446" t="s">
        <v>179</v>
      </c>
      <c r="P27" s="297" t="s">
        <v>156</v>
      </c>
      <c r="Q27" s="443" t="s">
        <v>132</v>
      </c>
      <c r="R27" s="440" t="s">
        <v>133</v>
      </c>
      <c r="S27" s="440" t="s">
        <v>134</v>
      </c>
      <c r="T27" s="440" t="s">
        <v>157</v>
      </c>
      <c r="U27" s="137" t="s">
        <v>158</v>
      </c>
      <c r="V27" s="441" t="s">
        <v>21</v>
      </c>
      <c r="W27" s="440" t="s">
        <v>137</v>
      </c>
      <c r="X27" s="489" t="s">
        <v>173</v>
      </c>
      <c r="Y27" s="447" t="s">
        <v>23</v>
      </c>
      <c r="Z27" s="1182" t="s">
        <v>120</v>
      </c>
      <c r="AA27" s="1183" t="s">
        <v>121</v>
      </c>
      <c r="AB27" s="1183" t="s">
        <v>177</v>
      </c>
      <c r="AC27" s="1184" t="s">
        <v>123</v>
      </c>
      <c r="AD27" s="1184" t="s">
        <v>124</v>
      </c>
      <c r="AE27" s="1184" t="s">
        <v>125</v>
      </c>
      <c r="AF27" s="1184" t="s">
        <v>126</v>
      </c>
      <c r="AG27" s="1185" t="s">
        <v>127</v>
      </c>
      <c r="AH27" s="1184" t="s">
        <v>178</v>
      </c>
      <c r="AI27" s="1184" t="s">
        <v>179</v>
      </c>
      <c r="AJ27" s="1196" t="s">
        <v>129</v>
      </c>
      <c r="AK27" s="1197" t="s">
        <v>132</v>
      </c>
      <c r="AL27" s="133" t="s">
        <v>133</v>
      </c>
      <c r="AM27" s="133" t="s">
        <v>134</v>
      </c>
      <c r="AN27" s="643" t="s">
        <v>21</v>
      </c>
      <c r="AO27" s="133" t="s">
        <v>137</v>
      </c>
      <c r="AP27" s="134" t="s">
        <v>138</v>
      </c>
      <c r="AQ27" s="156" t="s">
        <v>23</v>
      </c>
      <c r="AR27" s="155" t="s">
        <v>120</v>
      </c>
      <c r="AS27" s="1183" t="s">
        <v>121</v>
      </c>
      <c r="AT27" s="1183" t="s">
        <v>177</v>
      </c>
      <c r="AU27" s="1184" t="s">
        <v>123</v>
      </c>
      <c r="AV27" s="1184" t="s">
        <v>124</v>
      </c>
      <c r="AW27" s="1184" t="s">
        <v>125</v>
      </c>
      <c r="AX27" s="1184" t="s">
        <v>126</v>
      </c>
      <c r="AY27" s="1185" t="s">
        <v>127</v>
      </c>
      <c r="AZ27" s="1184" t="s">
        <v>178</v>
      </c>
      <c r="BA27" s="1184" t="s">
        <v>179</v>
      </c>
      <c r="BB27" s="1196" t="s">
        <v>129</v>
      </c>
      <c r="BC27" s="142" t="s">
        <v>132</v>
      </c>
      <c r="BD27" s="133" t="s">
        <v>133</v>
      </c>
      <c r="BE27" s="133" t="s">
        <v>134</v>
      </c>
      <c r="BF27" s="133" t="s">
        <v>21</v>
      </c>
      <c r="BG27" s="133" t="s">
        <v>137</v>
      </c>
      <c r="BH27" s="134" t="s">
        <v>138</v>
      </c>
      <c r="BI27" s="156" t="s">
        <v>23</v>
      </c>
      <c r="BJ27" s="1182" t="s">
        <v>120</v>
      </c>
      <c r="BK27" s="1183" t="s">
        <v>121</v>
      </c>
      <c r="BL27" s="1183" t="s">
        <v>177</v>
      </c>
      <c r="BM27" s="1184" t="s">
        <v>123</v>
      </c>
      <c r="BN27" s="1184" t="s">
        <v>124</v>
      </c>
      <c r="BO27" s="1184" t="s">
        <v>125</v>
      </c>
      <c r="BP27" s="1184" t="s">
        <v>126</v>
      </c>
      <c r="BQ27" s="1185" t="s">
        <v>127</v>
      </c>
      <c r="BR27" s="1184" t="s">
        <v>178</v>
      </c>
      <c r="BS27" s="1184" t="s">
        <v>179</v>
      </c>
      <c r="BT27" s="1196" t="s">
        <v>129</v>
      </c>
      <c r="BU27" s="1197" t="s">
        <v>132</v>
      </c>
      <c r="BV27" s="133" t="s">
        <v>133</v>
      </c>
      <c r="BW27" s="133" t="s">
        <v>134</v>
      </c>
      <c r="BX27" s="133" t="s">
        <v>21</v>
      </c>
      <c r="BY27" s="133" t="s">
        <v>137</v>
      </c>
      <c r="BZ27" s="134" t="s">
        <v>138</v>
      </c>
      <c r="CA27" s="178" t="s">
        <v>23</v>
      </c>
    </row>
    <row r="28" spans="2:79">
      <c r="B28" s="188">
        <v>44852</v>
      </c>
      <c r="C28" s="303">
        <v>80735</v>
      </c>
      <c r="D28" s="303">
        <v>985</v>
      </c>
      <c r="E28" s="303">
        <v>9022</v>
      </c>
      <c r="F28" s="303">
        <v>1187</v>
      </c>
      <c r="G28" s="303">
        <v>677</v>
      </c>
      <c r="H28" s="303">
        <v>522</v>
      </c>
      <c r="I28" s="303">
        <v>252</v>
      </c>
      <c r="J28" s="304">
        <v>201.73</v>
      </c>
      <c r="K28" s="308">
        <f>SUM($J$28)/$C$8</f>
        <v>3.0041697691734922E-2</v>
      </c>
      <c r="L28" s="305">
        <f>D28/C28</f>
        <v>1.2200408744658451E-2</v>
      </c>
      <c r="M28" s="306">
        <f>$AB$13/30</f>
        <v>1975</v>
      </c>
      <c r="N28" s="307">
        <f>J28/E28</f>
        <v>2.2359787186876524E-2</v>
      </c>
      <c r="O28" s="307">
        <f>J28/I28</f>
        <v>0.80051587301587301</v>
      </c>
      <c r="P28" s="380">
        <f>E28/M28</f>
        <v>4.5681012658227846</v>
      </c>
      <c r="Q28" s="150">
        <v>160</v>
      </c>
      <c r="R28" s="132"/>
      <c r="S28" s="132"/>
      <c r="T28" s="293">
        <f>$AB$15/30</f>
        <v>93.675889328063249</v>
      </c>
      <c r="U28" s="139">
        <f>Q28/T28</f>
        <v>1.7080168776371307</v>
      </c>
      <c r="V28" s="225">
        <f>J28/Q28</f>
        <v>1.2608124999999999</v>
      </c>
      <c r="W28" s="316">
        <f>Q28/D28</f>
        <v>0.16243654822335024</v>
      </c>
      <c r="X28" s="681">
        <v>7.5</v>
      </c>
      <c r="Y28" s="1203">
        <v>0.84375</v>
      </c>
      <c r="Z28" s="1187">
        <v>66523</v>
      </c>
      <c r="AA28" s="1187">
        <v>835</v>
      </c>
      <c r="AB28" s="1187">
        <v>7649</v>
      </c>
      <c r="AC28" s="1187">
        <v>1032</v>
      </c>
      <c r="AD28" s="1187">
        <v>592</v>
      </c>
      <c r="AE28" s="1187">
        <v>454</v>
      </c>
      <c r="AF28" s="1187">
        <v>217</v>
      </c>
      <c r="AG28" s="554">
        <v>167.29</v>
      </c>
      <c r="AH28" s="554">
        <f>AG28/AB28</f>
        <v>2.1870832788599817E-2</v>
      </c>
      <c r="AI28" s="554">
        <f>AG28/AF28</f>
        <v>0.77092165898617504</v>
      </c>
      <c r="AJ28" s="555">
        <f>AA28/Z28</f>
        <v>1.2552049667032454E-2</v>
      </c>
      <c r="AK28" s="1187">
        <v>114</v>
      </c>
      <c r="AL28" s="322"/>
      <c r="AM28" s="132"/>
      <c r="AN28" s="312">
        <f>AG28/AK28</f>
        <v>1.467456140350877</v>
      </c>
      <c r="AO28" s="316">
        <f>AK28/AA28</f>
        <v>0.13652694610778443</v>
      </c>
      <c r="AP28" s="132"/>
      <c r="AQ28" s="158"/>
      <c r="AR28" s="1208">
        <v>14212</v>
      </c>
      <c r="AS28" s="1187">
        <v>150</v>
      </c>
      <c r="AT28" s="1187">
        <v>1373</v>
      </c>
      <c r="AU28" s="1187">
        <v>155</v>
      </c>
      <c r="AV28" s="1187">
        <v>85</v>
      </c>
      <c r="AW28" s="1187">
        <v>68</v>
      </c>
      <c r="AX28" s="1187">
        <v>35</v>
      </c>
      <c r="AY28" s="554">
        <v>34.44</v>
      </c>
      <c r="AZ28" s="554">
        <f>AY28/AT28</f>
        <v>2.5083758193736341E-2</v>
      </c>
      <c r="BA28" s="554">
        <f>AY28/AX28</f>
        <v>0.98399999999999999</v>
      </c>
      <c r="BB28" s="555">
        <f>AS28/AR28</f>
        <v>1.0554461018857304E-2</v>
      </c>
      <c r="BC28" s="855">
        <v>46</v>
      </c>
      <c r="BD28" s="858"/>
      <c r="BE28" s="858"/>
      <c r="BF28" s="871">
        <f>AY28/BC28</f>
        <v>0.74869565217391298</v>
      </c>
      <c r="BG28" s="316">
        <f>BC28/AS28</f>
        <v>0.30666666666666664</v>
      </c>
      <c r="BH28" s="132"/>
      <c r="BI28" s="132"/>
      <c r="BJ28" s="1187"/>
      <c r="BK28" s="1187"/>
      <c r="BL28" s="1187"/>
      <c r="BM28" s="1187"/>
      <c r="BN28" s="1187"/>
      <c r="BO28" s="1187"/>
      <c r="BP28" s="1187"/>
      <c r="BQ28" s="554"/>
      <c r="BR28" s="554" t="e">
        <f>BQ28/BL28</f>
        <v>#DIV/0!</v>
      </c>
      <c r="BS28" s="554" t="e">
        <f>BQ28/BP28</f>
        <v>#DIV/0!</v>
      </c>
      <c r="BT28" s="555" t="e">
        <f>BK28/BJ28</f>
        <v>#DIV/0!</v>
      </c>
      <c r="BU28" s="1187"/>
      <c r="BV28" s="322"/>
      <c r="BW28" s="132"/>
      <c r="BX28" s="228" t="e">
        <f>BQ28/BU28</f>
        <v>#DIV/0!</v>
      </c>
      <c r="BY28" s="1608" t="e">
        <f>BU28/BK28</f>
        <v>#DIV/0!</v>
      </c>
      <c r="BZ28" s="322"/>
      <c r="CA28" s="179"/>
    </row>
    <row r="29" spans="2:79" s="24" customFormat="1">
      <c r="B29" s="188">
        <v>44853</v>
      </c>
      <c r="C29" s="303">
        <v>103866</v>
      </c>
      <c r="D29" s="303">
        <v>1267</v>
      </c>
      <c r="E29" s="303">
        <v>10888</v>
      </c>
      <c r="F29" s="303">
        <v>1165</v>
      </c>
      <c r="G29" s="303">
        <v>653</v>
      </c>
      <c r="H29" s="303">
        <v>508</v>
      </c>
      <c r="I29" s="303">
        <v>243</v>
      </c>
      <c r="J29" s="304">
        <v>241.39</v>
      </c>
      <c r="K29" s="308">
        <f>SUM($J$28:J29)/$C$8</f>
        <v>6.5989575577066265E-2</v>
      </c>
      <c r="L29" s="305">
        <f>D29/C29</f>
        <v>1.2198409489149482E-2</v>
      </c>
      <c r="M29" s="306">
        <f t="shared" ref="M29:M60" si="7">$AB$13/30</f>
        <v>1975</v>
      </c>
      <c r="N29" s="307">
        <f>J29/E29</f>
        <v>2.2170279206465832E-2</v>
      </c>
      <c r="O29" s="307">
        <f t="shared" ref="O29:O34" si="8">J29/I29</f>
        <v>0.99337448559670771</v>
      </c>
      <c r="P29" s="380">
        <f>E29/M29</f>
        <v>5.512911392405063</v>
      </c>
      <c r="Q29" s="143">
        <v>161</v>
      </c>
      <c r="R29" s="132"/>
      <c r="S29" s="132"/>
      <c r="T29" s="293">
        <f t="shared" ref="T29:T60" si="9">$AB$15/30</f>
        <v>93.675889328063249</v>
      </c>
      <c r="U29" s="73">
        <f t="shared" ref="U29:U34" si="10">Q29/T29</f>
        <v>1.7186919831223628</v>
      </c>
      <c r="V29" s="225">
        <f t="shared" ref="V29:V34" si="11">J29/Q29</f>
        <v>1.4993167701863352</v>
      </c>
      <c r="W29" s="316">
        <f t="shared" ref="W29:W34" si="12">Q29/D29</f>
        <v>0.1270718232044199</v>
      </c>
      <c r="X29" s="681">
        <v>6</v>
      </c>
      <c r="Y29" s="316">
        <v>0.92</v>
      </c>
      <c r="Z29" s="1187">
        <v>63645</v>
      </c>
      <c r="AA29" s="1187">
        <v>817</v>
      </c>
      <c r="AB29" s="1187">
        <v>7899</v>
      </c>
      <c r="AC29" s="1187">
        <v>873</v>
      </c>
      <c r="AD29" s="1187">
        <v>502</v>
      </c>
      <c r="AE29" s="1187">
        <v>390</v>
      </c>
      <c r="AF29" s="1187">
        <v>177</v>
      </c>
      <c r="AG29" s="554">
        <v>159.94</v>
      </c>
      <c r="AH29" s="554">
        <f t="shared" ref="AH29:AH30" si="13">AG29/AB29</f>
        <v>2.0248132675022155E-2</v>
      </c>
      <c r="AI29" s="554">
        <f t="shared" ref="AI29:AI34" si="14">AG29/AF29</f>
        <v>0.90361581920903955</v>
      </c>
      <c r="AJ29" s="555">
        <f>AA29/Z29</f>
        <v>1.2836829287453845E-2</v>
      </c>
      <c r="AK29" s="1187">
        <v>94</v>
      </c>
      <c r="AL29" s="322"/>
      <c r="AM29" s="132"/>
      <c r="AN29" s="312">
        <f t="shared" ref="AN29:AN34" si="15">AG29/AK29</f>
        <v>1.7014893617021276</v>
      </c>
      <c r="AO29" s="316">
        <f t="shared" ref="AO29:AO34" si="16">AK29/AA29</f>
        <v>0.11505507955936352</v>
      </c>
      <c r="AP29" s="132"/>
      <c r="AQ29" s="158"/>
      <c r="AR29" s="1209">
        <v>40221</v>
      </c>
      <c r="AS29" s="1187">
        <v>450</v>
      </c>
      <c r="AT29" s="1187">
        <v>2989</v>
      </c>
      <c r="AU29" s="1187">
        <v>292</v>
      </c>
      <c r="AV29" s="1187">
        <v>151</v>
      </c>
      <c r="AW29" s="1187">
        <v>118</v>
      </c>
      <c r="AX29" s="1187">
        <v>66</v>
      </c>
      <c r="AY29" s="554">
        <v>81.45</v>
      </c>
      <c r="AZ29" s="554">
        <f t="shared" ref="AZ29:AZ34" si="17">AY29/AT29</f>
        <v>2.7249916359986619E-2</v>
      </c>
      <c r="BA29" s="554">
        <f t="shared" ref="BA29:BA34" si="18">AY29/AX29</f>
        <v>1.2340909090909091</v>
      </c>
      <c r="BB29" s="555">
        <f>AS29/AR29</f>
        <v>1.1188185276348177E-2</v>
      </c>
      <c r="BC29" s="865">
        <v>67</v>
      </c>
      <c r="BD29" s="132"/>
      <c r="BE29" s="132"/>
      <c r="BF29" s="228">
        <f t="shared" ref="BF29:BF34" si="19">AY29/BC29</f>
        <v>1.2156716417910449</v>
      </c>
      <c r="BG29" s="316">
        <f t="shared" ref="BG29:BG34" si="20">BC29/AS29</f>
        <v>0.14888888888888888</v>
      </c>
      <c r="BH29" s="132"/>
      <c r="BI29" s="132"/>
      <c r="BJ29" s="1187"/>
      <c r="BK29" s="1187"/>
      <c r="BL29" s="1187"/>
      <c r="BM29" s="1187"/>
      <c r="BN29" s="1187"/>
      <c r="BO29" s="1187"/>
      <c r="BP29" s="1187"/>
      <c r="BQ29" s="554"/>
      <c r="BR29" s="554" t="e">
        <f t="shared" ref="BR29:BR34" si="21">BQ29/BL29</f>
        <v>#DIV/0!</v>
      </c>
      <c r="BS29" s="554" t="e">
        <f t="shared" ref="BS29:BS34" si="22">BQ29/BP29</f>
        <v>#DIV/0!</v>
      </c>
      <c r="BT29" s="555" t="e">
        <f>BK29/BJ29</f>
        <v>#DIV/0!</v>
      </c>
      <c r="BU29" s="1187"/>
      <c r="BV29" s="322"/>
      <c r="BW29" s="132"/>
      <c r="BX29" s="228" t="e">
        <f t="shared" ref="BX29:BX34" si="23">BQ29/BU29</f>
        <v>#DIV/0!</v>
      </c>
      <c r="BY29" s="1315" t="e">
        <f t="shared" ref="BY29:BY34" si="24">BU29/BK29</f>
        <v>#DIV/0!</v>
      </c>
      <c r="BZ29" s="322"/>
      <c r="CA29" s="158"/>
    </row>
    <row r="30" spans="2:79" s="26" customFormat="1">
      <c r="B30" s="188">
        <v>44854</v>
      </c>
      <c r="C30" s="303">
        <v>95586</v>
      </c>
      <c r="D30" s="303">
        <v>1171</v>
      </c>
      <c r="E30" s="303">
        <v>9494</v>
      </c>
      <c r="F30" s="303">
        <v>872</v>
      </c>
      <c r="G30" s="303">
        <v>455</v>
      </c>
      <c r="H30" s="303">
        <v>324</v>
      </c>
      <c r="I30" s="303">
        <v>180</v>
      </c>
      <c r="J30" s="304">
        <v>238.16000000000003</v>
      </c>
      <c r="K30" s="308">
        <f>SUM($J$28:J30)/$C$8</f>
        <v>0.10145644080416977</v>
      </c>
      <c r="L30" s="305">
        <f>D30/C30</f>
        <v>1.2250748017492102E-2</v>
      </c>
      <c r="M30" s="306">
        <f t="shared" si="7"/>
        <v>1975</v>
      </c>
      <c r="N30" s="307">
        <f>J30/E30</f>
        <v>2.5085317042342535E-2</v>
      </c>
      <c r="O30" s="307">
        <f t="shared" si="8"/>
        <v>1.3231111111111113</v>
      </c>
      <c r="P30" s="380">
        <f>E30/M30</f>
        <v>4.8070886075949364</v>
      </c>
      <c r="Q30" s="143">
        <v>152</v>
      </c>
      <c r="R30" s="132"/>
      <c r="S30" s="132"/>
      <c r="T30" s="293">
        <f t="shared" si="9"/>
        <v>93.675889328063249</v>
      </c>
      <c r="U30" s="73">
        <f t="shared" si="10"/>
        <v>1.6226160337552742</v>
      </c>
      <c r="V30" s="225">
        <f t="shared" si="11"/>
        <v>1.566842105263158</v>
      </c>
      <c r="W30" s="316">
        <f t="shared" si="12"/>
        <v>0.12980358667805295</v>
      </c>
      <c r="X30" s="681">
        <v>8</v>
      </c>
      <c r="Y30" s="316">
        <v>0.96</v>
      </c>
      <c r="Z30" s="1187">
        <v>44803</v>
      </c>
      <c r="AA30" s="1187">
        <v>602</v>
      </c>
      <c r="AB30" s="1187">
        <v>5706</v>
      </c>
      <c r="AC30" s="1187">
        <v>565</v>
      </c>
      <c r="AD30" s="1187">
        <v>283</v>
      </c>
      <c r="AE30" s="1187">
        <v>203</v>
      </c>
      <c r="AF30" s="1187">
        <v>111</v>
      </c>
      <c r="AG30" s="554">
        <v>124.23</v>
      </c>
      <c r="AH30" s="554">
        <f t="shared" si="13"/>
        <v>2.1771819137749737E-2</v>
      </c>
      <c r="AI30" s="554">
        <f t="shared" si="14"/>
        <v>1.1191891891891892</v>
      </c>
      <c r="AJ30" s="555">
        <f>AA30/Z30</f>
        <v>1.3436600227663326E-2</v>
      </c>
      <c r="AK30" s="1187">
        <v>68</v>
      </c>
      <c r="AL30" s="322"/>
      <c r="AM30" s="132"/>
      <c r="AN30" s="312">
        <f t="shared" si="15"/>
        <v>1.8269117647058823</v>
      </c>
      <c r="AO30" s="316">
        <f t="shared" si="16"/>
        <v>0.11295681063122924</v>
      </c>
      <c r="AP30" s="132"/>
      <c r="AQ30" s="158"/>
      <c r="AR30" s="1209">
        <v>50783</v>
      </c>
      <c r="AS30" s="1187">
        <v>569</v>
      </c>
      <c r="AT30" s="1187">
        <v>3788</v>
      </c>
      <c r="AU30" s="1187">
        <v>307</v>
      </c>
      <c r="AV30" s="1187">
        <v>172</v>
      </c>
      <c r="AW30" s="1187">
        <v>121</v>
      </c>
      <c r="AX30" s="1187">
        <v>69</v>
      </c>
      <c r="AY30" s="554">
        <v>113.93</v>
      </c>
      <c r="AZ30" s="554">
        <f t="shared" si="17"/>
        <v>3.0076557550158398E-2</v>
      </c>
      <c r="BA30" s="554">
        <f t="shared" si="18"/>
        <v>1.6511594202898552</v>
      </c>
      <c r="BB30" s="555">
        <f>AS30/AR30</f>
        <v>1.1204536951341984E-2</v>
      </c>
      <c r="BC30" s="865">
        <v>84</v>
      </c>
      <c r="BD30" s="132"/>
      <c r="BE30" s="132"/>
      <c r="BF30" s="228">
        <f t="shared" si="19"/>
        <v>1.356309523809524</v>
      </c>
      <c r="BG30" s="316">
        <f t="shared" si="20"/>
        <v>0.14762741652021089</v>
      </c>
      <c r="BH30" s="132"/>
      <c r="BI30" s="132"/>
      <c r="BJ30" s="1187"/>
      <c r="BK30" s="1187"/>
      <c r="BL30" s="1187"/>
      <c r="BM30" s="1187"/>
      <c r="BN30" s="1187"/>
      <c r="BO30" s="1187"/>
      <c r="BP30" s="1187"/>
      <c r="BQ30" s="554"/>
      <c r="BR30" s="554" t="e">
        <f t="shared" si="21"/>
        <v>#DIV/0!</v>
      </c>
      <c r="BS30" s="554" t="e">
        <f t="shared" si="22"/>
        <v>#DIV/0!</v>
      </c>
      <c r="BT30" s="555" t="e">
        <f>BK30/BJ30</f>
        <v>#DIV/0!</v>
      </c>
      <c r="BU30" s="1187"/>
      <c r="BV30" s="322"/>
      <c r="BW30" s="132"/>
      <c r="BX30" s="228" t="e">
        <f t="shared" si="23"/>
        <v>#DIV/0!</v>
      </c>
      <c r="BY30" s="1315" t="e">
        <f t="shared" si="24"/>
        <v>#DIV/0!</v>
      </c>
      <c r="BZ30" s="322"/>
      <c r="CA30" s="158"/>
    </row>
    <row r="31" spans="2:79">
      <c r="B31" s="295">
        <v>44855</v>
      </c>
      <c r="C31" s="309">
        <v>74849</v>
      </c>
      <c r="D31" s="309">
        <v>917</v>
      </c>
      <c r="E31" s="309">
        <v>8237</v>
      </c>
      <c r="F31" s="309">
        <v>812</v>
      </c>
      <c r="G31" s="309">
        <v>412</v>
      </c>
      <c r="H31" s="309">
        <v>311</v>
      </c>
      <c r="I31" s="309">
        <v>184</v>
      </c>
      <c r="J31" s="310">
        <v>206.2</v>
      </c>
      <c r="K31" s="308">
        <f>SUM($J$28:J31)/$C$8</f>
        <v>0.13216381236038718</v>
      </c>
      <c r="L31" s="305">
        <f t="shared" ref="L31:L34" si="25">D31/C31</f>
        <v>1.225133268313538E-2</v>
      </c>
      <c r="M31" s="306">
        <f t="shared" si="7"/>
        <v>1975</v>
      </c>
      <c r="N31" s="307">
        <f t="shared" ref="N31:N34" si="26">J31/E31</f>
        <v>2.5033385941483549E-2</v>
      </c>
      <c r="O31" s="307">
        <f t="shared" si="8"/>
        <v>1.1206521739130435</v>
      </c>
      <c r="P31" s="380">
        <f t="shared" ref="P31:P34" si="27">E31/M31</f>
        <v>4.1706329113924054</v>
      </c>
      <c r="Q31" s="34">
        <v>175</v>
      </c>
      <c r="R31" s="132"/>
      <c r="S31" s="132"/>
      <c r="T31" s="293">
        <f t="shared" si="9"/>
        <v>93.675889328063249</v>
      </c>
      <c r="U31" s="139">
        <f t="shared" si="10"/>
        <v>1.8681434599156117</v>
      </c>
      <c r="V31" s="225">
        <f t="shared" si="11"/>
        <v>1.1782857142857142</v>
      </c>
      <c r="W31" s="316">
        <f t="shared" si="12"/>
        <v>0.19083969465648856</v>
      </c>
      <c r="X31" s="681">
        <v>44</v>
      </c>
      <c r="Y31" s="316">
        <v>0.88</v>
      </c>
      <c r="Z31" s="1187">
        <v>56449</v>
      </c>
      <c r="AA31" s="1187">
        <v>706</v>
      </c>
      <c r="AB31" s="1187">
        <v>6758</v>
      </c>
      <c r="AC31" s="1187">
        <v>672</v>
      </c>
      <c r="AD31" s="1187">
        <v>336</v>
      </c>
      <c r="AE31" s="1187">
        <v>255</v>
      </c>
      <c r="AF31" s="1187">
        <v>145</v>
      </c>
      <c r="AG31" s="554">
        <v>157.13999999999999</v>
      </c>
      <c r="AH31" s="554">
        <f>AG31/AB31</f>
        <v>2.3252441550754659E-2</v>
      </c>
      <c r="AI31" s="554">
        <f t="shared" si="14"/>
        <v>1.0837241379310343</v>
      </c>
      <c r="AJ31" s="555">
        <f t="shared" ref="AJ31:AJ34" si="28">AA31/Z31</f>
        <v>1.2506864603447359E-2</v>
      </c>
      <c r="AK31" s="1187">
        <v>70</v>
      </c>
      <c r="AL31" s="322"/>
      <c r="AM31" s="132"/>
      <c r="AN31" s="312">
        <f t="shared" si="15"/>
        <v>2.2448571428571427</v>
      </c>
      <c r="AO31" s="316">
        <f t="shared" si="16"/>
        <v>9.9150141643059492E-2</v>
      </c>
      <c r="AP31" s="132"/>
      <c r="AQ31" s="158"/>
      <c r="AR31" s="1209">
        <v>18400</v>
      </c>
      <c r="AS31" s="1187">
        <v>211</v>
      </c>
      <c r="AT31" s="1187">
        <v>1479</v>
      </c>
      <c r="AU31" s="1187">
        <v>140</v>
      </c>
      <c r="AV31" s="1187">
        <v>76</v>
      </c>
      <c r="AW31" s="1187">
        <v>56</v>
      </c>
      <c r="AX31" s="1187">
        <v>39</v>
      </c>
      <c r="AY31" s="554">
        <v>49.06</v>
      </c>
      <c r="AZ31" s="554">
        <f t="shared" si="17"/>
        <v>3.3171061528059501E-2</v>
      </c>
      <c r="BA31" s="554">
        <f t="shared" si="18"/>
        <v>1.2579487179487181</v>
      </c>
      <c r="BB31" s="555">
        <f t="shared" ref="BB31:BB34" si="29">AS31/AR31</f>
        <v>1.1467391304347827E-2</v>
      </c>
      <c r="BC31" s="865">
        <v>50</v>
      </c>
      <c r="BD31" s="132"/>
      <c r="BE31" s="132"/>
      <c r="BF31" s="228">
        <f t="shared" si="19"/>
        <v>0.98120000000000007</v>
      </c>
      <c r="BG31" s="316">
        <f t="shared" si="20"/>
        <v>0.23696682464454977</v>
      </c>
      <c r="BH31" s="132"/>
      <c r="BI31" s="132"/>
      <c r="BJ31" s="1187"/>
      <c r="BK31" s="1187"/>
      <c r="BL31" s="1187"/>
      <c r="BM31" s="1187"/>
      <c r="BN31" s="1187"/>
      <c r="BO31" s="1187"/>
      <c r="BP31" s="1187"/>
      <c r="BQ31" s="554"/>
      <c r="BR31" s="554" t="e">
        <f t="shared" si="21"/>
        <v>#DIV/0!</v>
      </c>
      <c r="BS31" s="554" t="e">
        <f t="shared" si="22"/>
        <v>#DIV/0!</v>
      </c>
      <c r="BT31" s="555" t="e">
        <f t="shared" ref="BT31:BT34" si="30">BK31/BJ31</f>
        <v>#DIV/0!</v>
      </c>
      <c r="BU31" s="1187">
        <v>55</v>
      </c>
      <c r="BV31" s="322"/>
      <c r="BW31" s="132"/>
      <c r="BX31" s="228">
        <f t="shared" si="23"/>
        <v>0</v>
      </c>
      <c r="BY31" s="1315" t="e">
        <f t="shared" si="24"/>
        <v>#DIV/0!</v>
      </c>
      <c r="BZ31" s="322"/>
      <c r="CA31" s="158"/>
    </row>
    <row r="32" spans="2:79">
      <c r="B32" s="295">
        <v>44856</v>
      </c>
      <c r="C32" s="309">
        <v>3301</v>
      </c>
      <c r="D32" s="309">
        <v>57</v>
      </c>
      <c r="E32" s="309">
        <v>462</v>
      </c>
      <c r="F32" s="309">
        <v>56</v>
      </c>
      <c r="G32" s="309">
        <v>38</v>
      </c>
      <c r="H32" s="309">
        <v>31</v>
      </c>
      <c r="I32" s="309">
        <v>22</v>
      </c>
      <c r="J32" s="310">
        <v>11.09</v>
      </c>
      <c r="K32" s="308">
        <f>SUM($J$28:J32)/$C$8</f>
        <v>0.13381533879374535</v>
      </c>
      <c r="L32" s="305">
        <f t="shared" si="25"/>
        <v>1.7267494698576188E-2</v>
      </c>
      <c r="M32" s="306">
        <f t="shared" si="7"/>
        <v>1975</v>
      </c>
      <c r="N32" s="307">
        <f t="shared" si="26"/>
        <v>2.4004329004329004E-2</v>
      </c>
      <c r="O32" s="307">
        <f t="shared" si="8"/>
        <v>0.50409090909090903</v>
      </c>
      <c r="P32" s="380">
        <f t="shared" si="27"/>
        <v>0.23392405063291138</v>
      </c>
      <c r="Q32" s="456">
        <v>194</v>
      </c>
      <c r="R32" s="132"/>
      <c r="S32" s="132"/>
      <c r="T32" s="293">
        <f t="shared" si="9"/>
        <v>93.675889328063249</v>
      </c>
      <c r="U32" s="73">
        <f t="shared" si="10"/>
        <v>2.0709704641350211</v>
      </c>
      <c r="V32" s="225">
        <f t="shared" si="11"/>
        <v>5.7164948453608248E-2</v>
      </c>
      <c r="W32" s="316">
        <f t="shared" si="12"/>
        <v>3.4035087719298245</v>
      </c>
      <c r="X32" s="681">
        <v>18</v>
      </c>
      <c r="Y32" s="316">
        <v>0.95</v>
      </c>
      <c r="Z32" s="1187">
        <v>2311</v>
      </c>
      <c r="AA32" s="1187">
        <v>37</v>
      </c>
      <c r="AB32" s="1187">
        <v>302</v>
      </c>
      <c r="AC32" s="1187">
        <v>33</v>
      </c>
      <c r="AD32" s="1187">
        <v>24</v>
      </c>
      <c r="AE32" s="1187">
        <v>19</v>
      </c>
      <c r="AF32" s="1187">
        <v>10</v>
      </c>
      <c r="AG32" s="554">
        <v>6.86</v>
      </c>
      <c r="AH32" s="554">
        <f t="shared" ref="AH32:AH34" si="31">AG32/AB32</f>
        <v>2.2715231788079472E-2</v>
      </c>
      <c r="AI32" s="554">
        <f t="shared" si="14"/>
        <v>0.68600000000000005</v>
      </c>
      <c r="AJ32" s="555">
        <f t="shared" si="28"/>
        <v>1.6010385114668974E-2</v>
      </c>
      <c r="AK32" s="1187">
        <v>21</v>
      </c>
      <c r="AL32" s="322"/>
      <c r="AM32" s="132"/>
      <c r="AN32" s="312">
        <f t="shared" si="15"/>
        <v>0.32666666666666666</v>
      </c>
      <c r="AO32" s="316">
        <f t="shared" si="16"/>
        <v>0.56756756756756754</v>
      </c>
      <c r="AP32" s="132"/>
      <c r="AQ32" s="158"/>
      <c r="AR32" s="1209">
        <v>990</v>
      </c>
      <c r="AS32" s="1187">
        <v>20</v>
      </c>
      <c r="AT32" s="1187">
        <v>160</v>
      </c>
      <c r="AU32" s="1187">
        <v>23</v>
      </c>
      <c r="AV32" s="1187">
        <v>14</v>
      </c>
      <c r="AW32" s="1187">
        <v>12</v>
      </c>
      <c r="AX32" s="1187">
        <v>12</v>
      </c>
      <c r="AY32" s="554">
        <v>4.2300000000000004</v>
      </c>
      <c r="AZ32" s="554">
        <f t="shared" si="17"/>
        <v>2.6437500000000003E-2</v>
      </c>
      <c r="BA32" s="554">
        <f t="shared" si="18"/>
        <v>0.35250000000000004</v>
      </c>
      <c r="BB32" s="555">
        <f t="shared" si="29"/>
        <v>2.0202020202020204E-2</v>
      </c>
      <c r="BC32" s="865">
        <v>22</v>
      </c>
      <c r="BD32" s="132"/>
      <c r="BE32" s="132"/>
      <c r="BF32" s="228">
        <f t="shared" si="19"/>
        <v>0.19227272727272729</v>
      </c>
      <c r="BG32" s="316">
        <f t="shared" si="20"/>
        <v>1.1000000000000001</v>
      </c>
      <c r="BH32" s="132"/>
      <c r="BI32" s="132"/>
      <c r="BJ32" s="1187"/>
      <c r="BK32" s="1187"/>
      <c r="BL32" s="1187"/>
      <c r="BM32" s="1187"/>
      <c r="BN32" s="1187"/>
      <c r="BO32" s="1187"/>
      <c r="BP32" s="1187"/>
      <c r="BQ32" s="554"/>
      <c r="BR32" s="554" t="e">
        <f t="shared" si="21"/>
        <v>#DIV/0!</v>
      </c>
      <c r="BS32" s="554" t="e">
        <f t="shared" si="22"/>
        <v>#DIV/0!</v>
      </c>
      <c r="BT32" s="555" t="e">
        <f t="shared" si="30"/>
        <v>#DIV/0!</v>
      </c>
      <c r="BU32" s="1187">
        <v>151</v>
      </c>
      <c r="BV32" s="322"/>
      <c r="BW32" s="132"/>
      <c r="BX32" s="228">
        <f t="shared" si="23"/>
        <v>0</v>
      </c>
      <c r="BY32" s="1315" t="e">
        <f t="shared" si="24"/>
        <v>#DIV/0!</v>
      </c>
      <c r="BZ32" s="322"/>
      <c r="CA32" s="158"/>
    </row>
    <row r="33" spans="2:79">
      <c r="B33" s="188">
        <v>44857</v>
      </c>
      <c r="C33" s="309">
        <v>90913</v>
      </c>
      <c r="D33" s="309">
        <v>1304</v>
      </c>
      <c r="E33" s="309">
        <v>11790</v>
      </c>
      <c r="F33" s="309">
        <v>1203</v>
      </c>
      <c r="G33" s="309">
        <v>527</v>
      </c>
      <c r="H33" s="309">
        <v>324</v>
      </c>
      <c r="I33" s="309">
        <v>202</v>
      </c>
      <c r="J33" s="310">
        <v>240.54000000000002</v>
      </c>
      <c r="K33" s="308">
        <f>SUM($J$28:J33)/$C$8</f>
        <v>0.1696366344005957</v>
      </c>
      <c r="L33" s="305">
        <f t="shared" si="25"/>
        <v>1.4343383234520916E-2</v>
      </c>
      <c r="M33" s="306">
        <f t="shared" si="7"/>
        <v>1975</v>
      </c>
      <c r="N33" s="307">
        <f t="shared" si="26"/>
        <v>2.040203562340967E-2</v>
      </c>
      <c r="O33" s="307">
        <f t="shared" si="8"/>
        <v>1.190792079207921</v>
      </c>
      <c r="P33" s="380">
        <f t="shared" si="27"/>
        <v>5.9696202531645568</v>
      </c>
      <c r="Q33" s="456">
        <v>234</v>
      </c>
      <c r="R33" s="132"/>
      <c r="S33" s="132"/>
      <c r="T33" s="293">
        <f t="shared" si="9"/>
        <v>93.675889328063249</v>
      </c>
      <c r="U33" s="73">
        <f t="shared" si="10"/>
        <v>2.4979746835443035</v>
      </c>
      <c r="V33" s="225">
        <f t="shared" si="11"/>
        <v>1.0279487179487181</v>
      </c>
      <c r="W33" s="316">
        <f t="shared" si="12"/>
        <v>0.17944785276073619</v>
      </c>
      <c r="X33" s="681">
        <v>37</v>
      </c>
      <c r="Y33" s="316">
        <v>0.92</v>
      </c>
      <c r="Z33" s="1187">
        <v>6519</v>
      </c>
      <c r="AA33" s="1187">
        <v>105</v>
      </c>
      <c r="AB33" s="1187">
        <v>843</v>
      </c>
      <c r="AC33" s="1187">
        <v>102</v>
      </c>
      <c r="AD33" s="1187">
        <v>64</v>
      </c>
      <c r="AE33" s="1187">
        <v>44</v>
      </c>
      <c r="AF33" s="1187">
        <v>24</v>
      </c>
      <c r="AG33" s="554">
        <v>19.059999999999999</v>
      </c>
      <c r="AH33" s="554">
        <f t="shared" si="31"/>
        <v>2.2609727164887305E-2</v>
      </c>
      <c r="AI33" s="554">
        <f t="shared" si="14"/>
        <v>0.79416666666666658</v>
      </c>
      <c r="AJ33" s="555">
        <f t="shared" si="28"/>
        <v>1.6106764841233318E-2</v>
      </c>
      <c r="AK33" s="1187">
        <v>37</v>
      </c>
      <c r="AL33" s="322"/>
      <c r="AM33" s="132"/>
      <c r="AN33" s="312">
        <f t="shared" si="15"/>
        <v>0.51513513513513509</v>
      </c>
      <c r="AO33" s="316">
        <f t="shared" si="16"/>
        <v>0.35238095238095241</v>
      </c>
      <c r="AP33" s="132"/>
      <c r="AQ33" s="158"/>
      <c r="AR33" s="1209">
        <v>7719</v>
      </c>
      <c r="AS33" s="1187">
        <v>98</v>
      </c>
      <c r="AT33" s="1187">
        <v>583</v>
      </c>
      <c r="AU33" s="1187">
        <v>58</v>
      </c>
      <c r="AV33" s="1187">
        <v>32</v>
      </c>
      <c r="AW33" s="1187">
        <v>23</v>
      </c>
      <c r="AX33" s="1187">
        <v>17</v>
      </c>
      <c r="AY33" s="554">
        <v>18.14</v>
      </c>
      <c r="AZ33" s="554">
        <f t="shared" si="17"/>
        <v>3.111492281303602E-2</v>
      </c>
      <c r="BA33" s="554">
        <f t="shared" si="18"/>
        <v>1.0670588235294118</v>
      </c>
      <c r="BB33" s="555">
        <f t="shared" si="29"/>
        <v>1.2695945070605001E-2</v>
      </c>
      <c r="BC33" s="865">
        <v>44</v>
      </c>
      <c r="BD33" s="132"/>
      <c r="BE33" s="132"/>
      <c r="BF33" s="228">
        <f t="shared" si="19"/>
        <v>0.41227272727272729</v>
      </c>
      <c r="BG33" s="316">
        <f t="shared" si="20"/>
        <v>0.44897959183673469</v>
      </c>
      <c r="BH33" s="132"/>
      <c r="BI33" s="132"/>
      <c r="BJ33" s="1187">
        <v>76675</v>
      </c>
      <c r="BK33" s="1187">
        <v>1101</v>
      </c>
      <c r="BL33" s="1187">
        <v>10364</v>
      </c>
      <c r="BM33" s="1187">
        <v>1043</v>
      </c>
      <c r="BN33" s="1187">
        <v>431</v>
      </c>
      <c r="BO33" s="1187">
        <v>257</v>
      </c>
      <c r="BP33" s="1187">
        <v>161</v>
      </c>
      <c r="BQ33" s="554">
        <v>203.34</v>
      </c>
      <c r="BR33" s="554">
        <f t="shared" si="21"/>
        <v>1.9619837900424549E-2</v>
      </c>
      <c r="BS33" s="554">
        <f t="shared" si="22"/>
        <v>1.2629813664596274</v>
      </c>
      <c r="BT33" s="555">
        <f t="shared" si="30"/>
        <v>1.4359308770785784E-2</v>
      </c>
      <c r="BU33" s="1187">
        <v>153</v>
      </c>
      <c r="BV33" s="322"/>
      <c r="BW33" s="132"/>
      <c r="BX33" s="228">
        <f t="shared" si="23"/>
        <v>1.3290196078431373</v>
      </c>
      <c r="BY33" s="1315">
        <f t="shared" si="24"/>
        <v>0.13896457765667575</v>
      </c>
      <c r="BZ33" s="322"/>
      <c r="CA33" s="158"/>
    </row>
    <row r="34" spans="2:79">
      <c r="B34" s="188">
        <v>44858</v>
      </c>
      <c r="C34" s="309">
        <v>87184</v>
      </c>
      <c r="D34" s="309">
        <v>1242</v>
      </c>
      <c r="E34" s="309">
        <v>10902</v>
      </c>
      <c r="F34" s="309">
        <v>1130</v>
      </c>
      <c r="G34" s="309">
        <v>517</v>
      </c>
      <c r="H34" s="309">
        <v>306</v>
      </c>
      <c r="I34" s="309">
        <v>211</v>
      </c>
      <c r="J34" s="310">
        <v>232.08</v>
      </c>
      <c r="K34" s="308">
        <f>SUM($J$28:J34)/$C$8</f>
        <v>0.20419806403574089</v>
      </c>
      <c r="L34" s="305">
        <f t="shared" si="25"/>
        <v>1.4245733162048082E-2</v>
      </c>
      <c r="M34" s="306">
        <f t="shared" si="7"/>
        <v>1975</v>
      </c>
      <c r="N34" s="307">
        <f t="shared" si="26"/>
        <v>2.1287837094111174E-2</v>
      </c>
      <c r="O34" s="307">
        <f t="shared" si="8"/>
        <v>1.0999052132701423</v>
      </c>
      <c r="P34" s="380">
        <f t="shared" si="27"/>
        <v>5.52</v>
      </c>
      <c r="Q34" s="457">
        <v>213</v>
      </c>
      <c r="R34" s="132"/>
      <c r="S34" s="132"/>
      <c r="T34" s="293">
        <f t="shared" si="9"/>
        <v>93.675889328063249</v>
      </c>
      <c r="U34" s="462">
        <f t="shared" si="10"/>
        <v>2.27379746835443</v>
      </c>
      <c r="V34" s="225">
        <f t="shared" si="11"/>
        <v>1.0895774647887324</v>
      </c>
      <c r="W34" s="316">
        <f t="shared" si="12"/>
        <v>0.17149758454106281</v>
      </c>
      <c r="X34" s="681">
        <v>27</v>
      </c>
      <c r="Y34" s="316">
        <v>0.93</v>
      </c>
      <c r="Z34" s="1187">
        <v>9535</v>
      </c>
      <c r="AA34" s="1187">
        <v>147</v>
      </c>
      <c r="AB34" s="1187">
        <v>1254</v>
      </c>
      <c r="AC34" s="1187">
        <v>122</v>
      </c>
      <c r="AD34" s="1187">
        <v>84</v>
      </c>
      <c r="AE34" s="1187">
        <v>60</v>
      </c>
      <c r="AF34" s="1187">
        <v>37</v>
      </c>
      <c r="AG34" s="554">
        <v>28.27</v>
      </c>
      <c r="AH34" s="554">
        <f t="shared" si="31"/>
        <v>2.2543859649122807E-2</v>
      </c>
      <c r="AI34" s="554">
        <f t="shared" si="14"/>
        <v>0.76405405405405402</v>
      </c>
      <c r="AJ34" s="555">
        <f t="shared" si="28"/>
        <v>1.5416885159937074E-2</v>
      </c>
      <c r="AK34" s="1187">
        <v>38</v>
      </c>
      <c r="AL34" s="322"/>
      <c r="AM34" s="132"/>
      <c r="AN34" s="312">
        <f t="shared" si="15"/>
        <v>0.74394736842105258</v>
      </c>
      <c r="AO34" s="316">
        <f t="shared" si="16"/>
        <v>0.25850340136054423</v>
      </c>
      <c r="AP34" s="132"/>
      <c r="AQ34" s="158"/>
      <c r="AR34" s="1207">
        <v>12982</v>
      </c>
      <c r="AS34" s="1187">
        <v>131</v>
      </c>
      <c r="AT34" s="1187">
        <v>819</v>
      </c>
      <c r="AU34" s="1187">
        <v>75</v>
      </c>
      <c r="AV34" s="1187">
        <v>38</v>
      </c>
      <c r="AW34" s="1187">
        <v>32</v>
      </c>
      <c r="AX34" s="1187">
        <v>24</v>
      </c>
      <c r="AY34" s="554">
        <v>26.35</v>
      </c>
      <c r="AZ34" s="554">
        <f t="shared" si="17"/>
        <v>3.2173382173382177E-2</v>
      </c>
      <c r="BA34" s="554">
        <f t="shared" si="18"/>
        <v>1.0979166666666667</v>
      </c>
      <c r="BB34" s="555">
        <f t="shared" si="29"/>
        <v>1.0090895085503005E-2</v>
      </c>
      <c r="BC34" s="866">
        <v>37</v>
      </c>
      <c r="BD34" s="132"/>
      <c r="BE34" s="132"/>
      <c r="BF34" s="228">
        <f t="shared" si="19"/>
        <v>0.71216216216216222</v>
      </c>
      <c r="BG34" s="316">
        <f t="shared" si="20"/>
        <v>0.28244274809160308</v>
      </c>
      <c r="BH34" s="132"/>
      <c r="BI34" s="132"/>
      <c r="BJ34" s="1187">
        <v>64667</v>
      </c>
      <c r="BK34" s="1187">
        <v>964</v>
      </c>
      <c r="BL34" s="1187">
        <v>8829</v>
      </c>
      <c r="BM34" s="1187">
        <v>933</v>
      </c>
      <c r="BN34" s="1187">
        <v>395</v>
      </c>
      <c r="BO34" s="1187">
        <v>214</v>
      </c>
      <c r="BP34" s="1187">
        <v>150</v>
      </c>
      <c r="BQ34" s="554">
        <v>177.46</v>
      </c>
      <c r="BR34" s="554">
        <f t="shared" si="21"/>
        <v>2.0099671536980408E-2</v>
      </c>
      <c r="BS34" s="554">
        <f t="shared" si="22"/>
        <v>1.1830666666666667</v>
      </c>
      <c r="BT34" s="555">
        <f t="shared" si="30"/>
        <v>1.4907139653919309E-2</v>
      </c>
      <c r="BU34" s="1187">
        <v>138</v>
      </c>
      <c r="BV34" s="322"/>
      <c r="BW34" s="132"/>
      <c r="BX34" s="228">
        <f t="shared" si="23"/>
        <v>1.2859420289855072</v>
      </c>
      <c r="BY34" s="1315">
        <f t="shared" si="24"/>
        <v>0.14315352697095435</v>
      </c>
      <c r="BZ34" s="322"/>
      <c r="CA34" s="158"/>
    </row>
    <row r="35" spans="2:79">
      <c r="B35" s="190" t="s">
        <v>160</v>
      </c>
      <c r="C35" s="298">
        <f>SUM(C28:C34)</f>
        <v>536434</v>
      </c>
      <c r="D35" s="298">
        <f t="shared" ref="D35:J35" si="32">SUM(D28:D34)</f>
        <v>6943</v>
      </c>
      <c r="E35" s="298">
        <f t="shared" si="32"/>
        <v>60795</v>
      </c>
      <c r="F35" s="298">
        <f t="shared" si="32"/>
        <v>6425</v>
      </c>
      <c r="G35" s="298">
        <f t="shared" si="32"/>
        <v>3279</v>
      </c>
      <c r="H35" s="298">
        <f t="shared" si="32"/>
        <v>2326</v>
      </c>
      <c r="I35" s="298">
        <f t="shared" si="32"/>
        <v>1294</v>
      </c>
      <c r="J35" s="479">
        <f t="shared" si="32"/>
        <v>1371.19</v>
      </c>
      <c r="K35" s="599">
        <f>J35/$C$8</f>
        <v>0.20419806403574089</v>
      </c>
      <c r="L35" s="299">
        <f>D35/C35</f>
        <v>1.2942878341044751E-2</v>
      </c>
      <c r="M35" s="300">
        <f>SUM(M28:M34)</f>
        <v>13825</v>
      </c>
      <c r="N35" s="301">
        <f>J35/E35</f>
        <v>2.2554321901472163E-2</v>
      </c>
      <c r="O35" s="301">
        <f>J35/I35</f>
        <v>1.0596522411128284</v>
      </c>
      <c r="P35" s="302">
        <f>E35/M35</f>
        <v>4.3974683544303801</v>
      </c>
      <c r="Q35" s="121">
        <f>SUM(Q28:Q34)</f>
        <v>1289</v>
      </c>
      <c r="R35" s="27"/>
      <c r="S35" s="27"/>
      <c r="T35" s="27">
        <f>SUM(T28:T34)</f>
        <v>655.73122529644274</v>
      </c>
      <c r="U35" s="140">
        <f>Q35/T35</f>
        <v>1.965744424352019</v>
      </c>
      <c r="V35" s="237">
        <f>J35/Q35</f>
        <v>1.0637626066718386</v>
      </c>
      <c r="W35" s="317">
        <f>Q35/D35</f>
        <v>0.18565461616016132</v>
      </c>
      <c r="X35" s="682">
        <f>AVERAGE(X28:X34)</f>
        <v>21.071428571428573</v>
      </c>
      <c r="Y35" s="317">
        <f>AVERAGE(Y28:Y34)</f>
        <v>0.91482142857142856</v>
      </c>
      <c r="Z35" s="1186">
        <f>SUM(Z28:Z34)</f>
        <v>249785</v>
      </c>
      <c r="AA35" s="298">
        <f t="shared" ref="AA35:AK35" si="33">SUM(AA28:AA34)</f>
        <v>3249</v>
      </c>
      <c r="AB35" s="298">
        <f t="shared" si="33"/>
        <v>30411</v>
      </c>
      <c r="AC35" s="298">
        <f t="shared" si="33"/>
        <v>3399</v>
      </c>
      <c r="AD35" s="298">
        <f t="shared" si="33"/>
        <v>1885</v>
      </c>
      <c r="AE35" s="298">
        <f t="shared" si="33"/>
        <v>1425</v>
      </c>
      <c r="AF35" s="298">
        <f t="shared" si="33"/>
        <v>721</v>
      </c>
      <c r="AG35" s="479">
        <f t="shared" si="33"/>
        <v>662.79</v>
      </c>
      <c r="AH35" s="1179">
        <f>AG35/AB35</f>
        <v>2.1794416494031764E-2</v>
      </c>
      <c r="AI35" s="1179">
        <f>AG35/AF35</f>
        <v>0.91926490984743403</v>
      </c>
      <c r="AJ35" s="1180">
        <f>AA35/Z35</f>
        <v>1.3007186180114899E-2</v>
      </c>
      <c r="AK35" s="551">
        <f t="shared" si="33"/>
        <v>442</v>
      </c>
      <c r="AL35" s="27"/>
      <c r="AM35" s="27"/>
      <c r="AN35" s="227">
        <f>AG35/AK35</f>
        <v>1.4995248868778279</v>
      </c>
      <c r="AO35" s="147">
        <f>AK35/AA35</f>
        <v>0.13604185903354879</v>
      </c>
      <c r="AP35" s="130"/>
      <c r="AQ35" s="165"/>
      <c r="AR35" s="164">
        <f>SUM(AR28:AR34)</f>
        <v>145307</v>
      </c>
      <c r="AS35" s="298">
        <f t="shared" ref="AS35:AY35" si="34">SUM(AS28:AS34)</f>
        <v>1629</v>
      </c>
      <c r="AT35" s="298">
        <f t="shared" si="34"/>
        <v>11191</v>
      </c>
      <c r="AU35" s="298">
        <f t="shared" si="34"/>
        <v>1050</v>
      </c>
      <c r="AV35" s="298">
        <f t="shared" si="34"/>
        <v>568</v>
      </c>
      <c r="AW35" s="298">
        <f t="shared" si="34"/>
        <v>430</v>
      </c>
      <c r="AX35" s="298">
        <f t="shared" si="34"/>
        <v>262</v>
      </c>
      <c r="AY35" s="479">
        <f t="shared" si="34"/>
        <v>327.60000000000002</v>
      </c>
      <c r="AZ35" s="1179">
        <f>AY35/AT35</f>
        <v>2.9273523366991336E-2</v>
      </c>
      <c r="BA35" s="1179">
        <f>AY35/AX35</f>
        <v>1.250381679389313</v>
      </c>
      <c r="BB35" s="1180">
        <f>AS35/AR35</f>
        <v>1.1210746901388095E-2</v>
      </c>
      <c r="BC35" s="121">
        <f t="shared" ref="BC35" si="35">SUM(BC28:BC34)</f>
        <v>350</v>
      </c>
      <c r="BD35" s="27"/>
      <c r="BE35" s="27"/>
      <c r="BF35" s="227">
        <f>AY35/BC35</f>
        <v>0.93600000000000005</v>
      </c>
      <c r="BG35" s="147">
        <f>BC35/AS35</f>
        <v>0.21485573971761818</v>
      </c>
      <c r="BH35" s="130"/>
      <c r="BI35" s="165"/>
      <c r="BJ35" s="1186">
        <f>SUM(BJ28:BJ34)</f>
        <v>141342</v>
      </c>
      <c r="BK35" s="298">
        <f t="shared" ref="BK35:BQ35" si="36">SUM(BK28:BK34)</f>
        <v>2065</v>
      </c>
      <c r="BL35" s="298">
        <f t="shared" si="36"/>
        <v>19193</v>
      </c>
      <c r="BM35" s="298">
        <f t="shared" si="36"/>
        <v>1976</v>
      </c>
      <c r="BN35" s="298">
        <f t="shared" si="36"/>
        <v>826</v>
      </c>
      <c r="BO35" s="298">
        <f t="shared" si="36"/>
        <v>471</v>
      </c>
      <c r="BP35" s="298">
        <f t="shared" si="36"/>
        <v>311</v>
      </c>
      <c r="BQ35" s="479">
        <f t="shared" si="36"/>
        <v>380.8</v>
      </c>
      <c r="BR35" s="1179">
        <f>BQ35/BL35</f>
        <v>1.9840566873339238E-2</v>
      </c>
      <c r="BS35" s="1179">
        <f>BQ35/BP35</f>
        <v>1.2244372990353698</v>
      </c>
      <c r="BT35" s="1180">
        <f>BK35/BJ35</f>
        <v>1.4609953163249423E-2</v>
      </c>
      <c r="BU35" s="551">
        <f t="shared" ref="BU35" si="37">SUM(BU28:BU34)</f>
        <v>497</v>
      </c>
      <c r="BV35" s="27"/>
      <c r="BW35" s="27"/>
      <c r="BX35" s="227">
        <f>BQ35/BU35</f>
        <v>0.76619718309859153</v>
      </c>
      <c r="BY35" s="1609">
        <f>BU35/BK35</f>
        <v>0.24067796610169492</v>
      </c>
      <c r="BZ35" s="130"/>
      <c r="CA35" s="165"/>
    </row>
    <row r="36" spans="2:79">
      <c r="B36" s="187">
        <v>44859</v>
      </c>
      <c r="C36" s="15">
        <v>80313</v>
      </c>
      <c r="D36" s="15">
        <v>1228</v>
      </c>
      <c r="E36" s="15">
        <v>10000</v>
      </c>
      <c r="F36" s="52">
        <v>1074</v>
      </c>
      <c r="G36" s="52">
        <v>473</v>
      </c>
      <c r="H36" s="52">
        <v>312</v>
      </c>
      <c r="I36" s="52">
        <v>183</v>
      </c>
      <c r="J36" s="77">
        <v>239.67</v>
      </c>
      <c r="K36" s="308">
        <f>SUM($J$35:J36)/$C$8</f>
        <v>0.23988979895755771</v>
      </c>
      <c r="L36" s="305">
        <f>D36/C36</f>
        <v>1.5290177181776301E-2</v>
      </c>
      <c r="M36" s="306">
        <f t="shared" si="7"/>
        <v>1975</v>
      </c>
      <c r="N36" s="307">
        <f>J36/E36</f>
        <v>2.3966999999999999E-2</v>
      </c>
      <c r="O36" s="307">
        <f>J36/I36</f>
        <v>1.309672131147541</v>
      </c>
      <c r="P36" s="380">
        <f>E36/M36</f>
        <v>5.0632911392405067</v>
      </c>
      <c r="Q36" s="143">
        <v>207</v>
      </c>
      <c r="R36" s="52"/>
      <c r="S36" s="52"/>
      <c r="T36" s="293">
        <f t="shared" si="9"/>
        <v>93.675889328063249</v>
      </c>
      <c r="U36" s="455">
        <f>Q36/T36</f>
        <v>2.2097468354430378</v>
      </c>
      <c r="V36" s="225">
        <f>J36/Q36</f>
        <v>1.1578260869565218</v>
      </c>
      <c r="W36" s="560">
        <f>Q36/D36</f>
        <v>0.16856677524429967</v>
      </c>
      <c r="X36" s="683">
        <v>5</v>
      </c>
      <c r="Y36" s="458">
        <v>0.97</v>
      </c>
      <c r="Z36" s="166">
        <v>12657</v>
      </c>
      <c r="AA36" s="15">
        <v>193</v>
      </c>
      <c r="AB36" s="15">
        <v>1462</v>
      </c>
      <c r="AC36" s="52">
        <v>193</v>
      </c>
      <c r="AD36" s="52">
        <v>108</v>
      </c>
      <c r="AE36" s="52">
        <v>85</v>
      </c>
      <c r="AF36" s="52">
        <v>42</v>
      </c>
      <c r="AG36" s="77">
        <v>39.950000000000003</v>
      </c>
      <c r="AH36" s="554">
        <f>AG36/AB36</f>
        <v>2.7325581395348839E-2</v>
      </c>
      <c r="AI36" s="554">
        <f>AG36/AF36</f>
        <v>0.95119047619047625</v>
      </c>
      <c r="AJ36" s="555">
        <f>AA36/Z36</f>
        <v>1.524847910247294E-2</v>
      </c>
      <c r="AK36" s="1178">
        <v>44</v>
      </c>
      <c r="AL36" s="132"/>
      <c r="AM36" s="132"/>
      <c r="AN36" s="312">
        <f>AG36/AK36</f>
        <v>0.90795454545454557</v>
      </c>
      <c r="AO36" s="316">
        <f>AK36/AA36</f>
        <v>0.22797927461139897</v>
      </c>
      <c r="AP36" s="122"/>
      <c r="AQ36" s="167"/>
      <c r="AR36" s="166">
        <v>14527</v>
      </c>
      <c r="AS36" s="15">
        <v>177</v>
      </c>
      <c r="AT36" s="15">
        <v>1097</v>
      </c>
      <c r="AU36" s="52">
        <v>110</v>
      </c>
      <c r="AV36" s="52">
        <v>59</v>
      </c>
      <c r="AW36" s="52">
        <v>41</v>
      </c>
      <c r="AX36" s="52">
        <v>33</v>
      </c>
      <c r="AY36" s="77">
        <v>35.08</v>
      </c>
      <c r="AZ36" s="554">
        <f>AY36/AT36</f>
        <v>3.1978122151321786E-2</v>
      </c>
      <c r="BA36" s="554">
        <f>AY36/AX36</f>
        <v>1.063030303030303</v>
      </c>
      <c r="BB36" s="555">
        <f>AS36/AR36</f>
        <v>1.2184208714806912E-2</v>
      </c>
      <c r="BC36" s="1178">
        <v>50</v>
      </c>
      <c r="BD36" s="132"/>
      <c r="BE36" s="132"/>
      <c r="BF36" s="228">
        <f>AY36/BC36</f>
        <v>0.7016</v>
      </c>
      <c r="BG36" s="316">
        <f>BC36/AS36</f>
        <v>0.2824858757062147</v>
      </c>
      <c r="BH36" s="122"/>
      <c r="BI36" s="167"/>
      <c r="BJ36" s="166">
        <v>53129</v>
      </c>
      <c r="BK36" s="15">
        <v>858</v>
      </c>
      <c r="BL36" s="15">
        <v>7441</v>
      </c>
      <c r="BM36" s="52">
        <v>771</v>
      </c>
      <c r="BN36" s="52">
        <v>306</v>
      </c>
      <c r="BO36" s="52">
        <v>186</v>
      </c>
      <c r="BP36" s="52">
        <v>108</v>
      </c>
      <c r="BQ36" s="562">
        <v>164.64</v>
      </c>
      <c r="BR36" s="554">
        <f>BQ36/BL36</f>
        <v>2.2126058325493882E-2</v>
      </c>
      <c r="BS36" s="554">
        <f>BQ36/BP36</f>
        <v>1.5244444444444443</v>
      </c>
      <c r="BT36" s="555">
        <f>BK36/BJ36</f>
        <v>1.6149372282557549E-2</v>
      </c>
      <c r="BU36" s="1195">
        <v>113</v>
      </c>
      <c r="BV36" s="132"/>
      <c r="BW36" s="132"/>
      <c r="BX36" s="228">
        <f>BQ36/BU36</f>
        <v>1.4569911504424777</v>
      </c>
      <c r="BY36" s="1315">
        <f>BU36/BK36</f>
        <v>0.13170163170163171</v>
      </c>
      <c r="BZ36" s="122"/>
      <c r="CA36" s="167"/>
    </row>
    <row r="37" spans="2:79" s="24" customFormat="1">
      <c r="B37" s="187">
        <v>44860</v>
      </c>
      <c r="C37" s="15">
        <v>77094</v>
      </c>
      <c r="D37" s="15">
        <v>1110</v>
      </c>
      <c r="E37" s="15">
        <v>9573</v>
      </c>
      <c r="F37" s="52">
        <v>1026</v>
      </c>
      <c r="G37" s="52">
        <v>443</v>
      </c>
      <c r="H37" s="52">
        <v>279</v>
      </c>
      <c r="I37" s="52">
        <v>172</v>
      </c>
      <c r="J37" s="77">
        <v>245.31</v>
      </c>
      <c r="K37" s="308">
        <f>SUM($J$35:J37)/$C$8</f>
        <v>0.27642144452717798</v>
      </c>
      <c r="L37" s="305">
        <f>D37/C37</f>
        <v>1.4398007627052688E-2</v>
      </c>
      <c r="M37" s="306">
        <f t="shared" si="7"/>
        <v>1975</v>
      </c>
      <c r="N37" s="307">
        <f>J37/E37</f>
        <v>2.5625195863365716E-2</v>
      </c>
      <c r="O37" s="307">
        <f t="shared" ref="O37:O42" si="38">J37/I37</f>
        <v>1.4262209302325581</v>
      </c>
      <c r="P37" s="380">
        <f>E37/M37</f>
        <v>4.8470886075949364</v>
      </c>
      <c r="Q37" s="143">
        <v>199</v>
      </c>
      <c r="R37" s="52"/>
      <c r="S37" s="52"/>
      <c r="T37" s="293">
        <f t="shared" si="9"/>
        <v>93.675889328063249</v>
      </c>
      <c r="U37" s="463">
        <f t="shared" ref="U37:U42" si="39">Q37/T37</f>
        <v>2.1243459915611811</v>
      </c>
      <c r="V37" s="225">
        <f t="shared" ref="V37:V42" si="40">J37/Q37</f>
        <v>1.2327135678391961</v>
      </c>
      <c r="W37" s="308">
        <f t="shared" ref="W37:W42" si="41">Q37/D37</f>
        <v>0.17927927927927928</v>
      </c>
      <c r="X37" s="684">
        <v>54.564866434378622</v>
      </c>
      <c r="Y37" s="392">
        <v>0.94575797798794303</v>
      </c>
      <c r="Z37" s="166">
        <v>11980</v>
      </c>
      <c r="AA37" s="15">
        <v>163</v>
      </c>
      <c r="AB37" s="15">
        <v>1219</v>
      </c>
      <c r="AC37" s="52">
        <v>168</v>
      </c>
      <c r="AD37" s="52">
        <v>93</v>
      </c>
      <c r="AE37" s="52">
        <v>74</v>
      </c>
      <c r="AF37" s="52">
        <v>38</v>
      </c>
      <c r="AG37" s="77">
        <v>37.950000000000003</v>
      </c>
      <c r="AH37" s="554">
        <f t="shared" ref="AH37:AH42" si="42">AG37/AB37</f>
        <v>3.1132075471698117E-2</v>
      </c>
      <c r="AI37" s="554">
        <f t="shared" ref="AI37:AI42" si="43">AG37/AF37</f>
        <v>0.99868421052631584</v>
      </c>
      <c r="AJ37" s="555">
        <f>AA37/Z37</f>
        <v>1.3606010016694491E-2</v>
      </c>
      <c r="AK37" s="1178">
        <v>41</v>
      </c>
      <c r="AL37" s="132"/>
      <c r="AM37" s="132"/>
      <c r="AN37" s="312">
        <f t="shared" ref="AN37:AN42" si="44">AG37/AK37</f>
        <v>0.92560975609756102</v>
      </c>
      <c r="AO37" s="316">
        <f t="shared" ref="AO37:AO42" si="45">AK37/AA37</f>
        <v>0.25153374233128833</v>
      </c>
      <c r="AP37" s="123"/>
      <c r="AQ37" s="168"/>
      <c r="AR37" s="166">
        <v>13783</v>
      </c>
      <c r="AS37" s="15">
        <v>183</v>
      </c>
      <c r="AT37" s="15">
        <v>1009</v>
      </c>
      <c r="AU37" s="52">
        <v>123</v>
      </c>
      <c r="AV37" s="52">
        <v>60</v>
      </c>
      <c r="AW37" s="52">
        <v>47</v>
      </c>
      <c r="AX37" s="52">
        <v>28</v>
      </c>
      <c r="AY37" s="77">
        <v>37.340000000000003</v>
      </c>
      <c r="AZ37" s="554">
        <f t="shared" ref="AZ37:AZ42" si="46">AY37/AT37</f>
        <v>3.7006937561942524E-2</v>
      </c>
      <c r="BA37" s="554">
        <f t="shared" ref="BA37:BA42" si="47">AY37/AX37</f>
        <v>1.3335714285714286</v>
      </c>
      <c r="BB37" s="555">
        <f>AS37/AR37</f>
        <v>1.3277225567728361E-2</v>
      </c>
      <c r="BC37" s="1178">
        <v>60</v>
      </c>
      <c r="BD37" s="132"/>
      <c r="BE37" s="132"/>
      <c r="BF37" s="228">
        <f t="shared" ref="BF37:BF42" si="48">AY37/BC37</f>
        <v>0.6223333333333334</v>
      </c>
      <c r="BG37" s="316">
        <f t="shared" ref="BG37:BG42" si="49">BC37/AS37</f>
        <v>0.32786885245901637</v>
      </c>
      <c r="BH37" s="123"/>
      <c r="BI37" s="168"/>
      <c r="BJ37" s="166">
        <v>51331</v>
      </c>
      <c r="BK37" s="15">
        <v>764</v>
      </c>
      <c r="BL37" s="15">
        <v>7345</v>
      </c>
      <c r="BM37" s="52">
        <v>735</v>
      </c>
      <c r="BN37" s="52">
        <v>290</v>
      </c>
      <c r="BO37" s="52">
        <v>158</v>
      </c>
      <c r="BP37" s="52">
        <v>106</v>
      </c>
      <c r="BQ37" s="563">
        <v>170.02</v>
      </c>
      <c r="BR37" s="554">
        <f t="shared" ref="BR37:BR42" si="50">BQ37/BL37</f>
        <v>2.314771953710007E-2</v>
      </c>
      <c r="BS37" s="554">
        <f t="shared" ref="BS37:BS42" si="51">BQ37/BP37</f>
        <v>1.6039622641509435</v>
      </c>
      <c r="BT37" s="555">
        <f>BK37/BJ37</f>
        <v>1.4883793419181392E-2</v>
      </c>
      <c r="BU37" s="1195">
        <v>98</v>
      </c>
      <c r="BV37" s="132"/>
      <c r="BW37" s="132"/>
      <c r="BX37" s="228">
        <f t="shared" ref="BX37:BX42" si="52">BQ37/BU37</f>
        <v>1.7348979591836735</v>
      </c>
      <c r="BY37" s="1315">
        <f t="shared" ref="BY37:BY42" si="53">BU37/BK37</f>
        <v>0.12827225130890052</v>
      </c>
      <c r="BZ37" s="123"/>
      <c r="CA37" s="168"/>
    </row>
    <row r="38" spans="2:79" s="26" customFormat="1">
      <c r="B38" s="187">
        <v>44861</v>
      </c>
      <c r="C38" s="15">
        <v>66452</v>
      </c>
      <c r="D38" s="15">
        <v>1041</v>
      </c>
      <c r="E38" s="15">
        <v>9922</v>
      </c>
      <c r="F38" s="52">
        <v>979</v>
      </c>
      <c r="G38" s="52">
        <v>416</v>
      </c>
      <c r="H38" s="52">
        <v>232</v>
      </c>
      <c r="I38" s="52">
        <v>147</v>
      </c>
      <c r="J38" s="77">
        <v>236.79000000000002</v>
      </c>
      <c r="K38" s="308">
        <f>SUM($J$35:J38)/$C$8</f>
        <v>0.31168428890543559</v>
      </c>
      <c r="L38" s="305">
        <f>D38/C38</f>
        <v>1.5665442725576358E-2</v>
      </c>
      <c r="M38" s="306">
        <f t="shared" si="7"/>
        <v>1975</v>
      </c>
      <c r="N38" s="307">
        <f>J38/E38</f>
        <v>2.3865148155613788E-2</v>
      </c>
      <c r="O38" s="307">
        <f t="shared" si="38"/>
        <v>1.6108163265306124</v>
      </c>
      <c r="P38" s="381">
        <f>E38/M38</f>
        <v>5.02379746835443</v>
      </c>
      <c r="Q38" s="143">
        <v>140</v>
      </c>
      <c r="R38" s="52"/>
      <c r="S38" s="52"/>
      <c r="T38" s="293">
        <f t="shared" si="9"/>
        <v>93.675889328063249</v>
      </c>
      <c r="U38" s="139">
        <f t="shared" si="39"/>
        <v>1.4945147679324893</v>
      </c>
      <c r="V38" s="225">
        <f t="shared" si="40"/>
        <v>1.691357142857143</v>
      </c>
      <c r="W38" s="308">
        <f t="shared" si="41"/>
        <v>0.13448607108549471</v>
      </c>
      <c r="X38" s="684">
        <v>2.9026019690576654</v>
      </c>
      <c r="Y38" s="392">
        <v>0.98230192217533985</v>
      </c>
      <c r="Z38" s="166">
        <v>6395</v>
      </c>
      <c r="AA38" s="15">
        <v>86</v>
      </c>
      <c r="AB38" s="15">
        <v>601</v>
      </c>
      <c r="AC38" s="52">
        <v>92</v>
      </c>
      <c r="AD38" s="52">
        <v>47</v>
      </c>
      <c r="AE38" s="52">
        <v>35</v>
      </c>
      <c r="AF38" s="52">
        <v>18</v>
      </c>
      <c r="AG38" s="77">
        <v>21.56</v>
      </c>
      <c r="AH38" s="554">
        <f t="shared" si="42"/>
        <v>3.5873544093178035E-2</v>
      </c>
      <c r="AI38" s="554">
        <f t="shared" si="43"/>
        <v>1.1977777777777776</v>
      </c>
      <c r="AJ38" s="555">
        <f>AA38/Z38</f>
        <v>1.3448006254886629E-2</v>
      </c>
      <c r="AK38" s="1178">
        <v>25</v>
      </c>
      <c r="AL38" s="132"/>
      <c r="AM38" s="132"/>
      <c r="AN38" s="312">
        <f t="shared" si="44"/>
        <v>0.86239999999999994</v>
      </c>
      <c r="AO38" s="316">
        <f t="shared" si="45"/>
        <v>0.29069767441860467</v>
      </c>
      <c r="AP38" s="124"/>
      <c r="AQ38" s="169"/>
      <c r="AR38" s="166">
        <v>5115</v>
      </c>
      <c r="AS38" s="15">
        <v>70</v>
      </c>
      <c r="AT38" s="15">
        <v>542</v>
      </c>
      <c r="AU38" s="52">
        <v>74</v>
      </c>
      <c r="AV38" s="52">
        <v>42</v>
      </c>
      <c r="AW38" s="52">
        <v>27</v>
      </c>
      <c r="AX38" s="52">
        <v>24</v>
      </c>
      <c r="AY38" s="77">
        <v>20.170000000000002</v>
      </c>
      <c r="AZ38" s="554">
        <f t="shared" si="46"/>
        <v>3.7214022140221403E-2</v>
      </c>
      <c r="BA38" s="554">
        <f t="shared" si="47"/>
        <v>0.8404166666666667</v>
      </c>
      <c r="BB38" s="555">
        <f>AS38/AR38</f>
        <v>1.3685239491691105E-2</v>
      </c>
      <c r="BC38" s="1178">
        <v>36</v>
      </c>
      <c r="BD38" s="132"/>
      <c r="BE38" s="132"/>
      <c r="BF38" s="228">
        <f t="shared" si="48"/>
        <v>0.56027777777777787</v>
      </c>
      <c r="BG38" s="316">
        <f t="shared" si="49"/>
        <v>0.51428571428571423</v>
      </c>
      <c r="BH38" s="124"/>
      <c r="BI38" s="169"/>
      <c r="BJ38" s="166">
        <v>54942</v>
      </c>
      <c r="BK38" s="15">
        <v>885</v>
      </c>
      <c r="BL38" s="15">
        <v>8779</v>
      </c>
      <c r="BM38" s="52">
        <v>813</v>
      </c>
      <c r="BN38" s="52">
        <v>327</v>
      </c>
      <c r="BO38" s="52">
        <v>170</v>
      </c>
      <c r="BP38" s="52">
        <v>105</v>
      </c>
      <c r="BQ38" s="77">
        <v>195.06</v>
      </c>
      <c r="BR38" s="554">
        <f t="shared" si="50"/>
        <v>2.2218931541177812E-2</v>
      </c>
      <c r="BS38" s="554">
        <f t="shared" si="51"/>
        <v>1.8577142857142857</v>
      </c>
      <c r="BT38" s="555">
        <f>BK38/BJ38</f>
        <v>1.6107895598995305E-2</v>
      </c>
      <c r="BU38" s="1195">
        <v>79</v>
      </c>
      <c r="BV38" s="132"/>
      <c r="BW38" s="132"/>
      <c r="BX38" s="228">
        <f t="shared" si="52"/>
        <v>2.469113924050633</v>
      </c>
      <c r="BY38" s="1315">
        <f t="shared" si="53"/>
        <v>8.9265536723163841E-2</v>
      </c>
      <c r="BZ38" s="124"/>
      <c r="CA38" s="169"/>
    </row>
    <row r="39" spans="2:79">
      <c r="B39" s="189">
        <v>44862</v>
      </c>
      <c r="C39" s="15">
        <v>90097</v>
      </c>
      <c r="D39" s="15">
        <v>1285</v>
      </c>
      <c r="E39" s="15">
        <v>12075</v>
      </c>
      <c r="F39" s="52">
        <v>1103</v>
      </c>
      <c r="G39" s="52">
        <v>427</v>
      </c>
      <c r="H39" s="52">
        <v>272</v>
      </c>
      <c r="I39" s="52">
        <v>151</v>
      </c>
      <c r="J39" s="77">
        <v>311.64999999999998</v>
      </c>
      <c r="K39" s="308">
        <f>SUM($J$35:J39)/$C$8</f>
        <v>0.35809530900967984</v>
      </c>
      <c r="L39" s="305">
        <f t="shared" ref="L39:L42" si="54">D39/C39</f>
        <v>1.4262406073454166E-2</v>
      </c>
      <c r="M39" s="306">
        <f t="shared" si="7"/>
        <v>1975</v>
      </c>
      <c r="N39" s="307">
        <f t="shared" ref="N39:N42" si="55">J39/E39</f>
        <v>2.5809523809523807E-2</v>
      </c>
      <c r="O39" s="307">
        <f t="shared" si="38"/>
        <v>2.0639072847682116</v>
      </c>
      <c r="P39" s="381">
        <f t="shared" ref="P39:P42" si="56">E39/M39</f>
        <v>6.1139240506329111</v>
      </c>
      <c r="Q39" s="143">
        <v>224</v>
      </c>
      <c r="R39" s="52"/>
      <c r="S39" s="52"/>
      <c r="T39" s="293">
        <f t="shared" si="9"/>
        <v>93.675889328063249</v>
      </c>
      <c r="U39" s="139">
        <f t="shared" si="39"/>
        <v>2.391223628691983</v>
      </c>
      <c r="V39" s="225">
        <f t="shared" si="40"/>
        <v>1.3912946428571427</v>
      </c>
      <c r="W39" s="308">
        <f t="shared" si="41"/>
        <v>0.17431906614785991</v>
      </c>
      <c r="X39" s="684">
        <v>35.30833333333333</v>
      </c>
      <c r="Y39" s="392">
        <v>0.94444444444444431</v>
      </c>
      <c r="Z39" s="166">
        <v>8771</v>
      </c>
      <c r="AA39" s="15">
        <v>110</v>
      </c>
      <c r="AB39" s="15">
        <v>780</v>
      </c>
      <c r="AC39" s="52">
        <v>95</v>
      </c>
      <c r="AD39" s="52">
        <v>37</v>
      </c>
      <c r="AE39" s="52">
        <v>29</v>
      </c>
      <c r="AF39" s="52">
        <v>10</v>
      </c>
      <c r="AG39" s="77">
        <v>28.03</v>
      </c>
      <c r="AH39" s="554">
        <f t="shared" si="42"/>
        <v>3.5935897435897438E-2</v>
      </c>
      <c r="AI39" s="554">
        <f t="shared" si="43"/>
        <v>2.8029999999999999</v>
      </c>
      <c r="AJ39" s="555">
        <f t="shared" ref="AJ39:AJ42" si="57">AA39/Z39</f>
        <v>1.2541329380914377E-2</v>
      </c>
      <c r="AK39" s="1178">
        <v>44</v>
      </c>
      <c r="AL39" s="132"/>
      <c r="AM39" s="132"/>
      <c r="AN39" s="312">
        <f t="shared" si="44"/>
        <v>0.63704545454545458</v>
      </c>
      <c r="AO39" s="316">
        <f t="shared" si="45"/>
        <v>0.4</v>
      </c>
      <c r="AP39" s="125"/>
      <c r="AQ39" s="170"/>
      <c r="AR39" s="166">
        <v>15620</v>
      </c>
      <c r="AS39" s="15">
        <v>186</v>
      </c>
      <c r="AT39" s="15">
        <v>1099</v>
      </c>
      <c r="AU39" s="52">
        <v>125</v>
      </c>
      <c r="AV39" s="52">
        <v>70</v>
      </c>
      <c r="AW39" s="52">
        <v>51</v>
      </c>
      <c r="AX39" s="52">
        <v>32</v>
      </c>
      <c r="AY39" s="77">
        <v>49.6</v>
      </c>
      <c r="AZ39" s="554">
        <f t="shared" si="46"/>
        <v>4.5131938125568698E-2</v>
      </c>
      <c r="BA39" s="554">
        <f t="shared" si="47"/>
        <v>1.55</v>
      </c>
      <c r="BB39" s="555">
        <f t="shared" ref="BB39:BB51" si="58">AS39/AR39</f>
        <v>1.1907810499359794E-2</v>
      </c>
      <c r="BC39" s="1178">
        <v>60</v>
      </c>
      <c r="BD39" s="132"/>
      <c r="BE39" s="132"/>
      <c r="BF39" s="228">
        <f t="shared" si="48"/>
        <v>0.82666666666666666</v>
      </c>
      <c r="BG39" s="316">
        <f t="shared" si="49"/>
        <v>0.32258064516129031</v>
      </c>
      <c r="BH39" s="125"/>
      <c r="BI39" s="170"/>
      <c r="BJ39" s="166">
        <v>65706</v>
      </c>
      <c r="BK39" s="15">
        <v>989</v>
      </c>
      <c r="BL39" s="15">
        <v>10196</v>
      </c>
      <c r="BM39" s="52">
        <v>883</v>
      </c>
      <c r="BN39" s="52">
        <v>320</v>
      </c>
      <c r="BO39" s="52">
        <v>192</v>
      </c>
      <c r="BP39" s="52">
        <v>109</v>
      </c>
      <c r="BQ39" s="77">
        <v>234.02</v>
      </c>
      <c r="BR39" s="554">
        <f t="shared" si="50"/>
        <v>2.2952138093369951E-2</v>
      </c>
      <c r="BS39" s="554">
        <f t="shared" si="51"/>
        <v>2.1469724770642205</v>
      </c>
      <c r="BT39" s="555">
        <f t="shared" ref="BT39:BT51" si="59">BK39/BJ39</f>
        <v>1.5051897847989529E-2</v>
      </c>
      <c r="BU39" s="1195">
        <v>120</v>
      </c>
      <c r="BV39" s="132"/>
      <c r="BW39" s="132"/>
      <c r="BX39" s="228">
        <f t="shared" si="52"/>
        <v>1.9501666666666668</v>
      </c>
      <c r="BY39" s="1315">
        <f t="shared" si="53"/>
        <v>0.12133468149646107</v>
      </c>
      <c r="BZ39" s="125"/>
      <c r="CA39" s="170"/>
    </row>
    <row r="40" spans="2:79">
      <c r="B40" s="189">
        <v>44863</v>
      </c>
      <c r="C40" s="15">
        <v>98427</v>
      </c>
      <c r="D40" s="15">
        <v>1341</v>
      </c>
      <c r="E40" s="15">
        <v>10510</v>
      </c>
      <c r="F40" s="52">
        <v>1183</v>
      </c>
      <c r="G40" s="52">
        <v>500</v>
      </c>
      <c r="H40" s="52">
        <v>313</v>
      </c>
      <c r="I40" s="52">
        <v>208</v>
      </c>
      <c r="J40" s="77">
        <v>300.13</v>
      </c>
      <c r="K40" s="308">
        <f>SUM($J$35:J40)/$C$8</f>
        <v>0.40279076693968729</v>
      </c>
      <c r="L40" s="305">
        <f t="shared" si="54"/>
        <v>1.3624310402633424E-2</v>
      </c>
      <c r="M40" s="306">
        <f t="shared" si="7"/>
        <v>1975</v>
      </c>
      <c r="N40" s="307">
        <f t="shared" si="55"/>
        <v>2.8556612749762129E-2</v>
      </c>
      <c r="O40" s="307">
        <f t="shared" si="38"/>
        <v>1.4429326923076924</v>
      </c>
      <c r="P40" s="381">
        <f t="shared" si="56"/>
        <v>5.3215189873417721</v>
      </c>
      <c r="Q40" s="143">
        <v>260</v>
      </c>
      <c r="R40" s="52"/>
      <c r="S40" s="52"/>
      <c r="T40" s="293">
        <f t="shared" si="9"/>
        <v>93.675889328063249</v>
      </c>
      <c r="U40" s="139">
        <f t="shared" si="39"/>
        <v>2.7755274261603371</v>
      </c>
      <c r="V40" s="225">
        <f t="shared" si="40"/>
        <v>1.1543461538461539</v>
      </c>
      <c r="W40" s="308">
        <f t="shared" si="41"/>
        <v>0.19388516032811334</v>
      </c>
      <c r="X40" s="684">
        <v>20.06766917293233</v>
      </c>
      <c r="Y40" s="392">
        <v>0.9369347281246595</v>
      </c>
      <c r="Z40" s="166">
        <v>11925</v>
      </c>
      <c r="AA40" s="15">
        <v>161</v>
      </c>
      <c r="AB40" s="15">
        <v>1070</v>
      </c>
      <c r="AC40" s="52">
        <v>139</v>
      </c>
      <c r="AD40" s="52">
        <v>91</v>
      </c>
      <c r="AE40" s="52">
        <v>74</v>
      </c>
      <c r="AF40" s="52">
        <v>42</v>
      </c>
      <c r="AG40" s="77">
        <v>34.26</v>
      </c>
      <c r="AH40" s="554">
        <f t="shared" si="42"/>
        <v>3.2018691588785043E-2</v>
      </c>
      <c r="AI40" s="554">
        <f t="shared" si="43"/>
        <v>0.81571428571428561</v>
      </c>
      <c r="AJ40" s="555">
        <f t="shared" si="57"/>
        <v>1.350104821802935E-2</v>
      </c>
      <c r="AK40" s="1178">
        <v>38</v>
      </c>
      <c r="AL40" s="132"/>
      <c r="AM40" s="132"/>
      <c r="AN40" s="312">
        <f t="shared" si="44"/>
        <v>0.90157894736842104</v>
      </c>
      <c r="AO40" s="316">
        <f t="shared" si="45"/>
        <v>0.2360248447204969</v>
      </c>
      <c r="AP40" s="125"/>
      <c r="AQ40" s="170"/>
      <c r="AR40" s="166">
        <v>12035</v>
      </c>
      <c r="AS40" s="15">
        <v>235</v>
      </c>
      <c r="AT40" s="15">
        <v>1256</v>
      </c>
      <c r="AU40" s="52">
        <v>157</v>
      </c>
      <c r="AV40" s="52">
        <v>78</v>
      </c>
      <c r="AW40" s="52">
        <v>53</v>
      </c>
      <c r="AX40" s="52">
        <v>40</v>
      </c>
      <c r="AY40" s="77">
        <v>44.16</v>
      </c>
      <c r="AZ40" s="554">
        <f t="shared" si="46"/>
        <v>3.5159235668789805E-2</v>
      </c>
      <c r="BA40" s="554">
        <f t="shared" si="47"/>
        <v>1.1039999999999999</v>
      </c>
      <c r="BB40" s="555">
        <f t="shared" si="58"/>
        <v>1.9526381387619442E-2</v>
      </c>
      <c r="BC40" s="1178">
        <v>84</v>
      </c>
      <c r="BD40" s="132"/>
      <c r="BE40" s="132"/>
      <c r="BF40" s="228">
        <f t="shared" si="48"/>
        <v>0.52571428571428569</v>
      </c>
      <c r="BG40" s="316">
        <f t="shared" si="49"/>
        <v>0.35744680851063831</v>
      </c>
      <c r="BH40" s="125"/>
      <c r="BI40" s="170"/>
      <c r="BJ40" s="166">
        <v>74467</v>
      </c>
      <c r="BK40" s="15">
        <v>945</v>
      </c>
      <c r="BL40" s="15">
        <v>8184</v>
      </c>
      <c r="BM40" s="52">
        <v>887</v>
      </c>
      <c r="BN40" s="52">
        <v>331</v>
      </c>
      <c r="BO40" s="52">
        <v>186</v>
      </c>
      <c r="BP40" s="52">
        <v>126</v>
      </c>
      <c r="BQ40" s="564">
        <v>221.71</v>
      </c>
      <c r="BR40" s="554">
        <f t="shared" si="50"/>
        <v>2.7090664711632455E-2</v>
      </c>
      <c r="BS40" s="554">
        <f t="shared" si="51"/>
        <v>1.7596031746031746</v>
      </c>
      <c r="BT40" s="555">
        <f t="shared" si="59"/>
        <v>1.2690184914123034E-2</v>
      </c>
      <c r="BU40" s="1195">
        <v>138</v>
      </c>
      <c r="BV40" s="132"/>
      <c r="BW40" s="132"/>
      <c r="BX40" s="228">
        <f t="shared" si="52"/>
        <v>1.6065942028985507</v>
      </c>
      <c r="BY40" s="1315">
        <f t="shared" si="53"/>
        <v>0.14603174603174604</v>
      </c>
      <c r="BZ40" s="125"/>
      <c r="CA40" s="170"/>
    </row>
    <row r="41" spans="2:79">
      <c r="B41" s="187">
        <v>44864</v>
      </c>
      <c r="C41" s="15">
        <v>89024</v>
      </c>
      <c r="D41" s="15">
        <v>1209</v>
      </c>
      <c r="E41" s="15">
        <v>8033</v>
      </c>
      <c r="F41" s="52">
        <v>1078</v>
      </c>
      <c r="G41" s="52">
        <v>526</v>
      </c>
      <c r="H41" s="52">
        <v>341</v>
      </c>
      <c r="I41" s="52">
        <v>241</v>
      </c>
      <c r="J41" s="77">
        <v>252.66000000000003</v>
      </c>
      <c r="K41" s="308">
        <f>SUM($J$35:J41)/$C$8</f>
        <v>0.44041697691734921</v>
      </c>
      <c r="L41" s="305">
        <f t="shared" si="54"/>
        <v>1.3580607476635514E-2</v>
      </c>
      <c r="M41" s="306">
        <f t="shared" si="7"/>
        <v>1975</v>
      </c>
      <c r="N41" s="307">
        <f t="shared" si="55"/>
        <v>3.1452757375824723E-2</v>
      </c>
      <c r="O41" s="307">
        <f t="shared" si="38"/>
        <v>1.0483817427385893</v>
      </c>
      <c r="P41" s="381">
        <f t="shared" si="56"/>
        <v>4.0673417721518987</v>
      </c>
      <c r="Q41" s="143">
        <v>287</v>
      </c>
      <c r="R41" s="52"/>
      <c r="S41" s="52"/>
      <c r="T41" s="293">
        <f t="shared" si="9"/>
        <v>93.675889328063249</v>
      </c>
      <c r="U41" s="139">
        <f t="shared" si="39"/>
        <v>3.0637552742616032</v>
      </c>
      <c r="V41" s="225">
        <f t="shared" si="40"/>
        <v>0.8803484320557492</v>
      </c>
      <c r="W41" s="308">
        <f t="shared" si="41"/>
        <v>0.23738626964433415</v>
      </c>
      <c r="X41" s="684">
        <v>5.3286484856606799</v>
      </c>
      <c r="Y41" s="392">
        <v>0.93302733851514341</v>
      </c>
      <c r="Z41" s="166">
        <v>18062</v>
      </c>
      <c r="AA41" s="15">
        <v>231</v>
      </c>
      <c r="AB41" s="15">
        <v>1547</v>
      </c>
      <c r="AC41" s="52">
        <v>236</v>
      </c>
      <c r="AD41" s="52">
        <v>124</v>
      </c>
      <c r="AE41" s="52">
        <v>90</v>
      </c>
      <c r="AF41" s="52">
        <v>56</v>
      </c>
      <c r="AG41" s="77">
        <v>46.84</v>
      </c>
      <c r="AH41" s="554">
        <f t="shared" si="42"/>
        <v>3.0277957336780868E-2</v>
      </c>
      <c r="AI41" s="554">
        <f t="shared" si="43"/>
        <v>0.83642857142857152</v>
      </c>
      <c r="AJ41" s="555">
        <f t="shared" si="57"/>
        <v>1.2789281364190013E-2</v>
      </c>
      <c r="AK41" s="1178">
        <v>52</v>
      </c>
      <c r="AL41" s="132"/>
      <c r="AM41" s="132"/>
      <c r="AN41" s="312">
        <f t="shared" si="44"/>
        <v>0.90076923076923088</v>
      </c>
      <c r="AO41" s="316">
        <f t="shared" si="45"/>
        <v>0.22510822510822512</v>
      </c>
      <c r="AP41" s="125"/>
      <c r="AQ41" s="170"/>
      <c r="AR41" s="166">
        <v>19369</v>
      </c>
      <c r="AS41" s="15">
        <v>311</v>
      </c>
      <c r="AT41" s="15">
        <v>1938</v>
      </c>
      <c r="AU41" s="52">
        <v>252</v>
      </c>
      <c r="AV41" s="52">
        <v>128</v>
      </c>
      <c r="AW41" s="52">
        <v>89</v>
      </c>
      <c r="AX41" s="52">
        <v>68</v>
      </c>
      <c r="AY41" s="77">
        <v>62.17</v>
      </c>
      <c r="AZ41" s="554">
        <f t="shared" si="46"/>
        <v>3.2079463364293084E-2</v>
      </c>
      <c r="BA41" s="554">
        <f t="shared" si="47"/>
        <v>0.91426470588235298</v>
      </c>
      <c r="BB41" s="555">
        <f t="shared" si="58"/>
        <v>1.6056585265114359E-2</v>
      </c>
      <c r="BC41" s="1178">
        <v>112</v>
      </c>
      <c r="BD41" s="132"/>
      <c r="BE41" s="132"/>
      <c r="BF41" s="228">
        <f t="shared" si="48"/>
        <v>0.55508928571428573</v>
      </c>
      <c r="BG41" s="316">
        <f t="shared" si="49"/>
        <v>0.36012861736334406</v>
      </c>
      <c r="BH41" s="125"/>
      <c r="BI41" s="170"/>
      <c r="BJ41" s="166">
        <v>51593</v>
      </c>
      <c r="BK41" s="15">
        <v>667</v>
      </c>
      <c r="BL41" s="15">
        <v>4548</v>
      </c>
      <c r="BM41" s="52">
        <v>590</v>
      </c>
      <c r="BN41" s="52">
        <v>274</v>
      </c>
      <c r="BO41" s="52">
        <v>162</v>
      </c>
      <c r="BP41" s="52">
        <v>117</v>
      </c>
      <c r="BQ41" s="338">
        <v>143.65</v>
      </c>
      <c r="BR41" s="554">
        <f t="shared" si="50"/>
        <v>3.1585312225153914E-2</v>
      </c>
      <c r="BS41" s="554">
        <f t="shared" si="51"/>
        <v>1.2277777777777779</v>
      </c>
      <c r="BT41" s="555">
        <f t="shared" si="59"/>
        <v>1.2928110402573993E-2</v>
      </c>
      <c r="BU41" s="1195">
        <v>123</v>
      </c>
      <c r="BV41" s="132"/>
      <c r="BW41" s="132"/>
      <c r="BX41" s="228">
        <f t="shared" si="52"/>
        <v>1.1678861788617887</v>
      </c>
      <c r="BY41" s="1315">
        <f t="shared" si="53"/>
        <v>0.18440779610194902</v>
      </c>
      <c r="BZ41" s="125"/>
      <c r="CA41" s="170"/>
    </row>
    <row r="42" spans="2:79">
      <c r="B42" s="187">
        <v>44865</v>
      </c>
      <c r="C42" s="15">
        <v>82025</v>
      </c>
      <c r="D42" s="15">
        <v>1228</v>
      </c>
      <c r="E42" s="15">
        <v>7627</v>
      </c>
      <c r="F42" s="52">
        <v>1120</v>
      </c>
      <c r="G42" s="52">
        <v>545</v>
      </c>
      <c r="H42" s="52">
        <v>369</v>
      </c>
      <c r="I42" s="52">
        <v>239</v>
      </c>
      <c r="J42" s="77">
        <v>254.78</v>
      </c>
      <c r="K42" s="308">
        <f>SUM($J$35:J42)/$C$8</f>
        <v>0.47835889798957559</v>
      </c>
      <c r="L42" s="305">
        <f t="shared" si="54"/>
        <v>1.4971045412983846E-2</v>
      </c>
      <c r="M42" s="306">
        <f t="shared" si="7"/>
        <v>1975</v>
      </c>
      <c r="N42" s="307">
        <f t="shared" si="55"/>
        <v>3.3405008522354791E-2</v>
      </c>
      <c r="O42" s="307">
        <f t="shared" si="38"/>
        <v>1.0660251046025104</v>
      </c>
      <c r="P42" s="381">
        <f t="shared" si="56"/>
        <v>3.8617721518987342</v>
      </c>
      <c r="Q42" s="143">
        <v>297</v>
      </c>
      <c r="R42" s="52"/>
      <c r="S42" s="52"/>
      <c r="T42" s="293">
        <f t="shared" si="9"/>
        <v>93.675889328063249</v>
      </c>
      <c r="U42" s="139">
        <f t="shared" si="39"/>
        <v>3.1705063291139237</v>
      </c>
      <c r="V42" s="225">
        <f t="shared" si="40"/>
        <v>0.85784511784511785</v>
      </c>
      <c r="W42" s="308">
        <f t="shared" si="41"/>
        <v>0.24185667752442996</v>
      </c>
      <c r="X42" s="684">
        <v>12.574074074074076</v>
      </c>
      <c r="Y42" s="392">
        <v>0.92989417989417988</v>
      </c>
      <c r="Z42" s="166">
        <v>17456</v>
      </c>
      <c r="AA42" s="15">
        <v>223</v>
      </c>
      <c r="AB42" s="15">
        <v>1537</v>
      </c>
      <c r="AC42" s="52">
        <v>252</v>
      </c>
      <c r="AD42" s="52">
        <v>141</v>
      </c>
      <c r="AE42" s="52">
        <v>110</v>
      </c>
      <c r="AF42" s="52">
        <v>61</v>
      </c>
      <c r="AG42" s="77">
        <v>48.54</v>
      </c>
      <c r="AH42" s="554">
        <f t="shared" si="42"/>
        <v>3.158100195185426E-2</v>
      </c>
      <c r="AI42" s="554">
        <f t="shared" si="43"/>
        <v>0.79573770491803275</v>
      </c>
      <c r="AJ42" s="555">
        <f t="shared" si="57"/>
        <v>1.2774977085242896E-2</v>
      </c>
      <c r="AK42" s="1178">
        <v>63</v>
      </c>
      <c r="AL42" s="132"/>
      <c r="AM42" s="132"/>
      <c r="AN42" s="1350">
        <f t="shared" si="44"/>
        <v>0.77047619047619043</v>
      </c>
      <c r="AO42" s="560">
        <f t="shared" si="45"/>
        <v>0.28251121076233182</v>
      </c>
      <c r="AP42" s="125"/>
      <c r="AQ42" s="170"/>
      <c r="AR42" s="166">
        <v>22586</v>
      </c>
      <c r="AS42" s="15">
        <v>340</v>
      </c>
      <c r="AT42" s="15">
        <v>1952</v>
      </c>
      <c r="AU42" s="52">
        <v>239</v>
      </c>
      <c r="AV42" s="52">
        <v>108</v>
      </c>
      <c r="AW42" s="52">
        <v>75</v>
      </c>
      <c r="AX42" s="52">
        <v>54</v>
      </c>
      <c r="AY42" s="77">
        <v>66.34</v>
      </c>
      <c r="AZ42" s="554">
        <f t="shared" si="46"/>
        <v>3.3985655737704921E-2</v>
      </c>
      <c r="BA42" s="554">
        <f t="shared" si="47"/>
        <v>1.2285185185185186</v>
      </c>
      <c r="BB42" s="555">
        <f t="shared" si="58"/>
        <v>1.5053573009829098E-2</v>
      </c>
      <c r="BC42" s="1178">
        <v>108</v>
      </c>
      <c r="BD42" s="132"/>
      <c r="BE42" s="132"/>
      <c r="BF42" s="976">
        <f t="shared" si="48"/>
        <v>0.61425925925925928</v>
      </c>
      <c r="BG42" s="560">
        <f t="shared" si="49"/>
        <v>0.31764705882352939</v>
      </c>
      <c r="BH42" s="125"/>
      <c r="BI42" s="170"/>
      <c r="BJ42" s="166">
        <v>41983</v>
      </c>
      <c r="BK42" s="15">
        <v>665</v>
      </c>
      <c r="BL42" s="15">
        <v>4138</v>
      </c>
      <c r="BM42" s="52">
        <v>629</v>
      </c>
      <c r="BN42" s="52">
        <v>296</v>
      </c>
      <c r="BO42" s="52">
        <v>184</v>
      </c>
      <c r="BP42" s="52">
        <v>124</v>
      </c>
      <c r="BQ42" s="77">
        <v>139.9</v>
      </c>
      <c r="BR42" s="554">
        <f t="shared" si="50"/>
        <v>3.3808603189946836E-2</v>
      </c>
      <c r="BS42" s="554">
        <f t="shared" si="51"/>
        <v>1.1282258064516129</v>
      </c>
      <c r="BT42" s="555">
        <f t="shared" si="59"/>
        <v>1.5839744658552271E-2</v>
      </c>
      <c r="BU42" s="1195">
        <v>126</v>
      </c>
      <c r="BV42" s="132"/>
      <c r="BW42" s="132"/>
      <c r="BX42" s="976">
        <f t="shared" si="52"/>
        <v>1.1103174603174604</v>
      </c>
      <c r="BY42" s="1610">
        <f t="shared" si="53"/>
        <v>0.18947368421052632</v>
      </c>
      <c r="BZ42" s="125"/>
      <c r="CA42" s="170"/>
    </row>
    <row r="43" spans="2:79">
      <c r="B43" s="190" t="s">
        <v>160</v>
      </c>
      <c r="C43" s="298">
        <f>SUM(C36:C42)</f>
        <v>583432</v>
      </c>
      <c r="D43" s="298">
        <f t="shared" ref="D43:J43" si="60">SUM(D36:D42)</f>
        <v>8442</v>
      </c>
      <c r="E43" s="298">
        <f t="shared" si="60"/>
        <v>67740</v>
      </c>
      <c r="F43" s="298">
        <f t="shared" si="60"/>
        <v>7563</v>
      </c>
      <c r="G43" s="298">
        <f t="shared" si="60"/>
        <v>3330</v>
      </c>
      <c r="H43" s="298">
        <f t="shared" si="60"/>
        <v>2118</v>
      </c>
      <c r="I43" s="298">
        <f t="shared" si="60"/>
        <v>1341</v>
      </c>
      <c r="J43" s="479">
        <f t="shared" si="60"/>
        <v>1840.9900000000002</v>
      </c>
      <c r="K43" s="599">
        <f>SUM($J$35,J43)/C$8</f>
        <v>0.47835889798957559</v>
      </c>
      <c r="L43" s="299">
        <f>D43/C43</f>
        <v>1.4469552578535287E-2</v>
      </c>
      <c r="M43" s="300">
        <f>SUM(M36:M42)</f>
        <v>13825</v>
      </c>
      <c r="N43" s="301">
        <f>J43/E43</f>
        <v>2.7177295541777387E-2</v>
      </c>
      <c r="O43" s="301">
        <f>J43/I43</f>
        <v>1.3728486204325132</v>
      </c>
      <c r="P43" s="302">
        <f>E43/M43</f>
        <v>4.8998191681735985</v>
      </c>
      <c r="Q43" s="121">
        <f>SUM(Q36:Q42)</f>
        <v>1614</v>
      </c>
      <c r="R43" s="27"/>
      <c r="S43" s="27"/>
      <c r="T43" s="27">
        <f>SUM(T36:T42)</f>
        <v>655.73122529644274</v>
      </c>
      <c r="U43" s="140">
        <f>Q43/T43</f>
        <v>2.4613743218806508</v>
      </c>
      <c r="V43" s="227">
        <f>J43/Q43</f>
        <v>1.1406381660470881</v>
      </c>
      <c r="W43" s="437">
        <f>Q43/D43</f>
        <v>0.19118692253020611</v>
      </c>
      <c r="X43" s="685">
        <f>AVERAGE(X36:X42)</f>
        <v>19.392313352776672</v>
      </c>
      <c r="Y43" s="566">
        <f>AVERAGE(Y36:Y42)</f>
        <v>0.94890865587738704</v>
      </c>
      <c r="Z43" s="164">
        <f>SUM(Z36:Z42)</f>
        <v>87246</v>
      </c>
      <c r="AA43" s="27">
        <f t="shared" ref="AA43:AK43" si="61">SUM(AA36:AA42)</f>
        <v>1167</v>
      </c>
      <c r="AB43" s="27">
        <f t="shared" si="61"/>
        <v>8216</v>
      </c>
      <c r="AC43" s="27">
        <f t="shared" si="61"/>
        <v>1175</v>
      </c>
      <c r="AD43" s="27">
        <f t="shared" si="61"/>
        <v>641</v>
      </c>
      <c r="AE43" s="27">
        <f t="shared" si="61"/>
        <v>497</v>
      </c>
      <c r="AF43" s="27">
        <f t="shared" si="61"/>
        <v>267</v>
      </c>
      <c r="AG43" s="598">
        <f t="shared" si="61"/>
        <v>257.13</v>
      </c>
      <c r="AH43" s="1179">
        <f>AG43/AB43</f>
        <v>3.1296251217137291E-2</v>
      </c>
      <c r="AI43" s="1179">
        <f>AG43/AF43</f>
        <v>0.96303370786516851</v>
      </c>
      <c r="AJ43" s="1180">
        <f>AA43/Z43</f>
        <v>1.3375971391238566E-2</v>
      </c>
      <c r="AK43" s="379">
        <f t="shared" si="61"/>
        <v>307</v>
      </c>
      <c r="AL43" s="376"/>
      <c r="AM43" s="1190"/>
      <c r="AN43" s="899">
        <f>AG43/AK43</f>
        <v>0.83755700325732896</v>
      </c>
      <c r="AO43" s="900">
        <f>AK43/AA43</f>
        <v>0.26306769494430166</v>
      </c>
      <c r="AP43" s="130"/>
      <c r="AQ43" s="165"/>
      <c r="AR43" s="164">
        <f>SUM(AR36:AR42)</f>
        <v>103035</v>
      </c>
      <c r="AS43" s="27">
        <f t="shared" ref="AS43:AY43" si="62">SUM(AS36:AS42)</f>
        <v>1502</v>
      </c>
      <c r="AT43" s="27">
        <f t="shared" si="62"/>
        <v>8893</v>
      </c>
      <c r="AU43" s="27">
        <f t="shared" si="62"/>
        <v>1080</v>
      </c>
      <c r="AV43" s="27">
        <f t="shared" si="62"/>
        <v>545</v>
      </c>
      <c r="AW43" s="27">
        <f t="shared" si="62"/>
        <v>383</v>
      </c>
      <c r="AX43" s="27">
        <f t="shared" si="62"/>
        <v>279</v>
      </c>
      <c r="AY43" s="74">
        <f t="shared" si="62"/>
        <v>314.86</v>
      </c>
      <c r="AZ43" s="1179">
        <f>AY43/AT43</f>
        <v>3.5405375014056002E-2</v>
      </c>
      <c r="BA43" s="1179">
        <f>AY43/AX43</f>
        <v>1.1285304659498208</v>
      </c>
      <c r="BB43" s="1180">
        <f t="shared" si="58"/>
        <v>1.4577570728393264E-2</v>
      </c>
      <c r="BC43" s="379">
        <f t="shared" ref="BC43" si="63">SUM(BC36:BC42)</f>
        <v>510</v>
      </c>
      <c r="BD43" s="376"/>
      <c r="BE43" s="1190"/>
      <c r="BF43" s="899">
        <f>AY43/BC43</f>
        <v>0.61737254901960792</v>
      </c>
      <c r="BG43" s="900">
        <f>BC43/AS43</f>
        <v>0.33954727030625831</v>
      </c>
      <c r="BH43" s="130"/>
      <c r="BI43" s="165"/>
      <c r="BJ43" s="164">
        <f>SUM(BJ36:BJ42)</f>
        <v>393151</v>
      </c>
      <c r="BK43" s="27">
        <f t="shared" ref="BK43:BQ43" si="64">SUM(BK36:BK42)</f>
        <v>5773</v>
      </c>
      <c r="BL43" s="27">
        <f t="shared" si="64"/>
        <v>50631</v>
      </c>
      <c r="BM43" s="27">
        <f t="shared" si="64"/>
        <v>5308</v>
      </c>
      <c r="BN43" s="27">
        <f t="shared" si="64"/>
        <v>2144</v>
      </c>
      <c r="BO43" s="27">
        <f t="shared" si="64"/>
        <v>1238</v>
      </c>
      <c r="BP43" s="27">
        <f t="shared" si="64"/>
        <v>795</v>
      </c>
      <c r="BQ43" s="74">
        <f t="shared" si="64"/>
        <v>1269.0000000000002</v>
      </c>
      <c r="BR43" s="1179">
        <f>BQ43/BL43</f>
        <v>2.5063696154529837E-2</v>
      </c>
      <c r="BS43" s="1179">
        <f>BQ43/BP43</f>
        <v>1.5962264150943399</v>
      </c>
      <c r="BT43" s="1180">
        <f t="shared" si="59"/>
        <v>1.4683925514624153E-2</v>
      </c>
      <c r="BU43" s="379">
        <f t="shared" ref="BU43" si="65">SUM(BU36:BU42)</f>
        <v>797</v>
      </c>
      <c r="BV43" s="376"/>
      <c r="BW43" s="1190"/>
      <c r="BX43" s="899">
        <f>BQ43/BU43</f>
        <v>1.5922208281053956</v>
      </c>
      <c r="BY43" s="900">
        <f>BU43/BK43</f>
        <v>0.13805646977308159</v>
      </c>
      <c r="BZ43" s="126"/>
      <c r="CA43" s="171"/>
    </row>
    <row r="44" spans="2:79">
      <c r="B44" s="187">
        <v>44866</v>
      </c>
      <c r="C44" s="15">
        <v>86734</v>
      </c>
      <c r="D44" s="15">
        <v>1112</v>
      </c>
      <c r="E44" s="15">
        <v>7055</v>
      </c>
      <c r="F44" s="52">
        <v>930</v>
      </c>
      <c r="G44" s="52">
        <v>480</v>
      </c>
      <c r="H44" s="52">
        <v>328</v>
      </c>
      <c r="I44" s="52">
        <v>216</v>
      </c>
      <c r="J44" s="77">
        <v>233.75</v>
      </c>
      <c r="K44" s="73">
        <f>SUM($J$35,$J$43:J44)/$C$8</f>
        <v>0.51316902457185409</v>
      </c>
      <c r="L44" s="305">
        <f>D44/C44</f>
        <v>1.2820808448820532E-2</v>
      </c>
      <c r="M44" s="306">
        <f t="shared" si="7"/>
        <v>1975</v>
      </c>
      <c r="N44" s="307">
        <f>J44/E44</f>
        <v>3.313253012048193E-2</v>
      </c>
      <c r="O44" s="307">
        <f>J44/I44</f>
        <v>1.0821759259259258</v>
      </c>
      <c r="P44" s="380">
        <f>E44/M44</f>
        <v>3.5721518987341772</v>
      </c>
      <c r="Q44" s="143">
        <v>241</v>
      </c>
      <c r="R44" s="52"/>
      <c r="S44" s="52"/>
      <c r="T44" s="293">
        <f t="shared" si="9"/>
        <v>93.675889328063249</v>
      </c>
      <c r="U44" s="455">
        <f>Q44/T44</f>
        <v>2.5727004219409282</v>
      </c>
      <c r="V44" s="225">
        <f>J44/Q44</f>
        <v>0.96991701244813278</v>
      </c>
      <c r="W44" s="308">
        <f>Q44/D44</f>
        <v>0.21672661870503598</v>
      </c>
      <c r="X44" s="684">
        <v>6.4865960523722679</v>
      </c>
      <c r="Y44" s="392">
        <v>0.9548904007305693</v>
      </c>
      <c r="Z44" s="166">
        <v>18486</v>
      </c>
      <c r="AA44" s="15">
        <v>222</v>
      </c>
      <c r="AB44" s="15">
        <v>1483</v>
      </c>
      <c r="AC44" s="52">
        <v>245</v>
      </c>
      <c r="AD44" s="52">
        <v>144</v>
      </c>
      <c r="AE44" s="52">
        <v>106</v>
      </c>
      <c r="AF44" s="52">
        <v>61</v>
      </c>
      <c r="AG44" s="642">
        <v>47.46</v>
      </c>
      <c r="AH44" s="554">
        <f>AG44/AB44</f>
        <v>3.2002697235333784E-2</v>
      </c>
      <c r="AI44" s="554">
        <f>AG44/AF44</f>
        <v>0.77803278688524591</v>
      </c>
      <c r="AJ44" s="555">
        <f>AA44/Z44</f>
        <v>1.2009087958455048E-2</v>
      </c>
      <c r="AK44" s="565">
        <v>58</v>
      </c>
      <c r="AL44" s="553"/>
      <c r="AM44" s="553"/>
      <c r="AN44" s="1351">
        <f>AG44/AK44</f>
        <v>0.81827586206896552</v>
      </c>
      <c r="AO44" s="316">
        <f>AK44/AA44</f>
        <v>0.26126126126126126</v>
      </c>
      <c r="AP44" s="125"/>
      <c r="AQ44" s="170"/>
      <c r="AR44" s="166">
        <v>36912</v>
      </c>
      <c r="AS44" s="15">
        <v>359</v>
      </c>
      <c r="AT44" s="15">
        <v>2253</v>
      </c>
      <c r="AU44" s="52">
        <v>206</v>
      </c>
      <c r="AV44" s="52">
        <v>100</v>
      </c>
      <c r="AW44" s="52">
        <v>76</v>
      </c>
      <c r="AX44" s="52">
        <v>52</v>
      </c>
      <c r="AY44" s="77">
        <v>81.349999999999994</v>
      </c>
      <c r="AZ44" s="554">
        <f>AY44/AT44</f>
        <v>3.6107412339103417E-2</v>
      </c>
      <c r="BA44" s="554">
        <f>AY44/AX44</f>
        <v>1.5644230769230769</v>
      </c>
      <c r="BB44" s="555">
        <f t="shared" si="58"/>
        <v>9.7258344169917649E-3</v>
      </c>
      <c r="BC44" s="902">
        <v>82</v>
      </c>
      <c r="BD44" s="553"/>
      <c r="BE44" s="553"/>
      <c r="BF44" s="228">
        <f>AY44/BC44</f>
        <v>0.9920731707317072</v>
      </c>
      <c r="BG44" s="316">
        <f>BC44/AS44</f>
        <v>0.22841225626740946</v>
      </c>
      <c r="BH44" s="125"/>
      <c r="BI44" s="170"/>
      <c r="BJ44" s="166">
        <v>31336</v>
      </c>
      <c r="BK44" s="15">
        <v>531</v>
      </c>
      <c r="BL44" s="15">
        <v>3319</v>
      </c>
      <c r="BM44" s="52">
        <v>479</v>
      </c>
      <c r="BN44" s="52">
        <v>236</v>
      </c>
      <c r="BO44" s="52">
        <v>146</v>
      </c>
      <c r="BP44" s="52">
        <v>103</v>
      </c>
      <c r="BQ44" s="77">
        <v>104.94</v>
      </c>
      <c r="BR44" s="554">
        <f>BQ44/BL44</f>
        <v>3.1617957216028926E-2</v>
      </c>
      <c r="BS44" s="554">
        <f>BQ44/BP44</f>
        <v>1.0188349514563106</v>
      </c>
      <c r="BT44" s="555">
        <f t="shared" si="59"/>
        <v>1.6945366351799846E-2</v>
      </c>
      <c r="BU44" s="902">
        <v>101</v>
      </c>
      <c r="BV44" s="553"/>
      <c r="BW44" s="553"/>
      <c r="BX44" s="228">
        <f>BQ44/BU44</f>
        <v>1.039009900990099</v>
      </c>
      <c r="BY44" s="1315">
        <f>BU44/BK44</f>
        <v>0.19020715630885121</v>
      </c>
      <c r="BZ44" s="125"/>
      <c r="CA44" s="170"/>
    </row>
    <row r="45" spans="2:79" s="24" customFormat="1">
      <c r="B45" s="187">
        <v>44867</v>
      </c>
      <c r="C45" s="15">
        <v>80617</v>
      </c>
      <c r="D45" s="15">
        <v>1183</v>
      </c>
      <c r="E45" s="15">
        <v>6789</v>
      </c>
      <c r="F45" s="52">
        <v>943</v>
      </c>
      <c r="G45" s="52">
        <v>499</v>
      </c>
      <c r="H45" s="52">
        <v>364</v>
      </c>
      <c r="I45" s="52">
        <v>226</v>
      </c>
      <c r="J45" s="77">
        <v>229.93</v>
      </c>
      <c r="K45" s="73">
        <f>SUM($J$35,$J$43:J45)/$C$8</f>
        <v>0.54741027550260613</v>
      </c>
      <c r="L45" s="305">
        <f t="shared" ref="L45:L50" si="66">D45/C45</f>
        <v>1.4674324274036494E-2</v>
      </c>
      <c r="M45" s="306">
        <f t="shared" si="7"/>
        <v>1975</v>
      </c>
      <c r="N45" s="307">
        <f t="shared" ref="N45:N50" si="67">J45/E45</f>
        <v>3.3868021799970539E-2</v>
      </c>
      <c r="O45" s="307">
        <f t="shared" ref="O45:O50" si="68">J45/I45</f>
        <v>1.0173893805309735</v>
      </c>
      <c r="P45" s="380">
        <f t="shared" ref="P45:P50" si="69">E45/M45</f>
        <v>3.4374683544303797</v>
      </c>
      <c r="Q45" s="143">
        <v>211</v>
      </c>
      <c r="R45" s="52"/>
      <c r="S45" s="52"/>
      <c r="T45" s="293">
        <f t="shared" si="9"/>
        <v>93.675889328063249</v>
      </c>
      <c r="U45" s="455">
        <f t="shared" ref="U45:U50" si="70">Q45/T45</f>
        <v>2.2524472573839662</v>
      </c>
      <c r="V45" s="225">
        <f t="shared" ref="V45:V50" si="71">J45/Q45</f>
        <v>1.0897156398104266</v>
      </c>
      <c r="W45" s="308">
        <f t="shared" ref="W45:W50" si="72">Q45/D45</f>
        <v>0.17836010143702452</v>
      </c>
      <c r="X45" s="684">
        <v>2.5274346936318768</v>
      </c>
      <c r="Y45" s="392">
        <v>0.95831467437101248</v>
      </c>
      <c r="Z45" s="166">
        <v>29429</v>
      </c>
      <c r="AA45" s="15">
        <v>368</v>
      </c>
      <c r="AB45" s="15">
        <v>2099</v>
      </c>
      <c r="AC45" s="52">
        <v>332</v>
      </c>
      <c r="AD45" s="52">
        <v>188</v>
      </c>
      <c r="AE45" s="52">
        <v>149</v>
      </c>
      <c r="AF45" s="52">
        <v>83</v>
      </c>
      <c r="AG45" s="642">
        <v>72.56</v>
      </c>
      <c r="AH45" s="554">
        <f t="shared" ref="AH45:AH50" si="73">AG45/AB45</f>
        <v>3.4568842305859937E-2</v>
      </c>
      <c r="AI45" s="554">
        <f t="shared" ref="AI45:AI50" si="74">AG45/AF45</f>
        <v>0.87421686746987959</v>
      </c>
      <c r="AJ45" s="555">
        <f t="shared" ref="AJ45:AJ50" si="75">AA45/Z45</f>
        <v>1.2504672262054437E-2</v>
      </c>
      <c r="AK45" s="553">
        <v>65</v>
      </c>
      <c r="AL45" s="553"/>
      <c r="AM45" s="553"/>
      <c r="AN45" s="312">
        <f t="shared" ref="AN45:AN60" si="76">AG45/AK45</f>
        <v>1.1163076923076924</v>
      </c>
      <c r="AO45" s="316">
        <f t="shared" ref="AO45:AO60" si="77">AK45/AA45</f>
        <v>0.1766304347826087</v>
      </c>
      <c r="AP45" s="123"/>
      <c r="AQ45" s="168"/>
      <c r="AR45" s="166">
        <v>20819</v>
      </c>
      <c r="AS45" s="15">
        <v>285</v>
      </c>
      <c r="AT45" s="15">
        <v>1549</v>
      </c>
      <c r="AU45" s="52">
        <v>168</v>
      </c>
      <c r="AV45" s="52">
        <v>101</v>
      </c>
      <c r="AW45" s="52">
        <v>82</v>
      </c>
      <c r="AX45" s="52">
        <v>55</v>
      </c>
      <c r="AY45" s="77">
        <v>53.68</v>
      </c>
      <c r="AZ45" s="554">
        <f t="shared" ref="AZ45:AZ60" si="78">AY45/AT45</f>
        <v>3.4654615881213685E-2</v>
      </c>
      <c r="BA45" s="554">
        <f t="shared" ref="BA45:BA60" si="79">AY45/AX45</f>
        <v>0.97599999999999998</v>
      </c>
      <c r="BB45" s="555">
        <f t="shared" si="58"/>
        <v>1.3689418319804025E-2</v>
      </c>
      <c r="BC45" s="902">
        <v>71</v>
      </c>
      <c r="BD45" s="553"/>
      <c r="BE45" s="553"/>
      <c r="BF45" s="228">
        <f t="shared" ref="BF45:BF60" si="80">AY45/BC45</f>
        <v>0.75605633802816896</v>
      </c>
      <c r="BG45" s="316">
        <f t="shared" ref="BG45:BG60" si="81">BC45/AS45</f>
        <v>0.24912280701754386</v>
      </c>
      <c r="BH45" s="123"/>
      <c r="BI45" s="168"/>
      <c r="BJ45" s="166">
        <v>30369</v>
      </c>
      <c r="BK45" s="15">
        <v>530</v>
      </c>
      <c r="BL45" s="15">
        <v>3141</v>
      </c>
      <c r="BM45" s="52">
        <v>443</v>
      </c>
      <c r="BN45" s="52">
        <v>210</v>
      </c>
      <c r="BO45" s="52">
        <v>133</v>
      </c>
      <c r="BP45" s="52">
        <v>88</v>
      </c>
      <c r="BQ45" s="77">
        <v>103.69</v>
      </c>
      <c r="BR45" s="554">
        <f t="shared" ref="BR45:BR60" si="82">BQ45/BL45</f>
        <v>3.3011779687997456E-2</v>
      </c>
      <c r="BS45" s="554">
        <f t="shared" ref="BS45:BS60" si="83">BQ45/BP45</f>
        <v>1.1782954545454545</v>
      </c>
      <c r="BT45" s="555">
        <f t="shared" si="59"/>
        <v>1.7452006980802792E-2</v>
      </c>
      <c r="BU45" s="902">
        <v>75</v>
      </c>
      <c r="BV45" s="553"/>
      <c r="BW45" s="553"/>
      <c r="BX45" s="228">
        <f t="shared" ref="BX45:BX60" si="84">BQ45/BU45</f>
        <v>1.3825333333333334</v>
      </c>
      <c r="BY45" s="1315">
        <f t="shared" ref="BY45:BY60" si="85">BU45/BK45</f>
        <v>0.14150943396226415</v>
      </c>
      <c r="BZ45" s="123"/>
      <c r="CA45" s="168"/>
    </row>
    <row r="46" spans="2:79" s="26" customFormat="1">
      <c r="B46" s="187">
        <v>44868</v>
      </c>
      <c r="C46" s="15">
        <v>77677</v>
      </c>
      <c r="D46" s="15">
        <v>1133</v>
      </c>
      <c r="E46" s="15">
        <v>6762</v>
      </c>
      <c r="F46" s="52">
        <v>875</v>
      </c>
      <c r="G46" s="52">
        <v>438</v>
      </c>
      <c r="H46" s="52">
        <v>303</v>
      </c>
      <c r="I46" s="52">
        <v>188</v>
      </c>
      <c r="J46" s="77">
        <v>231.54000000000002</v>
      </c>
      <c r="K46" s="73">
        <f>SUM($J$35,$J$43:J46)/$C$8</f>
        <v>0.58189128816083402</v>
      </c>
      <c r="L46" s="305">
        <f t="shared" si="66"/>
        <v>1.458604220039394E-2</v>
      </c>
      <c r="M46" s="306">
        <f t="shared" si="7"/>
        <v>1975</v>
      </c>
      <c r="N46" s="307">
        <f t="shared" si="67"/>
        <v>3.4241348713398408E-2</v>
      </c>
      <c r="O46" s="307">
        <f t="shared" si="68"/>
        <v>1.2315957446808512</v>
      </c>
      <c r="P46" s="380">
        <f t="shared" si="69"/>
        <v>3.4237974683544303</v>
      </c>
      <c r="Q46" s="143">
        <v>201</v>
      </c>
      <c r="R46" s="52"/>
      <c r="S46" s="52"/>
      <c r="T46" s="293">
        <f t="shared" si="9"/>
        <v>93.675889328063249</v>
      </c>
      <c r="U46" s="455">
        <f t="shared" si="70"/>
        <v>2.1456962025316453</v>
      </c>
      <c r="V46" s="225">
        <f t="shared" si="71"/>
        <v>1.1519402985074627</v>
      </c>
      <c r="W46" s="308">
        <f t="shared" si="72"/>
        <v>0.17740511915269197</v>
      </c>
      <c r="X46" s="684">
        <v>8.4707204084317258</v>
      </c>
      <c r="Y46" s="392">
        <v>0.94477330877812982</v>
      </c>
      <c r="Z46" s="166">
        <v>21774</v>
      </c>
      <c r="AA46" s="15">
        <v>288</v>
      </c>
      <c r="AB46" s="15">
        <v>1623</v>
      </c>
      <c r="AC46" s="52">
        <v>228</v>
      </c>
      <c r="AD46" s="52">
        <v>123</v>
      </c>
      <c r="AE46" s="52">
        <v>94</v>
      </c>
      <c r="AF46" s="52">
        <v>42</v>
      </c>
      <c r="AG46" s="642">
        <v>59.09</v>
      </c>
      <c r="AH46" s="554">
        <f t="shared" si="73"/>
        <v>3.6407886629698093E-2</v>
      </c>
      <c r="AI46" s="554">
        <f t="shared" si="74"/>
        <v>1.4069047619047619</v>
      </c>
      <c r="AJ46" s="555">
        <f t="shared" si="75"/>
        <v>1.3226784238082117E-2</v>
      </c>
      <c r="AK46" s="553">
        <v>53</v>
      </c>
      <c r="AL46" s="553"/>
      <c r="AM46" s="553"/>
      <c r="AN46" s="312">
        <f t="shared" si="76"/>
        <v>1.1149056603773586</v>
      </c>
      <c r="AO46" s="316">
        <f t="shared" si="77"/>
        <v>0.18402777777777779</v>
      </c>
      <c r="AP46" s="124"/>
      <c r="AQ46" s="169"/>
      <c r="AR46" s="166">
        <v>23734</v>
      </c>
      <c r="AS46" s="15">
        <v>319</v>
      </c>
      <c r="AT46" s="15">
        <v>1843</v>
      </c>
      <c r="AU46" s="52">
        <v>223</v>
      </c>
      <c r="AV46" s="52">
        <v>102</v>
      </c>
      <c r="AW46" s="52">
        <v>67</v>
      </c>
      <c r="AX46" s="52">
        <v>49</v>
      </c>
      <c r="AY46" s="77">
        <v>64.180000000000007</v>
      </c>
      <c r="AZ46" s="554">
        <f t="shared" si="78"/>
        <v>3.4823657080846449E-2</v>
      </c>
      <c r="BA46" s="554">
        <f t="shared" si="79"/>
        <v>1.3097959183673471</v>
      </c>
      <c r="BB46" s="555">
        <f t="shared" si="58"/>
        <v>1.3440633690064886E-2</v>
      </c>
      <c r="BC46" s="902">
        <v>61</v>
      </c>
      <c r="BD46" s="553"/>
      <c r="BE46" s="553"/>
      <c r="BF46" s="228">
        <f t="shared" si="80"/>
        <v>1.0521311475409838</v>
      </c>
      <c r="BG46" s="316">
        <f t="shared" si="81"/>
        <v>0.19122257053291536</v>
      </c>
      <c r="BH46" s="124"/>
      <c r="BI46" s="169"/>
      <c r="BJ46" s="166">
        <v>32169</v>
      </c>
      <c r="BK46" s="15">
        <v>526</v>
      </c>
      <c r="BL46" s="15">
        <v>3296</v>
      </c>
      <c r="BM46" s="52">
        <v>424</v>
      </c>
      <c r="BN46" s="52">
        <v>213</v>
      </c>
      <c r="BO46" s="52">
        <v>142</v>
      </c>
      <c r="BP46" s="52">
        <v>97</v>
      </c>
      <c r="BQ46" s="77">
        <v>108.27</v>
      </c>
      <c r="BR46" s="554">
        <f t="shared" si="82"/>
        <v>3.2848907766990287E-2</v>
      </c>
      <c r="BS46" s="554">
        <f t="shared" si="83"/>
        <v>1.1161855670103091</v>
      </c>
      <c r="BT46" s="555">
        <f t="shared" si="59"/>
        <v>1.6351145512760731E-2</v>
      </c>
      <c r="BU46" s="902">
        <v>87</v>
      </c>
      <c r="BV46" s="553"/>
      <c r="BW46" s="553"/>
      <c r="BX46" s="228">
        <f t="shared" si="84"/>
        <v>1.2444827586206897</v>
      </c>
      <c r="BY46" s="1315">
        <f t="shared" si="85"/>
        <v>0.16539923954372623</v>
      </c>
      <c r="BZ46" s="124"/>
      <c r="CA46" s="169"/>
    </row>
    <row r="47" spans="2:79">
      <c r="B47" s="189">
        <v>44869</v>
      </c>
      <c r="C47" s="15">
        <v>84322</v>
      </c>
      <c r="D47" s="15">
        <v>1499</v>
      </c>
      <c r="E47" s="15">
        <v>8636</v>
      </c>
      <c r="F47" s="52">
        <v>1126</v>
      </c>
      <c r="G47" s="52">
        <v>552</v>
      </c>
      <c r="H47" s="52">
        <v>377</v>
      </c>
      <c r="I47" s="52">
        <v>235</v>
      </c>
      <c r="J47" s="77">
        <v>296.66999999999996</v>
      </c>
      <c r="K47" s="73">
        <f>SUM($J$35,$J$43:J47)/$C$8</f>
        <v>0.6260714817572598</v>
      </c>
      <c r="L47" s="305">
        <f t="shared" si="66"/>
        <v>1.7777092573705557E-2</v>
      </c>
      <c r="M47" s="306">
        <f t="shared" si="7"/>
        <v>1975</v>
      </c>
      <c r="N47" s="307">
        <f t="shared" si="67"/>
        <v>3.4352709587772111E-2</v>
      </c>
      <c r="O47" s="307">
        <f t="shared" si="68"/>
        <v>1.2624255319148934</v>
      </c>
      <c r="P47" s="380">
        <f t="shared" si="69"/>
        <v>4.3726582278481017</v>
      </c>
      <c r="Q47" s="143">
        <v>270</v>
      </c>
      <c r="R47" s="52"/>
      <c r="S47" s="52"/>
      <c r="T47" s="293">
        <f t="shared" si="9"/>
        <v>93.675889328063249</v>
      </c>
      <c r="U47" s="455">
        <f t="shared" si="70"/>
        <v>2.882278481012658</v>
      </c>
      <c r="V47" s="225">
        <f t="shared" si="71"/>
        <v>1.0987777777777776</v>
      </c>
      <c r="W47" s="308">
        <f t="shared" si="72"/>
        <v>0.18012008005336891</v>
      </c>
      <c r="X47" s="684">
        <v>15.558683547034477</v>
      </c>
      <c r="Y47" s="392">
        <v>0.93130553196079224</v>
      </c>
      <c r="Z47" s="166">
        <v>22196</v>
      </c>
      <c r="AA47" s="15">
        <v>307</v>
      </c>
      <c r="AB47" s="15">
        <v>1883</v>
      </c>
      <c r="AC47" s="52">
        <v>277</v>
      </c>
      <c r="AD47" s="52">
        <v>154</v>
      </c>
      <c r="AE47" s="52">
        <v>105</v>
      </c>
      <c r="AF47" s="52">
        <v>50</v>
      </c>
      <c r="AG47" s="642">
        <v>66.8</v>
      </c>
      <c r="AH47" s="554">
        <f t="shared" si="73"/>
        <v>3.5475305363781198E-2</v>
      </c>
      <c r="AI47" s="554">
        <f t="shared" si="74"/>
        <v>1.3359999999999999</v>
      </c>
      <c r="AJ47" s="555">
        <f t="shared" si="75"/>
        <v>1.3831320958731304E-2</v>
      </c>
      <c r="AK47" s="553">
        <v>54</v>
      </c>
      <c r="AL47" s="553"/>
      <c r="AM47" s="553"/>
      <c r="AN47" s="581">
        <f t="shared" si="76"/>
        <v>1.2370370370370369</v>
      </c>
      <c r="AO47" s="595">
        <f t="shared" si="77"/>
        <v>0.1758957654723127</v>
      </c>
      <c r="AP47" s="125"/>
      <c r="AQ47" s="170"/>
      <c r="AR47" s="166">
        <v>22683</v>
      </c>
      <c r="AS47" s="15">
        <v>576</v>
      </c>
      <c r="AT47" s="15">
        <v>2543</v>
      </c>
      <c r="AU47" s="52">
        <v>353</v>
      </c>
      <c r="AV47" s="52">
        <v>177</v>
      </c>
      <c r="AW47" s="52">
        <v>136</v>
      </c>
      <c r="AX47" s="52">
        <v>95</v>
      </c>
      <c r="AY47" s="77">
        <v>92.58</v>
      </c>
      <c r="AZ47" s="1176">
        <f t="shared" si="78"/>
        <v>3.6405819897758554E-2</v>
      </c>
      <c r="BA47" s="1176">
        <f t="shared" si="79"/>
        <v>0.97452631578947368</v>
      </c>
      <c r="BB47" s="1177">
        <f t="shared" si="58"/>
        <v>2.5393466472688798E-2</v>
      </c>
      <c r="BC47" s="902">
        <v>134</v>
      </c>
      <c r="BD47" s="553"/>
      <c r="BE47" s="553"/>
      <c r="BF47" s="594">
        <f t="shared" si="80"/>
        <v>0.69089552238805974</v>
      </c>
      <c r="BG47" s="595">
        <f t="shared" si="81"/>
        <v>0.2326388888888889</v>
      </c>
      <c r="BH47" s="125"/>
      <c r="BI47" s="170"/>
      <c r="BJ47" s="166">
        <v>39443</v>
      </c>
      <c r="BK47" s="15">
        <v>616</v>
      </c>
      <c r="BL47" s="15">
        <v>4210</v>
      </c>
      <c r="BM47" s="52">
        <v>496</v>
      </c>
      <c r="BN47" s="52">
        <v>221</v>
      </c>
      <c r="BO47" s="52">
        <v>136</v>
      </c>
      <c r="BP47" s="52">
        <v>90</v>
      </c>
      <c r="BQ47" s="77">
        <v>137.29</v>
      </c>
      <c r="BR47" s="1176">
        <f t="shared" si="82"/>
        <v>3.2610451306413303E-2</v>
      </c>
      <c r="BS47" s="1176">
        <f t="shared" si="83"/>
        <v>1.5254444444444444</v>
      </c>
      <c r="BT47" s="1177">
        <f t="shared" si="59"/>
        <v>1.5617473315924245E-2</v>
      </c>
      <c r="BU47" s="902">
        <v>82</v>
      </c>
      <c r="BV47" s="553"/>
      <c r="BW47" s="553"/>
      <c r="BX47" s="594">
        <f t="shared" si="84"/>
        <v>1.6742682926829267</v>
      </c>
      <c r="BY47" s="1611">
        <f t="shared" si="85"/>
        <v>0.13311688311688311</v>
      </c>
      <c r="BZ47" s="125"/>
      <c r="CA47" s="170"/>
    </row>
    <row r="48" spans="2:79">
      <c r="B48" s="189">
        <v>44870</v>
      </c>
      <c r="C48" s="15">
        <v>86500</v>
      </c>
      <c r="D48" s="15">
        <v>1528</v>
      </c>
      <c r="E48" s="15">
        <v>8686</v>
      </c>
      <c r="F48" s="52">
        <v>1157</v>
      </c>
      <c r="G48" s="52">
        <v>599</v>
      </c>
      <c r="H48" s="52">
        <v>387</v>
      </c>
      <c r="I48" s="52">
        <v>247</v>
      </c>
      <c r="J48" s="77">
        <v>299.92999999999995</v>
      </c>
      <c r="K48" s="73">
        <f>SUM($J$35,$J$43:J48)/$C$8</f>
        <v>0.67073715562174241</v>
      </c>
      <c r="L48" s="305">
        <f t="shared" si="66"/>
        <v>1.7664739884393064E-2</v>
      </c>
      <c r="M48" s="306">
        <f t="shared" si="7"/>
        <v>1975</v>
      </c>
      <c r="N48" s="307">
        <f t="shared" si="67"/>
        <v>3.4530278609256268E-2</v>
      </c>
      <c r="O48" s="307">
        <f t="shared" si="68"/>
        <v>1.2142914979757082</v>
      </c>
      <c r="P48" s="380">
        <f t="shared" si="69"/>
        <v>4.3979746835443034</v>
      </c>
      <c r="Q48" s="143">
        <v>265</v>
      </c>
      <c r="R48" s="52"/>
      <c r="S48" s="52"/>
      <c r="T48" s="293">
        <f t="shared" si="9"/>
        <v>93.675889328063249</v>
      </c>
      <c r="U48" s="455">
        <f t="shared" si="70"/>
        <v>2.8289029535864976</v>
      </c>
      <c r="V48" s="225">
        <f t="shared" si="71"/>
        <v>1.1318113207547167</v>
      </c>
      <c r="W48" s="308">
        <f t="shared" si="72"/>
        <v>0.17342931937172776</v>
      </c>
      <c r="X48" s="684">
        <v>30.498367044547905</v>
      </c>
      <c r="Y48" s="392">
        <v>0.89887293195507512</v>
      </c>
      <c r="Z48" s="166">
        <v>20940</v>
      </c>
      <c r="AA48" s="15">
        <v>313</v>
      </c>
      <c r="AB48" s="15">
        <v>1713</v>
      </c>
      <c r="AC48" s="52">
        <v>250</v>
      </c>
      <c r="AD48" s="52">
        <v>144</v>
      </c>
      <c r="AE48" s="52">
        <v>108</v>
      </c>
      <c r="AF48" s="52">
        <v>54</v>
      </c>
      <c r="AG48" s="642">
        <v>60.37</v>
      </c>
      <c r="AH48" s="554">
        <f t="shared" si="73"/>
        <v>3.5242265032107416E-2</v>
      </c>
      <c r="AI48" s="554">
        <f t="shared" si="74"/>
        <v>1.1179629629629628</v>
      </c>
      <c r="AJ48" s="555">
        <f t="shared" si="75"/>
        <v>1.4947468958930277E-2</v>
      </c>
      <c r="AK48" s="553">
        <v>57</v>
      </c>
      <c r="AL48" s="553"/>
      <c r="AM48" s="553"/>
      <c r="AN48" s="581">
        <f t="shared" si="76"/>
        <v>1.0591228070175438</v>
      </c>
      <c r="AO48" s="595">
        <f t="shared" si="77"/>
        <v>0.18210862619808307</v>
      </c>
      <c r="AP48" s="125"/>
      <c r="AQ48" s="170"/>
      <c r="AR48" s="166">
        <v>17421</v>
      </c>
      <c r="AS48" s="15">
        <v>488</v>
      </c>
      <c r="AT48" s="15">
        <v>2378</v>
      </c>
      <c r="AU48" s="52">
        <v>352</v>
      </c>
      <c r="AV48" s="52">
        <v>199</v>
      </c>
      <c r="AW48" s="52">
        <v>131</v>
      </c>
      <c r="AX48" s="52">
        <v>87</v>
      </c>
      <c r="AY48" s="77">
        <v>82.52</v>
      </c>
      <c r="AZ48" s="1176">
        <f t="shared" si="78"/>
        <v>3.4701429772918416E-2</v>
      </c>
      <c r="BA48" s="1176">
        <f t="shared" si="79"/>
        <v>0.94850574712643676</v>
      </c>
      <c r="BB48" s="1177">
        <f t="shared" si="58"/>
        <v>2.8012169221055049E-2</v>
      </c>
      <c r="BC48" s="902">
        <v>116</v>
      </c>
      <c r="BD48" s="553"/>
      <c r="BE48" s="553"/>
      <c r="BF48" s="594">
        <f t="shared" si="80"/>
        <v>0.7113793103448276</v>
      </c>
      <c r="BG48" s="595">
        <f t="shared" si="81"/>
        <v>0.23770491803278687</v>
      </c>
      <c r="BH48" s="125"/>
      <c r="BI48" s="170"/>
      <c r="BJ48" s="166">
        <v>48139</v>
      </c>
      <c r="BK48" s="15">
        <v>727</v>
      </c>
      <c r="BL48" s="15">
        <v>4595</v>
      </c>
      <c r="BM48" s="52">
        <v>555</v>
      </c>
      <c r="BN48" s="52">
        <v>256</v>
      </c>
      <c r="BO48" s="52">
        <v>148</v>
      </c>
      <c r="BP48" s="52">
        <v>106</v>
      </c>
      <c r="BQ48" s="77">
        <v>157.04</v>
      </c>
      <c r="BR48" s="1176">
        <f t="shared" si="82"/>
        <v>3.4176278563656147E-2</v>
      </c>
      <c r="BS48" s="1176">
        <f t="shared" si="83"/>
        <v>1.4815094339622641</v>
      </c>
      <c r="BT48" s="1177">
        <f t="shared" si="59"/>
        <v>1.5102100168262739E-2</v>
      </c>
      <c r="BU48" s="902">
        <v>92</v>
      </c>
      <c r="BV48" s="553"/>
      <c r="BW48" s="553"/>
      <c r="BX48" s="594">
        <f t="shared" si="84"/>
        <v>1.7069565217391303</v>
      </c>
      <c r="BY48" s="1611">
        <f t="shared" si="85"/>
        <v>0.12654745529573591</v>
      </c>
      <c r="BZ48" s="125"/>
      <c r="CA48" s="170"/>
    </row>
    <row r="49" spans="2:79">
      <c r="B49" s="187">
        <v>44871</v>
      </c>
      <c r="C49" s="15">
        <v>67706</v>
      </c>
      <c r="D49" s="15">
        <v>1193</v>
      </c>
      <c r="E49" s="15">
        <v>6842</v>
      </c>
      <c r="F49" s="52">
        <v>883</v>
      </c>
      <c r="G49" s="52">
        <v>433</v>
      </c>
      <c r="H49" s="52">
        <v>306</v>
      </c>
      <c r="I49" s="52">
        <v>191</v>
      </c>
      <c r="J49" s="77">
        <v>233.03000000000003</v>
      </c>
      <c r="K49" s="73">
        <f>SUM($J$35,$J$43:J49)/$C$8</f>
        <v>0.70544005956813105</v>
      </c>
      <c r="L49" s="305">
        <f t="shared" si="66"/>
        <v>1.7620299530322275E-2</v>
      </c>
      <c r="M49" s="306">
        <f t="shared" si="7"/>
        <v>1975</v>
      </c>
      <c r="N49" s="307">
        <f t="shared" si="67"/>
        <v>3.4058754750073084E-2</v>
      </c>
      <c r="O49" s="307">
        <f t="shared" si="68"/>
        <v>1.2200523560209426</v>
      </c>
      <c r="P49" s="380">
        <f t="shared" si="69"/>
        <v>3.4643037974683546</v>
      </c>
      <c r="Q49" s="143">
        <v>235</v>
      </c>
      <c r="R49" s="52"/>
      <c r="S49" s="52"/>
      <c r="T49" s="293">
        <f t="shared" si="9"/>
        <v>93.675889328063249</v>
      </c>
      <c r="U49" s="455">
        <f t="shared" si="70"/>
        <v>2.5086497890295356</v>
      </c>
      <c r="V49" s="225">
        <f t="shared" si="71"/>
        <v>0.9916170212765959</v>
      </c>
      <c r="W49" s="316">
        <f t="shared" si="72"/>
        <v>0.19698239731768649</v>
      </c>
      <c r="X49" s="686">
        <v>27.37898550724638</v>
      </c>
      <c r="Y49" s="392">
        <v>0.94601449275362326</v>
      </c>
      <c r="Z49" s="166">
        <v>13959</v>
      </c>
      <c r="AA49" s="15">
        <v>201</v>
      </c>
      <c r="AB49" s="15">
        <v>1168</v>
      </c>
      <c r="AC49" s="52">
        <v>179</v>
      </c>
      <c r="AD49" s="52">
        <v>105</v>
      </c>
      <c r="AE49" s="52">
        <v>81</v>
      </c>
      <c r="AF49" s="52">
        <v>42</v>
      </c>
      <c r="AG49" s="642">
        <v>39.81</v>
      </c>
      <c r="AH49" s="554">
        <f t="shared" si="73"/>
        <v>3.4083904109589044E-2</v>
      </c>
      <c r="AI49" s="554">
        <f t="shared" si="74"/>
        <v>0.94785714285714295</v>
      </c>
      <c r="AJ49" s="555">
        <f t="shared" si="75"/>
        <v>1.4399312271652698E-2</v>
      </c>
      <c r="AK49" s="553">
        <v>46</v>
      </c>
      <c r="AL49" s="553"/>
      <c r="AM49" s="553"/>
      <c r="AN49" s="581">
        <f t="shared" si="76"/>
        <v>0.86543478260869566</v>
      </c>
      <c r="AO49" s="595">
        <f t="shared" si="77"/>
        <v>0.22885572139303484</v>
      </c>
      <c r="AP49" s="125"/>
      <c r="AQ49" s="170"/>
      <c r="AR49" s="166">
        <v>24427</v>
      </c>
      <c r="AS49" s="15">
        <v>520</v>
      </c>
      <c r="AT49" s="15">
        <v>2555</v>
      </c>
      <c r="AU49" s="52">
        <v>329</v>
      </c>
      <c r="AV49" s="52">
        <v>158</v>
      </c>
      <c r="AW49" s="52">
        <v>113</v>
      </c>
      <c r="AX49" s="52">
        <v>75</v>
      </c>
      <c r="AY49" s="77">
        <v>91.93</v>
      </c>
      <c r="AZ49" s="1176">
        <f t="shared" si="78"/>
        <v>3.598043052837574E-2</v>
      </c>
      <c r="BA49" s="1176">
        <f t="shared" si="79"/>
        <v>1.2257333333333333</v>
      </c>
      <c r="BB49" s="1177">
        <f t="shared" si="58"/>
        <v>2.1287919105907396E-2</v>
      </c>
      <c r="BC49" s="902">
        <v>120</v>
      </c>
      <c r="BD49" s="553"/>
      <c r="BE49" s="553"/>
      <c r="BF49" s="594">
        <f t="shared" si="80"/>
        <v>0.76608333333333334</v>
      </c>
      <c r="BG49" s="595">
        <f t="shared" si="81"/>
        <v>0.23076923076923078</v>
      </c>
      <c r="BH49" s="125"/>
      <c r="BI49" s="170"/>
      <c r="BJ49" s="166">
        <v>29320</v>
      </c>
      <c r="BK49" s="15">
        <v>472</v>
      </c>
      <c r="BL49" s="15">
        <v>3119</v>
      </c>
      <c r="BM49" s="52">
        <v>375</v>
      </c>
      <c r="BN49" s="52">
        <v>170</v>
      </c>
      <c r="BO49" s="52">
        <v>112</v>
      </c>
      <c r="BP49" s="52">
        <v>74</v>
      </c>
      <c r="BQ49" s="77">
        <v>101.29</v>
      </c>
      <c r="BR49" s="1176">
        <f t="shared" si="82"/>
        <v>3.2475152292401416E-2</v>
      </c>
      <c r="BS49" s="1176">
        <f t="shared" si="83"/>
        <v>1.368783783783784</v>
      </c>
      <c r="BT49" s="1177">
        <f t="shared" si="59"/>
        <v>1.6098226466575716E-2</v>
      </c>
      <c r="BU49" s="902">
        <v>69</v>
      </c>
      <c r="BV49" s="553"/>
      <c r="BW49" s="553"/>
      <c r="BX49" s="594">
        <f t="shared" si="84"/>
        <v>1.4679710144927538</v>
      </c>
      <c r="BY49" s="1611">
        <f t="shared" si="85"/>
        <v>0.1461864406779661</v>
      </c>
      <c r="BZ49" s="125"/>
      <c r="CA49" s="170"/>
    </row>
    <row r="50" spans="2:79">
      <c r="B50" s="187">
        <v>44872</v>
      </c>
      <c r="C50" s="15">
        <v>61879</v>
      </c>
      <c r="D50" s="15">
        <v>1242</v>
      </c>
      <c r="E50" s="15">
        <v>6769</v>
      </c>
      <c r="F50" s="52">
        <v>906</v>
      </c>
      <c r="G50" s="52">
        <v>462</v>
      </c>
      <c r="H50" s="52">
        <v>334</v>
      </c>
      <c r="I50" s="52">
        <v>236</v>
      </c>
      <c r="J50" s="77">
        <v>228.54000000000002</v>
      </c>
      <c r="K50" s="73">
        <f>SUM($J$35,$J$43:J50)/$C$8</f>
        <v>0.73947431124348473</v>
      </c>
      <c r="L50" s="305">
        <f t="shared" si="66"/>
        <v>2.0071429725755104E-2</v>
      </c>
      <c r="M50" s="306">
        <f t="shared" si="7"/>
        <v>1975</v>
      </c>
      <c r="N50" s="307">
        <f t="shared" si="67"/>
        <v>3.3762741911656083E-2</v>
      </c>
      <c r="O50" s="307">
        <f t="shared" si="68"/>
        <v>0.96838983050847471</v>
      </c>
      <c r="P50" s="380">
        <f t="shared" si="69"/>
        <v>3.4273417721518986</v>
      </c>
      <c r="Q50" s="143">
        <v>241</v>
      </c>
      <c r="R50" s="52"/>
      <c r="S50" s="52"/>
      <c r="T50" s="293">
        <f t="shared" si="9"/>
        <v>93.675889328063249</v>
      </c>
      <c r="U50" s="1348">
        <f t="shared" si="70"/>
        <v>2.5727004219409282</v>
      </c>
      <c r="V50" s="225">
        <f t="shared" si="71"/>
        <v>0.94829875518672213</v>
      </c>
      <c r="W50" s="561">
        <f t="shared" si="72"/>
        <v>0.19404186795491143</v>
      </c>
      <c r="X50" s="687">
        <v>19.453425101214574</v>
      </c>
      <c r="Y50" s="392">
        <v>0.89766441745389114</v>
      </c>
      <c r="Z50" s="166">
        <v>12279</v>
      </c>
      <c r="AA50" s="15">
        <v>190</v>
      </c>
      <c r="AB50" s="15">
        <v>1101</v>
      </c>
      <c r="AC50" s="52">
        <v>162</v>
      </c>
      <c r="AD50" s="52">
        <v>87</v>
      </c>
      <c r="AE50" s="52">
        <v>66</v>
      </c>
      <c r="AF50" s="52">
        <v>40</v>
      </c>
      <c r="AG50" s="642">
        <v>37.340000000000003</v>
      </c>
      <c r="AH50" s="554">
        <f t="shared" si="73"/>
        <v>3.3914623069936423E-2</v>
      </c>
      <c r="AI50" s="554">
        <f t="shared" si="74"/>
        <v>0.93350000000000011</v>
      </c>
      <c r="AJ50" s="555">
        <f t="shared" si="75"/>
        <v>1.5473572766511932E-2</v>
      </c>
      <c r="AK50" s="553">
        <v>38</v>
      </c>
      <c r="AL50" s="553"/>
      <c r="AM50" s="553"/>
      <c r="AN50" s="581">
        <f t="shared" si="76"/>
        <v>0.98263157894736852</v>
      </c>
      <c r="AO50" s="595">
        <f t="shared" si="77"/>
        <v>0.2</v>
      </c>
      <c r="AP50" s="125"/>
      <c r="AQ50" s="170"/>
      <c r="AR50" s="166">
        <v>20495</v>
      </c>
      <c r="AS50" s="15">
        <v>563</v>
      </c>
      <c r="AT50" s="15">
        <v>2703</v>
      </c>
      <c r="AU50" s="52">
        <v>363</v>
      </c>
      <c r="AV50" s="52">
        <v>193</v>
      </c>
      <c r="AW50" s="52">
        <v>138</v>
      </c>
      <c r="AX50" s="52">
        <v>103</v>
      </c>
      <c r="AY50" s="77">
        <v>91.26</v>
      </c>
      <c r="AZ50" s="1176">
        <f t="shared" si="78"/>
        <v>3.3762486126526083E-2</v>
      </c>
      <c r="BA50" s="1176">
        <f t="shared" si="79"/>
        <v>0.88601941747572821</v>
      </c>
      <c r="BB50" s="1177">
        <f t="shared" si="58"/>
        <v>2.7470114662112709E-2</v>
      </c>
      <c r="BC50" s="902">
        <v>125</v>
      </c>
      <c r="BD50" s="553"/>
      <c r="BE50" s="553"/>
      <c r="BF50" s="594">
        <f t="shared" si="80"/>
        <v>0.73008000000000006</v>
      </c>
      <c r="BG50" s="595">
        <f t="shared" si="81"/>
        <v>0.22202486678507993</v>
      </c>
      <c r="BH50" s="125"/>
      <c r="BI50" s="170"/>
      <c r="BJ50" s="166">
        <v>29105</v>
      </c>
      <c r="BK50" s="15">
        <v>489</v>
      </c>
      <c r="BL50" s="15">
        <v>2965</v>
      </c>
      <c r="BM50" s="52">
        <v>381</v>
      </c>
      <c r="BN50" s="52">
        <v>182</v>
      </c>
      <c r="BO50" s="52">
        <v>130</v>
      </c>
      <c r="BP50" s="52">
        <v>93</v>
      </c>
      <c r="BQ50" s="77">
        <v>99.94</v>
      </c>
      <c r="BR50" s="1176">
        <f t="shared" si="82"/>
        <v>3.3706576728499159E-2</v>
      </c>
      <c r="BS50" s="1176">
        <f t="shared" si="83"/>
        <v>1.0746236559139786</v>
      </c>
      <c r="BT50" s="1177">
        <f t="shared" si="59"/>
        <v>1.6801236900876138E-2</v>
      </c>
      <c r="BU50" s="902">
        <v>78</v>
      </c>
      <c r="BV50" s="553"/>
      <c r="BW50" s="553"/>
      <c r="BX50" s="1352">
        <f t="shared" si="84"/>
        <v>1.2812820512820513</v>
      </c>
      <c r="BY50" s="1612">
        <f t="shared" si="85"/>
        <v>0.15950920245398773</v>
      </c>
      <c r="BZ50" s="125"/>
      <c r="CA50" s="170"/>
    </row>
    <row r="51" spans="2:79">
      <c r="B51" s="190" t="s">
        <v>160</v>
      </c>
      <c r="C51" s="298">
        <f>SUM(C44:C50)</f>
        <v>545435</v>
      </c>
      <c r="D51" s="298">
        <f t="shared" ref="D51:J51" si="86">SUM(D44:D50)</f>
        <v>8890</v>
      </c>
      <c r="E51" s="298">
        <f t="shared" si="86"/>
        <v>51539</v>
      </c>
      <c r="F51" s="298">
        <f t="shared" si="86"/>
        <v>6820</v>
      </c>
      <c r="G51" s="298">
        <f t="shared" si="86"/>
        <v>3463</v>
      </c>
      <c r="H51" s="298">
        <f t="shared" si="86"/>
        <v>2399</v>
      </c>
      <c r="I51" s="298">
        <f t="shared" si="86"/>
        <v>1539</v>
      </c>
      <c r="J51" s="479">
        <f t="shared" si="86"/>
        <v>1753.3899999999999</v>
      </c>
      <c r="K51" s="599">
        <f>SUM($J$35,$J$43:J50)/C$8</f>
        <v>0.73947431124348473</v>
      </c>
      <c r="L51" s="299">
        <f>D51/C51</f>
        <v>1.6298917377872708E-2</v>
      </c>
      <c r="M51" s="300">
        <f>SUM(M44:M50)</f>
        <v>13825</v>
      </c>
      <c r="N51" s="301">
        <f>J51/E51</f>
        <v>3.4020644560429962E-2</v>
      </c>
      <c r="O51" s="301">
        <f>J51/I51</f>
        <v>1.1393047433398309</v>
      </c>
      <c r="P51" s="302">
        <f>E51/M51</f>
        <v>3.7279566003616638</v>
      </c>
      <c r="Q51" s="121">
        <f>SUM(Q44:Q50)</f>
        <v>1664</v>
      </c>
      <c r="R51" s="27"/>
      <c r="S51" s="27"/>
      <c r="T51" s="56">
        <f>SUM(T44:T50)</f>
        <v>655.73122529644274</v>
      </c>
      <c r="U51" s="1337">
        <f>Q51/T51</f>
        <v>2.5376250753465941</v>
      </c>
      <c r="V51" s="573">
        <f>J51/Q51</f>
        <v>1.0537199519230769</v>
      </c>
      <c r="W51" s="317">
        <f>Q51/D51</f>
        <v>0.18717660292463442</v>
      </c>
      <c r="X51" s="682">
        <f>AVERAGE(X44:X50)</f>
        <v>15.767744622068459</v>
      </c>
      <c r="Y51" s="317">
        <f>AVERAGE(Y44:Y50)</f>
        <v>0.93311939400044186</v>
      </c>
      <c r="Z51" s="164">
        <f>SUM(Z44:Z50)</f>
        <v>139063</v>
      </c>
      <c r="AA51" s="27">
        <f t="shared" ref="AA51:AK51" si="87">SUM(AA44:AA50)</f>
        <v>1889</v>
      </c>
      <c r="AB51" s="27">
        <f t="shared" si="87"/>
        <v>11070</v>
      </c>
      <c r="AC51" s="27">
        <f t="shared" si="87"/>
        <v>1673</v>
      </c>
      <c r="AD51" s="27">
        <f t="shared" si="87"/>
        <v>945</v>
      </c>
      <c r="AE51" s="27">
        <f t="shared" si="87"/>
        <v>709</v>
      </c>
      <c r="AF51" s="27">
        <f t="shared" si="87"/>
        <v>372</v>
      </c>
      <c r="AG51" s="479">
        <f t="shared" si="87"/>
        <v>383.43000000000006</v>
      </c>
      <c r="AH51" s="549">
        <f>AG51/AB51</f>
        <v>3.4636856368563694E-2</v>
      </c>
      <c r="AI51" s="549">
        <f>AG51/AF51</f>
        <v>1.0307258064516132</v>
      </c>
      <c r="AJ51" s="550">
        <f>AA51/Z51</f>
        <v>1.3583771384192776E-2</v>
      </c>
      <c r="AK51" s="551">
        <f t="shared" si="87"/>
        <v>371</v>
      </c>
      <c r="AL51" s="298"/>
      <c r="AM51" s="298"/>
      <c r="AN51" s="552">
        <f t="shared" si="76"/>
        <v>1.0335040431266849</v>
      </c>
      <c r="AO51" s="550">
        <f t="shared" si="77"/>
        <v>0.19640021175224986</v>
      </c>
      <c r="AP51" s="130"/>
      <c r="AQ51" s="165"/>
      <c r="AR51" s="164">
        <f>SUM(AR44:AR50)</f>
        <v>166491</v>
      </c>
      <c r="AS51" s="27">
        <f t="shared" ref="AS51:AY51" si="88">SUM(AS44:AS50)</f>
        <v>3110</v>
      </c>
      <c r="AT51" s="27">
        <f t="shared" si="88"/>
        <v>15824</v>
      </c>
      <c r="AU51" s="27">
        <f t="shared" si="88"/>
        <v>1994</v>
      </c>
      <c r="AV51" s="27">
        <f t="shared" si="88"/>
        <v>1030</v>
      </c>
      <c r="AW51" s="27">
        <f t="shared" si="88"/>
        <v>743</v>
      </c>
      <c r="AX51" s="27">
        <f t="shared" si="88"/>
        <v>516</v>
      </c>
      <c r="AY51" s="74">
        <f t="shared" si="88"/>
        <v>557.5</v>
      </c>
      <c r="AZ51" s="549">
        <f t="shared" si="78"/>
        <v>3.523129423660263E-2</v>
      </c>
      <c r="BA51" s="549">
        <f t="shared" si="79"/>
        <v>1.0804263565891472</v>
      </c>
      <c r="BB51" s="550">
        <f t="shared" si="58"/>
        <v>1.8679688391564708E-2</v>
      </c>
      <c r="BC51" s="551">
        <f t="shared" ref="BC51" si="89">SUM(BC44:BC50)</f>
        <v>709</v>
      </c>
      <c r="BD51" s="298"/>
      <c r="BE51" s="298"/>
      <c r="BF51" s="552">
        <f t="shared" si="80"/>
        <v>0.78631875881523272</v>
      </c>
      <c r="BG51" s="550">
        <f t="shared" si="81"/>
        <v>0.22797427652733118</v>
      </c>
      <c r="BH51" s="130"/>
      <c r="BI51" s="165"/>
      <c r="BJ51" s="164">
        <f>SUM(BJ44:BJ50)</f>
        <v>239881</v>
      </c>
      <c r="BK51" s="27">
        <f t="shared" ref="BK51:BQ51" si="90">SUM(BK44:BK50)</f>
        <v>3891</v>
      </c>
      <c r="BL51" s="27">
        <f t="shared" si="90"/>
        <v>24645</v>
      </c>
      <c r="BM51" s="27">
        <f t="shared" si="90"/>
        <v>3153</v>
      </c>
      <c r="BN51" s="27">
        <f t="shared" si="90"/>
        <v>1488</v>
      </c>
      <c r="BO51" s="27">
        <f t="shared" si="90"/>
        <v>947</v>
      </c>
      <c r="BP51" s="27">
        <f t="shared" si="90"/>
        <v>651</v>
      </c>
      <c r="BQ51" s="74">
        <f t="shared" si="90"/>
        <v>812.45999999999981</v>
      </c>
      <c r="BR51" s="1179">
        <f t="shared" si="82"/>
        <v>3.2966524650030422E-2</v>
      </c>
      <c r="BS51" s="1179">
        <f t="shared" si="83"/>
        <v>1.2480184331797233</v>
      </c>
      <c r="BT51" s="1180">
        <f t="shared" si="59"/>
        <v>1.6220542685748351E-2</v>
      </c>
      <c r="BU51" s="551">
        <f t="shared" ref="BU51" si="91">SUM(BU44:BU50)</f>
        <v>584</v>
      </c>
      <c r="BV51" s="298"/>
      <c r="BW51" s="300"/>
      <c r="BX51" s="899">
        <f t="shared" si="84"/>
        <v>1.3911986301369861</v>
      </c>
      <c r="BY51" s="900">
        <f>BU51/BK51</f>
        <v>0.15008995116936522</v>
      </c>
      <c r="BZ51" s="126"/>
      <c r="CA51" s="171"/>
    </row>
    <row r="52" spans="2:79">
      <c r="B52" s="187">
        <v>44873</v>
      </c>
      <c r="C52" s="15">
        <v>63752</v>
      </c>
      <c r="D52" s="15">
        <v>1113</v>
      </c>
      <c r="E52" s="15">
        <v>5914</v>
      </c>
      <c r="F52" s="52">
        <v>846</v>
      </c>
      <c r="G52" s="52">
        <v>421</v>
      </c>
      <c r="H52" s="52">
        <v>297</v>
      </c>
      <c r="I52" s="52">
        <v>198</v>
      </c>
      <c r="J52" s="77">
        <v>218.54000000000002</v>
      </c>
      <c r="K52" s="73">
        <f>SUM($J$35,$J$43,$J$51:J52)/$C$8</f>
        <v>0.77201935964259116</v>
      </c>
      <c r="L52" s="305">
        <f>D52/C52</f>
        <v>1.7458275818797841E-2</v>
      </c>
      <c r="M52" s="306">
        <f t="shared" si="7"/>
        <v>1975</v>
      </c>
      <c r="N52" s="307">
        <f>J52/E52</f>
        <v>3.6952992898207644E-2</v>
      </c>
      <c r="O52" s="307">
        <f>J52/I52</f>
        <v>1.1037373737373739</v>
      </c>
      <c r="P52" s="380">
        <f>E52/M52</f>
        <v>2.9944303797468352</v>
      </c>
      <c r="Q52" s="143">
        <v>197</v>
      </c>
      <c r="R52" s="52"/>
      <c r="S52" s="52"/>
      <c r="T52" s="293">
        <f t="shared" si="9"/>
        <v>93.675889328063249</v>
      </c>
      <c r="U52" s="139">
        <f>Q52/T52</f>
        <v>2.1029957805907169</v>
      </c>
      <c r="V52" s="225">
        <f>J52/Q52</f>
        <v>1.1093401015228428</v>
      </c>
      <c r="W52" s="561">
        <f>Q52/D52</f>
        <v>0.17699910152740342</v>
      </c>
      <c r="X52" s="687">
        <v>3.3727598566308239</v>
      </c>
      <c r="Y52" s="392">
        <v>0.96684587813620071</v>
      </c>
      <c r="Z52" s="166">
        <v>16740</v>
      </c>
      <c r="AA52" s="15">
        <v>200</v>
      </c>
      <c r="AB52" s="15">
        <v>1083</v>
      </c>
      <c r="AC52" s="52">
        <v>162</v>
      </c>
      <c r="AD52" s="52">
        <v>84</v>
      </c>
      <c r="AE52" s="52">
        <v>61</v>
      </c>
      <c r="AF52" s="52">
        <v>27</v>
      </c>
      <c r="AG52" s="641">
        <v>41.39</v>
      </c>
      <c r="AH52" s="713">
        <f>AG52/AB52</f>
        <v>3.8217913204062787E-2</v>
      </c>
      <c r="AI52" s="714">
        <f>AG52/AF52</f>
        <v>1.5329629629629631</v>
      </c>
      <c r="AJ52" s="715">
        <f>AA52/Z52</f>
        <v>1.1947431302270013E-2</v>
      </c>
      <c r="AK52" s="143">
        <v>39</v>
      </c>
      <c r="AL52" s="52"/>
      <c r="AM52" s="52"/>
      <c r="AN52" s="312">
        <f t="shared" si="76"/>
        <v>1.0612820512820513</v>
      </c>
      <c r="AO52" s="316">
        <f t="shared" si="77"/>
        <v>0.19500000000000001</v>
      </c>
      <c r="AP52" s="125"/>
      <c r="AQ52" s="170"/>
      <c r="AR52" s="166">
        <v>20834</v>
      </c>
      <c r="AS52" s="15">
        <v>483</v>
      </c>
      <c r="AT52" s="15">
        <v>2414</v>
      </c>
      <c r="AU52" s="52">
        <v>336</v>
      </c>
      <c r="AV52" s="52">
        <v>176</v>
      </c>
      <c r="AW52" s="52">
        <v>135</v>
      </c>
      <c r="AX52" s="52">
        <v>93</v>
      </c>
      <c r="AY52" s="641">
        <v>89.92</v>
      </c>
      <c r="AZ52" s="713">
        <f t="shared" si="78"/>
        <v>3.7249378624689314E-2</v>
      </c>
      <c r="BA52" s="714">
        <f t="shared" si="79"/>
        <v>0.96688172043010756</v>
      </c>
      <c r="BB52" s="715">
        <f>AS52/AR52</f>
        <v>2.3183258135739657E-2</v>
      </c>
      <c r="BC52" s="143">
        <v>96</v>
      </c>
      <c r="BD52" s="52"/>
      <c r="BE52" s="52"/>
      <c r="BF52" s="228">
        <f t="shared" si="80"/>
        <v>0.93666666666666665</v>
      </c>
      <c r="BG52" s="316">
        <f t="shared" si="81"/>
        <v>0.19875776397515527</v>
      </c>
      <c r="BH52" s="125"/>
      <c r="BI52" s="170"/>
      <c r="BJ52" s="166">
        <v>26178</v>
      </c>
      <c r="BK52" s="15">
        <v>430</v>
      </c>
      <c r="BL52" s="15">
        <v>2417</v>
      </c>
      <c r="BM52" s="52">
        <v>348</v>
      </c>
      <c r="BN52" s="52">
        <v>161</v>
      </c>
      <c r="BO52" s="52">
        <v>101</v>
      </c>
      <c r="BP52" s="52">
        <v>78</v>
      </c>
      <c r="BQ52" s="77">
        <v>87.23</v>
      </c>
      <c r="BR52" s="554">
        <f t="shared" si="82"/>
        <v>3.6090194455937114E-2</v>
      </c>
      <c r="BS52" s="554">
        <f t="shared" si="83"/>
        <v>1.1183333333333334</v>
      </c>
      <c r="BT52" s="555">
        <f>BK52/BJ52</f>
        <v>1.6426006570402628E-2</v>
      </c>
      <c r="BU52" s="143">
        <v>62</v>
      </c>
      <c r="BV52" s="52"/>
      <c r="BW52" s="52"/>
      <c r="BX52" s="228">
        <f t="shared" si="84"/>
        <v>1.4069354838709678</v>
      </c>
      <c r="BY52" s="1315">
        <f t="shared" si="85"/>
        <v>0.14418604651162792</v>
      </c>
      <c r="BZ52" s="125"/>
      <c r="CA52" s="170"/>
    </row>
    <row r="53" spans="2:79" s="24" customFormat="1">
      <c r="B53" s="187">
        <v>44874</v>
      </c>
      <c r="C53" s="15">
        <v>58497</v>
      </c>
      <c r="D53" s="15">
        <v>1083</v>
      </c>
      <c r="E53" s="15">
        <v>5517</v>
      </c>
      <c r="F53" s="52">
        <v>756</v>
      </c>
      <c r="G53" s="52">
        <v>367</v>
      </c>
      <c r="H53" s="52">
        <v>249</v>
      </c>
      <c r="I53" s="52">
        <v>176</v>
      </c>
      <c r="J53" s="77">
        <v>221.36</v>
      </c>
      <c r="K53" s="73">
        <f>SUM($J$35,$J$43,$J$51:J53)/$C$8</f>
        <v>0.80498436336559931</v>
      </c>
      <c r="L53" s="305">
        <f t="shared" ref="L53:L60" si="92">D53/C53</f>
        <v>1.8513769936919843E-2</v>
      </c>
      <c r="M53" s="306">
        <f t="shared" si="7"/>
        <v>1975</v>
      </c>
      <c r="N53" s="307">
        <f t="shared" ref="N53:N60" si="93">J53/E53</f>
        <v>4.0123255392423424E-2</v>
      </c>
      <c r="O53" s="307">
        <f t="shared" ref="O53:O56" si="94">J53/I53</f>
        <v>1.2577272727272728</v>
      </c>
      <c r="P53" s="380">
        <f t="shared" ref="P53:P56" si="95">E53/M53</f>
        <v>2.7934177215189875</v>
      </c>
      <c r="Q53" s="143">
        <v>192</v>
      </c>
      <c r="R53" s="52"/>
      <c r="S53" s="52"/>
      <c r="T53" s="293">
        <f t="shared" si="9"/>
        <v>93.675889328063249</v>
      </c>
      <c r="U53" s="139">
        <f t="shared" ref="U53:U56" si="96">Q53/T53</f>
        <v>2.0496202531645569</v>
      </c>
      <c r="V53" s="225">
        <f t="shared" ref="V53:V56" si="97">J53/Q53</f>
        <v>1.1529166666666668</v>
      </c>
      <c r="W53" s="561">
        <f t="shared" ref="W53:W56" si="98">Q53/D53</f>
        <v>0.17728531855955679</v>
      </c>
      <c r="X53" s="687">
        <v>11.825891311872619</v>
      </c>
      <c r="Y53" s="392">
        <v>0.94098303911388026</v>
      </c>
      <c r="Z53" s="166">
        <v>11310</v>
      </c>
      <c r="AA53" s="15">
        <v>152</v>
      </c>
      <c r="AB53" s="15">
        <v>773</v>
      </c>
      <c r="AC53" s="52">
        <v>105</v>
      </c>
      <c r="AD53" s="52">
        <v>59</v>
      </c>
      <c r="AE53" s="52">
        <v>37</v>
      </c>
      <c r="AF53" s="52">
        <v>20</v>
      </c>
      <c r="AG53" s="641">
        <v>33.11</v>
      </c>
      <c r="AH53" s="713">
        <f t="shared" ref="AH53:AH60" si="99">AG53/AB53</f>
        <v>4.2833117723156532E-2</v>
      </c>
      <c r="AI53" s="714">
        <f t="shared" ref="AI53:AI56" si="100">AG53/AF53</f>
        <v>1.6555</v>
      </c>
      <c r="AJ53" s="715">
        <f t="shared" ref="AJ53:AJ56" si="101">AA53/Z53</f>
        <v>1.3439434129089302E-2</v>
      </c>
      <c r="AK53" s="143">
        <v>31</v>
      </c>
      <c r="AL53" s="52"/>
      <c r="AM53" s="52"/>
      <c r="AN53" s="312">
        <f t="shared" si="76"/>
        <v>1.0680645161290323</v>
      </c>
      <c r="AO53" s="316">
        <f t="shared" si="77"/>
        <v>0.20394736842105263</v>
      </c>
      <c r="AP53" s="123"/>
      <c r="AQ53" s="168"/>
      <c r="AR53" s="166">
        <v>14828</v>
      </c>
      <c r="AS53" s="15">
        <v>452</v>
      </c>
      <c r="AT53" s="15">
        <v>2290</v>
      </c>
      <c r="AU53" s="52">
        <v>353</v>
      </c>
      <c r="AV53" s="52">
        <v>177</v>
      </c>
      <c r="AW53" s="52">
        <v>127</v>
      </c>
      <c r="AX53" s="52">
        <v>95</v>
      </c>
      <c r="AY53" s="641">
        <v>83.43</v>
      </c>
      <c r="AZ53" s="713">
        <f t="shared" si="78"/>
        <v>3.6432314410480351E-2</v>
      </c>
      <c r="BA53" s="714">
        <f t="shared" si="79"/>
        <v>0.87821052631578955</v>
      </c>
      <c r="BB53" s="715">
        <f t="shared" ref="BB53:BB60" si="102">AS53/AR53</f>
        <v>3.0482870245481523E-2</v>
      </c>
      <c r="BC53" s="143">
        <v>107</v>
      </c>
      <c r="BD53" s="52"/>
      <c r="BE53" s="52"/>
      <c r="BF53" s="228">
        <f t="shared" si="80"/>
        <v>0.77971962616822432</v>
      </c>
      <c r="BG53" s="316">
        <f t="shared" si="81"/>
        <v>0.23672566371681417</v>
      </c>
      <c r="BH53" s="123"/>
      <c r="BI53" s="168"/>
      <c r="BJ53" s="166">
        <v>32359</v>
      </c>
      <c r="BK53" s="15">
        <v>479</v>
      </c>
      <c r="BL53" s="15">
        <v>2454</v>
      </c>
      <c r="BM53" s="52">
        <v>298</v>
      </c>
      <c r="BN53" s="52">
        <v>131</v>
      </c>
      <c r="BO53" s="52">
        <v>85</v>
      </c>
      <c r="BP53" s="52">
        <v>61</v>
      </c>
      <c r="BQ53" s="77">
        <v>104.82</v>
      </c>
      <c r="BR53" s="554">
        <f t="shared" si="82"/>
        <v>4.2713936430317845E-2</v>
      </c>
      <c r="BS53" s="554">
        <f t="shared" si="83"/>
        <v>1.7183606557377049</v>
      </c>
      <c r="BT53" s="555">
        <f t="shared" ref="BT53:BT60" si="103">BK53/BJ53</f>
        <v>1.4802682406749281E-2</v>
      </c>
      <c r="BU53" s="143">
        <v>54</v>
      </c>
      <c r="BV53" s="52"/>
      <c r="BW53" s="52"/>
      <c r="BX53" s="228">
        <f t="shared" si="84"/>
        <v>1.941111111111111</v>
      </c>
      <c r="BY53" s="1315">
        <f t="shared" si="85"/>
        <v>0.11273486430062631</v>
      </c>
      <c r="BZ53" s="123"/>
      <c r="CA53" s="168"/>
    </row>
    <row r="54" spans="2:79" s="26" customFormat="1">
      <c r="B54" s="187">
        <v>44875</v>
      </c>
      <c r="C54" s="15">
        <v>51485</v>
      </c>
      <c r="D54" s="15">
        <v>1034</v>
      </c>
      <c r="E54" s="15">
        <v>5074</v>
      </c>
      <c r="F54" s="52">
        <v>796</v>
      </c>
      <c r="G54" s="52">
        <v>384</v>
      </c>
      <c r="H54" s="52">
        <v>237</v>
      </c>
      <c r="I54" s="52">
        <v>157</v>
      </c>
      <c r="J54" s="77">
        <v>212.43</v>
      </c>
      <c r="K54" s="73">
        <f>SUM($J$35,$J$43,$J$51:J54)/$C$8</f>
        <v>0.83661950856291878</v>
      </c>
      <c r="L54" s="305">
        <f t="shared" si="92"/>
        <v>2.0083519471690785E-2</v>
      </c>
      <c r="M54" s="306">
        <f t="shared" si="7"/>
        <v>1975</v>
      </c>
      <c r="N54" s="307">
        <f t="shared" si="93"/>
        <v>4.1866377611351993E-2</v>
      </c>
      <c r="O54" s="307">
        <f t="shared" si="94"/>
        <v>1.3530573248407645</v>
      </c>
      <c r="P54" s="380">
        <f t="shared" si="95"/>
        <v>2.5691139240506331</v>
      </c>
      <c r="Q54" s="143">
        <v>208</v>
      </c>
      <c r="R54" s="52"/>
      <c r="S54" s="52"/>
      <c r="T54" s="293">
        <f t="shared" si="9"/>
        <v>93.675889328063249</v>
      </c>
      <c r="U54" s="139">
        <f t="shared" si="96"/>
        <v>2.2204219409282699</v>
      </c>
      <c r="V54" s="225">
        <f t="shared" si="97"/>
        <v>1.0212980769230771</v>
      </c>
      <c r="W54" s="561">
        <f t="shared" si="98"/>
        <v>0.20116054158607349</v>
      </c>
      <c r="X54" s="687">
        <v>11.738240794016113</v>
      </c>
      <c r="Y54" s="392">
        <v>0.91206767037463232</v>
      </c>
      <c r="Z54" s="166">
        <v>8810</v>
      </c>
      <c r="AA54" s="15">
        <v>126</v>
      </c>
      <c r="AB54" s="15">
        <v>637</v>
      </c>
      <c r="AC54" s="52">
        <v>106</v>
      </c>
      <c r="AD54" s="52">
        <v>61</v>
      </c>
      <c r="AE54" s="52">
        <v>45</v>
      </c>
      <c r="AF54" s="52">
        <v>19</v>
      </c>
      <c r="AG54" s="641">
        <v>28.54</v>
      </c>
      <c r="AH54" s="713">
        <f t="shared" si="99"/>
        <v>4.4803767660910515E-2</v>
      </c>
      <c r="AI54" s="714">
        <f t="shared" si="100"/>
        <v>1.5021052631578946</v>
      </c>
      <c r="AJ54" s="715">
        <f t="shared" si="101"/>
        <v>1.4301929625425652E-2</v>
      </c>
      <c r="AK54" s="143">
        <v>33</v>
      </c>
      <c r="AL54" s="52"/>
      <c r="AM54" s="52"/>
      <c r="AN54" s="312">
        <f t="shared" si="76"/>
        <v>0.86484848484848487</v>
      </c>
      <c r="AO54" s="316">
        <f t="shared" si="77"/>
        <v>0.26190476190476192</v>
      </c>
      <c r="AP54" s="124"/>
      <c r="AQ54" s="169"/>
      <c r="AR54" s="166">
        <v>6646</v>
      </c>
      <c r="AS54" s="15">
        <v>395</v>
      </c>
      <c r="AT54" s="15">
        <v>1875</v>
      </c>
      <c r="AU54" s="52">
        <v>324</v>
      </c>
      <c r="AV54" s="52">
        <v>161</v>
      </c>
      <c r="AW54" s="52">
        <v>99</v>
      </c>
      <c r="AX54" s="52">
        <v>71</v>
      </c>
      <c r="AY54" s="641">
        <v>65.849999999999994</v>
      </c>
      <c r="AZ54" s="713">
        <f t="shared" si="78"/>
        <v>3.5119999999999998E-2</v>
      </c>
      <c r="BA54" s="714">
        <f t="shared" si="79"/>
        <v>0.92746478873239424</v>
      </c>
      <c r="BB54" s="715">
        <f t="shared" si="102"/>
        <v>5.9434246163105629E-2</v>
      </c>
      <c r="BC54" s="143">
        <v>96</v>
      </c>
      <c r="BD54" s="52"/>
      <c r="BE54" s="52"/>
      <c r="BF54" s="228">
        <f t="shared" si="80"/>
        <v>0.68593749999999998</v>
      </c>
      <c r="BG54" s="316">
        <f t="shared" si="81"/>
        <v>0.24303797468354429</v>
      </c>
      <c r="BH54" s="124"/>
      <c r="BI54" s="169"/>
      <c r="BJ54" s="166">
        <v>36029</v>
      </c>
      <c r="BK54" s="15">
        <v>513</v>
      </c>
      <c r="BL54" s="15">
        <v>2562</v>
      </c>
      <c r="BM54" s="52">
        <v>366</v>
      </c>
      <c r="BN54" s="52">
        <v>162</v>
      </c>
      <c r="BO54" s="52">
        <v>93</v>
      </c>
      <c r="BP54" s="52">
        <v>67</v>
      </c>
      <c r="BQ54" s="77">
        <v>118.04</v>
      </c>
      <c r="BR54" s="554">
        <f t="shared" si="82"/>
        <v>4.6073380171740827E-2</v>
      </c>
      <c r="BS54" s="554">
        <f t="shared" si="83"/>
        <v>1.7617910447761196</v>
      </c>
      <c r="BT54" s="555">
        <f t="shared" si="103"/>
        <v>1.4238530072996752E-2</v>
      </c>
      <c r="BU54" s="143">
        <v>79</v>
      </c>
      <c r="BV54" s="52"/>
      <c r="BW54" s="52"/>
      <c r="BX54" s="228">
        <f t="shared" si="84"/>
        <v>1.4941772151898736</v>
      </c>
      <c r="BY54" s="1315">
        <f t="shared" si="85"/>
        <v>0.15399610136452241</v>
      </c>
      <c r="BZ54" s="124"/>
      <c r="CA54" s="169"/>
    </row>
    <row r="55" spans="2:79">
      <c r="B55" s="189">
        <v>44876</v>
      </c>
      <c r="C55" s="15">
        <v>61147</v>
      </c>
      <c r="D55" s="15">
        <v>1031</v>
      </c>
      <c r="E55" s="15">
        <v>5830</v>
      </c>
      <c r="F55" s="52">
        <v>858</v>
      </c>
      <c r="G55" s="52">
        <v>425</v>
      </c>
      <c r="H55" s="52">
        <v>283</v>
      </c>
      <c r="I55" s="52">
        <v>183</v>
      </c>
      <c r="J55" s="77">
        <v>235.34</v>
      </c>
      <c r="K55" s="73">
        <f>SUM($J$35,$J$43,$J$51:J55)/$C$8</f>
        <v>0.87166641846612058</v>
      </c>
      <c r="L55" s="305">
        <f t="shared" si="92"/>
        <v>1.6861007081295894E-2</v>
      </c>
      <c r="M55" s="306">
        <f t="shared" si="7"/>
        <v>1975</v>
      </c>
      <c r="N55" s="307">
        <f t="shared" si="93"/>
        <v>4.0367066895368786E-2</v>
      </c>
      <c r="O55" s="307">
        <f t="shared" si="94"/>
        <v>1.2860109289617487</v>
      </c>
      <c r="P55" s="380">
        <f t="shared" si="95"/>
        <v>2.9518987341772154</v>
      </c>
      <c r="Q55" s="143">
        <v>209</v>
      </c>
      <c r="R55" s="52"/>
      <c r="S55" s="52"/>
      <c r="T55" s="293">
        <f t="shared" si="9"/>
        <v>93.675889328063249</v>
      </c>
      <c r="U55" s="139">
        <f t="shared" si="96"/>
        <v>2.231097046413502</v>
      </c>
      <c r="V55" s="225">
        <f t="shared" si="97"/>
        <v>1.1260287081339713</v>
      </c>
      <c r="W55" s="561">
        <f t="shared" si="98"/>
        <v>0.20271580989330748</v>
      </c>
      <c r="X55" s="687">
        <v>9.9833035181872383</v>
      </c>
      <c r="Y55" s="392">
        <v>0.94041939972172528</v>
      </c>
      <c r="Z55" s="166">
        <v>13457</v>
      </c>
      <c r="AA55" s="15">
        <v>167</v>
      </c>
      <c r="AB55" s="15">
        <v>921</v>
      </c>
      <c r="AC55" s="52">
        <v>126</v>
      </c>
      <c r="AD55" s="52">
        <v>67</v>
      </c>
      <c r="AE55" s="52">
        <v>48</v>
      </c>
      <c r="AF55" s="52">
        <v>20</v>
      </c>
      <c r="AG55" s="641">
        <v>40.94</v>
      </c>
      <c r="AH55" s="713">
        <f t="shared" si="99"/>
        <v>4.4451682953311616E-2</v>
      </c>
      <c r="AI55" s="714">
        <f t="shared" si="100"/>
        <v>2.0469999999999997</v>
      </c>
      <c r="AJ55" s="715">
        <f t="shared" si="101"/>
        <v>1.2409898194248347E-2</v>
      </c>
      <c r="AK55" s="143">
        <v>39</v>
      </c>
      <c r="AL55" s="52"/>
      <c r="AM55" s="52"/>
      <c r="AN55" s="312">
        <f t="shared" si="76"/>
        <v>1.0497435897435896</v>
      </c>
      <c r="AO55" s="316">
        <f t="shared" si="77"/>
        <v>0.23353293413173654</v>
      </c>
      <c r="AP55" s="125"/>
      <c r="AQ55" s="170"/>
      <c r="AR55" s="166">
        <v>4760</v>
      </c>
      <c r="AS55" s="15">
        <v>295</v>
      </c>
      <c r="AT55" s="15">
        <v>1525</v>
      </c>
      <c r="AU55" s="52">
        <v>277</v>
      </c>
      <c r="AV55" s="52">
        <v>141</v>
      </c>
      <c r="AW55" s="52">
        <v>105</v>
      </c>
      <c r="AX55" s="52">
        <v>75</v>
      </c>
      <c r="AY55" s="641">
        <v>53.71</v>
      </c>
      <c r="AZ55" s="713">
        <f t="shared" si="78"/>
        <v>3.5219672131147545E-2</v>
      </c>
      <c r="BA55" s="714">
        <f t="shared" si="79"/>
        <v>0.7161333333333334</v>
      </c>
      <c r="BB55" s="715">
        <f t="shared" si="102"/>
        <v>6.1974789915966388E-2</v>
      </c>
      <c r="BC55" s="143">
        <v>84</v>
      </c>
      <c r="BD55" s="52"/>
      <c r="BE55" s="52"/>
      <c r="BF55" s="228">
        <f t="shared" si="80"/>
        <v>0.63940476190476192</v>
      </c>
      <c r="BG55" s="316">
        <f t="shared" si="81"/>
        <v>0.28474576271186441</v>
      </c>
      <c r="BH55" s="125"/>
      <c r="BI55" s="170"/>
      <c r="BJ55" s="166">
        <v>42930</v>
      </c>
      <c r="BK55" s="15">
        <v>569</v>
      </c>
      <c r="BL55" s="15">
        <v>3384</v>
      </c>
      <c r="BM55" s="52">
        <v>455</v>
      </c>
      <c r="BN55" s="52">
        <v>217</v>
      </c>
      <c r="BO55" s="52">
        <v>130</v>
      </c>
      <c r="BP55" s="52">
        <v>88</v>
      </c>
      <c r="BQ55" s="77">
        <v>140.69</v>
      </c>
      <c r="BR55" s="554">
        <f t="shared" si="82"/>
        <v>4.1575059101654849E-2</v>
      </c>
      <c r="BS55" s="554">
        <f t="shared" si="83"/>
        <v>1.5987499999999999</v>
      </c>
      <c r="BT55" s="555">
        <f t="shared" si="103"/>
        <v>1.3254134637782437E-2</v>
      </c>
      <c r="BU55" s="143">
        <v>86</v>
      </c>
      <c r="BV55" s="52"/>
      <c r="BW55" s="52"/>
      <c r="BX55" s="228">
        <f t="shared" si="84"/>
        <v>1.6359302325581395</v>
      </c>
      <c r="BY55" s="1315">
        <f t="shared" si="85"/>
        <v>0.15114235500878734</v>
      </c>
      <c r="BZ55" s="125"/>
      <c r="CA55" s="170"/>
    </row>
    <row r="56" spans="2:79">
      <c r="B56" s="189">
        <v>44877</v>
      </c>
      <c r="C56" s="15">
        <v>52916</v>
      </c>
      <c r="D56" s="15">
        <v>1036</v>
      </c>
      <c r="E56" s="15">
        <v>5885</v>
      </c>
      <c r="F56" s="52">
        <v>795</v>
      </c>
      <c r="G56" s="52">
        <v>386</v>
      </c>
      <c r="H56" s="52">
        <v>265</v>
      </c>
      <c r="I56" s="52">
        <v>190</v>
      </c>
      <c r="J56" s="77">
        <v>217.68</v>
      </c>
      <c r="K56" s="73">
        <f>SUM($J$35,$J$43,$J$51:J56)/$C$8</f>
        <v>0.90408339538346982</v>
      </c>
      <c r="L56" s="305">
        <f t="shared" si="92"/>
        <v>1.9578199410386271E-2</v>
      </c>
      <c r="M56" s="306">
        <f t="shared" si="7"/>
        <v>1975</v>
      </c>
      <c r="N56" s="307">
        <f t="shared" si="93"/>
        <v>3.6988954970263381E-2</v>
      </c>
      <c r="O56" s="307">
        <f t="shared" si="94"/>
        <v>1.1456842105263159</v>
      </c>
      <c r="P56" s="380">
        <f t="shared" si="95"/>
        <v>2.9797468354430379</v>
      </c>
      <c r="Q56" s="143">
        <v>246</v>
      </c>
      <c r="R56" s="52"/>
      <c r="S56" s="52"/>
      <c r="T56" s="293">
        <f t="shared" si="9"/>
        <v>93.675889328063249</v>
      </c>
      <c r="U56" s="139">
        <f t="shared" si="96"/>
        <v>2.6260759493670882</v>
      </c>
      <c r="V56" s="225">
        <f t="shared" si="97"/>
        <v>0.88487804878048781</v>
      </c>
      <c r="W56" s="561">
        <f t="shared" si="98"/>
        <v>0.23745173745173745</v>
      </c>
      <c r="X56" s="711">
        <v>26.09491300945157</v>
      </c>
      <c r="Y56" s="392">
        <v>0.88092228041659137</v>
      </c>
      <c r="Z56" s="166">
        <v>12194</v>
      </c>
      <c r="AA56" s="15">
        <v>168</v>
      </c>
      <c r="AB56" s="15">
        <v>984</v>
      </c>
      <c r="AC56" s="52">
        <v>151</v>
      </c>
      <c r="AD56" s="52">
        <v>85</v>
      </c>
      <c r="AE56" s="52">
        <v>72</v>
      </c>
      <c r="AF56" s="52">
        <v>43</v>
      </c>
      <c r="AG56" s="641">
        <v>38.630000000000003</v>
      </c>
      <c r="AH56" s="713">
        <f t="shared" si="99"/>
        <v>3.9258130081300815E-2</v>
      </c>
      <c r="AI56" s="714">
        <f t="shared" si="100"/>
        <v>0.89837209302325582</v>
      </c>
      <c r="AJ56" s="715">
        <f t="shared" si="101"/>
        <v>1.3777267508610792E-2</v>
      </c>
      <c r="AK56" s="143">
        <v>35</v>
      </c>
      <c r="AL56" s="52"/>
      <c r="AM56" s="52"/>
      <c r="AN56" s="312">
        <f t="shared" si="76"/>
        <v>1.1037142857142859</v>
      </c>
      <c r="AO56" s="316">
        <f t="shared" si="77"/>
        <v>0.20833333333333334</v>
      </c>
      <c r="AP56" s="125"/>
      <c r="AQ56" s="170"/>
      <c r="AR56" s="166">
        <v>4540</v>
      </c>
      <c r="AS56" s="15">
        <v>273</v>
      </c>
      <c r="AT56" s="15">
        <v>1576</v>
      </c>
      <c r="AU56" s="52">
        <v>259</v>
      </c>
      <c r="AV56" s="52">
        <v>133</v>
      </c>
      <c r="AW56" s="52">
        <v>91</v>
      </c>
      <c r="AX56" s="52">
        <v>67</v>
      </c>
      <c r="AY56" s="641">
        <v>52.46</v>
      </c>
      <c r="AZ56" s="713">
        <f t="shared" si="78"/>
        <v>3.3286802030456857E-2</v>
      </c>
      <c r="BA56" s="714">
        <f t="shared" si="79"/>
        <v>0.78298507462686573</v>
      </c>
      <c r="BB56" s="715">
        <f t="shared" si="102"/>
        <v>6.013215859030837E-2</v>
      </c>
      <c r="BC56" s="143">
        <v>113</v>
      </c>
      <c r="BD56" s="52"/>
      <c r="BE56" s="52"/>
      <c r="BF56" s="228">
        <f t="shared" si="80"/>
        <v>0.46424778761061947</v>
      </c>
      <c r="BG56" s="316">
        <f t="shared" si="81"/>
        <v>0.41391941391941389</v>
      </c>
      <c r="BH56" s="125"/>
      <c r="BI56" s="170"/>
      <c r="BJ56" s="166">
        <v>36182</v>
      </c>
      <c r="BK56" s="15">
        <v>595</v>
      </c>
      <c r="BL56" s="15">
        <v>3325</v>
      </c>
      <c r="BM56" s="52">
        <v>385</v>
      </c>
      <c r="BN56" s="52">
        <v>168</v>
      </c>
      <c r="BO56" s="52">
        <v>102</v>
      </c>
      <c r="BP56" s="52">
        <v>80</v>
      </c>
      <c r="BQ56" s="77">
        <v>126.59</v>
      </c>
      <c r="BR56" s="554">
        <f t="shared" si="82"/>
        <v>3.807218045112782E-2</v>
      </c>
      <c r="BS56" s="554">
        <f t="shared" si="83"/>
        <v>1.5823750000000001</v>
      </c>
      <c r="BT56" s="555">
        <f t="shared" si="103"/>
        <v>1.6444640981703611E-2</v>
      </c>
      <c r="BU56" s="143">
        <v>98</v>
      </c>
      <c r="BV56" s="52"/>
      <c r="BW56" s="52"/>
      <c r="BX56" s="228">
        <f t="shared" si="84"/>
        <v>1.2917346938775511</v>
      </c>
      <c r="BY56" s="1315">
        <f t="shared" si="85"/>
        <v>0.16470588235294117</v>
      </c>
      <c r="BZ56" s="125"/>
      <c r="CA56" s="170"/>
    </row>
    <row r="57" spans="2:79">
      <c r="B57" s="187">
        <v>44878</v>
      </c>
      <c r="C57" s="15">
        <v>44233</v>
      </c>
      <c r="D57" s="15">
        <v>821</v>
      </c>
      <c r="E57" s="15">
        <v>4870</v>
      </c>
      <c r="F57" s="52">
        <v>666</v>
      </c>
      <c r="G57" s="52">
        <v>322</v>
      </c>
      <c r="H57" s="52">
        <v>200</v>
      </c>
      <c r="I57" s="52">
        <v>138</v>
      </c>
      <c r="J57" s="77">
        <v>167.75</v>
      </c>
      <c r="K57" s="73">
        <f>SUM($J$35,$J$43,$J$51:J57)/$C$8</f>
        <v>0.92906478034251672</v>
      </c>
      <c r="L57" s="305">
        <f t="shared" si="92"/>
        <v>1.8560803020369408E-2</v>
      </c>
      <c r="M57" s="306">
        <f t="shared" si="7"/>
        <v>1975</v>
      </c>
      <c r="N57" s="307">
        <f t="shared" si="93"/>
        <v>3.4445585215605749E-2</v>
      </c>
      <c r="O57" s="307">
        <f t="shared" ref="O57:O58" si="104">J57/I57</f>
        <v>1.2155797101449275</v>
      </c>
      <c r="P57" s="380">
        <f t="shared" ref="P57:P58" si="105">E57/M57</f>
        <v>2.4658227848101264</v>
      </c>
      <c r="Q57" s="143">
        <v>190</v>
      </c>
      <c r="R57" s="52"/>
      <c r="S57" s="52"/>
      <c r="T57" s="293">
        <f t="shared" si="9"/>
        <v>93.675889328063249</v>
      </c>
      <c r="U57" s="139">
        <f t="shared" ref="U57:U58" si="106">Q57/T57</f>
        <v>2.0282700421940927</v>
      </c>
      <c r="V57" s="225">
        <f t="shared" ref="V57:V58" si="107">J57/Q57</f>
        <v>0.88289473684210529</v>
      </c>
      <c r="W57" s="561">
        <f t="shared" ref="W57:W58" si="108">Q57/D57</f>
        <v>0.23142509135200975</v>
      </c>
      <c r="X57" s="687">
        <v>13.502020797064496</v>
      </c>
      <c r="Y57" s="392">
        <v>0.93933945287542275</v>
      </c>
      <c r="Z57" s="166">
        <v>11277</v>
      </c>
      <c r="AA57" s="15">
        <v>172</v>
      </c>
      <c r="AB57" s="15">
        <v>946</v>
      </c>
      <c r="AC57" s="52">
        <v>140</v>
      </c>
      <c r="AD57" s="52">
        <v>83</v>
      </c>
      <c r="AE57" s="52">
        <v>62</v>
      </c>
      <c r="AF57" s="52">
        <v>36</v>
      </c>
      <c r="AG57" s="641">
        <v>35.61</v>
      </c>
      <c r="AH57" s="713">
        <f t="shared" si="99"/>
        <v>3.7642706131078223E-2</v>
      </c>
      <c r="AI57" s="714">
        <f t="shared" ref="AI57:AI58" si="109">AG57/AF57</f>
        <v>0.98916666666666664</v>
      </c>
      <c r="AJ57" s="715">
        <f t="shared" ref="AJ57:AJ58" si="110">AA57/Z57</f>
        <v>1.5252283408707989E-2</v>
      </c>
      <c r="AK57" s="143">
        <v>41</v>
      </c>
      <c r="AL57" s="52"/>
      <c r="AM57" s="52"/>
      <c r="AN57" s="312">
        <f t="shared" ref="AN57:AN58" si="111">AG57/AK57</f>
        <v>0.86853658536585365</v>
      </c>
      <c r="AO57" s="316">
        <f t="shared" ref="AO57:AO58" si="112">AK57/AA57</f>
        <v>0.23837209302325582</v>
      </c>
      <c r="AP57" s="125"/>
      <c r="AQ57" s="170"/>
      <c r="AR57" s="166">
        <v>5332</v>
      </c>
      <c r="AS57" s="15">
        <v>201</v>
      </c>
      <c r="AT57" s="15">
        <v>1214</v>
      </c>
      <c r="AU57" s="52">
        <v>182</v>
      </c>
      <c r="AV57" s="52">
        <v>83</v>
      </c>
      <c r="AW57" s="52">
        <v>58</v>
      </c>
      <c r="AX57" s="52">
        <v>45</v>
      </c>
      <c r="AY57" s="641">
        <v>37.520000000000003</v>
      </c>
      <c r="AZ57" s="713">
        <f t="shared" si="78"/>
        <v>3.0906095551894566E-2</v>
      </c>
      <c r="BA57" s="714">
        <f t="shared" si="79"/>
        <v>0.83377777777777784</v>
      </c>
      <c r="BB57" s="715">
        <f t="shared" si="102"/>
        <v>3.7696924231057763E-2</v>
      </c>
      <c r="BC57" s="143">
        <v>76</v>
      </c>
      <c r="BD57" s="52"/>
      <c r="BE57" s="52"/>
      <c r="BF57" s="228">
        <f t="shared" si="80"/>
        <v>0.49368421052631584</v>
      </c>
      <c r="BG57" s="316">
        <f t="shared" si="81"/>
        <v>0.37810945273631841</v>
      </c>
      <c r="BH57" s="125"/>
      <c r="BI57" s="170"/>
      <c r="BJ57" s="166">
        <v>27624</v>
      </c>
      <c r="BK57" s="15">
        <v>448</v>
      </c>
      <c r="BL57" s="15">
        <v>2710</v>
      </c>
      <c r="BM57" s="52">
        <v>344</v>
      </c>
      <c r="BN57" s="52">
        <v>156</v>
      </c>
      <c r="BO57" s="52">
        <v>80</v>
      </c>
      <c r="BP57" s="52">
        <v>57</v>
      </c>
      <c r="BQ57" s="77">
        <v>94.62</v>
      </c>
      <c r="BR57" s="554">
        <f t="shared" si="82"/>
        <v>3.4915129151291517E-2</v>
      </c>
      <c r="BS57" s="554">
        <f t="shared" si="83"/>
        <v>1.6600000000000001</v>
      </c>
      <c r="BT57" s="555">
        <f t="shared" si="103"/>
        <v>1.6217781639154358E-2</v>
      </c>
      <c r="BU57" s="143">
        <v>73</v>
      </c>
      <c r="BV57" s="52"/>
      <c r="BW57" s="52"/>
      <c r="BX57" s="228">
        <f t="shared" si="84"/>
        <v>1.2961643835616439</v>
      </c>
      <c r="BY57" s="1315">
        <f t="shared" si="85"/>
        <v>0.16294642857142858</v>
      </c>
      <c r="BZ57" s="125"/>
      <c r="CA57" s="170"/>
    </row>
    <row r="58" spans="2:79">
      <c r="B58" s="187">
        <v>44879</v>
      </c>
      <c r="C58" s="15">
        <v>19788</v>
      </c>
      <c r="D58" s="15">
        <v>375</v>
      </c>
      <c r="E58" s="15">
        <v>2026</v>
      </c>
      <c r="F58" s="52">
        <v>302</v>
      </c>
      <c r="G58" s="52">
        <v>164</v>
      </c>
      <c r="H58" s="52">
        <v>115</v>
      </c>
      <c r="I58" s="52">
        <v>67</v>
      </c>
      <c r="J58" s="77">
        <v>73.5</v>
      </c>
      <c r="K58" s="73">
        <f>SUM($J$35,$J$43,$J$51:J58)/$C$8</f>
        <v>0.9400104244229337</v>
      </c>
      <c r="L58" s="305">
        <f t="shared" si="92"/>
        <v>1.8950879320800484E-2</v>
      </c>
      <c r="M58" s="306">
        <f t="shared" si="7"/>
        <v>1975</v>
      </c>
      <c r="N58" s="307">
        <f t="shared" si="93"/>
        <v>3.6278381046396843E-2</v>
      </c>
      <c r="O58" s="307">
        <f t="shared" si="104"/>
        <v>1.0970149253731343</v>
      </c>
      <c r="P58" s="380">
        <f t="shared" si="105"/>
        <v>1.0258227848101267</v>
      </c>
      <c r="Q58" s="143">
        <v>88</v>
      </c>
      <c r="R58" s="52"/>
      <c r="S58" s="52"/>
      <c r="T58" s="293">
        <f t="shared" si="9"/>
        <v>93.675889328063249</v>
      </c>
      <c r="U58" s="139">
        <f t="shared" si="106"/>
        <v>0.9394092827004219</v>
      </c>
      <c r="V58" s="225">
        <f t="shared" si="107"/>
        <v>0.83522727272727271</v>
      </c>
      <c r="W58" s="561">
        <f t="shared" si="108"/>
        <v>0.23466666666666666</v>
      </c>
      <c r="X58" s="687">
        <v>22.040687989338668</v>
      </c>
      <c r="Y58" s="392">
        <v>0.94176522849686262</v>
      </c>
      <c r="Z58" s="166">
        <v>4261</v>
      </c>
      <c r="AA58" s="15">
        <v>84</v>
      </c>
      <c r="AB58" s="15">
        <v>463</v>
      </c>
      <c r="AC58" s="52">
        <v>86</v>
      </c>
      <c r="AD58" s="52">
        <v>51</v>
      </c>
      <c r="AE58" s="52">
        <v>40</v>
      </c>
      <c r="AF58" s="52">
        <v>17</v>
      </c>
      <c r="AG58" s="641">
        <v>16.18</v>
      </c>
      <c r="AH58" s="713">
        <f t="shared" si="99"/>
        <v>3.4946004319654424E-2</v>
      </c>
      <c r="AI58" s="714">
        <f t="shared" si="109"/>
        <v>0.95176470588235296</v>
      </c>
      <c r="AJ58" s="715">
        <f t="shared" si="110"/>
        <v>1.9713682234217319E-2</v>
      </c>
      <c r="AK58" s="143">
        <v>23</v>
      </c>
      <c r="AL58" s="52"/>
      <c r="AM58" s="52"/>
      <c r="AN58" s="312">
        <f t="shared" si="111"/>
        <v>0.70347826086956522</v>
      </c>
      <c r="AO58" s="316">
        <f t="shared" si="112"/>
        <v>0.27380952380952384</v>
      </c>
      <c r="AP58" s="125"/>
      <c r="AQ58" s="170"/>
      <c r="AR58" s="166">
        <v>3852</v>
      </c>
      <c r="AS58" s="15">
        <v>110</v>
      </c>
      <c r="AT58" s="15">
        <v>623</v>
      </c>
      <c r="AU58" s="52">
        <v>83</v>
      </c>
      <c r="AV58" s="52">
        <v>41</v>
      </c>
      <c r="AW58" s="52">
        <v>29</v>
      </c>
      <c r="AX58" s="52">
        <v>22</v>
      </c>
      <c r="AY58" s="641">
        <v>20.84</v>
      </c>
      <c r="AZ58" s="713">
        <f t="shared" si="78"/>
        <v>3.3451043338683789E-2</v>
      </c>
      <c r="BA58" s="714">
        <f t="shared" si="79"/>
        <v>0.94727272727272727</v>
      </c>
      <c r="BB58" s="715">
        <f t="shared" si="102"/>
        <v>2.8556593977154723E-2</v>
      </c>
      <c r="BC58" s="143">
        <v>29</v>
      </c>
      <c r="BD58" s="52"/>
      <c r="BE58" s="52"/>
      <c r="BF58" s="228">
        <f t="shared" si="80"/>
        <v>0.71862068965517245</v>
      </c>
      <c r="BG58" s="316">
        <f t="shared" si="81"/>
        <v>0.26363636363636361</v>
      </c>
      <c r="BH58" s="125"/>
      <c r="BI58" s="170"/>
      <c r="BJ58" s="166">
        <v>11675</v>
      </c>
      <c r="BK58" s="15">
        <v>181</v>
      </c>
      <c r="BL58" s="15">
        <v>940</v>
      </c>
      <c r="BM58" s="52">
        <v>133</v>
      </c>
      <c r="BN58" s="52">
        <v>72</v>
      </c>
      <c r="BO58" s="52">
        <v>46</v>
      </c>
      <c r="BP58" s="52">
        <v>28</v>
      </c>
      <c r="BQ58" s="77">
        <v>36.479999999999997</v>
      </c>
      <c r="BR58" s="554">
        <f t="shared" si="82"/>
        <v>3.880851063829787E-2</v>
      </c>
      <c r="BS58" s="554">
        <f t="shared" si="83"/>
        <v>1.3028571428571427</v>
      </c>
      <c r="BT58" s="555">
        <f t="shared" si="103"/>
        <v>1.5503211991434689E-2</v>
      </c>
      <c r="BU58" s="143">
        <v>36</v>
      </c>
      <c r="BV58" s="52"/>
      <c r="BW58" s="52"/>
      <c r="BX58" s="228">
        <f t="shared" si="84"/>
        <v>1.0133333333333332</v>
      </c>
      <c r="BY58" s="1315">
        <f t="shared" si="85"/>
        <v>0.19889502762430938</v>
      </c>
      <c r="BZ58" s="125"/>
      <c r="CA58" s="170"/>
    </row>
    <row r="59" spans="2:79">
      <c r="B59" s="190" t="s">
        <v>160</v>
      </c>
      <c r="C59" s="298">
        <f>SUM(C52:C58)</f>
        <v>351818</v>
      </c>
      <c r="D59" s="298">
        <f t="shared" ref="D59:J59" si="113">SUM(D52:D58)</f>
        <v>6493</v>
      </c>
      <c r="E59" s="298">
        <f t="shared" si="113"/>
        <v>35116</v>
      </c>
      <c r="F59" s="298">
        <f t="shared" si="113"/>
        <v>5019</v>
      </c>
      <c r="G59" s="298">
        <f t="shared" si="113"/>
        <v>2469</v>
      </c>
      <c r="H59" s="298">
        <f t="shared" si="113"/>
        <v>1646</v>
      </c>
      <c r="I59" s="298">
        <f t="shared" si="113"/>
        <v>1109</v>
      </c>
      <c r="J59" s="479">
        <f t="shared" si="113"/>
        <v>1346.6000000000001</v>
      </c>
      <c r="K59" s="599">
        <f>SUM($J$35,$J$43,$J$51,$J$59)/$C$8</f>
        <v>0.9400104244229337</v>
      </c>
      <c r="L59" s="299">
        <f>D59/C59</f>
        <v>1.8455565093315293E-2</v>
      </c>
      <c r="M59" s="300">
        <f>SUM(M52:M58)</f>
        <v>13825</v>
      </c>
      <c r="N59" s="301">
        <f>J59/E59</f>
        <v>3.8347192163116529E-2</v>
      </c>
      <c r="O59" s="301">
        <f>J59/I59</f>
        <v>1.2142470694319207</v>
      </c>
      <c r="P59" s="302">
        <f>E59/M59</f>
        <v>2.5400361663652804</v>
      </c>
      <c r="Q59" s="121">
        <f>SUM(Q52:Q58)</f>
        <v>1330</v>
      </c>
      <c r="R59" s="27"/>
      <c r="S59" s="27"/>
      <c r="T59" s="27">
        <f>SUM(T52:T58)</f>
        <v>655.73122529644274</v>
      </c>
      <c r="U59" s="572">
        <f>Q59/T59</f>
        <v>2.0282700421940927</v>
      </c>
      <c r="V59" s="237">
        <f>J59/Q59</f>
        <v>1.012481203007519</v>
      </c>
      <c r="W59" s="317">
        <f>Q59/D59</f>
        <v>0.2048359772062221</v>
      </c>
      <c r="X59" s="682">
        <f>AVERAGE(X52:X58)</f>
        <v>14.079688182365933</v>
      </c>
      <c r="Y59" s="317">
        <f>AVERAGE(Y52:Y58)</f>
        <v>0.93176327844790219</v>
      </c>
      <c r="Z59" s="164">
        <f>SUM(Z52:Z58)</f>
        <v>78049</v>
      </c>
      <c r="AA59" s="27">
        <f t="shared" ref="AA59:AK59" si="114">SUM(AA52:AA58)</f>
        <v>1069</v>
      </c>
      <c r="AB59" s="27">
        <f t="shared" si="114"/>
        <v>5807</v>
      </c>
      <c r="AC59" s="27">
        <f t="shared" si="114"/>
        <v>876</v>
      </c>
      <c r="AD59" s="27">
        <f t="shared" si="114"/>
        <v>490</v>
      </c>
      <c r="AE59" s="27">
        <f t="shared" si="114"/>
        <v>365</v>
      </c>
      <c r="AF59" s="27">
        <f t="shared" si="114"/>
        <v>182</v>
      </c>
      <c r="AG59" s="479">
        <f t="shared" si="114"/>
        <v>234.39999999999998</v>
      </c>
      <c r="AH59" s="549">
        <f>AG59/AB59</f>
        <v>4.0365076631651453E-2</v>
      </c>
      <c r="AI59" s="549">
        <f>AG59/AF59</f>
        <v>1.2879120879120878</v>
      </c>
      <c r="AJ59" s="550">
        <f>AA59/Z59</f>
        <v>1.3696523978526311E-2</v>
      </c>
      <c r="AK59" s="1606">
        <f t="shared" si="114"/>
        <v>241</v>
      </c>
      <c r="AL59" s="551"/>
      <c r="AM59" s="298"/>
      <c r="AN59" s="237">
        <f t="shared" si="76"/>
        <v>0.9726141078838173</v>
      </c>
      <c r="AO59" s="1613">
        <f t="shared" si="77"/>
        <v>0.225444340505145</v>
      </c>
      <c r="AP59" s="130"/>
      <c r="AQ59" s="165"/>
      <c r="AR59" s="164">
        <f>SUM(AR52:AR58)</f>
        <v>60792</v>
      </c>
      <c r="AS59" s="27">
        <f t="shared" ref="AS59:AY59" si="115">SUM(AS52:AS58)</f>
        <v>2209</v>
      </c>
      <c r="AT59" s="27">
        <f t="shared" si="115"/>
        <v>11517</v>
      </c>
      <c r="AU59" s="27">
        <f t="shared" si="115"/>
        <v>1814</v>
      </c>
      <c r="AV59" s="27">
        <f t="shared" si="115"/>
        <v>912</v>
      </c>
      <c r="AW59" s="27">
        <f t="shared" si="115"/>
        <v>644</v>
      </c>
      <c r="AX59" s="27">
        <f t="shared" si="115"/>
        <v>468</v>
      </c>
      <c r="AY59" s="74">
        <f t="shared" si="115"/>
        <v>403.72999999999996</v>
      </c>
      <c r="AZ59" s="226">
        <f t="shared" si="78"/>
        <v>3.5055135886081439E-2</v>
      </c>
      <c r="BA59" s="226">
        <f t="shared" si="79"/>
        <v>0.86267094017094004</v>
      </c>
      <c r="BB59" s="147">
        <f t="shared" ref="BB59" si="116">AS59/AR59</f>
        <v>3.6337018028687988E-2</v>
      </c>
      <c r="BC59" s="551">
        <f t="shared" ref="BC59" si="117">SUM(BC52:BC58)</f>
        <v>601</v>
      </c>
      <c r="BD59" s="298"/>
      <c r="BE59" s="298"/>
      <c r="BF59" s="552">
        <f t="shared" si="80"/>
        <v>0.67176372712146415</v>
      </c>
      <c r="BG59" s="550">
        <f t="shared" si="81"/>
        <v>0.27206880941602535</v>
      </c>
      <c r="BH59" s="130"/>
      <c r="BI59" s="165"/>
      <c r="BJ59" s="164">
        <f>SUM(BJ52:BJ58)</f>
        <v>212977</v>
      </c>
      <c r="BK59" s="27">
        <f t="shared" ref="BK59:BQ59" si="118">SUM(BK52:BK58)</f>
        <v>3215</v>
      </c>
      <c r="BL59" s="27">
        <f t="shared" si="118"/>
        <v>17792</v>
      </c>
      <c r="BM59" s="27">
        <f t="shared" si="118"/>
        <v>2329</v>
      </c>
      <c r="BN59" s="27">
        <f t="shared" si="118"/>
        <v>1067</v>
      </c>
      <c r="BO59" s="27">
        <f t="shared" si="118"/>
        <v>637</v>
      </c>
      <c r="BP59" s="27">
        <f t="shared" si="118"/>
        <v>459</v>
      </c>
      <c r="BQ59" s="74">
        <f t="shared" si="118"/>
        <v>708.47</v>
      </c>
      <c r="BR59" s="549">
        <f t="shared" si="82"/>
        <v>3.9819581834532373E-2</v>
      </c>
      <c r="BS59" s="549">
        <f t="shared" si="83"/>
        <v>1.5435076252723312</v>
      </c>
      <c r="BT59" s="550">
        <f t="shared" ref="BT59" si="119">BK59/BJ59</f>
        <v>1.5095526747019632E-2</v>
      </c>
      <c r="BU59" s="551">
        <f t="shared" ref="BU59" si="120">SUM(BU52:BU58)</f>
        <v>488</v>
      </c>
      <c r="BV59" s="298"/>
      <c r="BW59" s="298"/>
      <c r="BX59" s="552">
        <f t="shared" si="84"/>
        <v>1.451782786885246</v>
      </c>
      <c r="BY59" s="547">
        <f>BU59/BK59</f>
        <v>0.15178849144634526</v>
      </c>
      <c r="BZ59" s="126"/>
      <c r="CA59" s="171"/>
    </row>
    <row r="60" spans="2:79" hidden="1">
      <c r="B60" s="187">
        <v>44880</v>
      </c>
      <c r="C60" s="15">
        <v>0</v>
      </c>
      <c r="D60" s="15">
        <v>0</v>
      </c>
      <c r="E60" s="15">
        <v>0</v>
      </c>
      <c r="F60" s="52">
        <v>0</v>
      </c>
      <c r="G60" s="52">
        <v>0</v>
      </c>
      <c r="H60" s="52">
        <v>0</v>
      </c>
      <c r="I60" s="52">
        <v>0</v>
      </c>
      <c r="J60" s="77">
        <v>0</v>
      </c>
      <c r="K60" s="662">
        <f>SUM($J$35,$J$43,$J$51,$J$59:J60)/$C$8</f>
        <v>0.9400104244229337</v>
      </c>
      <c r="L60" s="305" t="e">
        <f t="shared" si="92"/>
        <v>#DIV/0!</v>
      </c>
      <c r="M60" s="306">
        <f t="shared" si="7"/>
        <v>1975</v>
      </c>
      <c r="N60" s="307" t="e">
        <f t="shared" si="93"/>
        <v>#DIV/0!</v>
      </c>
      <c r="O60" s="307" t="e">
        <f t="shared" ref="O60" si="121">J60/I60</f>
        <v>#DIV/0!</v>
      </c>
      <c r="P60" s="380">
        <f t="shared" ref="P60" si="122">E60/M60</f>
        <v>0</v>
      </c>
      <c r="Q60" s="143">
        <v>1</v>
      </c>
      <c r="R60" s="52"/>
      <c r="S60" s="52"/>
      <c r="T60" s="293">
        <f t="shared" si="9"/>
        <v>93.675889328063249</v>
      </c>
      <c r="U60" s="139">
        <f t="shared" ref="U60" si="123">Q60/T60</f>
        <v>1.0675105485232067E-2</v>
      </c>
      <c r="V60" s="225">
        <f t="shared" ref="V60" si="124">J60/Q60</f>
        <v>0</v>
      </c>
      <c r="W60" s="561" t="e">
        <f t="shared" ref="W60" si="125">Q60/D60</f>
        <v>#DIV/0!</v>
      </c>
      <c r="X60" s="687">
        <v>0</v>
      </c>
      <c r="Y60" s="392">
        <v>1</v>
      </c>
      <c r="Z60" s="166">
        <v>0</v>
      </c>
      <c r="AA60" s="15">
        <v>0</v>
      </c>
      <c r="AB60" s="15">
        <v>0</v>
      </c>
      <c r="AC60" s="52">
        <v>0</v>
      </c>
      <c r="AD60" s="52">
        <v>0</v>
      </c>
      <c r="AE60" s="52">
        <v>0</v>
      </c>
      <c r="AF60" s="52">
        <v>0</v>
      </c>
      <c r="AG60" s="77">
        <v>0</v>
      </c>
      <c r="AH60" s="713" t="e">
        <f t="shared" si="99"/>
        <v>#DIV/0!</v>
      </c>
      <c r="AI60" s="714" t="e">
        <f t="shared" ref="AI60" si="126">AG60/AF60</f>
        <v>#DIV/0!</v>
      </c>
      <c r="AJ60" s="715" t="e">
        <f t="shared" ref="AJ60" si="127">AA60/Z60</f>
        <v>#DIV/0!</v>
      </c>
      <c r="AK60" s="1607" t="s">
        <v>176</v>
      </c>
      <c r="AL60" s="143"/>
      <c r="AM60" s="52"/>
      <c r="AN60" s="312" t="e">
        <f t="shared" si="76"/>
        <v>#VALUE!</v>
      </c>
      <c r="AO60" s="316" t="e">
        <f t="shared" si="77"/>
        <v>#VALUE!</v>
      </c>
      <c r="AP60" s="125"/>
      <c r="AQ60" s="170"/>
      <c r="AR60" s="166">
        <v>0</v>
      </c>
      <c r="AS60" s="15">
        <v>0</v>
      </c>
      <c r="AT60" s="15">
        <v>0</v>
      </c>
      <c r="AU60" s="52">
        <v>0</v>
      </c>
      <c r="AV60" s="52">
        <v>0</v>
      </c>
      <c r="AW60" s="52">
        <v>0</v>
      </c>
      <c r="AX60" s="52">
        <v>0</v>
      </c>
      <c r="AY60" s="77">
        <v>0</v>
      </c>
      <c r="AZ60" s="713" t="e">
        <f t="shared" si="78"/>
        <v>#DIV/0!</v>
      </c>
      <c r="BA60" s="714" t="e">
        <f t="shared" si="79"/>
        <v>#DIV/0!</v>
      </c>
      <c r="BB60" s="715" t="e">
        <f t="shared" si="102"/>
        <v>#DIV/0!</v>
      </c>
      <c r="BC60" s="1543">
        <v>1</v>
      </c>
      <c r="BD60" s="143"/>
      <c r="BE60" s="52"/>
      <c r="BF60" s="228">
        <f t="shared" si="80"/>
        <v>0</v>
      </c>
      <c r="BG60" s="316" t="e">
        <f t="shared" si="81"/>
        <v>#DIV/0!</v>
      </c>
      <c r="BH60" s="125"/>
      <c r="BI60" s="170"/>
      <c r="BJ60" s="166">
        <v>0</v>
      </c>
      <c r="BK60" s="15">
        <v>0</v>
      </c>
      <c r="BL60" s="15">
        <v>0</v>
      </c>
      <c r="BM60" s="52">
        <v>0</v>
      </c>
      <c r="BN60" s="52">
        <v>0</v>
      </c>
      <c r="BO60" s="52">
        <v>0</v>
      </c>
      <c r="BP60" s="52">
        <v>0</v>
      </c>
      <c r="BQ60" s="77">
        <v>0</v>
      </c>
      <c r="BR60" s="554" t="e">
        <f t="shared" si="82"/>
        <v>#DIV/0!</v>
      </c>
      <c r="BS60" s="554" t="e">
        <f t="shared" si="83"/>
        <v>#DIV/0!</v>
      </c>
      <c r="BT60" s="555" t="e">
        <f t="shared" si="103"/>
        <v>#DIV/0!</v>
      </c>
      <c r="BU60" s="1543" t="s">
        <v>176</v>
      </c>
      <c r="BV60" s="143"/>
      <c r="BW60" s="52"/>
      <c r="BX60" s="228" t="e">
        <f t="shared" si="84"/>
        <v>#VALUE!</v>
      </c>
      <c r="BY60" s="1315" t="e">
        <f t="shared" si="85"/>
        <v>#VALUE!</v>
      </c>
      <c r="BZ60" s="125"/>
      <c r="CA60" s="170"/>
    </row>
    <row r="61" spans="2:79" s="24" customFormat="1" hidden="1">
      <c r="B61" s="187">
        <v>44881</v>
      </c>
      <c r="C61" s="15"/>
      <c r="D61" s="15"/>
      <c r="E61" s="15"/>
      <c r="F61" s="52"/>
      <c r="G61" s="52"/>
      <c r="H61" s="52"/>
      <c r="I61" s="52"/>
      <c r="J61" s="77"/>
      <c r="K61" s="662"/>
      <c r="L61" s="305"/>
      <c r="M61" s="306"/>
      <c r="N61" s="307"/>
      <c r="O61" s="307"/>
      <c r="P61" s="380"/>
      <c r="Q61" s="143"/>
      <c r="R61" s="52"/>
      <c r="S61" s="52"/>
      <c r="T61" s="293"/>
      <c r="U61" s="139"/>
      <c r="V61" s="225"/>
      <c r="W61" s="561"/>
      <c r="X61" s="689"/>
      <c r="Y61" s="168"/>
      <c r="Z61" s="166"/>
      <c r="AA61" s="15"/>
      <c r="AB61" s="15"/>
      <c r="AC61" s="52"/>
      <c r="AD61" s="52"/>
      <c r="AE61" s="52"/>
      <c r="AF61" s="52"/>
      <c r="AG61" s="77"/>
      <c r="AH61" s="713"/>
      <c r="AI61" s="714"/>
      <c r="AJ61" s="715"/>
      <c r="AK61" s="1607"/>
      <c r="AL61" s="143"/>
      <c r="AM61" s="52"/>
      <c r="AN61" s="312"/>
      <c r="AO61" s="316"/>
      <c r="AP61" s="123"/>
      <c r="AQ61" s="168"/>
      <c r="AR61" s="166"/>
      <c r="AS61" s="15"/>
      <c r="AT61" s="15"/>
      <c r="AU61" s="52"/>
      <c r="AV61" s="52"/>
      <c r="AW61" s="52"/>
      <c r="AX61" s="52"/>
      <c r="AY61" s="77"/>
      <c r="AZ61" s="713"/>
      <c r="BA61" s="714"/>
      <c r="BB61" s="715"/>
      <c r="BC61" s="1543"/>
      <c r="BD61" s="143"/>
      <c r="BE61" s="52"/>
      <c r="BF61" s="228"/>
      <c r="BG61" s="316"/>
      <c r="BH61" s="123"/>
      <c r="BI61" s="168"/>
      <c r="BJ61" s="166"/>
      <c r="BK61" s="15"/>
      <c r="BL61" s="15"/>
      <c r="BM61" s="52"/>
      <c r="BN61" s="52"/>
      <c r="BO61" s="52"/>
      <c r="BP61" s="52"/>
      <c r="BQ61" s="77"/>
      <c r="BR61" s="52"/>
      <c r="BS61" s="52"/>
      <c r="BT61" s="148"/>
      <c r="BU61" s="1543"/>
      <c r="BV61" s="143"/>
      <c r="BW61" s="52"/>
      <c r="BX61" s="1544"/>
      <c r="BY61" s="123"/>
      <c r="BZ61" s="123"/>
      <c r="CA61" s="168"/>
    </row>
    <row r="62" spans="2:79" s="26" customFormat="1" hidden="1">
      <c r="B62" s="187">
        <v>44882</v>
      </c>
      <c r="C62" s="15"/>
      <c r="D62" s="15"/>
      <c r="E62" s="15"/>
      <c r="F62" s="52"/>
      <c r="G62" s="52"/>
      <c r="H62" s="52"/>
      <c r="I62" s="52"/>
      <c r="J62" s="77"/>
      <c r="K62" s="605"/>
      <c r="L62" s="52"/>
      <c r="M62" s="52"/>
      <c r="N62" s="52"/>
      <c r="O62" s="52"/>
      <c r="P62" s="148"/>
      <c r="Q62" s="143"/>
      <c r="R62" s="52"/>
      <c r="S62" s="52"/>
      <c r="T62" s="52"/>
      <c r="U62" s="119"/>
      <c r="V62" s="124"/>
      <c r="W62" s="124"/>
      <c r="X62" s="690"/>
      <c r="Y62" s="169"/>
      <c r="Z62" s="166"/>
      <c r="AA62" s="15"/>
      <c r="AB62" s="15"/>
      <c r="AC62" s="52"/>
      <c r="AD62" s="52"/>
      <c r="AE62" s="52"/>
      <c r="AF62" s="52"/>
      <c r="AG62" s="77"/>
      <c r="AH62" s="52"/>
      <c r="AI62" s="52"/>
      <c r="AJ62" s="148"/>
      <c r="AK62" s="1607"/>
      <c r="AL62" s="143"/>
      <c r="AM62" s="52"/>
      <c r="AN62" s="1614"/>
      <c r="AO62" s="124"/>
      <c r="AP62" s="124"/>
      <c r="AQ62" s="169"/>
      <c r="AR62" s="166"/>
      <c r="AS62" s="15"/>
      <c r="AT62" s="15"/>
      <c r="AU62" s="52"/>
      <c r="AV62" s="52"/>
      <c r="AW62" s="52"/>
      <c r="AX62" s="52"/>
      <c r="AY62" s="77"/>
      <c r="AZ62" s="52"/>
      <c r="BA62" s="52"/>
      <c r="BB62" s="148"/>
      <c r="BC62" s="1543"/>
      <c r="BD62" s="143"/>
      <c r="BE62" s="52"/>
      <c r="BF62" s="1544"/>
      <c r="BG62" s="124"/>
      <c r="BH62" s="124"/>
      <c r="BI62" s="169"/>
      <c r="BJ62" s="166"/>
      <c r="BK62" s="15"/>
      <c r="BL62" s="15"/>
      <c r="BM62" s="52"/>
      <c r="BN62" s="52"/>
      <c r="BO62" s="52"/>
      <c r="BP62" s="52"/>
      <c r="BQ62" s="77"/>
      <c r="BR62" s="52"/>
      <c r="BS62" s="52"/>
      <c r="BT62" s="148"/>
      <c r="BU62" s="1543"/>
      <c r="BV62" s="143"/>
      <c r="BW62" s="52"/>
      <c r="BX62" s="1544"/>
      <c r="BY62" s="124"/>
      <c r="BZ62" s="124"/>
      <c r="CA62" s="169"/>
    </row>
    <row r="63" spans="2:79" hidden="1">
      <c r="B63" s="189">
        <v>44883</v>
      </c>
      <c r="C63" s="15"/>
      <c r="D63" s="15"/>
      <c r="E63" s="15"/>
      <c r="F63" s="52"/>
      <c r="G63" s="52"/>
      <c r="H63" s="52"/>
      <c r="I63" s="52"/>
      <c r="J63" s="77"/>
      <c r="K63" s="605"/>
      <c r="L63" s="52"/>
      <c r="M63" s="52"/>
      <c r="N63" s="52"/>
      <c r="O63" s="52"/>
      <c r="P63" s="148"/>
      <c r="Q63" s="143"/>
      <c r="R63" s="52"/>
      <c r="S63" s="52"/>
      <c r="T63" s="52"/>
      <c r="U63" s="117"/>
      <c r="V63" s="125"/>
      <c r="W63" s="125"/>
      <c r="X63" s="688"/>
      <c r="Y63" s="170"/>
      <c r="Z63" s="166"/>
      <c r="AA63" s="15"/>
      <c r="AB63" s="15"/>
      <c r="AC63" s="52"/>
      <c r="AD63" s="52"/>
      <c r="AE63" s="52"/>
      <c r="AF63" s="52"/>
      <c r="AG63" s="77"/>
      <c r="AH63" s="52"/>
      <c r="AI63" s="52"/>
      <c r="AJ63" s="148"/>
      <c r="AK63" s="1607"/>
      <c r="AL63" s="143"/>
      <c r="AM63" s="52"/>
      <c r="AN63" s="1614"/>
      <c r="AO63" s="125"/>
      <c r="AP63" s="125"/>
      <c r="AQ63" s="170"/>
      <c r="AR63" s="166"/>
      <c r="AS63" s="15"/>
      <c r="AT63" s="15"/>
      <c r="AU63" s="52"/>
      <c r="AV63" s="52"/>
      <c r="AW63" s="52"/>
      <c r="AX63" s="52"/>
      <c r="AY63" s="77"/>
      <c r="AZ63" s="52"/>
      <c r="BA63" s="52"/>
      <c r="BB63" s="148"/>
      <c r="BC63" s="1543"/>
      <c r="BD63" s="143"/>
      <c r="BE63" s="52"/>
      <c r="BF63" s="1544"/>
      <c r="BG63" s="125"/>
      <c r="BH63" s="125"/>
      <c r="BI63" s="170"/>
      <c r="BJ63" s="166"/>
      <c r="BK63" s="15"/>
      <c r="BL63" s="15"/>
      <c r="BM63" s="52"/>
      <c r="BN63" s="52"/>
      <c r="BO63" s="52"/>
      <c r="BP63" s="52"/>
      <c r="BQ63" s="77"/>
      <c r="BR63" s="52"/>
      <c r="BS63" s="52"/>
      <c r="BT63" s="148"/>
      <c r="BU63" s="1543"/>
      <c r="BV63" s="143"/>
      <c r="BW63" s="52"/>
      <c r="BX63" s="1544"/>
      <c r="BY63" s="125"/>
      <c r="BZ63" s="125"/>
      <c r="CA63" s="170"/>
    </row>
    <row r="64" spans="2:79" hidden="1">
      <c r="B64" s="189">
        <v>44884</v>
      </c>
      <c r="C64" s="15"/>
      <c r="D64" s="15"/>
      <c r="E64" s="15"/>
      <c r="F64" s="52"/>
      <c r="G64" s="52"/>
      <c r="H64" s="52"/>
      <c r="I64" s="52"/>
      <c r="J64" s="77"/>
      <c r="K64" s="605"/>
      <c r="L64" s="52"/>
      <c r="M64" s="52"/>
      <c r="N64" s="52"/>
      <c r="O64" s="52"/>
      <c r="P64" s="148"/>
      <c r="Q64" s="143"/>
      <c r="R64" s="52"/>
      <c r="S64" s="52"/>
      <c r="T64" s="52"/>
      <c r="U64" s="117"/>
      <c r="V64" s="125"/>
      <c r="W64" s="125"/>
      <c r="X64" s="688"/>
      <c r="Y64" s="170"/>
      <c r="Z64" s="166"/>
      <c r="AA64" s="15"/>
      <c r="AB64" s="15"/>
      <c r="AC64" s="52"/>
      <c r="AD64" s="52"/>
      <c r="AE64" s="52"/>
      <c r="AF64" s="52"/>
      <c r="AG64" s="77"/>
      <c r="AH64" s="52"/>
      <c r="AI64" s="52"/>
      <c r="AJ64" s="148"/>
      <c r="AK64" s="1607"/>
      <c r="AL64" s="143"/>
      <c r="AM64" s="52"/>
      <c r="AN64" s="1614"/>
      <c r="AO64" s="125"/>
      <c r="AP64" s="125"/>
      <c r="AQ64" s="170"/>
      <c r="AR64" s="166"/>
      <c r="AS64" s="15"/>
      <c r="AT64" s="15"/>
      <c r="AU64" s="52"/>
      <c r="AV64" s="52"/>
      <c r="AW64" s="52"/>
      <c r="AX64" s="52"/>
      <c r="AY64" s="77"/>
      <c r="AZ64" s="52"/>
      <c r="BA64" s="52"/>
      <c r="BB64" s="148"/>
      <c r="BC64" s="1543"/>
      <c r="BD64" s="143"/>
      <c r="BE64" s="52"/>
      <c r="BF64" s="1544"/>
      <c r="BG64" s="125"/>
      <c r="BH64" s="125"/>
      <c r="BI64" s="170"/>
      <c r="BJ64" s="166"/>
      <c r="BK64" s="15"/>
      <c r="BL64" s="15"/>
      <c r="BM64" s="52"/>
      <c r="BN64" s="52"/>
      <c r="BO64" s="52"/>
      <c r="BP64" s="52"/>
      <c r="BQ64" s="77"/>
      <c r="BR64" s="52"/>
      <c r="BS64" s="52"/>
      <c r="BT64" s="148"/>
      <c r="BU64" s="1543"/>
      <c r="BV64" s="143"/>
      <c r="BW64" s="52"/>
      <c r="BX64" s="1544"/>
      <c r="BY64" s="125"/>
      <c r="BZ64" s="125"/>
      <c r="CA64" s="170"/>
    </row>
    <row r="65" spans="2:79" hidden="1">
      <c r="B65" s="187">
        <v>44885</v>
      </c>
      <c r="C65" s="15"/>
      <c r="D65" s="15"/>
      <c r="E65" s="15"/>
      <c r="F65" s="52"/>
      <c r="G65" s="52"/>
      <c r="H65" s="52"/>
      <c r="I65" s="52"/>
      <c r="J65" s="77"/>
      <c r="K65" s="605"/>
      <c r="L65" s="52"/>
      <c r="M65" s="52"/>
      <c r="N65" s="52"/>
      <c r="O65" s="52"/>
      <c r="P65" s="148"/>
      <c r="Q65" s="143"/>
      <c r="R65" s="52"/>
      <c r="S65" s="52"/>
      <c r="T65" s="52"/>
      <c r="U65" s="117"/>
      <c r="V65" s="125"/>
      <c r="W65" s="125"/>
      <c r="X65" s="688"/>
      <c r="Y65" s="170"/>
      <c r="Z65" s="166"/>
      <c r="AA65" s="15"/>
      <c r="AB65" s="15"/>
      <c r="AC65" s="52"/>
      <c r="AD65" s="52"/>
      <c r="AE65" s="52"/>
      <c r="AF65" s="52"/>
      <c r="AG65" s="77"/>
      <c r="AH65" s="52"/>
      <c r="AI65" s="52"/>
      <c r="AJ65" s="148"/>
      <c r="AK65" s="1607"/>
      <c r="AL65" s="143"/>
      <c r="AM65" s="52"/>
      <c r="AN65" s="1614"/>
      <c r="AO65" s="125"/>
      <c r="AP65" s="125"/>
      <c r="AQ65" s="170"/>
      <c r="AR65" s="166"/>
      <c r="AS65" s="15"/>
      <c r="AT65" s="15"/>
      <c r="AU65" s="52"/>
      <c r="AV65" s="52"/>
      <c r="AW65" s="52"/>
      <c r="AX65" s="52"/>
      <c r="AY65" s="77"/>
      <c r="AZ65" s="52"/>
      <c r="BA65" s="52"/>
      <c r="BB65" s="148"/>
      <c r="BC65" s="1543"/>
      <c r="BD65" s="143"/>
      <c r="BE65" s="52"/>
      <c r="BF65" s="1544"/>
      <c r="BG65" s="125"/>
      <c r="BH65" s="125"/>
      <c r="BI65" s="170"/>
      <c r="BJ65" s="166"/>
      <c r="BK65" s="15"/>
      <c r="BL65" s="15"/>
      <c r="BM65" s="52"/>
      <c r="BN65" s="52"/>
      <c r="BO65" s="52"/>
      <c r="BP65" s="52"/>
      <c r="BQ65" s="77"/>
      <c r="BR65" s="52"/>
      <c r="BS65" s="52"/>
      <c r="BT65" s="148"/>
      <c r="BU65" s="1543"/>
      <c r="BV65" s="143"/>
      <c r="BW65" s="52"/>
      <c r="BX65" s="1544"/>
      <c r="BY65" s="125"/>
      <c r="BZ65" s="125"/>
      <c r="CA65" s="170"/>
    </row>
    <row r="66" spans="2:79" hidden="1">
      <c r="B66" s="187">
        <v>44886</v>
      </c>
      <c r="C66" s="15"/>
      <c r="D66" s="15"/>
      <c r="E66" s="15"/>
      <c r="F66" s="52"/>
      <c r="G66" s="52"/>
      <c r="H66" s="52"/>
      <c r="I66" s="52"/>
      <c r="J66" s="77"/>
      <c r="K66" s="605"/>
      <c r="L66" s="52"/>
      <c r="M66" s="52"/>
      <c r="N66" s="52"/>
      <c r="O66" s="52"/>
      <c r="P66" s="148"/>
      <c r="Q66" s="143"/>
      <c r="R66" s="52"/>
      <c r="S66" s="52"/>
      <c r="T66" s="52"/>
      <c r="U66" s="117"/>
      <c r="V66" s="125"/>
      <c r="W66" s="125"/>
      <c r="X66" s="688"/>
      <c r="Y66" s="170"/>
      <c r="Z66" s="166"/>
      <c r="AA66" s="15"/>
      <c r="AB66" s="15"/>
      <c r="AC66" s="52"/>
      <c r="AD66" s="52"/>
      <c r="AE66" s="52"/>
      <c r="AF66" s="52"/>
      <c r="AG66" s="77"/>
      <c r="AH66" s="52"/>
      <c r="AI66" s="52"/>
      <c r="AJ66" s="148"/>
      <c r="AK66" s="1607"/>
      <c r="AL66" s="143"/>
      <c r="AM66" s="52"/>
      <c r="AN66" s="1614"/>
      <c r="AO66" s="125"/>
      <c r="AP66" s="125"/>
      <c r="AQ66" s="170"/>
      <c r="AR66" s="166"/>
      <c r="AS66" s="15"/>
      <c r="AT66" s="15"/>
      <c r="AU66" s="52"/>
      <c r="AV66" s="52"/>
      <c r="AW66" s="52"/>
      <c r="AX66" s="52"/>
      <c r="AY66" s="77"/>
      <c r="AZ66" s="52"/>
      <c r="BA66" s="52"/>
      <c r="BB66" s="148"/>
      <c r="BC66" s="1543"/>
      <c r="BD66" s="143"/>
      <c r="BE66" s="52"/>
      <c r="BF66" s="1544"/>
      <c r="BG66" s="125"/>
      <c r="BH66" s="125"/>
      <c r="BI66" s="170"/>
      <c r="BJ66" s="166"/>
      <c r="BK66" s="15"/>
      <c r="BL66" s="15"/>
      <c r="BM66" s="52"/>
      <c r="BN66" s="52"/>
      <c r="BO66" s="52"/>
      <c r="BP66" s="52"/>
      <c r="BQ66" s="77"/>
      <c r="BR66" s="52"/>
      <c r="BS66" s="52"/>
      <c r="BT66" s="148"/>
      <c r="BU66" s="1543"/>
      <c r="BV66" s="143"/>
      <c r="BW66" s="52"/>
      <c r="BX66" s="1544"/>
      <c r="BY66" s="125"/>
      <c r="BZ66" s="125"/>
      <c r="CA66" s="170"/>
    </row>
    <row r="67" spans="2:79" hidden="1">
      <c r="B67" s="190" t="s">
        <v>160</v>
      </c>
      <c r="C67" s="298">
        <f>SUM(C60:C66)</f>
        <v>0</v>
      </c>
      <c r="D67" s="298">
        <f t="shared" ref="D67:J67" si="128">SUM(D60:D66)</f>
        <v>0</v>
      </c>
      <c r="E67" s="298">
        <f t="shared" si="128"/>
        <v>0</v>
      </c>
      <c r="F67" s="298">
        <f t="shared" si="128"/>
        <v>0</v>
      </c>
      <c r="G67" s="298">
        <f t="shared" si="128"/>
        <v>0</v>
      </c>
      <c r="H67" s="298">
        <f t="shared" si="128"/>
        <v>0</v>
      </c>
      <c r="I67" s="298">
        <f t="shared" si="128"/>
        <v>0</v>
      </c>
      <c r="J67" s="479">
        <f t="shared" si="128"/>
        <v>0</v>
      </c>
      <c r="K67" s="599">
        <f>SUM($J$35,$J$43,$J$51,$J$59)/$C$8</f>
        <v>0.9400104244229337</v>
      </c>
      <c r="L67" s="299" t="e">
        <f>D67/C67</f>
        <v>#DIV/0!</v>
      </c>
      <c r="M67" s="300">
        <f>SUM(M60:M66)</f>
        <v>1975</v>
      </c>
      <c r="N67" s="301" t="e">
        <f>J67/E67</f>
        <v>#DIV/0!</v>
      </c>
      <c r="O67" s="301" t="e">
        <f>J67/I67</f>
        <v>#DIV/0!</v>
      </c>
      <c r="P67" s="302">
        <f>E67/M67</f>
        <v>0</v>
      </c>
      <c r="Q67" s="121">
        <f>SUM(Q60:Q66)</f>
        <v>1</v>
      </c>
      <c r="R67" s="27"/>
      <c r="S67" s="27"/>
      <c r="T67" s="27">
        <f>SUM(T60:T66)</f>
        <v>93.675889328063249</v>
      </c>
      <c r="U67" s="140">
        <f>Q67/T67</f>
        <v>1.0675105485232067E-2</v>
      </c>
      <c r="V67" s="237">
        <f>J67/Q67</f>
        <v>0</v>
      </c>
      <c r="W67" s="317" t="e">
        <f>Q67/D67</f>
        <v>#DIV/0!</v>
      </c>
      <c r="X67" s="682">
        <f>AVERAGE(X60:X66)</f>
        <v>0</v>
      </c>
      <c r="Y67" s="317">
        <f>AVERAGE(Y60:Y66)</f>
        <v>1</v>
      </c>
      <c r="Z67" s="164">
        <f>SUM(Z60:Z66)</f>
        <v>0</v>
      </c>
      <c r="AA67" s="27">
        <f t="shared" ref="AA67:AK67" si="129">SUM(AA60:AA66)</f>
        <v>0</v>
      </c>
      <c r="AB67" s="27">
        <f t="shared" si="129"/>
        <v>0</v>
      </c>
      <c r="AC67" s="27">
        <f t="shared" si="129"/>
        <v>0</v>
      </c>
      <c r="AD67" s="27">
        <f t="shared" si="129"/>
        <v>0</v>
      </c>
      <c r="AE67" s="27">
        <f t="shared" si="129"/>
        <v>0</v>
      </c>
      <c r="AF67" s="27">
        <f t="shared" si="129"/>
        <v>0</v>
      </c>
      <c r="AG67" s="479">
        <f t="shared" si="129"/>
        <v>0</v>
      </c>
      <c r="AH67" s="549" t="e">
        <f>AG67/AB67</f>
        <v>#DIV/0!</v>
      </c>
      <c r="AI67" s="549" t="e">
        <f>AG67/AF67</f>
        <v>#DIV/0!</v>
      </c>
      <c r="AJ67" s="550" t="e">
        <f>AA67/Z67</f>
        <v>#DIV/0!</v>
      </c>
      <c r="AK67" s="1606">
        <f t="shared" si="129"/>
        <v>0</v>
      </c>
      <c r="AL67" s="551"/>
      <c r="AM67" s="298"/>
      <c r="AN67" s="237" t="e">
        <f t="shared" ref="AN67" si="130">AG67/AK67</f>
        <v>#DIV/0!</v>
      </c>
      <c r="AO67" s="1613" t="e">
        <f t="shared" ref="AO67" si="131">AK67/AA67</f>
        <v>#DIV/0!</v>
      </c>
      <c r="AP67" s="130"/>
      <c r="AQ67" s="165"/>
      <c r="AR67" s="164">
        <f>SUM(AR60:AR66)</f>
        <v>0</v>
      </c>
      <c r="AS67" s="27">
        <f t="shared" ref="AS67:AY67" si="132">SUM(AS60:AS66)</f>
        <v>0</v>
      </c>
      <c r="AT67" s="27">
        <f t="shared" si="132"/>
        <v>0</v>
      </c>
      <c r="AU67" s="27">
        <f t="shared" si="132"/>
        <v>0</v>
      </c>
      <c r="AV67" s="27">
        <f t="shared" si="132"/>
        <v>0</v>
      </c>
      <c r="AW67" s="27">
        <f t="shared" si="132"/>
        <v>0</v>
      </c>
      <c r="AX67" s="27">
        <f t="shared" si="132"/>
        <v>0</v>
      </c>
      <c r="AY67" s="74">
        <f t="shared" si="132"/>
        <v>0</v>
      </c>
      <c r="AZ67" s="226" t="e">
        <f t="shared" ref="AZ67" si="133">AY67/AT67</f>
        <v>#DIV/0!</v>
      </c>
      <c r="BA67" s="226" t="e">
        <f t="shared" ref="BA67" si="134">AY67/AX67</f>
        <v>#DIV/0!</v>
      </c>
      <c r="BB67" s="147" t="e">
        <f t="shared" ref="BB67" si="135">AS67/AR67</f>
        <v>#DIV/0!</v>
      </c>
      <c r="BC67" s="551">
        <f t="shared" ref="BC67" si="136">SUM(BC60:BC66)</f>
        <v>1</v>
      </c>
      <c r="BD67" s="298"/>
      <c r="BE67" s="298"/>
      <c r="BF67" s="552">
        <f t="shared" ref="BF67" si="137">AY67/BC67</f>
        <v>0</v>
      </c>
      <c r="BG67" s="550" t="e">
        <f t="shared" ref="BG67" si="138">BC67/AS67</f>
        <v>#DIV/0!</v>
      </c>
      <c r="BH67" s="130"/>
      <c r="BI67" s="165"/>
      <c r="BJ67" s="164">
        <f>SUM(BJ60:BJ66)</f>
        <v>0</v>
      </c>
      <c r="BK67" s="27">
        <f t="shared" ref="BK67:BQ67" si="139">SUM(BK60:BK66)</f>
        <v>0</v>
      </c>
      <c r="BL67" s="27">
        <f t="shared" si="139"/>
        <v>0</v>
      </c>
      <c r="BM67" s="27">
        <f t="shared" si="139"/>
        <v>0</v>
      </c>
      <c r="BN67" s="27">
        <f t="shared" si="139"/>
        <v>0</v>
      </c>
      <c r="BO67" s="27">
        <f t="shared" si="139"/>
        <v>0</v>
      </c>
      <c r="BP67" s="27">
        <f t="shared" si="139"/>
        <v>0</v>
      </c>
      <c r="BQ67" s="74">
        <f t="shared" si="139"/>
        <v>0</v>
      </c>
      <c r="BR67" s="549" t="e">
        <f t="shared" ref="BR67" si="140">BQ67/BL67</f>
        <v>#DIV/0!</v>
      </c>
      <c r="BS67" s="549" t="e">
        <f t="shared" ref="BS67" si="141">BQ67/BP67</f>
        <v>#DIV/0!</v>
      </c>
      <c r="BT67" s="550" t="e">
        <f t="shared" ref="BT67" si="142">BK67/BJ67</f>
        <v>#DIV/0!</v>
      </c>
      <c r="BU67" s="551">
        <f t="shared" ref="BU67" si="143">SUM(BU60:BU66)</f>
        <v>0</v>
      </c>
      <c r="BV67" s="298"/>
      <c r="BW67" s="298"/>
      <c r="BX67" s="552" t="e">
        <f t="shared" ref="BX67" si="144">BQ67/BU67</f>
        <v>#DIV/0!</v>
      </c>
      <c r="BY67" s="547" t="e">
        <f>BU67/BK67</f>
        <v>#DIV/0!</v>
      </c>
      <c r="BZ67" s="126"/>
      <c r="CA67" s="171"/>
    </row>
    <row r="68" spans="2:79" ht="16.2" thickBot="1">
      <c r="B68" s="191" t="s">
        <v>36</v>
      </c>
      <c r="C68" s="173">
        <f t="shared" ref="C68:J68" si="145">SUM(C35,C43,C51,C59,C67,)</f>
        <v>2017119</v>
      </c>
      <c r="D68" s="173">
        <f t="shared" si="145"/>
        <v>30768</v>
      </c>
      <c r="E68" s="173">
        <f>SUM(E35,E43,E51,E59,E67,)</f>
        <v>215190</v>
      </c>
      <c r="F68" s="173">
        <f t="shared" si="145"/>
        <v>25827</v>
      </c>
      <c r="G68" s="173">
        <f t="shared" si="145"/>
        <v>12541</v>
      </c>
      <c r="H68" s="173">
        <f t="shared" si="145"/>
        <v>8489</v>
      </c>
      <c r="I68" s="173">
        <f t="shared" si="145"/>
        <v>5283</v>
      </c>
      <c r="J68" s="174">
        <f t="shared" si="145"/>
        <v>6312.17</v>
      </c>
      <c r="K68" s="615">
        <f>J68/C8</f>
        <v>0.9400104244229337</v>
      </c>
      <c r="L68" s="175">
        <f>D68/C68</f>
        <v>1.5253438195763363E-2</v>
      </c>
      <c r="M68" s="173">
        <f>SUM(M35,M43,M51,M59,M67)</f>
        <v>57275</v>
      </c>
      <c r="N68" s="216">
        <f>J68/E68</f>
        <v>2.9333008039407037E-2</v>
      </c>
      <c r="O68" s="216">
        <f>J68/I68</f>
        <v>1.1948078743138368</v>
      </c>
      <c r="P68" s="981">
        <f>E68/M68</f>
        <v>3.7571366215626365</v>
      </c>
      <c r="Q68" s="173">
        <f>SUM(Q35,Q43,Q51,Q59,Q67)</f>
        <v>5898</v>
      </c>
      <c r="R68" s="181"/>
      <c r="S68" s="181"/>
      <c r="T68" s="181">
        <f>SUM(T35,T43,T51,T59,T67)</f>
        <v>2716.600790513834</v>
      </c>
      <c r="U68" s="192">
        <f>Q68/T68</f>
        <v>2.171095591444784</v>
      </c>
      <c r="V68" s="970">
        <f>J68/Q68</f>
        <v>1.0702221091895558</v>
      </c>
      <c r="W68" s="182">
        <f>Q68/D68</f>
        <v>0.19169266770670826</v>
      </c>
      <c r="X68" s="692">
        <f>AVERAGE(X28:X34,X36:X42,X44:X50,X52:X58,X60:X63)</f>
        <v>16.971662865533702</v>
      </c>
      <c r="Y68" s="982">
        <f>AVERAGE(Y28:Y34,Y36:Y42,Y44:Y50,Y52:Y58,Y60:Y63)</f>
        <v>0.9344927344234526</v>
      </c>
      <c r="Z68" s="173">
        <f>SUM(Z35,Z43,Z51,Z59,Z67)</f>
        <v>554143</v>
      </c>
      <c r="AA68" s="173">
        <f t="shared" ref="AA68:AB68" si="146">SUM(AA35,AA43,AA51,AA59,AA67)</f>
        <v>7374</v>
      </c>
      <c r="AB68" s="173">
        <f t="shared" si="146"/>
        <v>55504</v>
      </c>
      <c r="AC68" s="173">
        <f t="shared" ref="AC68" si="147">SUM(AC35,AC43,AC51,AC59,AC67)</f>
        <v>7123</v>
      </c>
      <c r="AD68" s="173">
        <f t="shared" ref="AD68" si="148">SUM(AD35,AD43,AD51,AD59,AD67)</f>
        <v>3961</v>
      </c>
      <c r="AE68" s="173">
        <f t="shared" ref="AE68" si="149">SUM(AE35,AE43,AE51,AE59,AE67)</f>
        <v>2996</v>
      </c>
      <c r="AF68" s="173">
        <f>SUM(AF35,AF43,AF51,AF59,AF623)</f>
        <v>1542</v>
      </c>
      <c r="AG68" s="174">
        <f t="shared" ref="AG68" si="150">SUM(AG35,AG43,AG51,AG59,AG67,)</f>
        <v>1537.75</v>
      </c>
      <c r="AH68" s="216">
        <f>AG68/AB68</f>
        <v>2.7705210435283942E-2</v>
      </c>
      <c r="AI68" s="216">
        <f>AG68/AF68</f>
        <v>0.99724383916990922</v>
      </c>
      <c r="AJ68" s="180">
        <f>AA68/Z68</f>
        <v>1.3307034465832826E-2</v>
      </c>
      <c r="AK68" s="173">
        <f>SUM(AK35,AK43,AK51,AK59,AK67)</f>
        <v>1361</v>
      </c>
      <c r="AL68" s="173" t="e">
        <f>SUM(AL35,AL43,AL51,AL59,AL67,#REF!,#REF!,#REF!,#REF!)</f>
        <v>#REF!</v>
      </c>
      <c r="AM68" s="173" t="e">
        <f>SUM(AM35,AM43,AM51,AM59,AM67,#REF!,#REF!,#REF!,#REF!)</f>
        <v>#REF!</v>
      </c>
      <c r="AN68" s="174">
        <f>AG68/AK68</f>
        <v>1.1298677443056575</v>
      </c>
      <c r="AO68" s="615">
        <f>AK68/AA68</f>
        <v>0.18456739896935179</v>
      </c>
      <c r="AP68" s="173" t="e">
        <f>SUM(AP35,AP43,AP51,AP59,AP67,#REF!,#REF!,#REF!,#REF!)</f>
        <v>#REF!</v>
      </c>
      <c r="AQ68" s="177" t="e">
        <f>SUM(AQ35,AQ43,AQ51,AQ59,AQ67,#REF!,#REF!,#REF!,#REF!)</f>
        <v>#REF!</v>
      </c>
      <c r="AR68" s="173">
        <f>SUM(AR35,AR43,AR51,AR59,AR67)</f>
        <v>475625</v>
      </c>
      <c r="AS68" s="173">
        <f t="shared" ref="AS68:AW68" si="151">SUM(AS35,AS43,AS51,AS59,AS67)</f>
        <v>8450</v>
      </c>
      <c r="AT68" s="173">
        <f t="shared" si="151"/>
        <v>47425</v>
      </c>
      <c r="AU68" s="173">
        <f t="shared" si="151"/>
        <v>5938</v>
      </c>
      <c r="AV68" s="173">
        <f t="shared" si="151"/>
        <v>3055</v>
      </c>
      <c r="AW68" s="173">
        <f t="shared" si="151"/>
        <v>2200</v>
      </c>
      <c r="AX68" s="173">
        <f>SUM(AX35,AX43,AX51,AX59,AX623)</f>
        <v>1525</v>
      </c>
      <c r="AY68" s="174">
        <f t="shared" ref="AY68" si="152">SUM(AY35,AY43,AY51,AY59,AY67,)</f>
        <v>1603.69</v>
      </c>
      <c r="AZ68" s="216">
        <f>AY68/AT68</f>
        <v>3.38152872957301E-2</v>
      </c>
      <c r="BA68" s="216">
        <f>AY68/AX68</f>
        <v>1.0516000000000001</v>
      </c>
      <c r="BB68" s="180">
        <f>AS68/AR68</f>
        <v>1.7766097240473063E-2</v>
      </c>
      <c r="BC68" s="1546">
        <f>SUM(BC35,BC43,BC51,BC59,BC67)</f>
        <v>2171</v>
      </c>
      <c r="BD68" s="176" t="e">
        <f>SUM(BD35,BD43,BD51,BD59,BD67,#REF!,#REF!,#REF!,#REF!)</f>
        <v>#REF!</v>
      </c>
      <c r="BE68" s="173" t="e">
        <f>SUM(BE35,BE43,BE51,BE59,BE67,#REF!,#REF!,#REF!,#REF!)</f>
        <v>#REF!</v>
      </c>
      <c r="BF68" s="1548">
        <f>AY68/BC68</f>
        <v>0.73868724090280979</v>
      </c>
      <c r="BG68" s="1547">
        <f>BC68/AS68</f>
        <v>0.25692307692307692</v>
      </c>
      <c r="BH68" s="173" t="e">
        <f>SUM(BH35,BH43,BH51,BH59,BH67,#REF!,#REF!,#REF!,#REF!)</f>
        <v>#REF!</v>
      </c>
      <c r="BI68" s="177" t="e">
        <f>SUM(BI35,BI43,BI51,BI59,BI67,#REF!,#REF!,#REF!,#REF!)</f>
        <v>#REF!</v>
      </c>
      <c r="BJ68" s="173">
        <f t="shared" ref="BJ68:BM68" si="153">SUM(BJ35,BJ43,BJ51,BJ59,BJ67)</f>
        <v>987351</v>
      </c>
      <c r="BK68" s="173">
        <f t="shared" si="153"/>
        <v>14944</v>
      </c>
      <c r="BL68" s="173">
        <f t="shared" si="153"/>
        <v>112261</v>
      </c>
      <c r="BM68" s="173">
        <f t="shared" si="153"/>
        <v>12766</v>
      </c>
      <c r="BN68" s="173">
        <f>SUM(BN35,BN43,BN51,BN59,BN67)</f>
        <v>5525</v>
      </c>
      <c r="BO68" s="173">
        <f>SUM(BO35,BO43,BO51,BO59,BO67)</f>
        <v>3293</v>
      </c>
      <c r="BP68" s="173">
        <f>SUM(BP35,BP43,BP51,BP59,BP67)</f>
        <v>2216</v>
      </c>
      <c r="BQ68" s="174">
        <f t="shared" ref="BQ68" si="154">SUM(BQ35,BQ43,BQ51,BQ59,BQ67,)</f>
        <v>3170.7300000000005</v>
      </c>
      <c r="BR68" s="216"/>
      <c r="BS68" s="216"/>
      <c r="BT68" s="180">
        <f>BK68/BJ68</f>
        <v>1.5135448285361537E-2</v>
      </c>
      <c r="BU68" s="173">
        <f>SUM(BU35,BU43,BU51,BU59,BU67)</f>
        <v>2366</v>
      </c>
      <c r="BV68" s="181"/>
      <c r="BW68" s="181"/>
      <c r="BX68" s="1545"/>
      <c r="BY68" s="182"/>
      <c r="BZ68" s="183"/>
      <c r="CA68" s="184"/>
    </row>
  </sheetData>
  <mergeCells count="16">
    <mergeCell ref="B10:Y10"/>
    <mergeCell ref="C11:P11"/>
    <mergeCell ref="Q11:Y11"/>
    <mergeCell ref="AA11:AC11"/>
    <mergeCell ref="B25:Y25"/>
    <mergeCell ref="Z25:AQ25"/>
    <mergeCell ref="AR25:BI25"/>
    <mergeCell ref="BJ25:CA25"/>
    <mergeCell ref="C26:P26"/>
    <mergeCell ref="Q26:Y26"/>
    <mergeCell ref="Z26:AJ26"/>
    <mergeCell ref="AK26:AQ26"/>
    <mergeCell ref="AR26:BB26"/>
    <mergeCell ref="BC26:BI26"/>
    <mergeCell ref="BJ26:BT26"/>
    <mergeCell ref="BU26:CA26"/>
  </mergeCells>
  <conditionalFormatting sqref="AQ24">
    <cfRule type="cellIs" dxfId="3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CA97"/>
  <sheetViews>
    <sheetView showGridLines="0" topLeftCell="A49" zoomScaleNormal="100" workbookViewId="0">
      <selection activeCell="V18" sqref="V18"/>
    </sheetView>
  </sheetViews>
  <sheetFormatPr defaultColWidth="8.8984375" defaultRowHeight="15.6"/>
  <cols>
    <col min="1" max="1" width="3.3984375" style="17" customWidth="1"/>
    <col min="2" max="2" width="19.8984375" style="17" customWidth="1"/>
    <col min="3" max="9" width="13.69921875" style="17" customWidth="1"/>
    <col min="10" max="10" width="13.69921875" style="473" customWidth="1"/>
    <col min="11" max="11" width="13.69921875" style="601" customWidth="1"/>
    <col min="12" max="17" width="13.69921875" style="17" customWidth="1"/>
    <col min="18" max="19" width="13.69921875" style="17" hidden="1" customWidth="1"/>
    <col min="20" max="27" width="13.69921875" style="17" customWidth="1"/>
    <col min="28" max="28" width="16.09765625" style="17" bestFit="1" customWidth="1"/>
    <col min="29" max="30" width="13.69921875" style="17" customWidth="1"/>
    <col min="31" max="31" width="14.3984375" style="17" customWidth="1"/>
    <col min="32" max="32" width="13.69921875" style="17" customWidth="1"/>
    <col min="33" max="33" width="13.69921875" style="473" customWidth="1"/>
    <col min="34" max="37" width="13.69921875" style="17" customWidth="1"/>
    <col min="38" max="39" width="13.69921875" style="17" hidden="1" customWidth="1"/>
    <col min="40" max="41" width="13.69921875" style="17" customWidth="1"/>
    <col min="42" max="43" width="13.69921875" style="17" hidden="1" customWidth="1"/>
    <col min="44" max="50" width="13.69921875" style="17" customWidth="1"/>
    <col min="51" max="51" width="13.69921875" style="473" customWidth="1"/>
    <col min="52" max="55" width="13.69921875" style="17" customWidth="1"/>
    <col min="56" max="57" width="13.69921875" style="17" hidden="1" customWidth="1"/>
    <col min="58" max="59" width="13.69921875" style="17" customWidth="1"/>
    <col min="60" max="61" width="13.69921875" style="17" hidden="1" customWidth="1"/>
    <col min="62" max="68" width="13.69921875" style="17" customWidth="1"/>
    <col min="69" max="69" width="13.69921875" style="473" customWidth="1"/>
    <col min="70" max="71" width="13.69921875" style="17" customWidth="1"/>
    <col min="72" max="73" width="8.8984375" style="17"/>
    <col min="74" max="75" width="0" style="17" hidden="1" customWidth="1"/>
    <col min="76" max="76" width="9.3984375" style="17" bestFit="1" customWidth="1"/>
    <col min="77" max="77" width="8.8984375" style="17"/>
    <col min="78" max="79" width="0" style="17" hidden="1" customWidth="1"/>
    <col min="80" max="16384" width="8.8984375" style="17"/>
  </cols>
  <sheetData>
    <row r="1" spans="2:69" s="2" customFormat="1">
      <c r="J1" s="472"/>
      <c r="K1" s="600"/>
      <c r="AG1" s="472"/>
      <c r="AY1" s="472"/>
      <c r="BQ1" s="472"/>
    </row>
    <row r="2" spans="2:69" s="2" customFormat="1">
      <c r="J2" s="472"/>
      <c r="K2" s="600"/>
      <c r="AG2" s="472"/>
      <c r="AY2" s="472"/>
      <c r="BQ2" s="472"/>
    </row>
    <row r="3" spans="2:69" ht="16.2" thickBot="1"/>
    <row r="4" spans="2:69">
      <c r="B4" s="43" t="s">
        <v>14</v>
      </c>
      <c r="C4" s="45" t="s">
        <v>33</v>
      </c>
      <c r="D4" s="76"/>
      <c r="E4" s="76"/>
      <c r="F4" s="19"/>
      <c r="G4" s="19"/>
      <c r="H4" s="19"/>
      <c r="I4" s="19"/>
      <c r="J4" s="474"/>
      <c r="K4" s="602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2:69" ht="16.2" thickBot="1">
      <c r="B5" s="44" t="s">
        <v>113</v>
      </c>
      <c r="C5" s="205">
        <v>7086.6</v>
      </c>
      <c r="D5" s="76"/>
      <c r="E5" s="76"/>
      <c r="F5" s="19"/>
      <c r="G5" s="19"/>
      <c r="H5" s="19"/>
      <c r="I5" s="19"/>
      <c r="J5" s="474"/>
      <c r="K5" s="602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507"/>
      <c r="AH5" s="20"/>
      <c r="AI5" s="20"/>
      <c r="AJ5" s="20"/>
      <c r="AK5" s="20"/>
      <c r="AM5" s="20"/>
      <c r="AN5" s="20"/>
      <c r="AO5" s="20"/>
      <c r="AP5" s="20"/>
      <c r="AQ5" s="20"/>
      <c r="AR5" s="20"/>
      <c r="AS5" s="20"/>
      <c r="AU5" s="20"/>
      <c r="AV5" s="20"/>
      <c r="AW5" s="20"/>
      <c r="AX5" s="20"/>
      <c r="BD5" s="20"/>
      <c r="BH5" s="20"/>
      <c r="BK5" s="20"/>
      <c r="BN5" s="20"/>
      <c r="BO5" s="20"/>
    </row>
    <row r="6" spans="2:69" ht="16.2" thickBot="1">
      <c r="B6" s="21"/>
      <c r="C6" s="21"/>
      <c r="D6" s="21"/>
      <c r="E6" s="21"/>
      <c r="F6" s="21"/>
      <c r="G6" s="21"/>
      <c r="H6" s="21"/>
      <c r="I6" s="21"/>
      <c r="J6" s="475"/>
      <c r="K6" s="603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507"/>
      <c r="AH6" s="20"/>
      <c r="AI6" s="20"/>
      <c r="AJ6" s="20"/>
      <c r="AK6" s="20"/>
      <c r="AM6" s="20"/>
      <c r="AN6" s="20"/>
      <c r="AO6" s="20"/>
      <c r="AP6" s="20"/>
      <c r="AQ6" s="20"/>
      <c r="AR6" s="20"/>
      <c r="AS6" s="20"/>
      <c r="AU6" s="20"/>
      <c r="AV6" s="20"/>
      <c r="AW6" s="20"/>
      <c r="AX6" s="20"/>
      <c r="BD6" s="20"/>
      <c r="BH6" s="20"/>
      <c r="BK6" s="20"/>
      <c r="BN6" s="20"/>
      <c r="BO6" s="20"/>
    </row>
    <row r="7" spans="2:69" ht="16.2" thickBot="1">
      <c r="B7" s="2001" t="s">
        <v>115</v>
      </c>
      <c r="C7" s="2002"/>
      <c r="D7" s="2002"/>
      <c r="E7" s="2002"/>
      <c r="F7" s="2002"/>
      <c r="G7" s="2002"/>
      <c r="H7" s="2002"/>
      <c r="I7" s="2002"/>
      <c r="J7" s="2002"/>
      <c r="K7" s="2002"/>
      <c r="L7" s="2002"/>
      <c r="M7" s="2002"/>
      <c r="N7" s="2002"/>
      <c r="O7" s="2002"/>
      <c r="P7" s="2002"/>
      <c r="Q7" s="2002"/>
      <c r="R7" s="2002"/>
      <c r="S7" s="2002"/>
      <c r="T7" s="2002"/>
      <c r="U7" s="2002"/>
      <c r="V7" s="2002"/>
      <c r="W7" s="2002"/>
      <c r="X7" s="2002"/>
      <c r="Y7" s="2003"/>
      <c r="Z7" s="222"/>
      <c r="AA7" s="20"/>
      <c r="AB7" s="20"/>
      <c r="AC7" s="20"/>
      <c r="AD7" s="20"/>
      <c r="AE7" s="20"/>
      <c r="AF7" s="20"/>
      <c r="AG7" s="507"/>
      <c r="AH7" s="20"/>
      <c r="AI7" s="20"/>
      <c r="AJ7" s="20"/>
      <c r="AK7" s="20"/>
      <c r="AM7" s="20"/>
      <c r="AN7" s="20"/>
      <c r="AO7" s="20"/>
      <c r="AP7" s="20"/>
      <c r="AQ7" s="20"/>
      <c r="AR7" s="20"/>
      <c r="AS7" s="20"/>
      <c r="AU7" s="20"/>
      <c r="AV7" s="20"/>
      <c r="AW7" s="20"/>
      <c r="AX7" s="20"/>
      <c r="BD7" s="20"/>
      <c r="BH7" s="20"/>
      <c r="BK7" s="20"/>
      <c r="BN7" s="20"/>
      <c r="BO7" s="20"/>
    </row>
    <row r="8" spans="2:69" ht="16.2" thickBot="1">
      <c r="B8" s="245"/>
      <c r="C8" s="2056" t="s">
        <v>14</v>
      </c>
      <c r="D8" s="2057"/>
      <c r="E8" s="2057"/>
      <c r="F8" s="2057"/>
      <c r="G8" s="2057"/>
      <c r="H8" s="2057"/>
      <c r="I8" s="2057"/>
      <c r="J8" s="2057"/>
      <c r="K8" s="2057"/>
      <c r="L8" s="2057"/>
      <c r="M8" s="2057"/>
      <c r="N8" s="2057"/>
      <c r="O8" s="2057"/>
      <c r="P8" s="2058"/>
      <c r="Q8" s="2005" t="s">
        <v>116</v>
      </c>
      <c r="R8" s="2005"/>
      <c r="S8" s="2005"/>
      <c r="T8" s="2005"/>
      <c r="U8" s="2005"/>
      <c r="V8" s="2005"/>
      <c r="W8" s="2005"/>
      <c r="X8" s="2005"/>
      <c r="Y8" s="2006"/>
      <c r="Z8" s="20"/>
      <c r="AA8" s="1999" t="s">
        <v>184</v>
      </c>
      <c r="AB8" s="2000"/>
      <c r="AC8" s="2000"/>
      <c r="AD8" s="20"/>
      <c r="AF8" s="20"/>
      <c r="AG8" s="507"/>
      <c r="AH8" s="20"/>
      <c r="AI8" s="20"/>
      <c r="AJ8" s="20"/>
      <c r="AK8" s="20"/>
      <c r="AL8" s="20"/>
      <c r="AM8" s="20"/>
      <c r="AP8" s="20"/>
      <c r="AQ8" s="20"/>
      <c r="AR8" s="20"/>
      <c r="AS8" s="20"/>
      <c r="AT8" s="20"/>
      <c r="AX8" s="20"/>
      <c r="AY8" s="507"/>
      <c r="AZ8" s="20"/>
      <c r="BD8" s="20"/>
      <c r="BE8" s="20"/>
      <c r="BH8" s="20"/>
      <c r="BK8" s="20"/>
    </row>
    <row r="9" spans="2:69" s="22" customFormat="1" ht="31.2">
      <c r="B9" s="339" t="s">
        <v>119</v>
      </c>
      <c r="C9" s="448" t="s">
        <v>120</v>
      </c>
      <c r="D9" s="448" t="s">
        <v>121</v>
      </c>
      <c r="E9" s="291" t="s">
        <v>200</v>
      </c>
      <c r="F9" s="449" t="s">
        <v>123</v>
      </c>
      <c r="G9" s="449" t="s">
        <v>124</v>
      </c>
      <c r="H9" s="449" t="s">
        <v>125</v>
      </c>
      <c r="I9" s="449" t="s">
        <v>126</v>
      </c>
      <c r="J9" s="502" t="s">
        <v>127</v>
      </c>
      <c r="K9" s="604" t="s">
        <v>20</v>
      </c>
      <c r="L9" s="449" t="s">
        <v>129</v>
      </c>
      <c r="M9" s="450" t="s">
        <v>201</v>
      </c>
      <c r="N9" s="439" t="s">
        <v>202</v>
      </c>
      <c r="O9" s="439" t="s">
        <v>179</v>
      </c>
      <c r="P9" s="451" t="s">
        <v>180</v>
      </c>
      <c r="Q9" s="440" t="s">
        <v>132</v>
      </c>
      <c r="R9" s="440" t="s">
        <v>133</v>
      </c>
      <c r="S9" s="440" t="s">
        <v>134</v>
      </c>
      <c r="T9" s="440" t="s">
        <v>135</v>
      </c>
      <c r="U9" s="137" t="s">
        <v>165</v>
      </c>
      <c r="V9" s="452" t="s">
        <v>21</v>
      </c>
      <c r="W9" s="440" t="s">
        <v>137</v>
      </c>
      <c r="X9" s="441" t="s">
        <v>138</v>
      </c>
      <c r="Y9" s="442" t="s">
        <v>23</v>
      </c>
      <c r="AA9" s="193" t="s">
        <v>139</v>
      </c>
      <c r="AB9" s="193" t="s">
        <v>140</v>
      </c>
      <c r="AC9" s="198" t="s">
        <v>141</v>
      </c>
      <c r="AG9" s="480"/>
      <c r="AY9" s="480"/>
      <c r="BQ9" s="480"/>
    </row>
    <row r="10" spans="2:69" ht="31.2">
      <c r="B10" s="103" t="s">
        <v>142</v>
      </c>
      <c r="C10" s="15">
        <f>SUM(C25:C31)</f>
        <v>473092</v>
      </c>
      <c r="D10" s="15">
        <f t="shared" ref="D10:J10" si="0">SUM(D25:D31)</f>
        <v>524</v>
      </c>
      <c r="E10" s="290">
        <f t="shared" si="0"/>
        <v>179663</v>
      </c>
      <c r="F10" s="15">
        <f t="shared" si="0"/>
        <v>51940</v>
      </c>
      <c r="G10" s="15">
        <f t="shared" si="0"/>
        <v>10449</v>
      </c>
      <c r="H10" s="15">
        <f t="shared" si="0"/>
        <v>4722</v>
      </c>
      <c r="I10" s="15">
        <f t="shared" si="0"/>
        <v>2507</v>
      </c>
      <c r="J10" s="72">
        <f t="shared" si="0"/>
        <v>2200.509333</v>
      </c>
      <c r="K10" s="73">
        <f>J10/$C$5</f>
        <v>0.31051693802387603</v>
      </c>
      <c r="L10" s="79">
        <f>D10/C10</f>
        <v>1.1076069770784541E-3</v>
      </c>
      <c r="M10" s="52">
        <f>$AB$10/30*7</f>
        <v>81900</v>
      </c>
      <c r="N10" s="233">
        <f>J10/E10</f>
        <v>1.2247982795567255E-2</v>
      </c>
      <c r="O10" s="77">
        <f>J10/I10</f>
        <v>0.87774604427602709</v>
      </c>
      <c r="P10" s="73">
        <f>E10/M10</f>
        <v>2.1936874236874235</v>
      </c>
      <c r="Q10" s="52">
        <f>Q32</f>
        <v>143</v>
      </c>
      <c r="R10" s="132"/>
      <c r="S10" s="132"/>
      <c r="T10" s="202">
        <f>$AB$12/30*7</f>
        <v>992.36666666666679</v>
      </c>
      <c r="U10" s="73">
        <f>Q10/T10</f>
        <v>0.1440999630512915</v>
      </c>
      <c r="V10" s="338">
        <f>J10/Q10</f>
        <v>15.388177153846154</v>
      </c>
      <c r="W10" s="335">
        <f>Q10/D10</f>
        <v>0.27290076335877861</v>
      </c>
      <c r="X10" s="706">
        <f>X32</f>
        <v>13.499999999999998</v>
      </c>
      <c r="Y10" s="394">
        <f>Y32</f>
        <v>0.90284254843078371</v>
      </c>
      <c r="AA10" s="97">
        <f>E18</f>
        <v>1117998</v>
      </c>
      <c r="AB10" s="96">
        <v>351000</v>
      </c>
      <c r="AC10" s="238">
        <f>AA10/AB10</f>
        <v>3.1851794871794872</v>
      </c>
    </row>
    <row r="11" spans="2:69" ht="31.2">
      <c r="B11" s="103" t="s">
        <v>143</v>
      </c>
      <c r="C11" s="15">
        <f>SUM(C33:C39)</f>
        <v>1002812</v>
      </c>
      <c r="D11" s="15">
        <f>SUM(D33:D39)</f>
        <v>1129</v>
      </c>
      <c r="E11" s="15">
        <f t="shared" ref="E11:I11" si="1">SUM(E33:E39)</f>
        <v>438320</v>
      </c>
      <c r="F11" s="15">
        <f t="shared" si="1"/>
        <v>189618</v>
      </c>
      <c r="G11" s="15">
        <f t="shared" si="1"/>
        <v>68830</v>
      </c>
      <c r="H11" s="15">
        <f t="shared" si="1"/>
        <v>31531</v>
      </c>
      <c r="I11" s="15">
        <f t="shared" si="1"/>
        <v>16931</v>
      </c>
      <c r="J11" s="77">
        <f>SUM(J33:J39)</f>
        <v>2785.078137</v>
      </c>
      <c r="K11" s="73">
        <f>J11/$C$5</f>
        <v>0.39300625645584625</v>
      </c>
      <c r="L11" s="79">
        <f>D11/C11</f>
        <v>1.1258341543579455E-3</v>
      </c>
      <c r="M11" s="52">
        <f>$AB$10/30*7</f>
        <v>81900</v>
      </c>
      <c r="N11" s="77">
        <f>J11/E11</f>
        <v>6.3539837036868038E-3</v>
      </c>
      <c r="O11" s="77">
        <f>J11/I11</f>
        <v>0.16449578506880869</v>
      </c>
      <c r="P11" s="73">
        <f>E11/M11</f>
        <v>5.3518925518925515</v>
      </c>
      <c r="Q11" s="131">
        <f>SUM(Q33:Q39)</f>
        <v>256</v>
      </c>
      <c r="R11" s="132"/>
      <c r="S11" s="132"/>
      <c r="T11" s="293">
        <f>$AB$12/30*7</f>
        <v>992.36666666666679</v>
      </c>
      <c r="U11" s="139">
        <f>Q11/T11</f>
        <v>0.25796916462329111</v>
      </c>
      <c r="V11" s="224">
        <f>J11/Q11</f>
        <v>10.87921147265625</v>
      </c>
      <c r="W11" s="335">
        <f>Q11/D11</f>
        <v>0.22674933569530559</v>
      </c>
      <c r="X11" s="674">
        <f>X40</f>
        <v>6.7619047619047619</v>
      </c>
      <c r="Y11" s="348">
        <f>Y40</f>
        <v>0.91633555954480828</v>
      </c>
      <c r="AA11" s="199" t="s">
        <v>132</v>
      </c>
      <c r="AB11" s="199" t="s">
        <v>144</v>
      </c>
      <c r="AC11" s="198" t="s">
        <v>141</v>
      </c>
    </row>
    <row r="12" spans="2:69" ht="31.2">
      <c r="B12" s="105" t="s">
        <v>145</v>
      </c>
      <c r="C12" s="15">
        <f>SUM(C41:C47)</f>
        <v>750212</v>
      </c>
      <c r="D12" s="15">
        <f t="shared" ref="D12:J12" si="2">SUM(D41:D47)</f>
        <v>805</v>
      </c>
      <c r="E12" s="15">
        <f t="shared" si="2"/>
        <v>350939</v>
      </c>
      <c r="F12" s="15">
        <f t="shared" si="2"/>
        <v>164647</v>
      </c>
      <c r="G12" s="15">
        <f t="shared" si="2"/>
        <v>62192</v>
      </c>
      <c r="H12" s="15">
        <f t="shared" si="2"/>
        <v>29121</v>
      </c>
      <c r="I12" s="15">
        <f t="shared" si="2"/>
        <v>15749</v>
      </c>
      <c r="J12" s="72">
        <f t="shared" si="2"/>
        <v>1400.5125320000004</v>
      </c>
      <c r="K12" s="73">
        <f>J12/$C$5</f>
        <v>0.19762827477210515</v>
      </c>
      <c r="L12" s="79">
        <f>D12/C12</f>
        <v>1.0730300235133536E-3</v>
      </c>
      <c r="M12" s="52">
        <f>$AB$10/30*7</f>
        <v>81900</v>
      </c>
      <c r="N12" s="233">
        <f>J12/E12</f>
        <v>3.9907577442233558E-3</v>
      </c>
      <c r="O12" s="77">
        <f>J12/I12</f>
        <v>8.892707676677887E-2</v>
      </c>
      <c r="P12" s="73">
        <f>E12/M12</f>
        <v>4.2849694749694747</v>
      </c>
      <c r="Q12" s="15">
        <f t="shared" ref="Q12" si="3">SUM(Q41:Q47)</f>
        <v>128</v>
      </c>
      <c r="R12" s="52"/>
      <c r="S12" s="52"/>
      <c r="T12" s="293">
        <f>$AB$12/30*7</f>
        <v>992.36666666666679</v>
      </c>
      <c r="U12" s="139">
        <f>Q12/T12</f>
        <v>0.12898458231164556</v>
      </c>
      <c r="V12" s="224">
        <f>J12/Q12</f>
        <v>10.941504156250003</v>
      </c>
      <c r="W12" s="335">
        <f>Q12/D12</f>
        <v>0.15900621118012423</v>
      </c>
      <c r="X12" s="52">
        <f>X48</f>
        <v>5.761904761904761</v>
      </c>
      <c r="Y12" s="616">
        <f>Y48</f>
        <v>0.87265381677146381</v>
      </c>
      <c r="Z12" s="40"/>
      <c r="AA12" s="204">
        <f>Q18</f>
        <v>620</v>
      </c>
      <c r="AB12" s="131">
        <v>4253</v>
      </c>
      <c r="AC12" s="212">
        <f>AA12/AB12</f>
        <v>0.14577944980014107</v>
      </c>
      <c r="AD12" s="40"/>
    </row>
    <row r="13" spans="2:69" ht="31.2">
      <c r="B13" s="105" t="s">
        <v>146</v>
      </c>
      <c r="C13" s="15">
        <f>SUM(C49:C55)</f>
        <v>307209</v>
      </c>
      <c r="D13" s="15">
        <f t="shared" ref="D13:H13" si="4">SUM(D49:D55)</f>
        <v>323</v>
      </c>
      <c r="E13" s="15">
        <f t="shared" si="4"/>
        <v>149076</v>
      </c>
      <c r="F13" s="15">
        <f t="shared" si="4"/>
        <v>74864</v>
      </c>
      <c r="G13" s="15">
        <f t="shared" si="4"/>
        <v>30287</v>
      </c>
      <c r="H13" s="15">
        <f t="shared" si="4"/>
        <v>14231</v>
      </c>
      <c r="I13" s="15">
        <f t="shared" ref="I13:J13" si="5">SUM(I49:I55)</f>
        <v>7681</v>
      </c>
      <c r="J13" s="72">
        <f t="shared" si="5"/>
        <v>506.92736400000001</v>
      </c>
      <c r="K13" s="73">
        <f>J13/$C$5</f>
        <v>7.1533226653119966E-2</v>
      </c>
      <c r="L13" s="79">
        <f>D13/C13</f>
        <v>1.0514014888886719E-3</v>
      </c>
      <c r="M13" s="52">
        <f>$AB$10/30*7</f>
        <v>81900</v>
      </c>
      <c r="N13" s="233">
        <f>J13/E13</f>
        <v>3.4004626096756016E-3</v>
      </c>
      <c r="O13" s="77">
        <f>J13/I13</f>
        <v>6.5997573753417527E-2</v>
      </c>
      <c r="P13" s="73">
        <f>E13/M13</f>
        <v>1.8202197802197801</v>
      </c>
      <c r="Q13" s="52">
        <f>SUM(Q49:Q55)+27</f>
        <v>93</v>
      </c>
      <c r="R13" s="52"/>
      <c r="S13" s="52"/>
      <c r="T13" s="293">
        <f>$AB$12/30*7+284</f>
        <v>1276.3666666666668</v>
      </c>
      <c r="U13" s="139">
        <f>Q13/T13</f>
        <v>7.2863074873991268E-2</v>
      </c>
      <c r="V13" s="224">
        <f>J13/Q13</f>
        <v>5.4508318709677424</v>
      </c>
      <c r="W13" s="335">
        <f>Q13/D13</f>
        <v>0.28792569659442724</v>
      </c>
      <c r="X13" s="52">
        <f>X56</f>
        <v>10.19047619047619</v>
      </c>
      <c r="Y13" s="616">
        <f>Y56</f>
        <v>0.93419080919080921</v>
      </c>
    </row>
    <row r="14" spans="2:69">
      <c r="B14" s="105" t="s">
        <v>203</v>
      </c>
      <c r="C14" s="15"/>
      <c r="D14" s="15"/>
      <c r="E14" s="15"/>
      <c r="F14" s="15"/>
      <c r="G14" s="15"/>
      <c r="H14" s="15"/>
      <c r="I14" s="15"/>
      <c r="J14" s="72"/>
      <c r="K14" s="605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104"/>
    </row>
    <row r="15" spans="2:69">
      <c r="B15" s="103" t="s">
        <v>195</v>
      </c>
      <c r="C15" s="15"/>
      <c r="D15" s="15"/>
      <c r="E15" s="15"/>
      <c r="F15" s="15"/>
      <c r="G15" s="15"/>
      <c r="H15" s="15"/>
      <c r="I15" s="15"/>
      <c r="J15" s="72"/>
      <c r="K15" s="605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104"/>
    </row>
    <row r="16" spans="2:69" ht="16.2" thickBot="1">
      <c r="B16" s="106" t="s">
        <v>196</v>
      </c>
      <c r="C16" s="102"/>
      <c r="D16" s="102"/>
      <c r="E16" s="102"/>
      <c r="F16" s="102"/>
      <c r="G16" s="102"/>
      <c r="H16" s="102"/>
      <c r="I16" s="102"/>
      <c r="J16" s="503"/>
      <c r="K16" s="606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620"/>
      <c r="Y16" s="104"/>
      <c r="AA16" s="467"/>
    </row>
    <row r="17" spans="2:79" ht="16.2" thickBot="1">
      <c r="B17" s="106" t="s">
        <v>197</v>
      </c>
      <c r="C17" s="35"/>
      <c r="D17" s="35"/>
      <c r="E17" s="35"/>
      <c r="F17" s="35"/>
      <c r="G17" s="35"/>
      <c r="H17" s="35"/>
      <c r="I17" s="35"/>
      <c r="J17" s="504"/>
      <c r="K17" s="606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620"/>
      <c r="Y17" s="104"/>
    </row>
    <row r="18" spans="2:79" ht="16.2" thickBot="1">
      <c r="B18" s="107" t="s">
        <v>153</v>
      </c>
      <c r="C18" s="108">
        <f>SUM(C10:C17)</f>
        <v>2533325</v>
      </c>
      <c r="D18" s="108">
        <f t="shared" ref="D18:I18" si="6">SUM(D10:D17)</f>
        <v>2781</v>
      </c>
      <c r="E18" s="108">
        <f t="shared" si="6"/>
        <v>1117998</v>
      </c>
      <c r="F18" s="108">
        <f t="shared" si="6"/>
        <v>481069</v>
      </c>
      <c r="G18" s="108">
        <f t="shared" si="6"/>
        <v>171758</v>
      </c>
      <c r="H18" s="108">
        <f t="shared" si="6"/>
        <v>79605</v>
      </c>
      <c r="I18" s="108">
        <f t="shared" si="6"/>
        <v>42868</v>
      </c>
      <c r="J18" s="109">
        <f>SUM(J10:J17)</f>
        <v>6893.0273660000012</v>
      </c>
      <c r="K18" s="111">
        <f>SUM(K10:K17)</f>
        <v>0.97268469590494744</v>
      </c>
      <c r="L18" s="110">
        <f>D18/C18</f>
        <v>1.0977667689696347E-3</v>
      </c>
      <c r="M18" s="112">
        <f>SUM(M10:M17)</f>
        <v>327600</v>
      </c>
      <c r="N18" s="340">
        <f>J18/E18</f>
        <v>6.1655095679956501E-3</v>
      </c>
      <c r="O18" s="229">
        <f>J18/I18</f>
        <v>0.16079657007558087</v>
      </c>
      <c r="P18" s="341">
        <f>E18/M18</f>
        <v>3.4126923076923079</v>
      </c>
      <c r="Q18" s="108">
        <f>SUM(Q10:Q17)</f>
        <v>620</v>
      </c>
      <c r="R18" s="112"/>
      <c r="S18" s="112"/>
      <c r="T18" s="108">
        <f>SUM(T10:T17)</f>
        <v>4253.4666666666672</v>
      </c>
      <c r="U18" s="138">
        <f>Q18/T18</f>
        <v>0.14576345569104415</v>
      </c>
      <c r="V18" s="342">
        <f>J18/Q18</f>
        <v>11.11778607419355</v>
      </c>
      <c r="W18" s="138">
        <f>Q18/D18</f>
        <v>0.22294138798993168</v>
      </c>
      <c r="X18" s="621">
        <f>AVERAGE(X10:X17)</f>
        <v>9.053571428571427</v>
      </c>
      <c r="Y18" s="337">
        <f>AVERAGE(Y10:Y17)</f>
        <v>0.90650568348446625</v>
      </c>
      <c r="Z18" s="18"/>
      <c r="AA18" s="18"/>
      <c r="AB18" s="18"/>
      <c r="AC18" s="18"/>
      <c r="AD18" s="18"/>
      <c r="AE18" s="18"/>
      <c r="AF18" s="18"/>
      <c r="AG18" s="50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50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508"/>
      <c r="BR18" s="18"/>
    </row>
    <row r="19" spans="2:79" customFormat="1" ht="14.4">
      <c r="J19" s="477"/>
      <c r="K19" s="607"/>
      <c r="AG19" s="477"/>
      <c r="AY19" s="477"/>
      <c r="BQ19" s="477"/>
    </row>
    <row r="20" spans="2:79">
      <c r="U20" s="30"/>
      <c r="V20" s="30"/>
      <c r="W20" s="57" t="s">
        <v>171</v>
      </c>
      <c r="X20" s="57"/>
      <c r="Y20" s="57"/>
      <c r="Z20" s="57"/>
      <c r="AA20" s="57"/>
      <c r="AB20" s="57"/>
      <c r="AC20" s="57"/>
      <c r="AD20" s="57"/>
      <c r="AE20" s="57"/>
      <c r="AF20" s="57"/>
      <c r="AG20" s="509"/>
      <c r="AH20" s="57"/>
      <c r="AI20" s="57"/>
      <c r="AJ20" s="57"/>
      <c r="AK20" s="57"/>
      <c r="AL20" s="57" t="s">
        <v>166</v>
      </c>
      <c r="AM20" s="57" t="s">
        <v>29</v>
      </c>
      <c r="AN20" s="57"/>
      <c r="AO20" s="57"/>
      <c r="AP20" s="57"/>
      <c r="AQ20" s="57"/>
      <c r="AR20" s="57"/>
      <c r="AS20" s="57"/>
      <c r="AT20" s="57" t="s">
        <v>166</v>
      </c>
      <c r="AU20" s="18"/>
      <c r="AV20" s="18"/>
      <c r="AW20" s="18"/>
      <c r="AX20" s="18"/>
      <c r="AY20" s="50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508"/>
      <c r="BR20" s="18"/>
      <c r="BS20" s="18"/>
    </row>
    <row r="21" spans="2:79" ht="16.2" thickBot="1">
      <c r="U21" s="30"/>
      <c r="V21" s="30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51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510"/>
      <c r="AZ21" s="32"/>
      <c r="BA21" s="32"/>
      <c r="BB21" s="33"/>
      <c r="BC21" s="33"/>
      <c r="BD21" s="32"/>
      <c r="BE21" s="32"/>
      <c r="BF21" s="32"/>
      <c r="BG21" s="33"/>
      <c r="BH21" s="32"/>
      <c r="BI21" s="32"/>
      <c r="BJ21" s="33"/>
      <c r="BK21" s="32"/>
      <c r="BL21" s="32"/>
      <c r="BM21" s="33"/>
      <c r="BN21" s="32"/>
      <c r="BO21" s="32"/>
      <c r="BP21" s="32"/>
      <c r="BQ21" s="510"/>
      <c r="BR21" s="33"/>
      <c r="BS21" s="33"/>
    </row>
    <row r="22" spans="2:79" ht="13.5" customHeight="1" thickBot="1">
      <c r="B22" s="2059" t="s">
        <v>154</v>
      </c>
      <c r="C22" s="2060"/>
      <c r="D22" s="2060"/>
      <c r="E22" s="2060"/>
      <c r="F22" s="2060"/>
      <c r="G22" s="2060"/>
      <c r="H22" s="2060"/>
      <c r="I22" s="2060"/>
      <c r="J22" s="2060"/>
      <c r="K22" s="2060"/>
      <c r="L22" s="2060"/>
      <c r="M22" s="2060"/>
      <c r="N22" s="2060"/>
      <c r="O22" s="2060"/>
      <c r="P22" s="2060"/>
      <c r="Q22" s="2060"/>
      <c r="R22" s="2060"/>
      <c r="S22" s="2060"/>
      <c r="T22" s="2060"/>
      <c r="U22" s="2060"/>
      <c r="V22" s="2060"/>
      <c r="W22" s="2060"/>
      <c r="X22" s="2060"/>
      <c r="Y22" s="2061"/>
      <c r="Z22" s="2037" t="s">
        <v>70</v>
      </c>
      <c r="AA22" s="2038"/>
      <c r="AB22" s="2038"/>
      <c r="AC22" s="2038"/>
      <c r="AD22" s="2038"/>
      <c r="AE22" s="2038"/>
      <c r="AF22" s="2038"/>
      <c r="AG22" s="2038"/>
      <c r="AH22" s="2038"/>
      <c r="AI22" s="2038"/>
      <c r="AJ22" s="2038"/>
      <c r="AK22" s="2038"/>
      <c r="AL22" s="2038"/>
      <c r="AM22" s="2038"/>
      <c r="AN22" s="2038"/>
      <c r="AO22" s="2038"/>
      <c r="AP22" s="2038"/>
      <c r="AQ22" s="2047"/>
      <c r="AR22" s="2048" t="s">
        <v>72</v>
      </c>
      <c r="AS22" s="2049"/>
      <c r="AT22" s="2049"/>
      <c r="AU22" s="2049"/>
      <c r="AV22" s="2049"/>
      <c r="AW22" s="2049"/>
      <c r="AX22" s="2049"/>
      <c r="AY22" s="2049"/>
      <c r="AZ22" s="2049"/>
      <c r="BA22" s="2049"/>
      <c r="BB22" s="2049"/>
      <c r="BC22" s="2049"/>
      <c r="BD22" s="2049"/>
      <c r="BE22" s="2049"/>
      <c r="BF22" s="2049"/>
      <c r="BG22" s="2049"/>
      <c r="BH22" s="2049"/>
      <c r="BI22" s="2051"/>
      <c r="BJ22" s="2037" t="s">
        <v>73</v>
      </c>
      <c r="BK22" s="2038"/>
      <c r="BL22" s="2038"/>
      <c r="BM22" s="2038"/>
      <c r="BN22" s="2038"/>
      <c r="BO22" s="2038"/>
      <c r="BP22" s="2038"/>
      <c r="BQ22" s="2038"/>
      <c r="BR22" s="2038"/>
      <c r="BS22" s="2038"/>
      <c r="BT22" s="2038"/>
      <c r="BU22" s="2038"/>
      <c r="BV22" s="2038"/>
      <c r="BW22" s="2038"/>
      <c r="BX22" s="2038"/>
      <c r="BY22" s="2038"/>
      <c r="BZ22" s="2038"/>
      <c r="CA22" s="2040"/>
    </row>
    <row r="23" spans="2:79" ht="13.5" customHeight="1">
      <c r="B23" s="245"/>
      <c r="C23" s="2053" t="s">
        <v>14</v>
      </c>
      <c r="D23" s="2054"/>
      <c r="E23" s="2054"/>
      <c r="F23" s="2054"/>
      <c r="G23" s="2054"/>
      <c r="H23" s="2054"/>
      <c r="I23" s="2054"/>
      <c r="J23" s="2054"/>
      <c r="K23" s="2054"/>
      <c r="L23" s="2054"/>
      <c r="M23" s="2054"/>
      <c r="N23" s="2054"/>
      <c r="O23" s="2054"/>
      <c r="P23" s="2055"/>
      <c r="Q23" s="2062" t="s">
        <v>116</v>
      </c>
      <c r="R23" s="2063"/>
      <c r="S23" s="2063"/>
      <c r="T23" s="2063"/>
      <c r="U23" s="2063"/>
      <c r="V23" s="2063"/>
      <c r="W23" s="2063"/>
      <c r="X23" s="2063"/>
      <c r="Y23" s="2064"/>
      <c r="Z23" s="2031" t="s">
        <v>14</v>
      </c>
      <c r="AA23" s="2032"/>
      <c r="AB23" s="2032"/>
      <c r="AC23" s="2032"/>
      <c r="AD23" s="2032"/>
      <c r="AE23" s="2032"/>
      <c r="AF23" s="2032"/>
      <c r="AG23" s="2032"/>
      <c r="AH23" s="2032"/>
      <c r="AI23" s="2032"/>
      <c r="AJ23" s="2032"/>
      <c r="AK23" s="2032" t="s">
        <v>116</v>
      </c>
      <c r="AL23" s="2032"/>
      <c r="AM23" s="2032"/>
      <c r="AN23" s="2032"/>
      <c r="AO23" s="2032"/>
      <c r="AP23" s="2032"/>
      <c r="AQ23" s="2033"/>
      <c r="AR23" s="2034" t="s">
        <v>14</v>
      </c>
      <c r="AS23" s="2035"/>
      <c r="AT23" s="2035"/>
      <c r="AU23" s="2035"/>
      <c r="AV23" s="2035"/>
      <c r="AW23" s="2035"/>
      <c r="AX23" s="2035"/>
      <c r="AY23" s="2035"/>
      <c r="AZ23" s="2035"/>
      <c r="BA23" s="2035"/>
      <c r="BB23" s="2035"/>
      <c r="BC23" s="2035" t="s">
        <v>116</v>
      </c>
      <c r="BD23" s="2035"/>
      <c r="BE23" s="2035"/>
      <c r="BF23" s="2035"/>
      <c r="BG23" s="2035"/>
      <c r="BH23" s="2035"/>
      <c r="BI23" s="2036"/>
      <c r="BJ23" s="2031" t="s">
        <v>14</v>
      </c>
      <c r="BK23" s="2032"/>
      <c r="BL23" s="2032"/>
      <c r="BM23" s="2032"/>
      <c r="BN23" s="2032"/>
      <c r="BO23" s="2032"/>
      <c r="BP23" s="2032"/>
      <c r="BQ23" s="2032"/>
      <c r="BR23" s="2032"/>
      <c r="BS23" s="2032"/>
      <c r="BT23" s="2032"/>
      <c r="BU23" s="2032" t="s">
        <v>116</v>
      </c>
      <c r="BV23" s="2032"/>
      <c r="BW23" s="2032"/>
      <c r="BX23" s="2032"/>
      <c r="BY23" s="2032"/>
      <c r="BZ23" s="2032"/>
      <c r="CA23" s="2045"/>
    </row>
    <row r="24" spans="2:79" s="22" customFormat="1" ht="62.4">
      <c r="B24" s="246" t="s">
        <v>119</v>
      </c>
      <c r="C24" s="448" t="s">
        <v>120</v>
      </c>
      <c r="D24" s="448" t="s">
        <v>121</v>
      </c>
      <c r="E24" s="291" t="s">
        <v>200</v>
      </c>
      <c r="F24" s="449" t="s">
        <v>123</v>
      </c>
      <c r="G24" s="449" t="s">
        <v>124</v>
      </c>
      <c r="H24" s="449" t="s">
        <v>125</v>
      </c>
      <c r="I24" s="449" t="s">
        <v>126</v>
      </c>
      <c r="J24" s="502" t="s">
        <v>127</v>
      </c>
      <c r="K24" s="604" t="s">
        <v>20</v>
      </c>
      <c r="L24" s="449" t="s">
        <v>129</v>
      </c>
      <c r="M24" s="439" t="s">
        <v>155</v>
      </c>
      <c r="N24" s="439" t="s">
        <v>202</v>
      </c>
      <c r="O24" s="439" t="s">
        <v>179</v>
      </c>
      <c r="P24" s="1109" t="s">
        <v>156</v>
      </c>
      <c r="Q24" s="1107" t="s">
        <v>132</v>
      </c>
      <c r="R24" s="464" t="s">
        <v>133</v>
      </c>
      <c r="S24" s="464" t="s">
        <v>134</v>
      </c>
      <c r="T24" s="465" t="s">
        <v>157</v>
      </c>
      <c r="U24" s="137" t="s">
        <v>158</v>
      </c>
      <c r="V24" s="441" t="s">
        <v>21</v>
      </c>
      <c r="W24" s="440" t="s">
        <v>137</v>
      </c>
      <c r="X24" s="441" t="s">
        <v>191</v>
      </c>
      <c r="Y24" s="466" t="s">
        <v>23</v>
      </c>
      <c r="Z24" s="155" t="s">
        <v>120</v>
      </c>
      <c r="AA24" s="113" t="s">
        <v>121</v>
      </c>
      <c r="AB24" s="41" t="s">
        <v>200</v>
      </c>
      <c r="AC24" s="114" t="s">
        <v>123</v>
      </c>
      <c r="AD24" s="114" t="s">
        <v>124</v>
      </c>
      <c r="AE24" s="114" t="s">
        <v>125</v>
      </c>
      <c r="AF24" s="114" t="s">
        <v>126</v>
      </c>
      <c r="AG24" s="481" t="s">
        <v>127</v>
      </c>
      <c r="AH24" s="114" t="s">
        <v>202</v>
      </c>
      <c r="AI24" s="114" t="s">
        <v>179</v>
      </c>
      <c r="AJ24" s="145" t="s">
        <v>129</v>
      </c>
      <c r="AK24" s="142" t="s">
        <v>132</v>
      </c>
      <c r="AL24" s="133" t="s">
        <v>133</v>
      </c>
      <c r="AM24" s="133" t="s">
        <v>134</v>
      </c>
      <c r="AN24" s="133" t="s">
        <v>21</v>
      </c>
      <c r="AO24" s="133" t="s">
        <v>137</v>
      </c>
      <c r="AP24" s="134" t="s">
        <v>138</v>
      </c>
      <c r="AQ24" s="156" t="s">
        <v>23</v>
      </c>
      <c r="AR24" s="155" t="s">
        <v>120</v>
      </c>
      <c r="AS24" s="113" t="s">
        <v>121</v>
      </c>
      <c r="AT24" s="41" t="s">
        <v>200</v>
      </c>
      <c r="AU24" s="114" t="s">
        <v>123</v>
      </c>
      <c r="AV24" s="114" t="s">
        <v>124</v>
      </c>
      <c r="AW24" s="114" t="s">
        <v>125</v>
      </c>
      <c r="AX24" s="114" t="s">
        <v>126</v>
      </c>
      <c r="AY24" s="481" t="s">
        <v>127</v>
      </c>
      <c r="AZ24" s="114" t="s">
        <v>178</v>
      </c>
      <c r="BA24" s="114" t="s">
        <v>179</v>
      </c>
      <c r="BB24" s="145" t="s">
        <v>129</v>
      </c>
      <c r="BC24" s="142" t="s">
        <v>132</v>
      </c>
      <c r="BD24" s="133" t="s">
        <v>133</v>
      </c>
      <c r="BE24" s="133" t="s">
        <v>134</v>
      </c>
      <c r="BF24" s="133" t="s">
        <v>21</v>
      </c>
      <c r="BG24" s="133" t="s">
        <v>137</v>
      </c>
      <c r="BH24" s="134" t="s">
        <v>138</v>
      </c>
      <c r="BI24" s="156" t="s">
        <v>23</v>
      </c>
      <c r="BJ24" s="155" t="s">
        <v>120</v>
      </c>
      <c r="BK24" s="113" t="s">
        <v>121</v>
      </c>
      <c r="BL24" s="41" t="s">
        <v>200</v>
      </c>
      <c r="BM24" s="114" t="s">
        <v>123</v>
      </c>
      <c r="BN24" s="114" t="s">
        <v>124</v>
      </c>
      <c r="BO24" s="114" t="s">
        <v>125</v>
      </c>
      <c r="BP24" s="114" t="s">
        <v>126</v>
      </c>
      <c r="BQ24" s="481" t="s">
        <v>127</v>
      </c>
      <c r="BR24" s="114" t="s">
        <v>178</v>
      </c>
      <c r="BS24" s="114" t="s">
        <v>179</v>
      </c>
      <c r="BT24" s="145" t="s">
        <v>129</v>
      </c>
      <c r="BU24" s="142" t="s">
        <v>132</v>
      </c>
      <c r="BV24" s="133" t="s">
        <v>133</v>
      </c>
      <c r="BW24" s="133" t="s">
        <v>134</v>
      </c>
      <c r="BX24" s="133" t="s">
        <v>21</v>
      </c>
      <c r="BY24" s="133" t="s">
        <v>137</v>
      </c>
      <c r="BZ24" s="134" t="s">
        <v>138</v>
      </c>
      <c r="CA24" s="247" t="s">
        <v>23</v>
      </c>
    </row>
    <row r="25" spans="2:79">
      <c r="B25" s="248">
        <v>44822</v>
      </c>
      <c r="C25" s="194"/>
      <c r="D25" s="194"/>
      <c r="E25" s="194"/>
      <c r="F25" s="207"/>
      <c r="G25" s="207"/>
      <c r="H25" s="207"/>
      <c r="I25" s="207"/>
      <c r="J25" s="208"/>
      <c r="K25" s="608"/>
      <c r="L25" s="209"/>
      <c r="M25" s="210">
        <f>$AB$10/30</f>
        <v>11700</v>
      </c>
      <c r="N25" s="210"/>
      <c r="O25" s="210"/>
      <c r="P25" s="1110"/>
      <c r="Q25" s="1108"/>
      <c r="R25" s="210"/>
      <c r="S25" s="210"/>
      <c r="T25" s="1108"/>
      <c r="U25" s="210"/>
      <c r="V25" s="210"/>
      <c r="W25" s="210"/>
      <c r="X25" s="624"/>
      <c r="Y25" s="210"/>
      <c r="Z25" s="249"/>
      <c r="AA25" s="249"/>
      <c r="AB25" s="249"/>
      <c r="AC25" s="249"/>
      <c r="AD25" s="249"/>
      <c r="AE25" s="249"/>
      <c r="AF25" s="249"/>
      <c r="AG25" s="511"/>
      <c r="AH25" s="249"/>
      <c r="AI25" s="249"/>
      <c r="AJ25" s="249"/>
      <c r="AK25" s="249"/>
      <c r="AL25" s="249"/>
      <c r="AM25" s="249"/>
      <c r="AN25" s="249"/>
      <c r="AO25" s="328" t="e">
        <f>AK25/AA25</f>
        <v>#DIV/0!</v>
      </c>
      <c r="AP25" s="249"/>
      <c r="AQ25" s="249"/>
      <c r="AR25" s="249"/>
      <c r="AS25" s="249"/>
      <c r="AT25" s="249"/>
      <c r="AU25" s="249"/>
      <c r="AV25" s="249"/>
      <c r="AW25" s="249"/>
      <c r="AX25" s="249"/>
      <c r="AY25" s="511"/>
      <c r="AZ25" s="249"/>
      <c r="BA25" s="249" t="e">
        <f>AY25/AX25</f>
        <v>#DIV/0!</v>
      </c>
      <c r="BB25" s="243"/>
      <c r="BC25" s="249"/>
      <c r="BD25" s="249"/>
      <c r="BE25" s="249"/>
      <c r="BF25" s="249"/>
      <c r="BG25" s="328" t="e">
        <f>BC25/AS25</f>
        <v>#DIV/0!</v>
      </c>
      <c r="BH25" s="249"/>
      <c r="BI25" s="249"/>
      <c r="BJ25" s="249"/>
      <c r="BK25" s="249"/>
      <c r="BL25" s="249"/>
      <c r="BM25" s="249"/>
      <c r="BN25" s="195"/>
      <c r="BO25" s="195"/>
      <c r="BP25" s="195"/>
      <c r="BQ25" s="511"/>
      <c r="BR25" s="249"/>
      <c r="BS25" s="249"/>
      <c r="BT25" s="243"/>
      <c r="BU25" s="243"/>
      <c r="BV25" s="249"/>
      <c r="BW25" s="249"/>
      <c r="BX25" s="249"/>
      <c r="BY25" s="328" t="e">
        <f>BU25/BK25</f>
        <v>#DIV/0!</v>
      </c>
      <c r="BZ25" s="249"/>
      <c r="CA25" s="250"/>
    </row>
    <row r="26" spans="2:79" s="24" customFormat="1">
      <c r="B26" s="251">
        <v>44823</v>
      </c>
      <c r="C26" s="15">
        <v>150334</v>
      </c>
      <c r="D26" s="15">
        <v>125</v>
      </c>
      <c r="E26" s="15">
        <v>57842</v>
      </c>
      <c r="F26" s="52">
        <v>12356</v>
      </c>
      <c r="G26" s="195"/>
      <c r="H26" s="195"/>
      <c r="I26" s="195"/>
      <c r="J26" s="77">
        <v>383.322024</v>
      </c>
      <c r="K26" s="308">
        <f>SUM($J$25:J26)/$C$5</f>
        <v>5.4091104902209801E-2</v>
      </c>
      <c r="L26" s="78">
        <f>D26/C26</f>
        <v>8.3148190030199421E-4</v>
      </c>
      <c r="M26" s="53">
        <f>$AB$10/30</f>
        <v>11700</v>
      </c>
      <c r="N26" s="230">
        <f>J26/E26</f>
        <v>6.6270534213893019E-3</v>
      </c>
      <c r="O26" s="230" t="e">
        <f t="shared" ref="O26:O27" si="7">J26/I26</f>
        <v>#DIV/0!</v>
      </c>
      <c r="P26" s="1111">
        <f>E26/M26</f>
        <v>4.9437606837606838</v>
      </c>
      <c r="Q26" s="152">
        <v>20</v>
      </c>
      <c r="R26" s="132"/>
      <c r="S26" s="132"/>
      <c r="T26" s="1404">
        <f>$AB$12/30</f>
        <v>141.76666666666668</v>
      </c>
      <c r="U26" s="234">
        <f>Q26/T26</f>
        <v>0.14107688690336231</v>
      </c>
      <c r="V26" s="225">
        <f>J26/Q26</f>
        <v>19.1661012</v>
      </c>
      <c r="W26" s="316">
        <f>Q26/D26</f>
        <v>0.16</v>
      </c>
      <c r="X26" s="693">
        <v>2</v>
      </c>
      <c r="Y26" s="512">
        <v>0.95</v>
      </c>
      <c r="Z26" s="50">
        <v>14690</v>
      </c>
      <c r="AA26" s="50">
        <v>14</v>
      </c>
      <c r="AB26" s="50">
        <v>4835</v>
      </c>
      <c r="AC26" s="50">
        <v>897</v>
      </c>
      <c r="AD26" s="195"/>
      <c r="AE26" s="195"/>
      <c r="AF26" s="195"/>
      <c r="AG26" s="70">
        <v>39.064113999999996</v>
      </c>
      <c r="AH26" s="230">
        <f>AG26/AB26</f>
        <v>8.0794444674250256E-3</v>
      </c>
      <c r="AI26" s="230">
        <f t="shared" ref="AI26:AI27" si="8">AD26/AC26</f>
        <v>0</v>
      </c>
      <c r="AJ26" s="146">
        <f>AA26/Z26</f>
        <v>9.5302927161334237E-4</v>
      </c>
      <c r="AK26" s="135">
        <v>3</v>
      </c>
      <c r="AL26" s="132"/>
      <c r="AM26" s="132"/>
      <c r="AN26" s="329">
        <f>AG26/AK26</f>
        <v>13.021371333333333</v>
      </c>
      <c r="AO26" s="327">
        <f t="shared" ref="AO26:AO31" si="9">AK26/AA26</f>
        <v>0.21428571428571427</v>
      </c>
      <c r="AP26" s="132"/>
      <c r="AQ26" s="132"/>
      <c r="AR26" s="320">
        <v>7343</v>
      </c>
      <c r="AS26" s="50">
        <v>8</v>
      </c>
      <c r="AT26" s="50">
        <v>2312</v>
      </c>
      <c r="AU26" s="50">
        <v>399</v>
      </c>
      <c r="AV26" s="195"/>
      <c r="AW26" s="195"/>
      <c r="AX26" s="195"/>
      <c r="AY26" s="70">
        <v>17.846444000000002</v>
      </c>
      <c r="AZ26" s="70">
        <f>AY26/AT26</f>
        <v>7.7190501730103811E-3</v>
      </c>
      <c r="BA26" s="50" t="e">
        <f>AY26/AX26</f>
        <v>#DIV/0!</v>
      </c>
      <c r="BB26" s="146">
        <f>AS26/AR26</f>
        <v>1.089472967451995E-3</v>
      </c>
      <c r="BC26" s="50">
        <v>2</v>
      </c>
      <c r="BD26" s="132"/>
      <c r="BE26" s="132"/>
      <c r="BF26" s="329">
        <f>AY26/BC26</f>
        <v>8.9232220000000009</v>
      </c>
      <c r="BG26" s="327">
        <f t="shared" ref="BG26:BG31" si="10">BC26/AS26</f>
        <v>0.25</v>
      </c>
      <c r="BH26" s="132"/>
      <c r="BI26" s="158"/>
      <c r="BJ26" s="50">
        <v>128301</v>
      </c>
      <c r="BK26" s="50">
        <v>103</v>
      </c>
      <c r="BL26" s="50">
        <v>50695</v>
      </c>
      <c r="BM26" s="50">
        <v>11060</v>
      </c>
      <c r="BN26" s="196"/>
      <c r="BO26" s="196"/>
      <c r="BP26" s="196"/>
      <c r="BQ26" s="374">
        <v>326.41146600000002</v>
      </c>
      <c r="BR26" s="386">
        <f>BQ26/BL26</f>
        <v>6.4387309596607165E-3</v>
      </c>
      <c r="BS26" s="387" t="e">
        <f>BQ26/BP26</f>
        <v>#DIV/0!</v>
      </c>
      <c r="BT26" s="375">
        <f>BK26/BJ26</f>
        <v>8.0279966640945896E-4</v>
      </c>
      <c r="BU26" s="50">
        <v>15</v>
      </c>
      <c r="BV26" s="132"/>
      <c r="BW26" s="132"/>
      <c r="BX26" s="274">
        <f>BQ26/BU26</f>
        <v>21.760764400000003</v>
      </c>
      <c r="BY26" s="327">
        <f t="shared" ref="BY26:BY31" si="11">BU26/BK26</f>
        <v>0.14563106796116504</v>
      </c>
      <c r="BZ26" s="132"/>
      <c r="CA26" s="252"/>
    </row>
    <row r="27" spans="2:79" s="26" customFormat="1">
      <c r="B27" s="251">
        <v>44824</v>
      </c>
      <c r="C27" s="15">
        <v>119356</v>
      </c>
      <c r="D27" s="15">
        <v>122</v>
      </c>
      <c r="E27" s="15">
        <v>44671</v>
      </c>
      <c r="F27" s="52">
        <v>9673</v>
      </c>
      <c r="G27" s="196"/>
      <c r="H27" s="196"/>
      <c r="I27" s="196"/>
      <c r="J27" s="77">
        <v>362.88721199999998</v>
      </c>
      <c r="K27" s="308">
        <f>SUM($J$25:J27)/$C$5</f>
        <v>0.10529862501058333</v>
      </c>
      <c r="L27" s="78">
        <f>D27/C27</f>
        <v>1.0221522168973492E-3</v>
      </c>
      <c r="M27" s="53">
        <f t="shared" ref="M27:M58" si="12">$AB$10/30</f>
        <v>11700</v>
      </c>
      <c r="N27" s="230">
        <f>J27/E27</f>
        <v>8.1235524613283774E-3</v>
      </c>
      <c r="O27" s="230" t="e">
        <f t="shared" si="7"/>
        <v>#DIV/0!</v>
      </c>
      <c r="P27" s="1111">
        <f>E27/M27</f>
        <v>3.8180341880341881</v>
      </c>
      <c r="Q27" s="152">
        <v>34</v>
      </c>
      <c r="R27" s="132"/>
      <c r="S27" s="132"/>
      <c r="T27" s="1404">
        <f t="shared" ref="T27:T31" si="13">$AB$12/30</f>
        <v>141.76666666666668</v>
      </c>
      <c r="U27" s="234">
        <f>Q27/T27</f>
        <v>0.23983070773571594</v>
      </c>
      <c r="V27" s="225">
        <f>J27/Q27</f>
        <v>10.673153294117647</v>
      </c>
      <c r="W27" s="316">
        <f t="shared" ref="W27:W31" si="14">Q27/D27</f>
        <v>0.27868852459016391</v>
      </c>
      <c r="X27" s="693">
        <v>19</v>
      </c>
      <c r="Y27" s="512">
        <v>0.8529411764705882</v>
      </c>
      <c r="Z27" s="49">
        <v>25833</v>
      </c>
      <c r="AA27" s="49">
        <v>35</v>
      </c>
      <c r="AB27" s="49">
        <v>9920</v>
      </c>
      <c r="AC27" s="49">
        <v>2116</v>
      </c>
      <c r="AD27" s="196"/>
      <c r="AE27" s="196"/>
      <c r="AF27" s="196"/>
      <c r="AG27" s="71">
        <v>79.389122</v>
      </c>
      <c r="AH27" s="230">
        <f>AG27/AB27</f>
        <v>8.0029356854838703E-3</v>
      </c>
      <c r="AI27" s="230">
        <f t="shared" si="8"/>
        <v>0</v>
      </c>
      <c r="AJ27" s="146">
        <f>AA27/Z27</f>
        <v>1.354856191692796E-3</v>
      </c>
      <c r="AK27" s="136">
        <v>13</v>
      </c>
      <c r="AL27" s="132"/>
      <c r="AM27" s="132"/>
      <c r="AN27" s="312">
        <f t="shared" ref="AN27:AN31" si="15">AG27/AK27</f>
        <v>6.1068555384615388</v>
      </c>
      <c r="AO27" s="330">
        <f t="shared" si="9"/>
        <v>0.37142857142857144</v>
      </c>
      <c r="AP27" s="132"/>
      <c r="AQ27" s="132"/>
      <c r="AR27" s="321">
        <v>23056</v>
      </c>
      <c r="AS27" s="49">
        <v>37</v>
      </c>
      <c r="AT27" s="49">
        <v>8319</v>
      </c>
      <c r="AU27" s="49">
        <v>1674</v>
      </c>
      <c r="AV27" s="196"/>
      <c r="AW27" s="196"/>
      <c r="AX27" s="196"/>
      <c r="AY27" s="71">
        <v>72.544184000000001</v>
      </c>
      <c r="AZ27" s="70">
        <f>AY27/AT27</f>
        <v>8.7203009977160715E-3</v>
      </c>
      <c r="BA27" s="50" t="e">
        <f t="shared" ref="BA27:BA31" si="16">AY27/AX27</f>
        <v>#DIV/0!</v>
      </c>
      <c r="BB27" s="244">
        <f t="shared" ref="BB27" si="17">AS27/AR27</f>
        <v>1.6047883414295628E-3</v>
      </c>
      <c r="BC27" s="49">
        <v>13</v>
      </c>
      <c r="BD27" s="132"/>
      <c r="BE27" s="132"/>
      <c r="BF27" s="329">
        <f t="shared" ref="BF27:BF31" si="18">AY27/BC27</f>
        <v>5.5803218461538462</v>
      </c>
      <c r="BG27" s="389">
        <f t="shared" si="10"/>
        <v>0.35135135135135137</v>
      </c>
      <c r="BH27" s="132"/>
      <c r="BI27" s="158"/>
      <c r="BJ27" s="49">
        <v>70467</v>
      </c>
      <c r="BK27" s="49">
        <v>50</v>
      </c>
      <c r="BL27" s="49">
        <v>26432</v>
      </c>
      <c r="BM27" s="49">
        <v>5883</v>
      </c>
      <c r="BN27" s="196"/>
      <c r="BO27" s="196"/>
      <c r="BP27" s="196"/>
      <c r="BQ27" s="384">
        <v>210.95390599999999</v>
      </c>
      <c r="BR27" s="386">
        <f>BQ27/BL27</f>
        <v>7.9810043129539942E-3</v>
      </c>
      <c r="BS27" s="387" t="e">
        <f>BQ27/BP27</f>
        <v>#DIV/0!</v>
      </c>
      <c r="BT27" s="375">
        <f>BK27/BJ27</f>
        <v>7.095519888742248E-4</v>
      </c>
      <c r="BU27" s="49">
        <v>8</v>
      </c>
      <c r="BV27" s="132"/>
      <c r="BW27" s="132"/>
      <c r="BX27" s="274">
        <f>BQ27/BU27</f>
        <v>26.369238249999999</v>
      </c>
      <c r="BY27" s="330">
        <f t="shared" si="11"/>
        <v>0.16</v>
      </c>
      <c r="BZ27" s="132"/>
      <c r="CA27" s="252"/>
    </row>
    <row r="28" spans="2:79">
      <c r="B28" s="248">
        <v>44825</v>
      </c>
      <c r="C28" s="48">
        <v>76805</v>
      </c>
      <c r="D28" s="48">
        <v>69</v>
      </c>
      <c r="E28" s="48">
        <v>28554</v>
      </c>
      <c r="F28" s="53">
        <v>11576</v>
      </c>
      <c r="G28" s="53">
        <v>3999</v>
      </c>
      <c r="H28" s="53">
        <v>1740</v>
      </c>
      <c r="I28" s="53">
        <v>913</v>
      </c>
      <c r="J28" s="230">
        <v>341.844357</v>
      </c>
      <c r="K28" s="308">
        <f>SUM($J$25:J28)/$C$5</f>
        <v>0.1535367585301837</v>
      </c>
      <c r="L28" s="78">
        <f t="shared" ref="L28:L31" si="19">D28/C28</f>
        <v>8.9837901178308702E-4</v>
      </c>
      <c r="M28" s="53">
        <f t="shared" si="12"/>
        <v>11700</v>
      </c>
      <c r="N28" s="230">
        <f t="shared" ref="N28:N31" si="20">J28/E28</f>
        <v>1.1971855326749317E-2</v>
      </c>
      <c r="O28" s="230">
        <f t="shared" ref="O28:O31" si="21">J28/I28</f>
        <v>0.37441879189485217</v>
      </c>
      <c r="P28" s="1111">
        <f t="shared" ref="P28:P35" si="22">E28/M28</f>
        <v>2.4405128205128204</v>
      </c>
      <c r="Q28" s="151">
        <v>16</v>
      </c>
      <c r="R28" s="132"/>
      <c r="S28" s="132"/>
      <c r="T28" s="1404">
        <f t="shared" si="13"/>
        <v>141.76666666666668</v>
      </c>
      <c r="U28" s="234">
        <f t="shared" ref="U28:U35" si="23">Q28/T28</f>
        <v>0.11286150952268985</v>
      </c>
      <c r="V28" s="225">
        <f t="shared" ref="V28:V31" si="24">J28/Q28</f>
        <v>21.3652723125</v>
      </c>
      <c r="W28" s="316">
        <f t="shared" si="14"/>
        <v>0.2318840579710145</v>
      </c>
      <c r="X28" s="693">
        <v>0</v>
      </c>
      <c r="Y28" s="512">
        <v>1</v>
      </c>
      <c r="Z28" s="50">
        <v>19010</v>
      </c>
      <c r="AA28" s="50">
        <v>17</v>
      </c>
      <c r="AB28" s="50">
        <v>6645</v>
      </c>
      <c r="AC28" s="50">
        <v>2001</v>
      </c>
      <c r="AD28" s="50">
        <v>557</v>
      </c>
      <c r="AE28" s="50">
        <v>193</v>
      </c>
      <c r="AF28" s="50">
        <v>102</v>
      </c>
      <c r="AG28" s="70">
        <v>80.725457000000006</v>
      </c>
      <c r="AH28" s="230">
        <f t="shared" ref="AH28:AH31" si="25">AG28/AB28</f>
        <v>1.2148300526711814E-2</v>
      </c>
      <c r="AI28" s="230">
        <f t="shared" ref="AI28:AI31" si="26">AD28/AC28</f>
        <v>0.27836081959020492</v>
      </c>
      <c r="AJ28" s="146">
        <f t="shared" ref="AJ28:AJ31" si="27">AA28/Z28</f>
        <v>8.9426617569700155E-4</v>
      </c>
      <c r="AK28" s="49">
        <v>4</v>
      </c>
      <c r="AL28" s="132"/>
      <c r="AM28" s="132"/>
      <c r="AN28" s="312">
        <f t="shared" si="15"/>
        <v>20.181364250000001</v>
      </c>
      <c r="AO28" s="330">
        <f t="shared" si="9"/>
        <v>0.23529411764705882</v>
      </c>
      <c r="AP28" s="132"/>
      <c r="AQ28" s="132"/>
      <c r="AR28" s="320">
        <v>21342</v>
      </c>
      <c r="AS28" s="50">
        <v>24</v>
      </c>
      <c r="AT28" s="50">
        <v>7857</v>
      </c>
      <c r="AU28" s="50">
        <v>1118</v>
      </c>
      <c r="AV28" s="50">
        <v>252</v>
      </c>
      <c r="AW28" s="50">
        <v>102</v>
      </c>
      <c r="AX28" s="50">
        <v>54</v>
      </c>
      <c r="AY28" s="70">
        <v>87.144552000000004</v>
      </c>
      <c r="AZ28" s="70">
        <f t="shared" ref="AZ28:AZ31" si="28">AY28/AT28</f>
        <v>1.10913264604811E-2</v>
      </c>
      <c r="BA28" s="70">
        <f t="shared" si="16"/>
        <v>1.613788</v>
      </c>
      <c r="BB28" s="244">
        <f t="shared" ref="BB28:BB31" si="29">AS28/AR28</f>
        <v>1.1245431543435479E-3</v>
      </c>
      <c r="BC28" s="49">
        <v>4</v>
      </c>
      <c r="BD28" s="132"/>
      <c r="BE28" s="132"/>
      <c r="BF28" s="329">
        <f t="shared" si="18"/>
        <v>21.786138000000001</v>
      </c>
      <c r="BG28" s="389">
        <f t="shared" si="10"/>
        <v>0.16666666666666666</v>
      </c>
      <c r="BH28" s="127" t="s">
        <v>204</v>
      </c>
      <c r="BI28" s="160"/>
      <c r="BJ28" s="50">
        <v>36453</v>
      </c>
      <c r="BK28" s="50">
        <v>28</v>
      </c>
      <c r="BL28" s="50">
        <v>14052</v>
      </c>
      <c r="BM28" s="50">
        <v>8457</v>
      </c>
      <c r="BN28" s="50">
        <v>3190</v>
      </c>
      <c r="BO28" s="50">
        <v>1445</v>
      </c>
      <c r="BP28" s="49">
        <v>757</v>
      </c>
      <c r="BQ28" s="374">
        <v>173.97434799999999</v>
      </c>
      <c r="BR28" s="386">
        <f t="shared" ref="BR28:BR31" si="30">BQ28/BL28</f>
        <v>1.2380753487048106E-2</v>
      </c>
      <c r="BS28" s="386">
        <f t="shared" ref="BS28:BS31" si="31">BQ28/BP28</f>
        <v>0.22982080317040951</v>
      </c>
      <c r="BT28" s="375">
        <f t="shared" ref="BT28:BT31" si="32">BK28/BJ28</f>
        <v>7.6811236386579984E-4</v>
      </c>
      <c r="BU28" s="50">
        <v>8</v>
      </c>
      <c r="BV28" s="132"/>
      <c r="BW28" s="132"/>
      <c r="BX28" s="274">
        <f t="shared" ref="BX28:BX31" si="33">BQ28/BU28</f>
        <v>21.746793499999999</v>
      </c>
      <c r="BY28" s="330">
        <f t="shared" si="11"/>
        <v>0.2857142857142857</v>
      </c>
      <c r="BZ28" s="132"/>
      <c r="CA28" s="252"/>
    </row>
    <row r="29" spans="2:79">
      <c r="B29" s="248">
        <v>44826</v>
      </c>
      <c r="C29" s="46">
        <v>49217</v>
      </c>
      <c r="D29" s="46">
        <v>62</v>
      </c>
      <c r="E29" s="46">
        <v>18470</v>
      </c>
      <c r="F29" s="54">
        <v>7787</v>
      </c>
      <c r="G29" s="54">
        <v>2778</v>
      </c>
      <c r="H29" s="54">
        <v>1305</v>
      </c>
      <c r="I29" s="54">
        <v>685</v>
      </c>
      <c r="J29" s="505">
        <v>341.423292</v>
      </c>
      <c r="K29" s="308">
        <f>SUM($J$25:J29)/$C$5</f>
        <v>0.20171547498094994</v>
      </c>
      <c r="L29" s="78">
        <f t="shared" si="19"/>
        <v>1.259727329987606E-3</v>
      </c>
      <c r="M29" s="53">
        <f t="shared" si="12"/>
        <v>11700</v>
      </c>
      <c r="N29" s="230">
        <f t="shared" si="20"/>
        <v>1.8485289225771522E-2</v>
      </c>
      <c r="O29" s="230">
        <f t="shared" si="21"/>
        <v>0.49842816350364966</v>
      </c>
      <c r="P29" s="1111">
        <f t="shared" si="22"/>
        <v>1.5786324786324786</v>
      </c>
      <c r="Q29" s="152">
        <v>18</v>
      </c>
      <c r="R29" s="132"/>
      <c r="S29" s="132"/>
      <c r="T29" s="1404">
        <f t="shared" si="13"/>
        <v>141.76666666666668</v>
      </c>
      <c r="U29" s="234">
        <f t="shared" si="23"/>
        <v>0.12696919821302607</v>
      </c>
      <c r="V29" s="225">
        <f t="shared" si="24"/>
        <v>18.967960666666666</v>
      </c>
      <c r="W29" s="316">
        <f t="shared" si="14"/>
        <v>0.29032258064516131</v>
      </c>
      <c r="X29" s="693">
        <v>56.666666666666664</v>
      </c>
      <c r="Y29" s="512">
        <v>0.83333333333333337</v>
      </c>
      <c r="Z29" s="49">
        <v>10848</v>
      </c>
      <c r="AA29" s="49">
        <v>22</v>
      </c>
      <c r="AB29" s="49">
        <v>4107</v>
      </c>
      <c r="AC29" s="49">
        <v>1239</v>
      </c>
      <c r="AD29" s="49">
        <v>372</v>
      </c>
      <c r="AE29" s="49">
        <v>153</v>
      </c>
      <c r="AF29" s="49">
        <v>81</v>
      </c>
      <c r="AG29" s="71">
        <v>73.842879999999994</v>
      </c>
      <c r="AH29" s="230">
        <f t="shared" si="25"/>
        <v>1.7979761383004625E-2</v>
      </c>
      <c r="AI29" s="230">
        <f t="shared" si="26"/>
        <v>0.30024213075060535</v>
      </c>
      <c r="AJ29" s="146">
        <f t="shared" si="27"/>
        <v>2.028023598820059E-3</v>
      </c>
      <c r="AK29" s="49">
        <v>5</v>
      </c>
      <c r="AL29" s="132"/>
      <c r="AM29" s="132"/>
      <c r="AN29" s="312">
        <f t="shared" si="15"/>
        <v>14.768575999999999</v>
      </c>
      <c r="AO29" s="330">
        <f t="shared" si="9"/>
        <v>0.22727272727272727</v>
      </c>
      <c r="AP29" s="322"/>
      <c r="AQ29" s="158"/>
      <c r="AR29" s="49">
        <v>10620</v>
      </c>
      <c r="AS29" s="49">
        <v>16</v>
      </c>
      <c r="AT29" s="49">
        <v>3765</v>
      </c>
      <c r="AU29" s="49">
        <v>524</v>
      </c>
      <c r="AV29" s="49">
        <v>121</v>
      </c>
      <c r="AW29" s="49">
        <v>60</v>
      </c>
      <c r="AX29" s="49">
        <v>28</v>
      </c>
      <c r="AY29" s="71">
        <v>73.096610999999996</v>
      </c>
      <c r="AZ29" s="70">
        <f t="shared" si="28"/>
        <v>1.9414770517928285E-2</v>
      </c>
      <c r="BA29" s="70">
        <f t="shared" si="16"/>
        <v>2.61059325</v>
      </c>
      <c r="BB29" s="244">
        <f t="shared" si="29"/>
        <v>1.5065913370998117E-3</v>
      </c>
      <c r="BC29" s="49">
        <v>6</v>
      </c>
      <c r="BD29" s="132"/>
      <c r="BE29" s="132"/>
      <c r="BF29" s="329">
        <f t="shared" si="18"/>
        <v>12.1827685</v>
      </c>
      <c r="BG29" s="389">
        <f t="shared" si="10"/>
        <v>0.375</v>
      </c>
      <c r="BH29" s="128"/>
      <c r="BI29" s="161"/>
      <c r="BJ29" s="49">
        <v>27749</v>
      </c>
      <c r="BK29" s="49">
        <v>24</v>
      </c>
      <c r="BL29" s="49">
        <v>10598</v>
      </c>
      <c r="BM29" s="49">
        <v>6024</v>
      </c>
      <c r="BN29" s="49">
        <v>2285</v>
      </c>
      <c r="BO29" s="49">
        <v>1092</v>
      </c>
      <c r="BP29" s="49">
        <v>576</v>
      </c>
      <c r="BQ29" s="384">
        <v>194.483801</v>
      </c>
      <c r="BR29" s="386">
        <f t="shared" si="30"/>
        <v>1.8350990847329683E-2</v>
      </c>
      <c r="BS29" s="386">
        <f t="shared" si="31"/>
        <v>0.3376454878472222</v>
      </c>
      <c r="BT29" s="375">
        <f t="shared" si="32"/>
        <v>8.6489603228945191E-4</v>
      </c>
      <c r="BU29" s="49">
        <v>7</v>
      </c>
      <c r="BV29" s="132"/>
      <c r="BW29" s="132"/>
      <c r="BX29" s="274">
        <f t="shared" si="33"/>
        <v>27.783400142857143</v>
      </c>
      <c r="BY29" s="330">
        <f t="shared" si="11"/>
        <v>0.29166666666666669</v>
      </c>
      <c r="BZ29" s="132"/>
      <c r="CA29" s="252"/>
    </row>
    <row r="30" spans="2:79">
      <c r="B30" s="253">
        <v>44827</v>
      </c>
      <c r="C30" s="46">
        <v>33295</v>
      </c>
      <c r="D30" s="46">
        <v>55</v>
      </c>
      <c r="E30" s="46">
        <v>12438</v>
      </c>
      <c r="F30" s="54">
        <v>4370</v>
      </c>
      <c r="G30" s="54">
        <v>1488</v>
      </c>
      <c r="H30" s="54">
        <v>664</v>
      </c>
      <c r="I30" s="54">
        <v>361</v>
      </c>
      <c r="J30" s="505">
        <v>366.03205300000002</v>
      </c>
      <c r="K30" s="308">
        <f>SUM($J$25:J30)/$C$5</f>
        <v>0.25336676798464708</v>
      </c>
      <c r="L30" s="78">
        <f t="shared" si="19"/>
        <v>1.651899684637333E-3</v>
      </c>
      <c r="M30" s="53">
        <f t="shared" si="12"/>
        <v>11700</v>
      </c>
      <c r="N30" s="230">
        <f t="shared" si="20"/>
        <v>2.9428529747547838E-2</v>
      </c>
      <c r="O30" s="230">
        <f t="shared" si="21"/>
        <v>1.0139392049861495</v>
      </c>
      <c r="P30" s="1111">
        <f t="shared" si="22"/>
        <v>1.063076923076923</v>
      </c>
      <c r="Q30" s="152">
        <v>18</v>
      </c>
      <c r="R30" s="132"/>
      <c r="S30" s="132"/>
      <c r="T30" s="1404">
        <f t="shared" si="13"/>
        <v>141.76666666666668</v>
      </c>
      <c r="U30" s="234">
        <f t="shared" si="23"/>
        <v>0.12696919821302607</v>
      </c>
      <c r="V30" s="225">
        <f t="shared" si="24"/>
        <v>20.335114055555557</v>
      </c>
      <c r="W30" s="316">
        <f t="shared" si="14"/>
        <v>0.32727272727272727</v>
      </c>
      <c r="X30" s="693">
        <v>1</v>
      </c>
      <c r="Y30" s="512">
        <v>0.88888888888888884</v>
      </c>
      <c r="Z30" s="49">
        <v>6968</v>
      </c>
      <c r="AA30" s="49">
        <v>15</v>
      </c>
      <c r="AB30" s="49">
        <v>2745</v>
      </c>
      <c r="AC30" s="49">
        <v>806</v>
      </c>
      <c r="AD30" s="49">
        <v>264</v>
      </c>
      <c r="AE30" s="49">
        <v>111</v>
      </c>
      <c r="AF30" s="49">
        <v>55</v>
      </c>
      <c r="AG30" s="71">
        <v>84.804462000000001</v>
      </c>
      <c r="AH30" s="230">
        <f t="shared" si="25"/>
        <v>3.0894157377049182E-2</v>
      </c>
      <c r="AI30" s="230">
        <f t="shared" si="26"/>
        <v>0.32754342431761785</v>
      </c>
      <c r="AJ30" s="146">
        <f t="shared" si="27"/>
        <v>2.1526980482204361E-3</v>
      </c>
      <c r="AK30" s="49">
        <v>3</v>
      </c>
      <c r="AL30" s="132"/>
      <c r="AM30" s="132"/>
      <c r="AN30" s="312">
        <f t="shared" si="15"/>
        <v>28.268153999999999</v>
      </c>
      <c r="AO30" s="330">
        <f t="shared" si="9"/>
        <v>0.2</v>
      </c>
      <c r="AP30" s="132"/>
      <c r="AQ30" s="132"/>
      <c r="AR30" s="323">
        <v>10329</v>
      </c>
      <c r="AS30" s="49">
        <v>31</v>
      </c>
      <c r="AT30" s="49">
        <v>4092</v>
      </c>
      <c r="AU30" s="49">
        <v>596</v>
      </c>
      <c r="AV30" s="49">
        <v>146</v>
      </c>
      <c r="AW30" s="49">
        <v>62</v>
      </c>
      <c r="AX30" s="49">
        <v>33</v>
      </c>
      <c r="AY30" s="71">
        <v>111.480386</v>
      </c>
      <c r="AZ30" s="70">
        <f t="shared" si="28"/>
        <v>2.7243496089931572E-2</v>
      </c>
      <c r="BA30" s="70">
        <f t="shared" si="16"/>
        <v>3.3781935151515152</v>
      </c>
      <c r="BB30" s="244">
        <f t="shared" si="29"/>
        <v>3.0012585923129055E-3</v>
      </c>
      <c r="BC30" s="49">
        <v>14</v>
      </c>
      <c r="BD30" s="132"/>
      <c r="BE30" s="132"/>
      <c r="BF30" s="329">
        <f t="shared" si="18"/>
        <v>7.962884714285714</v>
      </c>
      <c r="BG30" s="389">
        <f t="shared" si="10"/>
        <v>0.45161290322580644</v>
      </c>
      <c r="BH30" s="128"/>
      <c r="BI30" s="161"/>
      <c r="BJ30" s="49">
        <v>15998</v>
      </c>
      <c r="BK30" s="49">
        <v>9</v>
      </c>
      <c r="BL30" s="49">
        <v>5601</v>
      </c>
      <c r="BM30" s="49">
        <v>2968</v>
      </c>
      <c r="BN30" s="49">
        <v>1078</v>
      </c>
      <c r="BO30" s="49">
        <v>491</v>
      </c>
      <c r="BP30" s="49">
        <v>273</v>
      </c>
      <c r="BQ30" s="384">
        <v>169.74720500000001</v>
      </c>
      <c r="BR30" s="386">
        <f t="shared" si="30"/>
        <v>3.0306589001963938E-2</v>
      </c>
      <c r="BS30" s="386">
        <f t="shared" si="31"/>
        <v>0.62178463369963377</v>
      </c>
      <c r="BT30" s="375">
        <f t="shared" si="32"/>
        <v>5.6257032129016123E-4</v>
      </c>
      <c r="BU30" s="49">
        <v>1</v>
      </c>
      <c r="BV30" s="132"/>
      <c r="BW30" s="132"/>
      <c r="BX30" s="274">
        <f t="shared" si="33"/>
        <v>169.74720500000001</v>
      </c>
      <c r="BY30" s="330">
        <f t="shared" si="11"/>
        <v>0.1111111111111111</v>
      </c>
      <c r="BZ30" s="132"/>
      <c r="CA30" s="252"/>
    </row>
    <row r="31" spans="2:79">
      <c r="B31" s="253">
        <v>44828</v>
      </c>
      <c r="C31" s="47">
        <v>44085</v>
      </c>
      <c r="D31" s="47">
        <v>91</v>
      </c>
      <c r="E31" s="47">
        <v>17688</v>
      </c>
      <c r="F31" s="55">
        <v>6178</v>
      </c>
      <c r="G31" s="55">
        <v>2184</v>
      </c>
      <c r="H31" s="55">
        <v>1013</v>
      </c>
      <c r="I31" s="55">
        <v>548</v>
      </c>
      <c r="J31" s="506">
        <v>405.00039500000003</v>
      </c>
      <c r="K31" s="308">
        <f>SUM($J$25:J31)/$C$5</f>
        <v>0.31051693802387603</v>
      </c>
      <c r="L31" s="78">
        <f t="shared" si="19"/>
        <v>2.0641941703527277E-3</v>
      </c>
      <c r="M31" s="53">
        <f t="shared" si="12"/>
        <v>11700</v>
      </c>
      <c r="N31" s="230">
        <f t="shared" si="20"/>
        <v>2.2896901571687021E-2</v>
      </c>
      <c r="O31" s="230">
        <f t="shared" si="21"/>
        <v>0.7390518156934307</v>
      </c>
      <c r="P31" s="1111">
        <f t="shared" si="22"/>
        <v>1.5117948717948717</v>
      </c>
      <c r="Q31" s="153">
        <v>37</v>
      </c>
      <c r="R31" s="132"/>
      <c r="S31" s="132"/>
      <c r="T31" s="1404">
        <f t="shared" si="13"/>
        <v>141.76666666666668</v>
      </c>
      <c r="U31" s="234">
        <f t="shared" si="23"/>
        <v>0.2609922407712203</v>
      </c>
      <c r="V31" s="225">
        <f t="shared" si="24"/>
        <v>10.945956621621622</v>
      </c>
      <c r="W31" s="316">
        <f t="shared" si="14"/>
        <v>0.40659340659340659</v>
      </c>
      <c r="X31" s="693">
        <v>2.3333333333333335</v>
      </c>
      <c r="Y31" s="512">
        <v>0.89189189189189189</v>
      </c>
      <c r="Z31" s="51">
        <v>9841</v>
      </c>
      <c r="AA31" s="51">
        <v>14</v>
      </c>
      <c r="AB31" s="51">
        <v>4202</v>
      </c>
      <c r="AC31" s="51">
        <v>1313</v>
      </c>
      <c r="AD31" s="51">
        <v>399</v>
      </c>
      <c r="AE31" s="51">
        <v>171</v>
      </c>
      <c r="AF31" s="51">
        <v>85</v>
      </c>
      <c r="AG31" s="311">
        <v>95.258251999999999</v>
      </c>
      <c r="AH31" s="230">
        <f t="shared" si="25"/>
        <v>2.2669741075678249E-2</v>
      </c>
      <c r="AI31" s="230">
        <f t="shared" si="26"/>
        <v>0.3038842345773039</v>
      </c>
      <c r="AJ31" s="146">
        <f t="shared" si="27"/>
        <v>1.4226196524743421E-3</v>
      </c>
      <c r="AK31" s="51">
        <v>3</v>
      </c>
      <c r="AL31" s="132"/>
      <c r="AM31" s="132"/>
      <c r="AN31" s="312">
        <f t="shared" si="15"/>
        <v>31.752750666666667</v>
      </c>
      <c r="AO31" s="331">
        <f t="shared" si="9"/>
        <v>0.21428571428571427</v>
      </c>
      <c r="AP31" s="132"/>
      <c r="AQ31" s="132"/>
      <c r="AR31" s="324">
        <v>16490</v>
      </c>
      <c r="AS31" s="51">
        <v>56</v>
      </c>
      <c r="AT31" s="51">
        <v>6682</v>
      </c>
      <c r="AU31" s="51">
        <v>1026</v>
      </c>
      <c r="AV31" s="51">
        <v>259</v>
      </c>
      <c r="AW31" s="51">
        <v>103</v>
      </c>
      <c r="AX31" s="51">
        <v>63</v>
      </c>
      <c r="AY31" s="311">
        <v>145.10701700000001</v>
      </c>
      <c r="AZ31" s="70">
        <f t="shared" si="28"/>
        <v>2.1716105507333137E-2</v>
      </c>
      <c r="BA31" s="70">
        <f t="shared" si="16"/>
        <v>2.3032859841269842</v>
      </c>
      <c r="BB31" s="244">
        <f t="shared" si="29"/>
        <v>3.395997574287447E-3</v>
      </c>
      <c r="BC31" s="51">
        <v>30</v>
      </c>
      <c r="BD31" s="132"/>
      <c r="BE31" s="132"/>
      <c r="BF31" s="329">
        <f t="shared" si="18"/>
        <v>4.8369005666666673</v>
      </c>
      <c r="BG31" s="725">
        <f t="shared" si="10"/>
        <v>0.5357142857142857</v>
      </c>
      <c r="BH31" s="129"/>
      <c r="BI31" s="163"/>
      <c r="BJ31" s="51">
        <v>17754</v>
      </c>
      <c r="BK31" s="51">
        <v>21</v>
      </c>
      <c r="BL31" s="51">
        <v>6804</v>
      </c>
      <c r="BM31" s="51">
        <v>3839</v>
      </c>
      <c r="BN31" s="51">
        <v>1526</v>
      </c>
      <c r="BO31" s="51">
        <v>739</v>
      </c>
      <c r="BP31" s="51">
        <v>400</v>
      </c>
      <c r="BQ31" s="385">
        <v>164.63512600000001</v>
      </c>
      <c r="BR31" s="386">
        <f t="shared" si="30"/>
        <v>2.4196814520870077E-2</v>
      </c>
      <c r="BS31" s="386">
        <f t="shared" si="31"/>
        <v>0.41158781500000002</v>
      </c>
      <c r="BT31" s="375">
        <f t="shared" si="32"/>
        <v>1.1828320378506252E-3</v>
      </c>
      <c r="BU31" s="51">
        <v>4</v>
      </c>
      <c r="BV31" s="132"/>
      <c r="BW31" s="132"/>
      <c r="BX31" s="274">
        <f t="shared" si="33"/>
        <v>41.158781500000003</v>
      </c>
      <c r="BY31" s="331">
        <f t="shared" si="11"/>
        <v>0.19047619047619047</v>
      </c>
      <c r="BZ31" s="132"/>
      <c r="CA31" s="252"/>
    </row>
    <row r="32" spans="2:79">
      <c r="B32" s="254" t="s">
        <v>160</v>
      </c>
      <c r="C32" s="27">
        <f>SUM(C25:C31)</f>
        <v>473092</v>
      </c>
      <c r="D32" s="27">
        <f>SUM(D25:D31)</f>
        <v>524</v>
      </c>
      <c r="E32" s="27">
        <f>SUM(E25:E31)</f>
        <v>179663</v>
      </c>
      <c r="F32" s="27">
        <f>SUM(F25:F31)</f>
        <v>51940</v>
      </c>
      <c r="G32" s="27">
        <f t="shared" ref="G32:S32" si="34">SUM(G26:G31)</f>
        <v>10449</v>
      </c>
      <c r="H32" s="27">
        <f t="shared" si="34"/>
        <v>4722</v>
      </c>
      <c r="I32" s="27">
        <f t="shared" si="34"/>
        <v>2507</v>
      </c>
      <c r="J32" s="74">
        <f>SUM(J25:J31)</f>
        <v>2200.509333</v>
      </c>
      <c r="K32" s="599">
        <f>J32/$C$5</f>
        <v>0.31051693802387603</v>
      </c>
      <c r="L32" s="211">
        <f>D32/C32</f>
        <v>1.1076069770784541E-3</v>
      </c>
      <c r="M32" s="27">
        <f>SUM(M25:M31)</f>
        <v>81900</v>
      </c>
      <c r="N32" s="231">
        <f>J32/E32</f>
        <v>1.2247982795567255E-2</v>
      </c>
      <c r="O32" s="231">
        <f>J32/I32</f>
        <v>0.87774604427602709</v>
      </c>
      <c r="P32" s="1112">
        <f>E32/M32</f>
        <v>2.1936874236874235</v>
      </c>
      <c r="Q32" s="121">
        <f t="shared" si="34"/>
        <v>143</v>
      </c>
      <c r="R32" s="27">
        <f t="shared" si="34"/>
        <v>0</v>
      </c>
      <c r="S32" s="27">
        <f t="shared" si="34"/>
        <v>0</v>
      </c>
      <c r="T32" s="454">
        <f>SUM(T25:T31)</f>
        <v>850.6</v>
      </c>
      <c r="U32" s="235">
        <f>Q32/T32</f>
        <v>0.16811662355984011</v>
      </c>
      <c r="V32" s="227">
        <f>J32/Q32</f>
        <v>15.388177153846154</v>
      </c>
      <c r="W32" s="377">
        <f>Q32/D32</f>
        <v>0.27290076335877861</v>
      </c>
      <c r="X32" s="675">
        <f>AVERAGE(X26:X31)</f>
        <v>13.499999999999998</v>
      </c>
      <c r="Y32" s="513">
        <f>AVERAGE(Y26:Y31)</f>
        <v>0.90284254843078371</v>
      </c>
      <c r="Z32" s="27">
        <f>SUM(Z25:Z31)</f>
        <v>87190</v>
      </c>
      <c r="AA32" s="27">
        <f t="shared" ref="AA32:AG32" si="35">SUM(AA25:AA31)</f>
        <v>117</v>
      </c>
      <c r="AB32" s="27">
        <f t="shared" si="35"/>
        <v>32454</v>
      </c>
      <c r="AC32" s="27">
        <f t="shared" si="35"/>
        <v>8372</v>
      </c>
      <c r="AD32" s="27">
        <f t="shared" si="35"/>
        <v>1592</v>
      </c>
      <c r="AE32" s="27">
        <f t="shared" si="35"/>
        <v>628</v>
      </c>
      <c r="AF32" s="27">
        <f t="shared" si="35"/>
        <v>323</v>
      </c>
      <c r="AG32" s="74">
        <f t="shared" si="35"/>
        <v>453.08428700000002</v>
      </c>
      <c r="AH32" s="236">
        <f>AG32/AB32</f>
        <v>1.3960814907253344E-2</v>
      </c>
      <c r="AI32" s="227">
        <f>AF32/AG32</f>
        <v>0.7128916390781832</v>
      </c>
      <c r="AJ32" s="147">
        <f>AA32/Z32</f>
        <v>1.3418970065374469E-3</v>
      </c>
      <c r="AK32" s="27">
        <f t="shared" ref="AK32" si="36">SUM(AK25:AK31)</f>
        <v>31</v>
      </c>
      <c r="AL32" s="27"/>
      <c r="AM32" s="27"/>
      <c r="AN32" s="227">
        <f>AG32/AK32</f>
        <v>14.615622161290323</v>
      </c>
      <c r="AO32" s="332">
        <f>AK32/AA32</f>
        <v>0.26495726495726496</v>
      </c>
      <c r="AP32" s="130"/>
      <c r="AQ32" s="325"/>
      <c r="AR32" s="326">
        <f>SUM(AR25:AR31)</f>
        <v>89180</v>
      </c>
      <c r="AS32" s="27">
        <f t="shared" ref="AS32" si="37">SUM(AS25:AS31)</f>
        <v>172</v>
      </c>
      <c r="AT32" s="27">
        <f t="shared" ref="AT32" si="38">SUM(AT25:AT31)</f>
        <v>33027</v>
      </c>
      <c r="AU32" s="27">
        <f t="shared" ref="AU32" si="39">SUM(AU25:AU31)</f>
        <v>5337</v>
      </c>
      <c r="AV32" s="27">
        <f t="shared" ref="AV32" si="40">SUM(AV25:AV31)</f>
        <v>778</v>
      </c>
      <c r="AW32" s="27">
        <f t="shared" ref="AW32" si="41">SUM(AW25:AW31)</f>
        <v>327</v>
      </c>
      <c r="AX32" s="27">
        <f t="shared" ref="AX32" si="42">SUM(AX25:AX31)</f>
        <v>178</v>
      </c>
      <c r="AY32" s="74">
        <f t="shared" ref="AY32" si="43">SUM(AY25:AY31)</f>
        <v>507.21919400000002</v>
      </c>
      <c r="AZ32" s="236">
        <f>AY32/AT32</f>
        <v>1.5357713204347959E-2</v>
      </c>
      <c r="BA32" s="227">
        <f>AY32/AX32</f>
        <v>2.8495460337078651</v>
      </c>
      <c r="BB32" s="147">
        <f>AS32/AR32</f>
        <v>1.9286835613366226E-3</v>
      </c>
      <c r="BC32" s="27">
        <f>SUM(BC25:BC31)</f>
        <v>69</v>
      </c>
      <c r="BD32" s="27">
        <f t="shared" ref="BD32" si="44">SUM(BD25:BD31)</f>
        <v>0</v>
      </c>
      <c r="BE32" s="27">
        <f t="shared" ref="BE32" si="45">SUM(BE25:BE31)</f>
        <v>0</v>
      </c>
      <c r="BF32" s="237">
        <f t="shared" ref="BF32" si="46">SUM(BF25:BF31)</f>
        <v>61.272235627106227</v>
      </c>
      <c r="BG32" s="726">
        <f>BC32/AS32</f>
        <v>0.40116279069767441</v>
      </c>
      <c r="BH32" s="27">
        <f t="shared" ref="BH32" si="47">SUM(BH25:BH31)</f>
        <v>0</v>
      </c>
      <c r="BI32" s="27">
        <f t="shared" ref="BI32" si="48">SUM(BI25:BI31)</f>
        <v>0</v>
      </c>
      <c r="BJ32" s="294">
        <f t="shared" ref="BJ32" si="49">SUM(BJ25:BJ31)</f>
        <v>296722</v>
      </c>
      <c r="BK32" s="56">
        <f>SUM(BK26:BK31)</f>
        <v>235</v>
      </c>
      <c r="BL32" s="56">
        <f>SUM(BL26:BL31)</f>
        <v>114182</v>
      </c>
      <c r="BM32" s="27">
        <f t="shared" ref="BM32:BP32" si="50">SUM(BM25:BM31)</f>
        <v>38231</v>
      </c>
      <c r="BN32" s="27">
        <f t="shared" si="50"/>
        <v>8079</v>
      </c>
      <c r="BO32" s="27">
        <f t="shared" si="50"/>
        <v>3767</v>
      </c>
      <c r="BP32" s="27">
        <f t="shared" si="50"/>
        <v>2006</v>
      </c>
      <c r="BQ32" s="227">
        <f t="shared" ref="BQ32" si="51">SUM(BQ26:BQ31)</f>
        <v>1240.205852</v>
      </c>
      <c r="BR32" s="236">
        <f>BQ32/BL32</f>
        <v>1.0861658159780001E-2</v>
      </c>
      <c r="BS32" s="227">
        <f>BQ32/BP32</f>
        <v>0.61824818145563309</v>
      </c>
      <c r="BT32" s="383">
        <f>BK32/BJ32</f>
        <v>7.9198711251609254E-4</v>
      </c>
      <c r="BU32" s="121">
        <f>SUM(BU26:BU31)</f>
        <v>43</v>
      </c>
      <c r="BV32" s="27"/>
      <c r="BW32" s="27"/>
      <c r="BX32" s="390">
        <f>BQ32/BU32</f>
        <v>28.841996558139535</v>
      </c>
      <c r="BY32" s="332">
        <f>BU32/BK32</f>
        <v>0.18297872340425531</v>
      </c>
      <c r="BZ32" s="130"/>
      <c r="CA32" s="255"/>
    </row>
    <row r="33" spans="2:79">
      <c r="B33" s="248">
        <v>40811</v>
      </c>
      <c r="C33" s="15">
        <v>96692</v>
      </c>
      <c r="D33" s="15">
        <v>97</v>
      </c>
      <c r="E33" s="15">
        <v>37836</v>
      </c>
      <c r="F33" s="52">
        <v>14994</v>
      </c>
      <c r="G33" s="52">
        <v>5245</v>
      </c>
      <c r="H33" s="52">
        <v>2328</v>
      </c>
      <c r="I33" s="52">
        <v>1255</v>
      </c>
      <c r="J33" s="77">
        <v>403.622907</v>
      </c>
      <c r="K33" s="73">
        <f>SUM(J$32:J33)/$C$5</f>
        <v>0.36747272881212428</v>
      </c>
      <c r="L33" s="78">
        <f>D33/C33</f>
        <v>1.0031853721093782E-3</v>
      </c>
      <c r="M33" s="53">
        <f t="shared" si="12"/>
        <v>11700</v>
      </c>
      <c r="N33" s="230">
        <f>J33/E33</f>
        <v>1.0667694973041549E-2</v>
      </c>
      <c r="O33" s="230">
        <f t="shared" ref="O33:O35" si="52">J33/I33</f>
        <v>0.32161187808764941</v>
      </c>
      <c r="P33" s="1111">
        <f t="shared" si="22"/>
        <v>3.2338461538461538</v>
      </c>
      <c r="Q33" s="143">
        <v>25</v>
      </c>
      <c r="R33" s="52"/>
      <c r="S33" s="52"/>
      <c r="T33" s="1404">
        <f>$AB$12/30</f>
        <v>141.76666666666668</v>
      </c>
      <c r="U33" s="234">
        <f t="shared" si="23"/>
        <v>0.17634610862920289</v>
      </c>
      <c r="V33" s="225">
        <f>J33/Q33</f>
        <v>16.14491628</v>
      </c>
      <c r="W33" s="378">
        <f>Q33/D33</f>
        <v>0.25773195876288657</v>
      </c>
      <c r="X33" s="694">
        <v>0</v>
      </c>
      <c r="Y33" s="514">
        <v>0.92</v>
      </c>
      <c r="Z33" s="166">
        <v>22371</v>
      </c>
      <c r="AA33" s="15">
        <v>20</v>
      </c>
      <c r="AB33" s="15">
        <v>9312</v>
      </c>
      <c r="AC33" s="52">
        <v>2989</v>
      </c>
      <c r="AD33" s="52">
        <v>882</v>
      </c>
      <c r="AE33" s="52">
        <v>354</v>
      </c>
      <c r="AF33" s="52">
        <v>200</v>
      </c>
      <c r="AG33" s="77">
        <v>99.495690999999994</v>
      </c>
      <c r="AH33" s="230">
        <f>AG33/AB33</f>
        <v>1.0684674720790377E-2</v>
      </c>
      <c r="AI33" s="230">
        <f t="shared" ref="AI33:AI35" si="53">AD33/AC33</f>
        <v>0.29508196721311475</v>
      </c>
      <c r="AJ33" s="146">
        <f>AA33/Z33</f>
        <v>8.940145724375307E-4</v>
      </c>
      <c r="AK33" s="143">
        <v>5</v>
      </c>
      <c r="AL33" s="52"/>
      <c r="AM33" s="52"/>
      <c r="AN33" s="329">
        <f>AG33/AK33</f>
        <v>19.899138199999999</v>
      </c>
      <c r="AO33" s="327">
        <f t="shared" ref="AO33:AO35" si="54">AK33/AA33</f>
        <v>0.25</v>
      </c>
      <c r="AP33" s="122"/>
      <c r="AQ33" s="167"/>
      <c r="AR33" s="166">
        <v>28302</v>
      </c>
      <c r="AS33" s="15">
        <v>43</v>
      </c>
      <c r="AT33" s="15">
        <v>10644</v>
      </c>
      <c r="AU33" s="52">
        <v>1570</v>
      </c>
      <c r="AV33" s="52">
        <v>339</v>
      </c>
      <c r="AW33" s="52">
        <v>144</v>
      </c>
      <c r="AX33" s="52">
        <v>83</v>
      </c>
      <c r="AY33" s="77">
        <v>108.714651</v>
      </c>
      <c r="AZ33" s="70">
        <f>AY33/AT33</f>
        <v>1.0213702649379933E-2</v>
      </c>
      <c r="BA33" s="70">
        <f>AY33/AX33</f>
        <v>1.3098150722891566</v>
      </c>
      <c r="BB33" s="146">
        <f>AS33/AR33</f>
        <v>1.5193272560243092E-3</v>
      </c>
      <c r="BC33" s="143">
        <v>17</v>
      </c>
      <c r="BD33" s="52"/>
      <c r="BE33" s="52"/>
      <c r="BF33" s="329">
        <f>AY33/BC33</f>
        <v>6.3949794705882352</v>
      </c>
      <c r="BG33" s="327">
        <f t="shared" ref="BG33:BG35" si="55">BC33/AS33</f>
        <v>0.39534883720930231</v>
      </c>
      <c r="BH33" s="122"/>
      <c r="BI33" s="167"/>
      <c r="BJ33" s="166">
        <v>46019</v>
      </c>
      <c r="BK33" s="15">
        <v>34</v>
      </c>
      <c r="BL33" s="15">
        <v>17880</v>
      </c>
      <c r="BM33" s="52">
        <v>10435</v>
      </c>
      <c r="BN33" s="52">
        <v>4024</v>
      </c>
      <c r="BO33" s="52">
        <v>1830</v>
      </c>
      <c r="BP33" s="52">
        <v>972</v>
      </c>
      <c r="BQ33" s="77">
        <v>195.412565</v>
      </c>
      <c r="BR33" s="386">
        <f>BQ33/BL33</f>
        <v>1.092911437360179E-2</v>
      </c>
      <c r="BS33" s="386">
        <f>BQ33/BP33</f>
        <v>0.20104173353909466</v>
      </c>
      <c r="BT33" s="375">
        <f>BK33/BJ33</f>
        <v>7.3882526782415958E-4</v>
      </c>
      <c r="BU33" s="143">
        <v>3</v>
      </c>
      <c r="BV33" s="52"/>
      <c r="BW33" s="52"/>
      <c r="BX33" s="388">
        <f>BQ33/BU33</f>
        <v>65.137521666666672</v>
      </c>
      <c r="BY33" s="327">
        <f t="shared" ref="BY33:BY35" si="56">BU33/BK33</f>
        <v>8.8235294117647065E-2</v>
      </c>
      <c r="BZ33" s="122"/>
      <c r="CA33" s="256"/>
    </row>
    <row r="34" spans="2:79" s="24" customFormat="1">
      <c r="B34" s="248">
        <v>40812</v>
      </c>
      <c r="C34" s="15">
        <v>129544</v>
      </c>
      <c r="D34" s="15">
        <v>123</v>
      </c>
      <c r="E34" s="15">
        <v>54468</v>
      </c>
      <c r="F34" s="52">
        <v>24843</v>
      </c>
      <c r="G34" s="52">
        <v>9098</v>
      </c>
      <c r="H34" s="52">
        <v>4094</v>
      </c>
      <c r="I34" s="52">
        <v>2142</v>
      </c>
      <c r="J34" s="77">
        <v>405.87341100000003</v>
      </c>
      <c r="K34" s="73">
        <f>SUM(J$32:J34)/$C$5</f>
        <v>0.424746091355516</v>
      </c>
      <c r="L34" s="78">
        <f>D34/C34</f>
        <v>9.4948434508738348E-4</v>
      </c>
      <c r="M34" s="53">
        <f t="shared" si="12"/>
        <v>11700</v>
      </c>
      <c r="N34" s="230">
        <f>J34/E34</f>
        <v>7.4515937981934352E-3</v>
      </c>
      <c r="O34" s="230">
        <f t="shared" si="52"/>
        <v>0.18948338515406163</v>
      </c>
      <c r="P34" s="1111">
        <f t="shared" si="22"/>
        <v>4.655384615384615</v>
      </c>
      <c r="Q34" s="143">
        <v>23</v>
      </c>
      <c r="R34" s="52"/>
      <c r="S34" s="52"/>
      <c r="T34" s="1404">
        <f>$AB$12/30</f>
        <v>141.76666666666668</v>
      </c>
      <c r="U34" s="234">
        <f t="shared" si="23"/>
        <v>0.16223841993886667</v>
      </c>
      <c r="V34" s="225">
        <f>J34/Q34</f>
        <v>17.646670043478263</v>
      </c>
      <c r="W34" s="378">
        <f t="shared" ref="W34:W35" si="57">Q34/D34</f>
        <v>0.18699186991869918</v>
      </c>
      <c r="X34" s="694">
        <v>5.333333333333333</v>
      </c>
      <c r="Y34" s="515">
        <v>0.91304347826086951</v>
      </c>
      <c r="Z34" s="166">
        <v>26495</v>
      </c>
      <c r="AA34" s="15">
        <v>30</v>
      </c>
      <c r="AB34" s="15">
        <v>11430</v>
      </c>
      <c r="AC34" s="52">
        <v>3820</v>
      </c>
      <c r="AD34" s="52">
        <v>1119</v>
      </c>
      <c r="AE34" s="52">
        <v>446</v>
      </c>
      <c r="AF34" s="52">
        <v>211</v>
      </c>
      <c r="AG34" s="77">
        <v>86.028491000000002</v>
      </c>
      <c r="AH34" s="230">
        <f>AG34/AB34</f>
        <v>7.5265521434820654E-3</v>
      </c>
      <c r="AI34" s="230">
        <f t="shared" si="53"/>
        <v>0.29293193717277488</v>
      </c>
      <c r="AJ34" s="146">
        <f>AA34/Z34</f>
        <v>1.1322891111530478E-3</v>
      </c>
      <c r="AK34" s="143">
        <v>5</v>
      </c>
      <c r="AL34" s="52"/>
      <c r="AM34" s="52"/>
      <c r="AN34" s="312">
        <f t="shared" ref="AN34:AN35" si="58">AG34/AK34</f>
        <v>17.2056982</v>
      </c>
      <c r="AO34" s="330">
        <f t="shared" si="54"/>
        <v>0.16666666666666666</v>
      </c>
      <c r="AP34" s="123"/>
      <c r="AQ34" s="168"/>
      <c r="AR34" s="166">
        <v>28062</v>
      </c>
      <c r="AS34" s="15">
        <v>30</v>
      </c>
      <c r="AT34" s="15">
        <v>11346</v>
      </c>
      <c r="AU34" s="52">
        <v>1820</v>
      </c>
      <c r="AV34" s="52">
        <v>427</v>
      </c>
      <c r="AW34" s="52">
        <v>193</v>
      </c>
      <c r="AX34" s="52">
        <v>110</v>
      </c>
      <c r="AY34" s="77">
        <v>82.221931999999995</v>
      </c>
      <c r="AZ34" s="70">
        <f>AY34/AT34</f>
        <v>7.2467770139256118E-3</v>
      </c>
      <c r="BA34" s="70">
        <f t="shared" ref="BA34:BA35" si="59">AY34/AX34</f>
        <v>0.747472109090909</v>
      </c>
      <c r="BB34" s="244">
        <f t="shared" ref="BB34:BB35" si="60">AS34/AR34</f>
        <v>1.0690613641223007E-3</v>
      </c>
      <c r="BC34" s="143">
        <v>8</v>
      </c>
      <c r="BD34" s="52"/>
      <c r="BE34" s="52"/>
      <c r="BF34" s="329">
        <f t="shared" ref="BF34:BF35" si="61">AY34/BC34</f>
        <v>10.277741499999999</v>
      </c>
      <c r="BG34" s="389">
        <f t="shared" si="55"/>
        <v>0.26666666666666666</v>
      </c>
      <c r="BH34" s="123"/>
      <c r="BI34" s="168"/>
      <c r="BJ34" s="166">
        <v>74987</v>
      </c>
      <c r="BK34" s="15">
        <v>63</v>
      </c>
      <c r="BL34" s="15">
        <v>31692</v>
      </c>
      <c r="BM34" s="52">
        <v>19203</v>
      </c>
      <c r="BN34" s="52">
        <v>7552</v>
      </c>
      <c r="BO34" s="52">
        <v>3455</v>
      </c>
      <c r="BP34" s="52">
        <v>1821</v>
      </c>
      <c r="BQ34" s="77">
        <v>237.62298799999999</v>
      </c>
      <c r="BR34" s="386">
        <f>BQ34/BL34</f>
        <v>7.4978855231604188E-3</v>
      </c>
      <c r="BS34" s="386">
        <f>BQ34/BP34</f>
        <v>0.1304903833058759</v>
      </c>
      <c r="BT34" s="375">
        <f>BK34/BJ34</f>
        <v>8.401456252417086E-4</v>
      </c>
      <c r="BU34" s="143">
        <v>10</v>
      </c>
      <c r="BV34" s="52"/>
      <c r="BW34" s="52"/>
      <c r="BX34" s="388">
        <f>BQ34/BU34</f>
        <v>23.7622988</v>
      </c>
      <c r="BY34" s="389">
        <f t="shared" si="56"/>
        <v>0.15873015873015872</v>
      </c>
      <c r="BZ34" s="123"/>
      <c r="CA34" s="257"/>
    </row>
    <row r="35" spans="2:79" s="26" customFormat="1">
      <c r="B35" s="248">
        <v>40813</v>
      </c>
      <c r="C35" s="15">
        <v>160256</v>
      </c>
      <c r="D35" s="15">
        <v>192</v>
      </c>
      <c r="E35" s="15">
        <v>71891</v>
      </c>
      <c r="F35" s="52">
        <v>33619</v>
      </c>
      <c r="G35" s="52">
        <v>12806</v>
      </c>
      <c r="H35" s="52">
        <v>5974</v>
      </c>
      <c r="I35" s="52">
        <v>3201</v>
      </c>
      <c r="J35" s="77">
        <v>410.68246099999999</v>
      </c>
      <c r="K35" s="73">
        <f>SUM(J$32:J35)/$C$5</f>
        <v>0.4826980656450201</v>
      </c>
      <c r="L35" s="78">
        <f t="shared" ref="L35" si="62">D35/C35</f>
        <v>1.1980830670926517E-3</v>
      </c>
      <c r="M35" s="53">
        <f t="shared" si="12"/>
        <v>11700</v>
      </c>
      <c r="N35" s="230">
        <f t="shared" ref="N35" si="63">J35/E35</f>
        <v>5.7125712676134701E-3</v>
      </c>
      <c r="O35" s="230">
        <f t="shared" si="52"/>
        <v>0.1282981758825367</v>
      </c>
      <c r="P35" s="1111">
        <f t="shared" si="22"/>
        <v>6.1445299145299144</v>
      </c>
      <c r="Q35" s="143">
        <v>34</v>
      </c>
      <c r="R35" s="52"/>
      <c r="S35" s="52"/>
      <c r="T35" s="1404">
        <f t="shared" ref="T35:T39" si="64">$AB$12/30</f>
        <v>141.76666666666668</v>
      </c>
      <c r="U35" s="234">
        <f t="shared" si="23"/>
        <v>0.23983070773571594</v>
      </c>
      <c r="V35" s="225">
        <f t="shared" ref="V35" si="65">J35/Q35</f>
        <v>12.078895911764706</v>
      </c>
      <c r="W35" s="378">
        <f t="shared" si="57"/>
        <v>0.17708333333333334</v>
      </c>
      <c r="X35" s="694">
        <v>6.666666666666667</v>
      </c>
      <c r="Y35" s="515">
        <v>0.94117647058823528</v>
      </c>
      <c r="Z35" s="166">
        <v>36926</v>
      </c>
      <c r="AA35" s="15">
        <v>53</v>
      </c>
      <c r="AB35" s="15">
        <v>16443</v>
      </c>
      <c r="AC35" s="52">
        <v>5767</v>
      </c>
      <c r="AD35" s="52">
        <v>1809</v>
      </c>
      <c r="AE35" s="52">
        <v>740</v>
      </c>
      <c r="AF35" s="52">
        <v>398</v>
      </c>
      <c r="AG35" s="77">
        <v>91.388597000000004</v>
      </c>
      <c r="AH35" s="230">
        <f t="shared" ref="AH35" si="66">AG35/AB35</f>
        <v>5.5579028766040263E-3</v>
      </c>
      <c r="AI35" s="230">
        <f t="shared" si="53"/>
        <v>0.31368129009883822</v>
      </c>
      <c r="AJ35" s="146">
        <f t="shared" ref="AJ35" si="67">AA35/Z35</f>
        <v>1.4353030385094512E-3</v>
      </c>
      <c r="AK35" s="143">
        <v>11</v>
      </c>
      <c r="AL35" s="52"/>
      <c r="AM35" s="52"/>
      <c r="AN35" s="312">
        <f t="shared" si="58"/>
        <v>8.3080542727272739</v>
      </c>
      <c r="AO35" s="330">
        <f t="shared" si="54"/>
        <v>0.20754716981132076</v>
      </c>
      <c r="AP35" s="124"/>
      <c r="AQ35" s="169"/>
      <c r="AR35" s="166">
        <v>34988</v>
      </c>
      <c r="AS35" s="15">
        <v>49</v>
      </c>
      <c r="AT35" s="15">
        <v>15489</v>
      </c>
      <c r="AU35" s="52">
        <v>2734</v>
      </c>
      <c r="AV35" s="52">
        <v>645</v>
      </c>
      <c r="AW35" s="52">
        <v>284</v>
      </c>
      <c r="AX35" s="52">
        <v>148</v>
      </c>
      <c r="AY35" s="77">
        <v>87.842985999999996</v>
      </c>
      <c r="AZ35" s="70">
        <f t="shared" ref="AZ35" si="68">AY35/AT35</f>
        <v>5.6713142229969657E-3</v>
      </c>
      <c r="BA35" s="70">
        <f t="shared" si="59"/>
        <v>0.59353368918918914</v>
      </c>
      <c r="BB35" s="244">
        <f t="shared" si="60"/>
        <v>1.4004801646278725E-3</v>
      </c>
      <c r="BC35" s="143">
        <v>16</v>
      </c>
      <c r="BD35" s="52"/>
      <c r="BE35" s="52"/>
      <c r="BF35" s="329">
        <f t="shared" si="61"/>
        <v>5.4901866249999998</v>
      </c>
      <c r="BG35" s="389">
        <f t="shared" si="55"/>
        <v>0.32653061224489793</v>
      </c>
      <c r="BH35" s="124"/>
      <c r="BI35" s="169"/>
      <c r="BJ35" s="166">
        <v>88342</v>
      </c>
      <c r="BK35" s="15">
        <v>90</v>
      </c>
      <c r="BL35" s="15">
        <v>39959</v>
      </c>
      <c r="BM35" s="52">
        <v>25118</v>
      </c>
      <c r="BN35" s="52">
        <v>10352</v>
      </c>
      <c r="BO35" s="52">
        <v>4950</v>
      </c>
      <c r="BP35" s="52">
        <v>2655</v>
      </c>
      <c r="BQ35" s="77">
        <v>231.45087799999999</v>
      </c>
      <c r="BR35" s="386">
        <f t="shared" ref="BR35" si="69">BQ35/BL35</f>
        <v>5.7922089641882927E-3</v>
      </c>
      <c r="BS35" s="386">
        <f t="shared" ref="BS35" si="70">BQ35/BP35</f>
        <v>8.7175471939736349E-2</v>
      </c>
      <c r="BT35" s="375">
        <f t="shared" ref="BT35" si="71">BK35/BJ35</f>
        <v>1.0187679699350252E-3</v>
      </c>
      <c r="BU35" s="143">
        <v>7</v>
      </c>
      <c r="BV35" s="52"/>
      <c r="BW35" s="52"/>
      <c r="BX35" s="274">
        <f t="shared" ref="BX35" si="72">BQ35/BU35</f>
        <v>33.064411142857139</v>
      </c>
      <c r="BY35" s="330">
        <f t="shared" si="56"/>
        <v>7.7777777777777779E-2</v>
      </c>
      <c r="BZ35" s="124"/>
      <c r="CA35" s="258"/>
    </row>
    <row r="36" spans="2:79">
      <c r="B36" s="248">
        <v>40814</v>
      </c>
      <c r="C36" s="15">
        <v>142334</v>
      </c>
      <c r="D36" s="15">
        <v>153</v>
      </c>
      <c r="E36" s="15">
        <v>63518</v>
      </c>
      <c r="F36" s="52">
        <v>29265</v>
      </c>
      <c r="G36" s="52">
        <v>10714</v>
      </c>
      <c r="H36" s="52">
        <v>4983</v>
      </c>
      <c r="I36" s="52">
        <v>2721</v>
      </c>
      <c r="J36" s="77">
        <v>374.80001299999998</v>
      </c>
      <c r="K36" s="73">
        <f>SUM(J$32:J36)/$C$5</f>
        <v>0.53558661770101312</v>
      </c>
      <c r="L36" s="78">
        <f t="shared" ref="L36:L39" si="73">D36/C36</f>
        <v>1.0749364171596385E-3</v>
      </c>
      <c r="M36" s="53">
        <f t="shared" si="12"/>
        <v>11700</v>
      </c>
      <c r="N36" s="230">
        <f t="shared" ref="N36:N39" si="74">J36/E36</f>
        <v>5.900689772977738E-3</v>
      </c>
      <c r="O36" s="230">
        <f t="shared" ref="O36:O39" si="75">J36/I36</f>
        <v>0.13774348144064683</v>
      </c>
      <c r="P36" s="1111">
        <f t="shared" ref="P36:P39" si="76">E36/M36</f>
        <v>5.4288888888888893</v>
      </c>
      <c r="Q36" s="143">
        <v>37</v>
      </c>
      <c r="R36" s="52"/>
      <c r="S36" s="52"/>
      <c r="T36" s="1404">
        <f t="shared" si="64"/>
        <v>141.76666666666668</v>
      </c>
      <c r="U36" s="234">
        <f t="shared" ref="U36:U39" si="77">Q36/T36</f>
        <v>0.2609922407712203</v>
      </c>
      <c r="V36" s="225">
        <f t="shared" ref="V36:V39" si="78">J36/Q36</f>
        <v>10.12973008108108</v>
      </c>
      <c r="W36" s="378">
        <f t="shared" ref="W36:W39" si="79">Q36/D36</f>
        <v>0.24183006535947713</v>
      </c>
      <c r="X36" s="695">
        <v>5</v>
      </c>
      <c r="Y36" s="515">
        <v>0.97297297297297303</v>
      </c>
      <c r="Z36" s="166">
        <v>39577</v>
      </c>
      <c r="AA36" s="15">
        <v>63</v>
      </c>
      <c r="AB36" s="15">
        <v>18036</v>
      </c>
      <c r="AC36" s="52">
        <v>6261</v>
      </c>
      <c r="AD36" s="52">
        <v>1850</v>
      </c>
      <c r="AE36" s="52">
        <v>747</v>
      </c>
      <c r="AF36" s="52">
        <v>392</v>
      </c>
      <c r="AG36" s="77">
        <v>110.55529199999999</v>
      </c>
      <c r="AH36" s="230">
        <f t="shared" ref="AH36:AH39" si="80">AG36/AB36</f>
        <v>6.1297012641383895E-3</v>
      </c>
      <c r="AI36" s="230">
        <f t="shared" ref="AI36:AI39" si="81">AD36/AC36</f>
        <v>0.29547995527870946</v>
      </c>
      <c r="AJ36" s="146">
        <f t="shared" ref="AJ36:AJ39" si="82">AA36/Z36</f>
        <v>1.5918336407509412E-3</v>
      </c>
      <c r="AK36" s="143">
        <v>15</v>
      </c>
      <c r="AL36" s="52"/>
      <c r="AM36" s="52"/>
      <c r="AN36" s="312">
        <f t="shared" ref="AN36:AN39" si="83">AG36/AK36</f>
        <v>7.3703528</v>
      </c>
      <c r="AO36" s="330">
        <f t="shared" ref="AO36:AO39" si="84">AK36/AA36</f>
        <v>0.23809523809523808</v>
      </c>
      <c r="AP36" s="125"/>
      <c r="AQ36" s="170"/>
      <c r="AR36" s="166">
        <v>23698</v>
      </c>
      <c r="AS36" s="15">
        <v>32</v>
      </c>
      <c r="AT36" s="15">
        <v>10428</v>
      </c>
      <c r="AU36" s="52">
        <v>1769</v>
      </c>
      <c r="AV36" s="52">
        <v>398</v>
      </c>
      <c r="AW36" s="52">
        <v>158</v>
      </c>
      <c r="AX36" s="52">
        <v>89</v>
      </c>
      <c r="AY36" s="77">
        <v>63.883574000000003</v>
      </c>
      <c r="AZ36" s="70">
        <f t="shared" ref="AZ36:AZ39" si="85">AY36/AT36</f>
        <v>6.1261578442654398E-3</v>
      </c>
      <c r="BA36" s="70">
        <f t="shared" ref="BA36:BA39" si="86">AY36/AX36</f>
        <v>0.71779296629213485</v>
      </c>
      <c r="BB36" s="244">
        <f t="shared" ref="BB36:BB39" si="87">AS36/AR36</f>
        <v>1.3503249219343405E-3</v>
      </c>
      <c r="BC36" s="143">
        <v>12</v>
      </c>
      <c r="BD36" s="52"/>
      <c r="BE36" s="52"/>
      <c r="BF36" s="329">
        <f t="shared" ref="BF36:BF39" si="88">AY36/BC36</f>
        <v>5.3236311666666669</v>
      </c>
      <c r="BG36" s="389">
        <f t="shared" ref="BG36:BG39" si="89">BC36/AS36</f>
        <v>0.375</v>
      </c>
      <c r="BH36" s="125"/>
      <c r="BI36" s="170"/>
      <c r="BJ36" s="166">
        <v>79059</v>
      </c>
      <c r="BK36" s="15">
        <v>58</v>
      </c>
      <c r="BL36" s="15">
        <v>35054</v>
      </c>
      <c r="BM36" s="52">
        <v>21235</v>
      </c>
      <c r="BN36" s="52">
        <v>8466</v>
      </c>
      <c r="BO36" s="52">
        <v>4078</v>
      </c>
      <c r="BP36" s="52">
        <v>2240</v>
      </c>
      <c r="BQ36" s="77">
        <v>200.36114699999999</v>
      </c>
      <c r="BR36" s="386">
        <f t="shared" ref="BR36:BR39" si="90">BQ36/BL36</f>
        <v>5.7157855594226047E-3</v>
      </c>
      <c r="BS36" s="386">
        <f t="shared" ref="BS36:BS39" si="91">BQ36/BP36</f>
        <v>8.9446940624999999E-2</v>
      </c>
      <c r="BT36" s="375">
        <f t="shared" ref="BT36:BT39" si="92">BK36/BJ36</f>
        <v>7.3362931481551748E-4</v>
      </c>
      <c r="BU36" s="143">
        <v>10</v>
      </c>
      <c r="BV36" s="52"/>
      <c r="BW36" s="52"/>
      <c r="BX36" s="274">
        <f t="shared" ref="BX36:BX39" si="93">BQ36/BU36</f>
        <v>20.036114699999999</v>
      </c>
      <c r="BY36" s="330">
        <f t="shared" ref="BY36:BY39" si="94">BU36/BK36</f>
        <v>0.17241379310344829</v>
      </c>
      <c r="BZ36" s="125"/>
      <c r="CA36" s="259"/>
    </row>
    <row r="37" spans="2:79">
      <c r="B37" s="248">
        <v>40815</v>
      </c>
      <c r="C37" s="15">
        <v>118050</v>
      </c>
      <c r="D37" s="15">
        <v>131</v>
      </c>
      <c r="E37" s="15">
        <v>53706</v>
      </c>
      <c r="F37" s="52">
        <v>23984</v>
      </c>
      <c r="G37" s="52">
        <v>8850</v>
      </c>
      <c r="H37" s="52">
        <v>4064</v>
      </c>
      <c r="I37" s="52">
        <v>2166</v>
      </c>
      <c r="J37" s="77">
        <v>381.15829200000007</v>
      </c>
      <c r="K37" s="73">
        <f>SUM(J$32:J37)/$C$5</f>
        <v>0.5893723953659018</v>
      </c>
      <c r="L37" s="78">
        <f t="shared" si="73"/>
        <v>1.1096992799661161E-3</v>
      </c>
      <c r="M37" s="53">
        <f t="shared" si="12"/>
        <v>11700</v>
      </c>
      <c r="N37" s="230">
        <f t="shared" si="74"/>
        <v>7.097126801474697E-3</v>
      </c>
      <c r="O37" s="230">
        <f t="shared" si="75"/>
        <v>0.17597335734072025</v>
      </c>
      <c r="P37" s="1111">
        <f t="shared" si="76"/>
        <v>4.5902564102564103</v>
      </c>
      <c r="Q37" s="143">
        <v>38</v>
      </c>
      <c r="R37" s="52"/>
      <c r="S37" s="52"/>
      <c r="T37" s="1404">
        <f t="shared" si="64"/>
        <v>141.76666666666668</v>
      </c>
      <c r="U37" s="234">
        <f t="shared" si="77"/>
        <v>0.26804608511638839</v>
      </c>
      <c r="V37" s="225">
        <f t="shared" si="78"/>
        <v>10.030481368421055</v>
      </c>
      <c r="W37" s="378">
        <f t="shared" si="79"/>
        <v>0.29007633587786258</v>
      </c>
      <c r="X37" s="696">
        <v>3</v>
      </c>
      <c r="Y37" s="515">
        <v>0.92105263157894735</v>
      </c>
      <c r="Z37" s="166">
        <v>44606</v>
      </c>
      <c r="AA37" s="15">
        <v>52</v>
      </c>
      <c r="AB37" s="15">
        <v>20274</v>
      </c>
      <c r="AC37" s="52">
        <v>7007</v>
      </c>
      <c r="AD37" s="52">
        <v>2112</v>
      </c>
      <c r="AE37" s="52">
        <v>874</v>
      </c>
      <c r="AF37" s="52">
        <v>454</v>
      </c>
      <c r="AG37" s="77">
        <v>145.79222200000001</v>
      </c>
      <c r="AH37" s="230">
        <f t="shared" si="80"/>
        <v>7.1910931241984813E-3</v>
      </c>
      <c r="AI37" s="230">
        <f t="shared" si="81"/>
        <v>0.30141287284144425</v>
      </c>
      <c r="AJ37" s="146">
        <f t="shared" si="82"/>
        <v>1.1657624534815944E-3</v>
      </c>
      <c r="AK37" s="143">
        <v>17</v>
      </c>
      <c r="AL37" s="52"/>
      <c r="AM37" s="52"/>
      <c r="AN37" s="312">
        <f t="shared" si="83"/>
        <v>8.5760130588235306</v>
      </c>
      <c r="AO37" s="330">
        <f t="shared" si="84"/>
        <v>0.32692307692307693</v>
      </c>
      <c r="AP37" s="125"/>
      <c r="AQ37" s="170"/>
      <c r="AR37" s="166">
        <v>18111</v>
      </c>
      <c r="AS37" s="15">
        <v>31</v>
      </c>
      <c r="AT37" s="15">
        <v>8072</v>
      </c>
      <c r="AU37" s="52">
        <v>1409</v>
      </c>
      <c r="AV37" s="52">
        <v>316</v>
      </c>
      <c r="AW37" s="52">
        <v>122</v>
      </c>
      <c r="AX37" s="52">
        <v>72</v>
      </c>
      <c r="AY37" s="77">
        <v>58.103645</v>
      </c>
      <c r="AZ37" s="70">
        <f t="shared" si="85"/>
        <v>7.1981720763131815E-3</v>
      </c>
      <c r="BA37" s="70">
        <f t="shared" si="86"/>
        <v>0.80699506944444444</v>
      </c>
      <c r="BB37" s="244">
        <f t="shared" si="87"/>
        <v>1.7116669427419801E-3</v>
      </c>
      <c r="BC37" s="143">
        <v>9</v>
      </c>
      <c r="BD37" s="52"/>
      <c r="BE37" s="52"/>
      <c r="BF37" s="329">
        <f t="shared" si="88"/>
        <v>6.4559605555555555</v>
      </c>
      <c r="BG37" s="389">
        <f t="shared" si="89"/>
        <v>0.29032258064516131</v>
      </c>
      <c r="BH37" s="125"/>
      <c r="BI37" s="170"/>
      <c r="BJ37" s="166">
        <v>55333</v>
      </c>
      <c r="BK37" s="15">
        <v>48</v>
      </c>
      <c r="BL37" s="15">
        <v>25360</v>
      </c>
      <c r="BM37" s="52">
        <v>15568</v>
      </c>
      <c r="BN37" s="52">
        <v>6422</v>
      </c>
      <c r="BO37" s="52">
        <v>3068</v>
      </c>
      <c r="BP37" s="52">
        <v>1640</v>
      </c>
      <c r="BQ37" s="77">
        <v>177.26242500000001</v>
      </c>
      <c r="BR37" s="386">
        <f t="shared" si="90"/>
        <v>6.9898432570977918E-3</v>
      </c>
      <c r="BS37" s="386">
        <f t="shared" si="91"/>
        <v>0.10808684451219512</v>
      </c>
      <c r="BT37" s="375">
        <f t="shared" si="92"/>
        <v>8.6747510527171846E-4</v>
      </c>
      <c r="BU37" s="143">
        <v>12</v>
      </c>
      <c r="BV37" s="52"/>
      <c r="BW37" s="52"/>
      <c r="BX37" s="274">
        <f t="shared" si="93"/>
        <v>14.771868750000001</v>
      </c>
      <c r="BY37" s="330">
        <f t="shared" si="94"/>
        <v>0.25</v>
      </c>
      <c r="BZ37" s="125"/>
      <c r="CA37" s="259"/>
    </row>
    <row r="38" spans="2:79">
      <c r="B38" s="253">
        <v>40816</v>
      </c>
      <c r="C38" s="15">
        <v>151622</v>
      </c>
      <c r="D38" s="15">
        <v>174</v>
      </c>
      <c r="E38" s="15">
        <v>65987</v>
      </c>
      <c r="F38" s="52">
        <v>26657</v>
      </c>
      <c r="G38" s="52">
        <v>9334</v>
      </c>
      <c r="H38" s="52">
        <v>4203</v>
      </c>
      <c r="I38" s="52">
        <v>2244</v>
      </c>
      <c r="J38" s="77">
        <v>400.01302399999997</v>
      </c>
      <c r="K38" s="73">
        <f>SUM(J$32:J38)/$C$5</f>
        <v>0.64581879053424762</v>
      </c>
      <c r="L38" s="78">
        <f t="shared" si="73"/>
        <v>1.1475907190249435E-3</v>
      </c>
      <c r="M38" s="53">
        <f t="shared" si="12"/>
        <v>11700</v>
      </c>
      <c r="N38" s="230">
        <f t="shared" si="74"/>
        <v>6.0619974237349781E-3</v>
      </c>
      <c r="O38" s="230">
        <f t="shared" si="75"/>
        <v>0.17825892335115864</v>
      </c>
      <c r="P38" s="1111">
        <f t="shared" si="76"/>
        <v>5.6399145299145301</v>
      </c>
      <c r="Q38" s="143">
        <v>46</v>
      </c>
      <c r="R38" s="52"/>
      <c r="S38" s="52"/>
      <c r="T38" s="1404">
        <f t="shared" si="64"/>
        <v>141.76666666666668</v>
      </c>
      <c r="U38" s="234">
        <f t="shared" si="77"/>
        <v>0.32447683987773335</v>
      </c>
      <c r="V38" s="225">
        <f t="shared" si="78"/>
        <v>8.6959353043478256</v>
      </c>
      <c r="W38" s="378">
        <f t="shared" si="79"/>
        <v>0.26436781609195403</v>
      </c>
      <c r="X38" s="696">
        <v>5.666666666666667</v>
      </c>
      <c r="Y38" s="515">
        <v>0.93478260869565222</v>
      </c>
      <c r="Z38" s="166">
        <v>56047</v>
      </c>
      <c r="AA38" s="15">
        <v>65</v>
      </c>
      <c r="AB38" s="15">
        <v>24825</v>
      </c>
      <c r="AC38" s="52">
        <v>8284</v>
      </c>
      <c r="AD38" s="52">
        <v>2402</v>
      </c>
      <c r="AE38" s="52">
        <v>927</v>
      </c>
      <c r="AF38" s="52">
        <v>462</v>
      </c>
      <c r="AG38" s="77">
        <v>152.49228299999999</v>
      </c>
      <c r="AH38" s="230">
        <f t="shared" si="80"/>
        <v>6.1426901510574011E-3</v>
      </c>
      <c r="AI38" s="230">
        <f t="shared" si="81"/>
        <v>0.28995654273297922</v>
      </c>
      <c r="AJ38" s="146">
        <f t="shared" si="82"/>
        <v>1.1597409317180224E-3</v>
      </c>
      <c r="AK38" s="143">
        <v>18</v>
      </c>
      <c r="AL38" s="52"/>
      <c r="AM38" s="52"/>
      <c r="AN38" s="312">
        <f t="shared" si="83"/>
        <v>8.4717934999999986</v>
      </c>
      <c r="AO38" s="330">
        <f t="shared" si="84"/>
        <v>0.27692307692307694</v>
      </c>
      <c r="AP38" s="125"/>
      <c r="AQ38" s="170"/>
      <c r="AR38" s="166">
        <v>32873</v>
      </c>
      <c r="AS38" s="15">
        <v>42</v>
      </c>
      <c r="AT38" s="15">
        <v>13795</v>
      </c>
      <c r="AU38" s="52">
        <v>2218</v>
      </c>
      <c r="AV38" s="52">
        <v>558</v>
      </c>
      <c r="AW38" s="52">
        <v>245</v>
      </c>
      <c r="AX38" s="52">
        <v>150</v>
      </c>
      <c r="AY38" s="77">
        <v>83.930430000000001</v>
      </c>
      <c r="AZ38" s="70">
        <f t="shared" si="85"/>
        <v>6.0841196085538243E-3</v>
      </c>
      <c r="BA38" s="70">
        <f t="shared" si="86"/>
        <v>0.55953620000000004</v>
      </c>
      <c r="BB38" s="244">
        <f t="shared" si="87"/>
        <v>1.2776442673318529E-3</v>
      </c>
      <c r="BC38" s="143">
        <v>18</v>
      </c>
      <c r="BD38" s="52"/>
      <c r="BE38" s="52"/>
      <c r="BF38" s="329">
        <f t="shared" si="88"/>
        <v>4.6628016666666667</v>
      </c>
      <c r="BG38" s="389">
        <f t="shared" si="89"/>
        <v>0.42857142857142855</v>
      </c>
      <c r="BH38" s="125"/>
      <c r="BI38" s="170"/>
      <c r="BJ38" s="166">
        <v>62702</v>
      </c>
      <c r="BK38" s="15">
        <v>67</v>
      </c>
      <c r="BL38" s="15">
        <v>27367</v>
      </c>
      <c r="BM38" s="52">
        <v>16155</v>
      </c>
      <c r="BN38" s="52">
        <v>6374</v>
      </c>
      <c r="BO38" s="52">
        <v>3031</v>
      </c>
      <c r="BP38" s="52">
        <v>1632</v>
      </c>
      <c r="BQ38" s="77">
        <v>163.59031100000001</v>
      </c>
      <c r="BR38" s="386">
        <f t="shared" si="90"/>
        <v>5.9776486644498852E-3</v>
      </c>
      <c r="BS38" s="386">
        <f t="shared" si="91"/>
        <v>0.1002391611519608</v>
      </c>
      <c r="BT38" s="375">
        <f t="shared" si="92"/>
        <v>1.0685464578482344E-3</v>
      </c>
      <c r="BU38" s="143">
        <v>10</v>
      </c>
      <c r="BV38" s="52"/>
      <c r="BW38" s="52"/>
      <c r="BX38" s="274">
        <f t="shared" si="93"/>
        <v>16.359031100000003</v>
      </c>
      <c r="BY38" s="330">
        <f t="shared" si="94"/>
        <v>0.14925373134328357</v>
      </c>
      <c r="BZ38" s="125"/>
      <c r="CA38" s="259"/>
    </row>
    <row r="39" spans="2:79">
      <c r="B39" s="253">
        <v>40817</v>
      </c>
      <c r="C39" s="15">
        <v>204314</v>
      </c>
      <c r="D39" s="15">
        <v>259</v>
      </c>
      <c r="E39" s="15">
        <v>90914</v>
      </c>
      <c r="F39" s="52">
        <v>36256</v>
      </c>
      <c r="G39" s="52">
        <v>12783</v>
      </c>
      <c r="H39" s="52">
        <v>5885</v>
      </c>
      <c r="I39" s="52">
        <v>3202</v>
      </c>
      <c r="J39" s="77">
        <v>408.92802900000004</v>
      </c>
      <c r="K39" s="73">
        <f>SUM(J$32:J39)/$C$5</f>
        <v>0.70352319447972222</v>
      </c>
      <c r="L39" s="78">
        <f t="shared" si="73"/>
        <v>1.2676566461427019E-3</v>
      </c>
      <c r="M39" s="53">
        <f t="shared" si="12"/>
        <v>11700</v>
      </c>
      <c r="N39" s="230">
        <f t="shared" si="74"/>
        <v>4.4979654288668418E-3</v>
      </c>
      <c r="O39" s="230">
        <f t="shared" si="75"/>
        <v>0.127710190193629</v>
      </c>
      <c r="P39" s="1111">
        <f t="shared" si="76"/>
        <v>7.77042735042735</v>
      </c>
      <c r="Q39" s="143">
        <v>53</v>
      </c>
      <c r="R39" s="52"/>
      <c r="S39" s="52"/>
      <c r="T39" s="1404">
        <f t="shared" si="64"/>
        <v>141.76666666666668</v>
      </c>
      <c r="U39" s="574">
        <f t="shared" si="77"/>
        <v>0.37385375029391016</v>
      </c>
      <c r="V39" s="225">
        <f t="shared" si="78"/>
        <v>7.7156231886792463</v>
      </c>
      <c r="W39" s="378">
        <f t="shared" si="79"/>
        <v>0.20463320463320464</v>
      </c>
      <c r="X39" s="696">
        <v>21.666666666666668</v>
      </c>
      <c r="Y39" s="515">
        <v>0.81132075471698117</v>
      </c>
      <c r="Z39" s="166">
        <v>68541</v>
      </c>
      <c r="AA39" s="15">
        <v>95</v>
      </c>
      <c r="AB39" s="15">
        <v>30544</v>
      </c>
      <c r="AC39" s="52">
        <v>10418</v>
      </c>
      <c r="AD39" s="52">
        <v>3031</v>
      </c>
      <c r="AE39" s="52">
        <v>1250</v>
      </c>
      <c r="AF39" s="52">
        <v>672</v>
      </c>
      <c r="AG39" s="77">
        <v>138.48060899999999</v>
      </c>
      <c r="AH39" s="230">
        <f t="shared" si="80"/>
        <v>4.5338072616553163E-3</v>
      </c>
      <c r="AI39" s="230">
        <f t="shared" si="81"/>
        <v>0.29093875983874062</v>
      </c>
      <c r="AJ39" s="146">
        <f t="shared" si="82"/>
        <v>1.3860317182416363E-3</v>
      </c>
      <c r="AK39" s="143">
        <v>20</v>
      </c>
      <c r="AL39" s="52"/>
      <c r="AM39" s="52"/>
      <c r="AN39" s="312">
        <f t="shared" si="83"/>
        <v>6.9240304499999992</v>
      </c>
      <c r="AO39" s="330">
        <f t="shared" si="84"/>
        <v>0.21052631578947367</v>
      </c>
      <c r="AP39" s="125"/>
      <c r="AQ39" s="170"/>
      <c r="AR39" s="166">
        <v>56876</v>
      </c>
      <c r="AS39" s="15">
        <v>102</v>
      </c>
      <c r="AT39" s="15">
        <v>24223</v>
      </c>
      <c r="AU39" s="52">
        <v>3811</v>
      </c>
      <c r="AV39" s="52">
        <v>850</v>
      </c>
      <c r="AW39" s="52">
        <v>344</v>
      </c>
      <c r="AX39" s="52">
        <v>180</v>
      </c>
      <c r="AY39" s="77">
        <v>106.988553</v>
      </c>
      <c r="AZ39" s="70">
        <f t="shared" si="85"/>
        <v>4.4168167856995415E-3</v>
      </c>
      <c r="BA39" s="70">
        <f t="shared" si="86"/>
        <v>0.59438084999999996</v>
      </c>
      <c r="BB39" s="244">
        <f t="shared" si="87"/>
        <v>1.7933750615373796E-3</v>
      </c>
      <c r="BC39" s="143">
        <v>19</v>
      </c>
      <c r="BD39" s="52"/>
      <c r="BE39" s="52"/>
      <c r="BF39" s="329">
        <f t="shared" si="88"/>
        <v>5.6309764736842105</v>
      </c>
      <c r="BG39" s="389">
        <f t="shared" si="89"/>
        <v>0.18627450980392157</v>
      </c>
      <c r="BH39" s="125"/>
      <c r="BI39" s="170"/>
      <c r="BJ39" s="166">
        <v>78897</v>
      </c>
      <c r="BK39" s="15">
        <v>62</v>
      </c>
      <c r="BL39" s="15">
        <v>36147</v>
      </c>
      <c r="BM39" s="52">
        <v>22027</v>
      </c>
      <c r="BN39" s="52">
        <v>8902</v>
      </c>
      <c r="BO39" s="52">
        <v>4291</v>
      </c>
      <c r="BP39" s="52">
        <v>2350</v>
      </c>
      <c r="BQ39" s="77">
        <v>163.458867</v>
      </c>
      <c r="BR39" s="386">
        <f t="shared" si="90"/>
        <v>4.522059009046394E-3</v>
      </c>
      <c r="BS39" s="386">
        <f t="shared" si="91"/>
        <v>6.9556964680851069E-2</v>
      </c>
      <c r="BT39" s="375">
        <f t="shared" si="92"/>
        <v>7.8583469586929796E-4</v>
      </c>
      <c r="BU39" s="143">
        <v>14</v>
      </c>
      <c r="BV39" s="52"/>
      <c r="BW39" s="52"/>
      <c r="BX39" s="274">
        <f t="shared" si="93"/>
        <v>11.675633357142857</v>
      </c>
      <c r="BY39" s="330">
        <f t="shared" si="94"/>
        <v>0.22580645161290322</v>
      </c>
      <c r="BZ39" s="125"/>
      <c r="CA39" s="259"/>
    </row>
    <row r="40" spans="2:79">
      <c r="B40" s="254" t="s">
        <v>160</v>
      </c>
      <c r="C40" s="298">
        <f>SUM(C33:C39)</f>
        <v>1002812</v>
      </c>
      <c r="D40" s="298">
        <f t="shared" ref="D40:J40" si="95">SUM(D33:D39)</f>
        <v>1129</v>
      </c>
      <c r="E40" s="298">
        <f t="shared" si="95"/>
        <v>438320</v>
      </c>
      <c r="F40" s="298">
        <f t="shared" si="95"/>
        <v>189618</v>
      </c>
      <c r="G40" s="298">
        <f t="shared" si="95"/>
        <v>68830</v>
      </c>
      <c r="H40" s="298">
        <f t="shared" si="95"/>
        <v>31531</v>
      </c>
      <c r="I40" s="298">
        <f t="shared" si="95"/>
        <v>16931</v>
      </c>
      <c r="J40" s="479">
        <f t="shared" si="95"/>
        <v>2785.078137</v>
      </c>
      <c r="K40" s="599">
        <f>SUM(J32,J40)/$C$5</f>
        <v>0.70352319447972234</v>
      </c>
      <c r="L40" s="299">
        <f>D40/C40</f>
        <v>1.1258341543579455E-3</v>
      </c>
      <c r="M40" s="300">
        <f>SUM(M33:M39)</f>
        <v>81900</v>
      </c>
      <c r="N40" s="301">
        <f>J40/E40</f>
        <v>6.3539837036868038E-3</v>
      </c>
      <c r="O40" s="301">
        <f>J40/I40</f>
        <v>0.16449578506880869</v>
      </c>
      <c r="P40" s="1113">
        <f>E40/M40</f>
        <v>5.3518925518925515</v>
      </c>
      <c r="Q40" s="121">
        <f>SUM(Q33:Q39)</f>
        <v>256</v>
      </c>
      <c r="R40" s="27"/>
      <c r="S40" s="27"/>
      <c r="T40" s="1405">
        <f>SUM(T33:T39)</f>
        <v>992.36666666666667</v>
      </c>
      <c r="U40" s="572">
        <f>Q40/T40</f>
        <v>0.25796916462329111</v>
      </c>
      <c r="V40" s="573">
        <f>J40/Q40</f>
        <v>10.87921147265625</v>
      </c>
      <c r="W40" s="317">
        <f>Q40/D40</f>
        <v>0.22674933569530559</v>
      </c>
      <c r="X40" s="697">
        <f>AVERAGE(X33:X39)</f>
        <v>6.7619047619047619</v>
      </c>
      <c r="Y40" s="317">
        <f>AVERAGE(Y33:Y39)</f>
        <v>0.91633555954480828</v>
      </c>
      <c r="Z40" s="164">
        <f>SUM(Z33:Z39)</f>
        <v>294563</v>
      </c>
      <c r="AA40" s="27">
        <f t="shared" ref="AA40:AK40" si="96">SUM(AA33:AA39)</f>
        <v>378</v>
      </c>
      <c r="AB40" s="27">
        <f t="shared" si="96"/>
        <v>130864</v>
      </c>
      <c r="AC40" s="27">
        <f t="shared" si="96"/>
        <v>44546</v>
      </c>
      <c r="AD40" s="27">
        <f t="shared" si="96"/>
        <v>13205</v>
      </c>
      <c r="AE40" s="27">
        <f t="shared" si="96"/>
        <v>5338</v>
      </c>
      <c r="AF40" s="27">
        <f t="shared" si="96"/>
        <v>2789</v>
      </c>
      <c r="AG40" s="74">
        <f t="shared" si="96"/>
        <v>824.23318500000005</v>
      </c>
      <c r="AH40" s="226">
        <f>AG40/AB40</f>
        <v>6.2983951659738354E-3</v>
      </c>
      <c r="AI40" s="226">
        <f>AG40/AF40</f>
        <v>0.29553000537827179</v>
      </c>
      <c r="AJ40" s="147">
        <f>AA40/Z40</f>
        <v>1.2832568924135074E-3</v>
      </c>
      <c r="AK40" s="121">
        <f t="shared" si="96"/>
        <v>91</v>
      </c>
      <c r="AL40" s="27"/>
      <c r="AM40" s="27"/>
      <c r="AN40" s="227">
        <f>AG40/AK40</f>
        <v>9.0575075274725272</v>
      </c>
      <c r="AO40" s="147">
        <f>AK40/AA40</f>
        <v>0.24074074074074073</v>
      </c>
      <c r="AP40" s="130"/>
      <c r="AQ40" s="165"/>
      <c r="AR40" s="164">
        <f>SUM(AR33:AR39)</f>
        <v>222910</v>
      </c>
      <c r="AS40" s="27">
        <f t="shared" ref="AS40:AY40" si="97">SUM(AS33:AS39)</f>
        <v>329</v>
      </c>
      <c r="AT40" s="27">
        <f t="shared" si="97"/>
        <v>93997</v>
      </c>
      <c r="AU40" s="27">
        <f t="shared" si="97"/>
        <v>15331</v>
      </c>
      <c r="AV40" s="27">
        <f t="shared" si="97"/>
        <v>3533</v>
      </c>
      <c r="AW40" s="27">
        <f t="shared" si="97"/>
        <v>1490</v>
      </c>
      <c r="AX40" s="27">
        <f t="shared" si="97"/>
        <v>832</v>
      </c>
      <c r="AY40" s="74">
        <f t="shared" si="97"/>
        <v>591.68577100000005</v>
      </c>
      <c r="AZ40" s="226">
        <f>AY40/AT40</f>
        <v>6.2947303743736511E-3</v>
      </c>
      <c r="BA40" s="226">
        <f>AY40/AX40</f>
        <v>0.71116078245192316</v>
      </c>
      <c r="BB40" s="147">
        <f>AS40/AR40</f>
        <v>1.4759319904894353E-3</v>
      </c>
      <c r="BC40" s="121">
        <f t="shared" ref="BC40" si="98">SUM(BC33:BC39)</f>
        <v>99</v>
      </c>
      <c r="BD40" s="27"/>
      <c r="BE40" s="27"/>
      <c r="BF40" s="237">
        <f>AY40/BC40</f>
        <v>5.9766239494949502</v>
      </c>
      <c r="BG40" s="383">
        <f>BC40/AS40</f>
        <v>0.30091185410334348</v>
      </c>
      <c r="BH40" s="130"/>
      <c r="BI40" s="165"/>
      <c r="BJ40" s="164">
        <f>SUM(BJ33:BJ39)</f>
        <v>485339</v>
      </c>
      <c r="BK40" s="27">
        <f t="shared" ref="BK40:BQ40" si="99">SUM(BK33:BK39)</f>
        <v>422</v>
      </c>
      <c r="BL40" s="27">
        <f t="shared" si="99"/>
        <v>213459</v>
      </c>
      <c r="BM40" s="27">
        <f t="shared" si="99"/>
        <v>129741</v>
      </c>
      <c r="BN40" s="27">
        <f t="shared" si="99"/>
        <v>52092</v>
      </c>
      <c r="BO40" s="27">
        <f t="shared" si="99"/>
        <v>24703</v>
      </c>
      <c r="BP40" s="27">
        <f t="shared" si="99"/>
        <v>13310</v>
      </c>
      <c r="BQ40" s="74">
        <f t="shared" si="99"/>
        <v>1369.159181</v>
      </c>
      <c r="BR40" s="226">
        <f>BQ40/BL40</f>
        <v>6.4141553225678001E-3</v>
      </c>
      <c r="BS40" s="226">
        <f>BQ40/BP40</f>
        <v>0.10286695574755822</v>
      </c>
      <c r="BT40" s="147">
        <f>BK40/BJ40</f>
        <v>8.6949534243075462E-4</v>
      </c>
      <c r="BU40" s="121">
        <f t="shared" ref="BU40" si="100">SUM(BU33:BU39)</f>
        <v>66</v>
      </c>
      <c r="BV40" s="27"/>
      <c r="BW40" s="27"/>
      <c r="BX40" s="227">
        <f>BQ40/BU40</f>
        <v>20.744836075757576</v>
      </c>
      <c r="BY40" s="147">
        <f>BU40/BK40</f>
        <v>0.15639810426540285</v>
      </c>
      <c r="BZ40" s="126"/>
      <c r="CA40" s="260"/>
    </row>
    <row r="41" spans="2:79">
      <c r="B41" s="248">
        <v>40818</v>
      </c>
      <c r="C41" s="15">
        <v>430945</v>
      </c>
      <c r="D41" s="15">
        <v>431</v>
      </c>
      <c r="E41" s="15">
        <v>198107</v>
      </c>
      <c r="F41" s="52">
        <v>90715</v>
      </c>
      <c r="G41" s="52">
        <v>33658</v>
      </c>
      <c r="H41" s="52">
        <v>15681</v>
      </c>
      <c r="I41" s="52">
        <v>8468</v>
      </c>
      <c r="J41" s="77">
        <v>822.43246900000008</v>
      </c>
      <c r="K41" s="609">
        <f>SUM($J$32,$J$40:J41)/$C$5</f>
        <v>0.81957778610335008</v>
      </c>
      <c r="L41" s="568">
        <f>D41/C41</f>
        <v>1.0001276264952604E-3</v>
      </c>
      <c r="M41" s="53">
        <f t="shared" si="12"/>
        <v>11700</v>
      </c>
      <c r="N41" s="578">
        <f>J41/E41</f>
        <v>4.1514558748555076E-3</v>
      </c>
      <c r="O41" s="569">
        <f>J41/I41</f>
        <v>9.7122398323098741E-2</v>
      </c>
      <c r="P41" s="1111">
        <f>E41/M41</f>
        <v>16.932222222222222</v>
      </c>
      <c r="Q41" s="143">
        <v>39</v>
      </c>
      <c r="R41" s="52"/>
      <c r="S41" s="52"/>
      <c r="T41" s="1406">
        <f>$AB$12/30</f>
        <v>141.76666666666668</v>
      </c>
      <c r="U41" s="571">
        <f>Q41/T41</f>
        <v>0.27509992946155654</v>
      </c>
      <c r="V41" s="575">
        <f>J41/Q41</f>
        <v>21.088012025641028</v>
      </c>
      <c r="W41" s="576">
        <f>Q41/D41</f>
        <v>9.0487238979118326E-2</v>
      </c>
      <c r="X41" s="696">
        <v>21.666666666666668</v>
      </c>
      <c r="Y41" s="392">
        <v>0.89743589743589747</v>
      </c>
      <c r="Z41" s="166">
        <v>129945</v>
      </c>
      <c r="AA41" s="15">
        <v>171</v>
      </c>
      <c r="AB41" s="15">
        <v>59745</v>
      </c>
      <c r="AC41" s="52">
        <v>21352</v>
      </c>
      <c r="AD41" s="52">
        <v>6468</v>
      </c>
      <c r="AE41" s="52">
        <v>2710</v>
      </c>
      <c r="AF41" s="52">
        <v>1380</v>
      </c>
      <c r="AG41" s="77">
        <v>252.92442700000001</v>
      </c>
      <c r="AH41" s="578">
        <f>AG41/AB41</f>
        <v>4.2333990626830702E-3</v>
      </c>
      <c r="AI41" s="569">
        <f>AD41/AC41</f>
        <v>0.30292244286249531</v>
      </c>
      <c r="AJ41" s="577">
        <f>AA41/Z41</f>
        <v>1.3159413598060718E-3</v>
      </c>
      <c r="AK41" s="143">
        <v>20</v>
      </c>
      <c r="AL41" s="52"/>
      <c r="AM41" s="52"/>
      <c r="AN41" s="579">
        <f>AG41/AK41</f>
        <v>12.646221350000001</v>
      </c>
      <c r="AO41" s="580">
        <f>AK41/AA41</f>
        <v>0.11695906432748537</v>
      </c>
      <c r="AP41" s="125"/>
      <c r="AQ41" s="170"/>
      <c r="AR41" s="166">
        <v>79937</v>
      </c>
      <c r="AS41" s="15">
        <v>90</v>
      </c>
      <c r="AT41" s="15">
        <v>34425</v>
      </c>
      <c r="AU41" s="52">
        <v>5662</v>
      </c>
      <c r="AV41" s="52">
        <v>1229</v>
      </c>
      <c r="AW41" s="52">
        <v>500</v>
      </c>
      <c r="AX41" s="52">
        <v>276</v>
      </c>
      <c r="AY41" s="77">
        <v>140.01951700000001</v>
      </c>
      <c r="AZ41" s="722">
        <f>AY41/AT41</f>
        <v>4.0673788525780689E-3</v>
      </c>
      <c r="BA41" s="583">
        <f>AY41/AX41</f>
        <v>0.50731709057971019</v>
      </c>
      <c r="BB41" s="577">
        <f>AS41/AR41</f>
        <v>1.125886635725634E-3</v>
      </c>
      <c r="BC41" s="143">
        <v>9</v>
      </c>
      <c r="BD41" s="52"/>
      <c r="BE41" s="52"/>
      <c r="BF41" s="579">
        <f>AY41/BC41</f>
        <v>15.557724111111112</v>
      </c>
      <c r="BG41" s="580">
        <f>BC41/AS41</f>
        <v>0.1</v>
      </c>
      <c r="BH41" s="125"/>
      <c r="BI41" s="170"/>
      <c r="BJ41" s="166">
        <v>221063</v>
      </c>
      <c r="BK41" s="15">
        <v>170</v>
      </c>
      <c r="BL41" s="15">
        <v>103937</v>
      </c>
      <c r="BM41" s="52">
        <v>63701</v>
      </c>
      <c r="BN41" s="52">
        <v>25961</v>
      </c>
      <c r="BO41" s="52">
        <v>12471</v>
      </c>
      <c r="BP41" s="52">
        <v>6812</v>
      </c>
      <c r="BQ41" s="77">
        <v>429.48852499999998</v>
      </c>
      <c r="BR41" s="596">
        <f>BQ41/BL41</f>
        <v>4.1322005156970085E-3</v>
      </c>
      <c r="BS41" s="585">
        <f>BQ41/BP41</f>
        <v>6.3048814591896651E-2</v>
      </c>
      <c r="BT41" s="586">
        <f>BK41/BJ41</f>
        <v>7.690115487440232E-4</v>
      </c>
      <c r="BU41" s="143">
        <v>10</v>
      </c>
      <c r="BV41" s="52"/>
      <c r="BW41" s="52"/>
      <c r="BX41" s="587">
        <f>BQ41/BU41</f>
        <v>42.948852500000001</v>
      </c>
      <c r="BY41" s="580">
        <f>BU41/BK41</f>
        <v>5.8823529411764705E-2</v>
      </c>
      <c r="BZ41" s="125"/>
      <c r="CA41" s="259"/>
    </row>
    <row r="42" spans="2:79" s="24" customFormat="1">
      <c r="B42" s="248">
        <v>40819</v>
      </c>
      <c r="C42" s="15">
        <v>109220</v>
      </c>
      <c r="D42" s="15">
        <v>135</v>
      </c>
      <c r="E42" s="15">
        <v>51308</v>
      </c>
      <c r="F42" s="52">
        <v>25336</v>
      </c>
      <c r="G42" s="52">
        <v>9428</v>
      </c>
      <c r="H42" s="52">
        <v>4328</v>
      </c>
      <c r="I42" s="52">
        <v>2346</v>
      </c>
      <c r="J42" s="77">
        <v>216.11295400000003</v>
      </c>
      <c r="K42" s="609">
        <f>SUM($J$32,$J$40:J42)/$C$5</f>
        <v>0.85007378615979468</v>
      </c>
      <c r="L42" s="568">
        <f>D42/C42</f>
        <v>1.2360373557956418E-3</v>
      </c>
      <c r="M42" s="53">
        <f t="shared" si="12"/>
        <v>11700</v>
      </c>
      <c r="N42" s="578">
        <f>J42/E42</f>
        <v>4.212071294924769E-3</v>
      </c>
      <c r="O42" s="569">
        <f>J42/I42</f>
        <v>9.2119758738277935E-2</v>
      </c>
      <c r="P42" s="1111">
        <f>E42/M42</f>
        <v>4.385299145299145</v>
      </c>
      <c r="Q42" s="143">
        <v>33</v>
      </c>
      <c r="R42" s="52"/>
      <c r="S42" s="52"/>
      <c r="T42" s="1406">
        <f>$AB$12/30</f>
        <v>141.76666666666668</v>
      </c>
      <c r="U42" s="570">
        <f>Q42/T42</f>
        <v>0.23277686339054782</v>
      </c>
      <c r="V42" s="575">
        <f>J42/Q42</f>
        <v>6.5488773939393949</v>
      </c>
      <c r="W42" s="576">
        <f>Q42/D42</f>
        <v>0.24444444444444444</v>
      </c>
      <c r="X42" s="696">
        <v>8.6666666666666661</v>
      </c>
      <c r="Y42" s="392">
        <v>0.87878787878787878</v>
      </c>
      <c r="Z42" s="166">
        <v>34079</v>
      </c>
      <c r="AA42" s="15">
        <v>52</v>
      </c>
      <c r="AB42" s="15">
        <v>15824</v>
      </c>
      <c r="AC42" s="52">
        <v>5723</v>
      </c>
      <c r="AD42" s="52">
        <v>1644</v>
      </c>
      <c r="AE42" s="52">
        <v>663</v>
      </c>
      <c r="AF42" s="52">
        <v>355</v>
      </c>
      <c r="AG42" s="77">
        <v>67.683958000000004</v>
      </c>
      <c r="AH42" s="578">
        <f>AG42/AB42</f>
        <v>4.2772976491405462E-3</v>
      </c>
      <c r="AI42" s="569">
        <f>AD42/AC42</f>
        <v>0.28726192556351565</v>
      </c>
      <c r="AJ42" s="577">
        <f>AA42/Z42</f>
        <v>1.5258663693183485E-3</v>
      </c>
      <c r="AK42" s="143">
        <v>16</v>
      </c>
      <c r="AL42" s="52"/>
      <c r="AM42" s="52"/>
      <c r="AN42" s="581">
        <f>AG42/AK42</f>
        <v>4.2302473750000003</v>
      </c>
      <c r="AO42" s="582">
        <f>AK42/AA42</f>
        <v>0.30769230769230771</v>
      </c>
      <c r="AP42" s="123"/>
      <c r="AQ42" s="168"/>
      <c r="AR42" s="166">
        <v>12034</v>
      </c>
      <c r="AS42" s="15">
        <v>19</v>
      </c>
      <c r="AT42" s="15">
        <v>5519</v>
      </c>
      <c r="AU42" s="52">
        <v>949</v>
      </c>
      <c r="AV42" s="52">
        <v>231</v>
      </c>
      <c r="AW42" s="52">
        <v>83</v>
      </c>
      <c r="AX42" s="52">
        <v>58</v>
      </c>
      <c r="AY42" s="77">
        <v>22.563768</v>
      </c>
      <c r="AZ42" s="722">
        <f>AY42/AT42</f>
        <v>4.0883797789454607E-3</v>
      </c>
      <c r="BA42" s="583">
        <f>AY42/AX42</f>
        <v>0.38903048275862068</v>
      </c>
      <c r="BB42" s="584">
        <f>AS42/AR42</f>
        <v>1.5788598969586174E-3</v>
      </c>
      <c r="BC42" s="143">
        <v>6</v>
      </c>
      <c r="BD42" s="52"/>
      <c r="BE42" s="52"/>
      <c r="BF42" s="579">
        <f>AY42/BC42</f>
        <v>3.7606280000000001</v>
      </c>
      <c r="BG42" s="588">
        <f>BC42/AS42</f>
        <v>0.31578947368421051</v>
      </c>
      <c r="BH42" s="123"/>
      <c r="BI42" s="168"/>
      <c r="BJ42" s="166">
        <v>63107</v>
      </c>
      <c r="BK42" s="15">
        <v>64</v>
      </c>
      <c r="BL42" s="15">
        <v>29965</v>
      </c>
      <c r="BM42" s="52">
        <v>18664</v>
      </c>
      <c r="BN42" s="52">
        <v>7553</v>
      </c>
      <c r="BO42" s="52">
        <v>3582</v>
      </c>
      <c r="BP42" s="52">
        <v>1933</v>
      </c>
      <c r="BQ42" s="77">
        <v>125.865228</v>
      </c>
      <c r="BR42" s="596">
        <f>BQ42/BL42</f>
        <v>4.2004080760887699E-3</v>
      </c>
      <c r="BS42" s="585">
        <f>BQ42/BP42</f>
        <v>6.5113930677703047E-2</v>
      </c>
      <c r="BT42" s="586">
        <f>BK42/BJ42</f>
        <v>1.0141505696673902E-3</v>
      </c>
      <c r="BU42" s="143">
        <v>11</v>
      </c>
      <c r="BV42" s="52"/>
      <c r="BW42" s="52"/>
      <c r="BX42" s="587">
        <f>BQ42/BU42</f>
        <v>11.442293454545455</v>
      </c>
      <c r="BY42" s="588">
        <f>BU42/BK42</f>
        <v>0.171875</v>
      </c>
      <c r="BZ42" s="123"/>
      <c r="CA42" s="257"/>
    </row>
    <row r="43" spans="2:79" s="26" customFormat="1">
      <c r="B43" s="248">
        <v>40820</v>
      </c>
      <c r="C43" s="15">
        <v>41175</v>
      </c>
      <c r="D43" s="15">
        <v>53</v>
      </c>
      <c r="E43" s="15">
        <v>19222</v>
      </c>
      <c r="F43" s="52">
        <v>8524</v>
      </c>
      <c r="G43" s="52">
        <v>3324</v>
      </c>
      <c r="H43" s="52">
        <v>1574</v>
      </c>
      <c r="I43" s="52">
        <v>875</v>
      </c>
      <c r="J43" s="77">
        <v>72.287109000000001</v>
      </c>
      <c r="K43" s="609">
        <f>SUM($J$32,$J$40:J43)/$C$5</f>
        <v>0.86027432083086397</v>
      </c>
      <c r="L43" s="568">
        <f>D43/C43</f>
        <v>1.2871888281724348E-3</v>
      </c>
      <c r="M43" s="53">
        <f t="shared" si="12"/>
        <v>11700</v>
      </c>
      <c r="N43" s="578">
        <f>J43/E43</f>
        <v>3.7606445219019874E-3</v>
      </c>
      <c r="O43" s="590">
        <f>J43/I43</f>
        <v>8.2613838857142852E-2</v>
      </c>
      <c r="P43" s="1114">
        <f>E43/M43</f>
        <v>1.6429059829059829</v>
      </c>
      <c r="Q43" s="143">
        <v>17</v>
      </c>
      <c r="R43" s="52"/>
      <c r="S43" s="52"/>
      <c r="T43" s="1406">
        <f>$AB$12/30</f>
        <v>141.76666666666668</v>
      </c>
      <c r="U43" s="570">
        <f>Q43/T43</f>
        <v>0.11991535386785797</v>
      </c>
      <c r="V43" s="575">
        <f>J43/Q43</f>
        <v>4.2521828823529413</v>
      </c>
      <c r="W43" s="576">
        <f>Q43/D43</f>
        <v>0.32075471698113206</v>
      </c>
      <c r="X43" s="696">
        <v>2.6666666666666665</v>
      </c>
      <c r="Y43" s="392">
        <v>0.88235294117647056</v>
      </c>
      <c r="Z43" s="166">
        <v>11991</v>
      </c>
      <c r="AA43" s="15">
        <v>14</v>
      </c>
      <c r="AB43" s="15">
        <v>5664</v>
      </c>
      <c r="AC43" s="52">
        <v>2161</v>
      </c>
      <c r="AD43" s="52">
        <v>740</v>
      </c>
      <c r="AE43" s="52">
        <v>301</v>
      </c>
      <c r="AF43" s="52">
        <v>154</v>
      </c>
      <c r="AG43" s="77">
        <v>22.789515000000002</v>
      </c>
      <c r="AH43" s="578">
        <f>AG43/AB43</f>
        <v>4.023572563559322E-3</v>
      </c>
      <c r="AI43" s="569">
        <f>AD43/AC43</f>
        <v>0.34243405830633966</v>
      </c>
      <c r="AJ43" s="577">
        <f>AA43/Z43</f>
        <v>1.1675423234092236E-3</v>
      </c>
      <c r="AK43" s="143">
        <v>6</v>
      </c>
      <c r="AL43" s="52"/>
      <c r="AM43" s="52"/>
      <c r="AN43" s="581">
        <f>AG43/AK43</f>
        <v>3.7982525000000003</v>
      </c>
      <c r="AO43" s="582">
        <f>AK43/AA43</f>
        <v>0.42857142857142855</v>
      </c>
      <c r="AP43" s="124"/>
      <c r="AQ43" s="169"/>
      <c r="AR43" s="166">
        <v>10811</v>
      </c>
      <c r="AS43" s="15">
        <v>15</v>
      </c>
      <c r="AT43" s="15">
        <v>4617</v>
      </c>
      <c r="AU43" s="52">
        <v>775</v>
      </c>
      <c r="AV43" s="52">
        <v>185</v>
      </c>
      <c r="AW43" s="52">
        <v>83</v>
      </c>
      <c r="AX43" s="52">
        <v>42</v>
      </c>
      <c r="AY43" s="77">
        <v>20.333673999999998</v>
      </c>
      <c r="AZ43" s="722">
        <f>AY43/AT43</f>
        <v>4.404087935889105E-3</v>
      </c>
      <c r="BA43" s="583">
        <f>AY43/AX43</f>
        <v>0.48413509523809523</v>
      </c>
      <c r="BB43" s="584">
        <f>AS43/AR43</f>
        <v>1.3874757191749145E-3</v>
      </c>
      <c r="BC43" s="143">
        <v>3</v>
      </c>
      <c r="BD43" s="52"/>
      <c r="BE43" s="52"/>
      <c r="BF43" s="579">
        <f>AY43/BC43</f>
        <v>6.7778913333333328</v>
      </c>
      <c r="BG43" s="588">
        <f>BC43/AS43</f>
        <v>0.2</v>
      </c>
      <c r="BH43" s="124"/>
      <c r="BI43" s="169"/>
      <c r="BJ43" s="166">
        <v>18373</v>
      </c>
      <c r="BK43" s="15">
        <v>24</v>
      </c>
      <c r="BL43" s="15">
        <v>8941</v>
      </c>
      <c r="BM43" s="52">
        <v>5588</v>
      </c>
      <c r="BN43" s="52">
        <v>2399</v>
      </c>
      <c r="BO43" s="52">
        <v>1190</v>
      </c>
      <c r="BP43" s="52">
        <v>679</v>
      </c>
      <c r="BQ43" s="77">
        <v>29.163920000000001</v>
      </c>
      <c r="BR43" s="596">
        <f>BQ43/BL43</f>
        <v>3.2618185885247737E-3</v>
      </c>
      <c r="BS43" s="585">
        <f>BQ43/BP43</f>
        <v>4.2951281296023568E-2</v>
      </c>
      <c r="BT43" s="586">
        <f>BK43/BJ43</f>
        <v>1.3062646274424427E-3</v>
      </c>
      <c r="BU43" s="143">
        <v>8</v>
      </c>
      <c r="BV43" s="52"/>
      <c r="BW43" s="52"/>
      <c r="BX43" s="589">
        <f>BQ43/BU43</f>
        <v>3.6454900000000001</v>
      </c>
      <c r="BY43" s="582">
        <f>BU43/BK43</f>
        <v>0.33333333333333331</v>
      </c>
      <c r="BZ43" s="124"/>
      <c r="CA43" s="258"/>
    </row>
    <row r="44" spans="2:79">
      <c r="B44" s="248">
        <v>40821</v>
      </c>
      <c r="C44" s="15">
        <v>44127</v>
      </c>
      <c r="D44" s="15">
        <v>56</v>
      </c>
      <c r="E44" s="15">
        <v>22123</v>
      </c>
      <c r="F44" s="52">
        <v>10115</v>
      </c>
      <c r="G44" s="52">
        <v>3954</v>
      </c>
      <c r="H44" s="52">
        <v>1892</v>
      </c>
      <c r="I44" s="52">
        <v>1058</v>
      </c>
      <c r="J44" s="77">
        <v>72.42</v>
      </c>
      <c r="K44" s="609">
        <f>SUM($J$32,$J$40:J44)/$C$5</f>
        <v>0.87049360793610486</v>
      </c>
      <c r="L44" s="568">
        <f t="shared" ref="L44:L47" si="101">D44/C44</f>
        <v>1.2690642917034922E-3</v>
      </c>
      <c r="M44" s="53">
        <f t="shared" si="12"/>
        <v>11700</v>
      </c>
      <c r="N44" s="578">
        <f t="shared" ref="N44:N47" si="102">J44/E44</f>
        <v>3.2735162500565022E-3</v>
      </c>
      <c r="O44" s="590">
        <f t="shared" ref="O44:O47" si="103">J44/I44</f>
        <v>6.8449905482041593E-2</v>
      </c>
      <c r="P44" s="591">
        <f t="shared" ref="P44:P47" si="104">E44/M44</f>
        <v>1.8908547008547008</v>
      </c>
      <c r="Q44" s="143">
        <v>10</v>
      </c>
      <c r="R44" s="52"/>
      <c r="S44" s="52"/>
      <c r="T44" s="1406">
        <f t="shared" ref="T44:T47" si="105">$AB$12/30</f>
        <v>141.76666666666668</v>
      </c>
      <c r="U44" s="570">
        <f t="shared" ref="U44:U47" si="106">Q44/T44</f>
        <v>7.0538443451681157E-2</v>
      </c>
      <c r="V44" s="575">
        <f t="shared" ref="V44:V47" si="107">J44/Q44</f>
        <v>7.242</v>
      </c>
      <c r="W44" s="576">
        <f t="shared" ref="W44:W47" si="108">Q44/D44</f>
        <v>0.17857142857142858</v>
      </c>
      <c r="X44" s="1117">
        <v>0</v>
      </c>
      <c r="Y44" s="392">
        <v>1</v>
      </c>
      <c r="Z44" s="166">
        <v>11856</v>
      </c>
      <c r="AA44" s="15">
        <v>20</v>
      </c>
      <c r="AB44" s="15">
        <v>5751</v>
      </c>
      <c r="AC44" s="52">
        <v>2156</v>
      </c>
      <c r="AD44" s="52">
        <v>686</v>
      </c>
      <c r="AE44" s="52">
        <v>289</v>
      </c>
      <c r="AF44" s="52">
        <v>156</v>
      </c>
      <c r="AG44" s="77">
        <v>18.931279</v>
      </c>
      <c r="AH44" s="578">
        <f t="shared" ref="AH44:AH47" si="109">AG44/AB44</f>
        <v>3.2918238567205705E-3</v>
      </c>
      <c r="AI44" s="569">
        <f t="shared" ref="AI44:AI47" si="110">AD44/AC44</f>
        <v>0.31818181818181818</v>
      </c>
      <c r="AJ44" s="577">
        <f t="shared" ref="AJ44:AJ47" si="111">AA44/Z44</f>
        <v>1.6869095816464238E-3</v>
      </c>
      <c r="AK44" s="143">
        <v>5</v>
      </c>
      <c r="AL44" s="52"/>
      <c r="AM44" s="52"/>
      <c r="AN44" s="581">
        <f t="shared" ref="AN44:AN47" si="112">AG44/AK44</f>
        <v>3.7862558000000002</v>
      </c>
      <c r="AO44" s="582">
        <f t="shared" ref="AO44:AO47" si="113">AK44/AA44</f>
        <v>0.25</v>
      </c>
      <c r="AP44" s="125"/>
      <c r="AQ44" s="170"/>
      <c r="AR44" s="166">
        <v>10727</v>
      </c>
      <c r="AS44" s="15">
        <v>17</v>
      </c>
      <c r="AT44" s="15">
        <v>5339</v>
      </c>
      <c r="AU44" s="52">
        <v>991</v>
      </c>
      <c r="AV44" s="52">
        <v>198</v>
      </c>
      <c r="AW44" s="52">
        <v>77</v>
      </c>
      <c r="AX44" s="52">
        <v>40</v>
      </c>
      <c r="AY44" s="77">
        <v>17.563974000000002</v>
      </c>
      <c r="AZ44" s="722">
        <f t="shared" ref="AZ44:AZ47" si="114">AY44/AT44</f>
        <v>3.2897497658737596E-3</v>
      </c>
      <c r="BA44" s="583">
        <f t="shared" ref="BA44:BA47" si="115">AY44/AX44</f>
        <v>0.43909935000000005</v>
      </c>
      <c r="BB44" s="584">
        <f t="shared" ref="BB44:BB47" si="116">AS44/AR44</f>
        <v>1.5847860538827259E-3</v>
      </c>
      <c r="BC44" s="143">
        <v>3</v>
      </c>
      <c r="BD44" s="52"/>
      <c r="BE44" s="52"/>
      <c r="BF44" s="579">
        <f t="shared" ref="BF44:BF47" si="117">AY44/BC44</f>
        <v>5.8546580000000006</v>
      </c>
      <c r="BG44" s="588">
        <f t="shared" ref="BG44:BG47" si="118">BC44/AS44</f>
        <v>0.17647058823529413</v>
      </c>
      <c r="BH44" s="125"/>
      <c r="BI44" s="170"/>
      <c r="BJ44" s="166">
        <v>21544</v>
      </c>
      <c r="BK44" s="15">
        <v>19</v>
      </c>
      <c r="BL44" s="15">
        <v>11033</v>
      </c>
      <c r="BM44" s="52">
        <v>6968</v>
      </c>
      <c r="BN44" s="52">
        <v>3070</v>
      </c>
      <c r="BO44" s="52">
        <v>1526</v>
      </c>
      <c r="BP44" s="52">
        <v>862</v>
      </c>
      <c r="BQ44" s="77">
        <v>35.924747000000004</v>
      </c>
      <c r="BR44" s="596">
        <f t="shared" ref="BR44:BR47" si="119">BQ44/BL44</f>
        <v>3.256117737696003E-3</v>
      </c>
      <c r="BS44" s="585">
        <f t="shared" ref="BS44:BS47" si="120">BQ44/BP44</f>
        <v>4.1676040603248261E-2</v>
      </c>
      <c r="BT44" s="586">
        <f t="shared" ref="BT44:BT47" si="121">BK44/BJ44</f>
        <v>8.8191607872261421E-4</v>
      </c>
      <c r="BU44" s="143">
        <v>2</v>
      </c>
      <c r="BV44" s="52"/>
      <c r="BW44" s="52"/>
      <c r="BX44" s="589">
        <f t="shared" ref="BX44:BX47" si="122">BQ44/BU44</f>
        <v>17.962373500000002</v>
      </c>
      <c r="BY44" s="582">
        <f t="shared" ref="BY44:BY47" si="123">BU44/BK44</f>
        <v>0.10526315789473684</v>
      </c>
      <c r="BZ44" s="125"/>
      <c r="CA44" s="259"/>
    </row>
    <row r="45" spans="2:79">
      <c r="B45" s="248">
        <v>40822</v>
      </c>
      <c r="C45" s="15">
        <v>40939</v>
      </c>
      <c r="D45" s="15">
        <v>46</v>
      </c>
      <c r="E45" s="15">
        <v>19715</v>
      </c>
      <c r="F45" s="52">
        <v>9860</v>
      </c>
      <c r="G45" s="52">
        <v>3944</v>
      </c>
      <c r="H45" s="52">
        <v>1913</v>
      </c>
      <c r="I45" s="52">
        <v>1025</v>
      </c>
      <c r="J45" s="77">
        <v>72.42</v>
      </c>
      <c r="K45" s="609">
        <f>SUM($J$32,$J$40:J45)/$C$5</f>
        <v>0.88071289504134576</v>
      </c>
      <c r="L45" s="568">
        <f t="shared" si="101"/>
        <v>1.123622951220108E-3</v>
      </c>
      <c r="M45" s="53">
        <f t="shared" si="12"/>
        <v>11700</v>
      </c>
      <c r="N45" s="578">
        <f t="shared" si="102"/>
        <v>3.6733451686533098E-3</v>
      </c>
      <c r="O45" s="590">
        <f t="shared" si="103"/>
        <v>7.0653658536585368E-2</v>
      </c>
      <c r="P45" s="591">
        <f t="shared" si="104"/>
        <v>1.6850427350427351</v>
      </c>
      <c r="Q45" s="143">
        <v>8</v>
      </c>
      <c r="R45" s="52"/>
      <c r="S45" s="52"/>
      <c r="T45" s="1406">
        <f t="shared" si="105"/>
        <v>141.76666666666668</v>
      </c>
      <c r="U45" s="570">
        <f t="shared" si="106"/>
        <v>5.6430754761344924E-2</v>
      </c>
      <c r="V45" s="575">
        <f t="shared" si="107"/>
        <v>9.0525000000000002</v>
      </c>
      <c r="W45" s="1116">
        <f t="shared" si="108"/>
        <v>0.17391304347826086</v>
      </c>
      <c r="X45" s="303">
        <v>1.6666666666666667</v>
      </c>
      <c r="Y45" s="392">
        <v>0.75</v>
      </c>
      <c r="Z45" s="166">
        <v>12592</v>
      </c>
      <c r="AA45" s="15">
        <v>20</v>
      </c>
      <c r="AB45" s="15">
        <v>5834</v>
      </c>
      <c r="AC45" s="52">
        <v>2116</v>
      </c>
      <c r="AD45" s="52">
        <v>666</v>
      </c>
      <c r="AE45" s="52">
        <v>263</v>
      </c>
      <c r="AF45" s="52">
        <v>132</v>
      </c>
      <c r="AG45" s="77">
        <v>22.925909000000001</v>
      </c>
      <c r="AH45" s="578">
        <f t="shared" si="109"/>
        <v>3.9297067192320878E-3</v>
      </c>
      <c r="AI45" s="569">
        <f t="shared" si="110"/>
        <v>0.31474480151228734</v>
      </c>
      <c r="AJ45" s="577">
        <f t="shared" si="111"/>
        <v>1.5883100381194409E-3</v>
      </c>
      <c r="AK45" s="143">
        <v>2</v>
      </c>
      <c r="AL45" s="52"/>
      <c r="AM45" s="52"/>
      <c r="AN45" s="581">
        <f t="shared" si="112"/>
        <v>11.4629545</v>
      </c>
      <c r="AO45" s="582">
        <f t="shared" si="113"/>
        <v>0.1</v>
      </c>
      <c r="AP45" s="125"/>
      <c r="AQ45" s="170"/>
      <c r="AR45" s="166">
        <v>4803</v>
      </c>
      <c r="AS45" s="15">
        <v>7</v>
      </c>
      <c r="AT45" s="15">
        <v>2243</v>
      </c>
      <c r="AU45" s="52">
        <v>424</v>
      </c>
      <c r="AV45" s="52">
        <v>100</v>
      </c>
      <c r="AW45" s="52">
        <v>46</v>
      </c>
      <c r="AX45" s="52">
        <v>23</v>
      </c>
      <c r="AY45" s="77">
        <v>7.7661879999999996</v>
      </c>
      <c r="AZ45" s="722">
        <f t="shared" si="114"/>
        <v>3.4624110566205974E-3</v>
      </c>
      <c r="BA45" s="583">
        <f t="shared" si="115"/>
        <v>0.33766034782608695</v>
      </c>
      <c r="BB45" s="584">
        <f t="shared" si="116"/>
        <v>1.4574224443056423E-3</v>
      </c>
      <c r="BC45" s="143">
        <v>2</v>
      </c>
      <c r="BD45" s="52"/>
      <c r="BE45" s="52"/>
      <c r="BF45" s="579">
        <f t="shared" si="117"/>
        <v>3.8830939999999998</v>
      </c>
      <c r="BG45" s="588">
        <f t="shared" si="118"/>
        <v>0.2857142857142857</v>
      </c>
      <c r="BH45" s="125"/>
      <c r="BI45" s="170"/>
      <c r="BJ45" s="166">
        <v>23544</v>
      </c>
      <c r="BK45" s="15">
        <v>19</v>
      </c>
      <c r="BL45" s="15">
        <v>11638</v>
      </c>
      <c r="BM45" s="52">
        <v>7320</v>
      </c>
      <c r="BN45" s="52">
        <v>3178</v>
      </c>
      <c r="BO45" s="52">
        <v>1604</v>
      </c>
      <c r="BP45" s="52">
        <v>870</v>
      </c>
      <c r="BQ45" s="77">
        <v>41.727902999999998</v>
      </c>
      <c r="BR45" s="596">
        <f t="shared" si="119"/>
        <v>3.5854874548891559E-3</v>
      </c>
      <c r="BS45" s="585">
        <f t="shared" si="120"/>
        <v>4.796310689655172E-2</v>
      </c>
      <c r="BT45" s="586">
        <f t="shared" si="121"/>
        <v>8.0699966021066942E-4</v>
      </c>
      <c r="BU45" s="143">
        <v>4</v>
      </c>
      <c r="BV45" s="52"/>
      <c r="BW45" s="52"/>
      <c r="BX45" s="589">
        <f t="shared" si="122"/>
        <v>10.431975749999999</v>
      </c>
      <c r="BY45" s="582">
        <f t="shared" si="123"/>
        <v>0.21052631578947367</v>
      </c>
      <c r="BZ45" s="125"/>
      <c r="CA45" s="259"/>
    </row>
    <row r="46" spans="2:79">
      <c r="B46" s="253">
        <v>40823</v>
      </c>
      <c r="C46" s="15">
        <v>38803</v>
      </c>
      <c r="D46" s="15">
        <v>42</v>
      </c>
      <c r="E46" s="15">
        <v>18461</v>
      </c>
      <c r="F46" s="52">
        <v>9113</v>
      </c>
      <c r="G46" s="52">
        <v>3590</v>
      </c>
      <c r="H46" s="52">
        <v>1745</v>
      </c>
      <c r="I46" s="52">
        <v>954</v>
      </c>
      <c r="J46" s="77">
        <v>72.42</v>
      </c>
      <c r="K46" s="609">
        <f>SUM($J$32,$J$40:J46)/$C$5</f>
        <v>0.89093218214658665</v>
      </c>
      <c r="L46" s="568">
        <f t="shared" si="101"/>
        <v>1.0823905368141638E-3</v>
      </c>
      <c r="M46" s="53">
        <f t="shared" si="12"/>
        <v>11700</v>
      </c>
      <c r="N46" s="578">
        <f t="shared" si="102"/>
        <v>3.9228644168788256E-3</v>
      </c>
      <c r="O46" s="590">
        <f t="shared" si="103"/>
        <v>7.5911949685534594E-2</v>
      </c>
      <c r="P46" s="591">
        <f t="shared" si="104"/>
        <v>1.5778632478632479</v>
      </c>
      <c r="Q46" s="143">
        <v>11</v>
      </c>
      <c r="R46" s="52"/>
      <c r="S46" s="52"/>
      <c r="T46" s="1406">
        <f t="shared" si="105"/>
        <v>141.76666666666668</v>
      </c>
      <c r="U46" s="570">
        <f t="shared" si="106"/>
        <v>7.7592287796849277E-2</v>
      </c>
      <c r="V46" s="575">
        <f t="shared" si="107"/>
        <v>6.583636363636364</v>
      </c>
      <c r="W46" s="1116">
        <f t="shared" si="108"/>
        <v>0.26190476190476192</v>
      </c>
      <c r="X46" s="303">
        <v>0</v>
      </c>
      <c r="Y46" s="392">
        <v>1</v>
      </c>
      <c r="Z46" s="166">
        <v>12108</v>
      </c>
      <c r="AA46" s="15">
        <v>12</v>
      </c>
      <c r="AB46" s="15">
        <v>5590</v>
      </c>
      <c r="AC46" s="52">
        <v>2002</v>
      </c>
      <c r="AD46" s="52">
        <v>590</v>
      </c>
      <c r="AE46" s="52">
        <v>230</v>
      </c>
      <c r="AF46" s="52">
        <v>125</v>
      </c>
      <c r="AG46" s="77">
        <v>23.081695</v>
      </c>
      <c r="AH46" s="578">
        <f t="shared" si="109"/>
        <v>4.129104651162791E-3</v>
      </c>
      <c r="AI46" s="569">
        <f t="shared" si="110"/>
        <v>0.29470529470529472</v>
      </c>
      <c r="AJ46" s="577">
        <f t="shared" si="111"/>
        <v>9.9108027750247768E-4</v>
      </c>
      <c r="AK46" s="143">
        <v>3</v>
      </c>
      <c r="AL46" s="52"/>
      <c r="AM46" s="52"/>
      <c r="AN46" s="581">
        <f t="shared" si="112"/>
        <v>7.6938983333333333</v>
      </c>
      <c r="AO46" s="582">
        <f t="shared" si="113"/>
        <v>0.25</v>
      </c>
      <c r="AP46" s="125"/>
      <c r="AQ46" s="170"/>
      <c r="AR46" s="166">
        <v>4450</v>
      </c>
      <c r="AS46" s="15">
        <v>8</v>
      </c>
      <c r="AT46" s="15">
        <v>2002</v>
      </c>
      <c r="AU46" s="52">
        <v>366</v>
      </c>
      <c r="AV46" s="52">
        <v>83</v>
      </c>
      <c r="AW46" s="52">
        <v>37</v>
      </c>
      <c r="AX46" s="52">
        <v>21</v>
      </c>
      <c r="AY46" s="77">
        <v>8.2314869999999996</v>
      </c>
      <c r="AZ46" s="722">
        <f t="shared" si="114"/>
        <v>4.1116318681318677E-3</v>
      </c>
      <c r="BA46" s="583">
        <f t="shared" si="115"/>
        <v>0.39197557142857142</v>
      </c>
      <c r="BB46" s="584">
        <f t="shared" si="116"/>
        <v>1.7977528089887641E-3</v>
      </c>
      <c r="BC46" s="143">
        <v>2</v>
      </c>
      <c r="BD46" s="52"/>
      <c r="BE46" s="52"/>
      <c r="BF46" s="579">
        <f t="shared" si="117"/>
        <v>4.1157434999999998</v>
      </c>
      <c r="BG46" s="588">
        <f t="shared" si="118"/>
        <v>0.25</v>
      </c>
      <c r="BH46" s="125"/>
      <c r="BI46" s="170"/>
      <c r="BJ46" s="166">
        <v>22245</v>
      </c>
      <c r="BK46" s="15">
        <v>22</v>
      </c>
      <c r="BL46" s="15">
        <v>10869</v>
      </c>
      <c r="BM46" s="52">
        <v>6745</v>
      </c>
      <c r="BN46" s="52">
        <v>2917</v>
      </c>
      <c r="BO46" s="52">
        <v>1478</v>
      </c>
      <c r="BP46" s="52">
        <v>808</v>
      </c>
      <c r="BQ46" s="77">
        <v>41.106817999999997</v>
      </c>
      <c r="BR46" s="596">
        <f t="shared" si="119"/>
        <v>3.7820239212439043E-3</v>
      </c>
      <c r="BS46" s="585">
        <f t="shared" si="120"/>
        <v>5.0874774752475246E-2</v>
      </c>
      <c r="BT46" s="586">
        <f t="shared" si="121"/>
        <v>9.8898628905371984E-4</v>
      </c>
      <c r="BU46" s="143">
        <v>6</v>
      </c>
      <c r="BV46" s="52"/>
      <c r="BW46" s="52"/>
      <c r="BX46" s="589">
        <f t="shared" si="122"/>
        <v>6.8511363333333328</v>
      </c>
      <c r="BY46" s="582">
        <f t="shared" si="123"/>
        <v>0.27272727272727271</v>
      </c>
      <c r="BZ46" s="125"/>
      <c r="CA46" s="259"/>
    </row>
    <row r="47" spans="2:79">
      <c r="B47" s="253">
        <v>40824</v>
      </c>
      <c r="C47" s="15">
        <v>45003</v>
      </c>
      <c r="D47" s="15">
        <v>42</v>
      </c>
      <c r="E47" s="15">
        <v>22003</v>
      </c>
      <c r="F47" s="52">
        <v>10984</v>
      </c>
      <c r="G47" s="52">
        <v>4294</v>
      </c>
      <c r="H47" s="52">
        <v>1988</v>
      </c>
      <c r="I47" s="52">
        <v>1023</v>
      </c>
      <c r="J47" s="77">
        <v>72.42</v>
      </c>
      <c r="K47" s="609">
        <f>SUM($J$32,$J$40:J47)/$C$5</f>
        <v>0.90115146925182754</v>
      </c>
      <c r="L47" s="568">
        <f t="shared" si="101"/>
        <v>9.3327111525898275E-4</v>
      </c>
      <c r="M47" s="53">
        <f t="shared" si="12"/>
        <v>11700</v>
      </c>
      <c r="N47" s="578">
        <f t="shared" si="102"/>
        <v>3.2913693587238104E-3</v>
      </c>
      <c r="O47" s="590">
        <f t="shared" si="103"/>
        <v>7.0791788856304994E-2</v>
      </c>
      <c r="P47" s="591">
        <f t="shared" si="104"/>
        <v>1.8805982905982905</v>
      </c>
      <c r="Q47" s="143">
        <v>10</v>
      </c>
      <c r="R47" s="52"/>
      <c r="S47" s="52"/>
      <c r="T47" s="1406">
        <f t="shared" si="105"/>
        <v>141.76666666666668</v>
      </c>
      <c r="U47" s="570">
        <f t="shared" si="106"/>
        <v>7.0538443451681157E-2</v>
      </c>
      <c r="V47" s="575">
        <f t="shared" si="107"/>
        <v>7.242</v>
      </c>
      <c r="W47" s="1116">
        <f t="shared" si="108"/>
        <v>0.23809523809523808</v>
      </c>
      <c r="X47" s="303">
        <v>5.666666666666667</v>
      </c>
      <c r="Y47" s="392">
        <v>0.7</v>
      </c>
      <c r="Z47" s="166">
        <v>13299</v>
      </c>
      <c r="AA47" s="15">
        <v>11</v>
      </c>
      <c r="AB47" s="15">
        <v>6373</v>
      </c>
      <c r="AC47" s="52">
        <v>2360</v>
      </c>
      <c r="AD47" s="52">
        <v>725</v>
      </c>
      <c r="AE47" s="52">
        <v>283</v>
      </c>
      <c r="AF47" s="52">
        <v>139</v>
      </c>
      <c r="AG47" s="77">
        <v>21.287243</v>
      </c>
      <c r="AH47" s="578">
        <f t="shared" si="109"/>
        <v>3.3402232857367019E-3</v>
      </c>
      <c r="AI47" s="569">
        <f t="shared" si="110"/>
        <v>0.30720338983050849</v>
      </c>
      <c r="AJ47" s="577">
        <f t="shared" si="111"/>
        <v>8.271298593879239E-4</v>
      </c>
      <c r="AK47" s="143">
        <v>3</v>
      </c>
      <c r="AL47" s="52"/>
      <c r="AM47" s="52"/>
      <c r="AN47" s="581">
        <f t="shared" si="112"/>
        <v>7.095747666666667</v>
      </c>
      <c r="AO47" s="582">
        <f t="shared" si="113"/>
        <v>0.27272727272727271</v>
      </c>
      <c r="AP47" s="125"/>
      <c r="AQ47" s="170"/>
      <c r="AR47" s="166">
        <v>6405</v>
      </c>
      <c r="AS47" s="15">
        <v>12</v>
      </c>
      <c r="AT47" s="15">
        <v>2975</v>
      </c>
      <c r="AU47" s="52">
        <v>538</v>
      </c>
      <c r="AV47" s="52">
        <v>116</v>
      </c>
      <c r="AW47" s="52">
        <v>45</v>
      </c>
      <c r="AX47" s="52">
        <v>23</v>
      </c>
      <c r="AY47" s="77">
        <v>9.928585</v>
      </c>
      <c r="AZ47" s="722">
        <f t="shared" si="114"/>
        <v>3.3373394957983194E-3</v>
      </c>
      <c r="BA47" s="583">
        <f t="shared" si="115"/>
        <v>0.43167760869565219</v>
      </c>
      <c r="BB47" s="584">
        <f t="shared" si="116"/>
        <v>1.873536299765808E-3</v>
      </c>
      <c r="BC47" s="143">
        <v>2</v>
      </c>
      <c r="BD47" s="52"/>
      <c r="BE47" s="52"/>
      <c r="BF47" s="579">
        <f t="shared" si="117"/>
        <v>4.9642925</v>
      </c>
      <c r="BG47" s="588">
        <f t="shared" si="118"/>
        <v>0.16666666666666666</v>
      </c>
      <c r="BH47" s="125"/>
      <c r="BI47" s="170"/>
      <c r="BJ47" s="166">
        <v>25299</v>
      </c>
      <c r="BK47" s="15">
        <v>19</v>
      </c>
      <c r="BL47" s="15">
        <v>12655</v>
      </c>
      <c r="BM47" s="52">
        <v>8086</v>
      </c>
      <c r="BN47" s="52">
        <v>3453</v>
      </c>
      <c r="BO47" s="52">
        <v>1660</v>
      </c>
      <c r="BP47" s="52">
        <v>861</v>
      </c>
      <c r="BQ47" s="77">
        <v>41.204172</v>
      </c>
      <c r="BR47" s="596">
        <f t="shared" si="119"/>
        <v>3.2559598577637299E-3</v>
      </c>
      <c r="BS47" s="585">
        <f t="shared" si="120"/>
        <v>4.7856181184668986E-2</v>
      </c>
      <c r="BT47" s="586">
        <f t="shared" si="121"/>
        <v>7.510178267915728E-4</v>
      </c>
      <c r="BU47" s="143">
        <v>5</v>
      </c>
      <c r="BV47" s="52"/>
      <c r="BW47" s="52"/>
      <c r="BX47" s="589">
        <f t="shared" si="122"/>
        <v>8.2408344000000007</v>
      </c>
      <c r="BY47" s="582">
        <f t="shared" si="123"/>
        <v>0.26315789473684209</v>
      </c>
      <c r="BZ47" s="125"/>
      <c r="CA47" s="259"/>
    </row>
    <row r="48" spans="2:79">
      <c r="B48" s="254" t="s">
        <v>160</v>
      </c>
      <c r="C48" s="298">
        <f>SUM(C41:C47)</f>
        <v>750212</v>
      </c>
      <c r="D48" s="298">
        <f t="shared" ref="D48:J48" si="124">SUM(D41:D47)</f>
        <v>805</v>
      </c>
      <c r="E48" s="298">
        <f t="shared" si="124"/>
        <v>350939</v>
      </c>
      <c r="F48" s="298">
        <f t="shared" si="124"/>
        <v>164647</v>
      </c>
      <c r="G48" s="298">
        <f t="shared" si="124"/>
        <v>62192</v>
      </c>
      <c r="H48" s="298">
        <f t="shared" si="124"/>
        <v>29121</v>
      </c>
      <c r="I48" s="298">
        <f t="shared" si="124"/>
        <v>15749</v>
      </c>
      <c r="J48" s="479">
        <f t="shared" si="124"/>
        <v>1400.5125320000004</v>
      </c>
      <c r="K48" s="599">
        <f>SUM($J$32,$J$40:J47)/$C$5</f>
        <v>0.90115146925182754</v>
      </c>
      <c r="L48" s="299">
        <f>D48/C48</f>
        <v>1.0730300235133536E-3</v>
      </c>
      <c r="M48" s="300">
        <f>SUM(M41:M47)</f>
        <v>81900</v>
      </c>
      <c r="N48" s="663">
        <f>J48/E48</f>
        <v>3.9907577442233558E-3</v>
      </c>
      <c r="O48" s="301">
        <f>J48/I48</f>
        <v>8.892707676677887E-2</v>
      </c>
      <c r="P48" s="1113">
        <f>E48/M48</f>
        <v>4.2849694749694747</v>
      </c>
      <c r="Q48" s="121">
        <f>SUM(Q41:Q47)</f>
        <v>128</v>
      </c>
      <c r="R48" s="27"/>
      <c r="S48" s="27"/>
      <c r="T48" s="454">
        <f>SUM(T41:T47)</f>
        <v>992.36666666666667</v>
      </c>
      <c r="U48" s="140">
        <f>Q48/T48</f>
        <v>0.12898458231164556</v>
      </c>
      <c r="V48" s="237">
        <f>J48/Q48</f>
        <v>10.941504156250003</v>
      </c>
      <c r="W48" s="75">
        <f>Q48/D48</f>
        <v>0.15900621118012423</v>
      </c>
      <c r="X48" s="1119">
        <f>AVERAGE(X41:X47)</f>
        <v>5.761904761904761</v>
      </c>
      <c r="Y48" s="566">
        <f>AVERAGE(Y41:Y47)</f>
        <v>0.87265381677146381</v>
      </c>
      <c r="Z48" s="164">
        <f>SUM(Z41:Z47)</f>
        <v>225870</v>
      </c>
      <c r="AA48" s="27">
        <f t="shared" ref="AA48:AK48" si="125">SUM(AA41:AA47)</f>
        <v>300</v>
      </c>
      <c r="AB48" s="27">
        <f t="shared" si="125"/>
        <v>104781</v>
      </c>
      <c r="AC48" s="27">
        <f t="shared" si="125"/>
        <v>37870</v>
      </c>
      <c r="AD48" s="27">
        <f t="shared" si="125"/>
        <v>11519</v>
      </c>
      <c r="AE48" s="27">
        <f t="shared" si="125"/>
        <v>4739</v>
      </c>
      <c r="AF48" s="27">
        <f t="shared" si="125"/>
        <v>2441</v>
      </c>
      <c r="AG48" s="74">
        <f t="shared" si="125"/>
        <v>429.62402600000001</v>
      </c>
      <c r="AH48" s="226">
        <f>AG48/AB48</f>
        <v>4.1002092554947942E-3</v>
      </c>
      <c r="AI48" s="226">
        <f>AG48/AF48</f>
        <v>0.17600328799672266</v>
      </c>
      <c r="AJ48" s="147">
        <f>AA48/Z48</f>
        <v>1.3281976358082083E-3</v>
      </c>
      <c r="AK48" s="121">
        <f t="shared" si="125"/>
        <v>55</v>
      </c>
      <c r="AL48" s="27"/>
      <c r="AM48" s="27"/>
      <c r="AN48" s="227">
        <f>AG48/AK48</f>
        <v>7.8113459272727273</v>
      </c>
      <c r="AO48" s="147">
        <f>AK48/AA48</f>
        <v>0.18333333333333332</v>
      </c>
      <c r="AP48" s="130"/>
      <c r="AQ48" s="165"/>
      <c r="AR48" s="164">
        <f>SUM(AR41:AR47)</f>
        <v>129167</v>
      </c>
      <c r="AS48" s="27">
        <f t="shared" ref="AS48:AY48" si="126">SUM(AS41:AS47)</f>
        <v>168</v>
      </c>
      <c r="AT48" s="27">
        <f t="shared" si="126"/>
        <v>57120</v>
      </c>
      <c r="AU48" s="27">
        <f t="shared" si="126"/>
        <v>9705</v>
      </c>
      <c r="AV48" s="27">
        <f t="shared" si="126"/>
        <v>2142</v>
      </c>
      <c r="AW48" s="27">
        <f t="shared" si="126"/>
        <v>871</v>
      </c>
      <c r="AX48" s="27">
        <f t="shared" si="126"/>
        <v>483</v>
      </c>
      <c r="AY48" s="74">
        <f t="shared" si="126"/>
        <v>226.40719300000001</v>
      </c>
      <c r="AZ48" s="231">
        <f>AY48/AT48</f>
        <v>3.9637113620448177E-3</v>
      </c>
      <c r="BA48" s="226">
        <f>AY48/AX48</f>
        <v>0.46875195238095241</v>
      </c>
      <c r="BB48" s="147">
        <f>AS48/AR48</f>
        <v>1.3006418047953425E-3</v>
      </c>
      <c r="BC48" s="121">
        <f t="shared" ref="BC48" si="127">SUM(BC41:BC47)</f>
        <v>27</v>
      </c>
      <c r="BD48" s="27"/>
      <c r="BE48" s="27"/>
      <c r="BF48" s="237">
        <f>AY48/BC48</f>
        <v>8.3854515925925934</v>
      </c>
      <c r="BG48" s="383">
        <f>BC48/AS48</f>
        <v>0.16071428571428573</v>
      </c>
      <c r="BH48" s="130"/>
      <c r="BI48" s="165"/>
      <c r="BJ48" s="164">
        <f>SUM(BJ41:BJ47)</f>
        <v>395175</v>
      </c>
      <c r="BK48" s="27">
        <f t="shared" ref="BK48:BQ48" si="128">SUM(BK41:BK47)</f>
        <v>337</v>
      </c>
      <c r="BL48" s="27">
        <f t="shared" si="128"/>
        <v>189038</v>
      </c>
      <c r="BM48" s="27">
        <f t="shared" si="128"/>
        <v>117072</v>
      </c>
      <c r="BN48" s="27">
        <f t="shared" si="128"/>
        <v>48531</v>
      </c>
      <c r="BO48" s="27">
        <f t="shared" si="128"/>
        <v>23511</v>
      </c>
      <c r="BP48" s="27">
        <f t="shared" si="128"/>
        <v>12825</v>
      </c>
      <c r="BQ48" s="74">
        <f t="shared" si="128"/>
        <v>744.48131299999989</v>
      </c>
      <c r="BR48" s="231">
        <f>BQ48/BL48</f>
        <v>3.938262746114537E-3</v>
      </c>
      <c r="BS48" s="226">
        <f>BQ48/BP48</f>
        <v>5.8049225185185176E-2</v>
      </c>
      <c r="BT48" s="147">
        <f>BK48/BJ48</f>
        <v>8.527867400518757E-4</v>
      </c>
      <c r="BU48" s="121">
        <f t="shared" ref="BU48" si="129">SUM(BU41:BU47)</f>
        <v>46</v>
      </c>
      <c r="BV48" s="27"/>
      <c r="BW48" s="27"/>
      <c r="BX48" s="227">
        <f>BQ48/BU48</f>
        <v>16.184376369565214</v>
      </c>
      <c r="BY48" s="147">
        <f>BU48/BK48</f>
        <v>0.13649851632047477</v>
      </c>
      <c r="BZ48" s="126"/>
      <c r="CA48" s="260"/>
    </row>
    <row r="49" spans="2:79">
      <c r="B49" s="248">
        <v>40825</v>
      </c>
      <c r="C49" s="15">
        <v>43557</v>
      </c>
      <c r="D49" s="15">
        <v>61</v>
      </c>
      <c r="E49" s="15">
        <v>21534</v>
      </c>
      <c r="F49" s="52">
        <v>10460</v>
      </c>
      <c r="G49" s="52">
        <v>4205</v>
      </c>
      <c r="H49" s="52">
        <v>1966</v>
      </c>
      <c r="I49" s="52">
        <v>1069</v>
      </c>
      <c r="J49" s="77">
        <v>72.42</v>
      </c>
      <c r="K49" s="73">
        <f>SUM($J$32,$J$40,$J$48:J49)/$C$5</f>
        <v>0.91137075635706843</v>
      </c>
      <c r="L49" s="78">
        <f>D49/C49</f>
        <v>1.4004637601304039E-3</v>
      </c>
      <c r="M49" s="53">
        <f t="shared" si="12"/>
        <v>11700</v>
      </c>
      <c r="N49" s="664">
        <f>J49/E49</f>
        <v>3.3630537754249096E-3</v>
      </c>
      <c r="O49" s="230">
        <f t="shared" ref="O49:O51" si="130">J49/I49</f>
        <v>6.7745556594948547E-2</v>
      </c>
      <c r="P49" s="1111">
        <f>E49/M49</f>
        <v>1.8405128205128205</v>
      </c>
      <c r="Q49" s="143">
        <v>13</v>
      </c>
      <c r="R49" s="52"/>
      <c r="S49" s="52"/>
      <c r="T49" s="1404">
        <f>$AB$12/30</f>
        <v>141.76666666666668</v>
      </c>
      <c r="U49" s="234">
        <f>Q49/T49</f>
        <v>9.1699976487185503E-2</v>
      </c>
      <c r="V49" s="225">
        <f>J49/Q49</f>
        <v>5.5707692307692307</v>
      </c>
      <c r="W49" s="316">
        <f>Q49/D49</f>
        <v>0.21311475409836064</v>
      </c>
      <c r="X49" s="303">
        <v>2.6666666666666665</v>
      </c>
      <c r="Y49" s="392">
        <v>0.84615384615384615</v>
      </c>
      <c r="Z49" s="166">
        <v>11817</v>
      </c>
      <c r="AA49" s="15">
        <v>14</v>
      </c>
      <c r="AB49" s="15">
        <v>5727</v>
      </c>
      <c r="AC49" s="52">
        <v>2134</v>
      </c>
      <c r="AD49" s="52">
        <v>683</v>
      </c>
      <c r="AE49" s="52">
        <v>271</v>
      </c>
      <c r="AF49" s="52">
        <v>134</v>
      </c>
      <c r="AG49" s="77">
        <v>19.589285</v>
      </c>
      <c r="AH49" s="727">
        <f>AG49/AB49</f>
        <v>3.420514230836389E-3</v>
      </c>
      <c r="AI49" s="728">
        <f t="shared" ref="AI49:AI51" si="131">AD49/AC49</f>
        <v>0.32005623242736647</v>
      </c>
      <c r="AJ49" s="715">
        <f>AA49/Z49</f>
        <v>1.1847338580011847E-3</v>
      </c>
      <c r="AK49" s="143">
        <v>3</v>
      </c>
      <c r="AL49" s="52"/>
      <c r="AM49" s="52"/>
      <c r="AN49" s="329">
        <f>AG49/AK49</f>
        <v>6.5297616666666665</v>
      </c>
      <c r="AO49" s="327">
        <f t="shared" ref="AO49:AO51" si="132">AK49/AA49</f>
        <v>0.21428571428571427</v>
      </c>
      <c r="AP49" s="125"/>
      <c r="AQ49" s="170"/>
      <c r="AR49" s="166">
        <v>7708</v>
      </c>
      <c r="AS49" s="15">
        <v>24</v>
      </c>
      <c r="AT49" s="15">
        <v>3640</v>
      </c>
      <c r="AU49" s="52">
        <v>648</v>
      </c>
      <c r="AV49" s="52">
        <v>141</v>
      </c>
      <c r="AW49" s="52">
        <v>68</v>
      </c>
      <c r="AX49" s="52">
        <v>33</v>
      </c>
      <c r="AY49" s="77">
        <v>11.959661000000001</v>
      </c>
      <c r="AZ49" s="723">
        <f>AY49/AT49</f>
        <v>3.285621153846154E-3</v>
      </c>
      <c r="BA49" s="70">
        <f>AY49/AX49</f>
        <v>0.36241396969696971</v>
      </c>
      <c r="BB49" s="146">
        <f>AS49/AR49</f>
        <v>3.1136481577581734E-3</v>
      </c>
      <c r="BC49" s="143">
        <v>7</v>
      </c>
      <c r="BD49" s="52"/>
      <c r="BE49" s="52"/>
      <c r="BF49" s="329">
        <f>AY49/BC49</f>
        <v>1.708523</v>
      </c>
      <c r="BG49" s="327">
        <f t="shared" ref="BG49:BG51" si="133">BC49/AS49</f>
        <v>0.29166666666666669</v>
      </c>
      <c r="BH49" s="125"/>
      <c r="BI49" s="170"/>
      <c r="BJ49" s="166">
        <v>24032</v>
      </c>
      <c r="BK49" s="15">
        <v>23</v>
      </c>
      <c r="BL49" s="15">
        <v>12167</v>
      </c>
      <c r="BM49" s="52">
        <v>7678</v>
      </c>
      <c r="BN49" s="52">
        <v>3381</v>
      </c>
      <c r="BO49" s="52">
        <v>1627</v>
      </c>
      <c r="BP49" s="52">
        <v>902</v>
      </c>
      <c r="BQ49" s="77">
        <v>40.871054000000001</v>
      </c>
      <c r="BR49" s="736">
        <f>BQ49/BL49</f>
        <v>3.3591726802005427E-3</v>
      </c>
      <c r="BS49" s="737">
        <f t="shared" ref="BS49:BS51" si="134">BQ49/BP49</f>
        <v>4.5311589800443461E-2</v>
      </c>
      <c r="BT49" s="733">
        <f>BK49/BJ49</f>
        <v>9.5705725699067904E-4</v>
      </c>
      <c r="BU49" s="143">
        <v>3</v>
      </c>
      <c r="BV49" s="52"/>
      <c r="BW49" s="52"/>
      <c r="BX49" s="732">
        <f>BQ49/BU49</f>
        <v>13.623684666666668</v>
      </c>
      <c r="BY49" s="327">
        <f t="shared" ref="BY49:BY51" si="135">BU49/BK49</f>
        <v>0.13043478260869565</v>
      </c>
      <c r="BZ49" s="125"/>
      <c r="CA49" s="259"/>
    </row>
    <row r="50" spans="2:79" s="24" customFormat="1">
      <c r="B50" s="248">
        <v>40826</v>
      </c>
      <c r="C50" s="15">
        <v>46999</v>
      </c>
      <c r="D50" s="15">
        <v>57</v>
      </c>
      <c r="E50" s="15">
        <v>23977</v>
      </c>
      <c r="F50" s="52">
        <v>11962</v>
      </c>
      <c r="G50" s="52">
        <v>4785</v>
      </c>
      <c r="H50" s="52">
        <v>2232</v>
      </c>
      <c r="I50" s="52">
        <v>1215</v>
      </c>
      <c r="J50" s="77">
        <v>72.401243999999991</v>
      </c>
      <c r="K50" s="73">
        <f>SUM($J$32,$J$40,$J$48:J50)/$C$5</f>
        <v>0.92158739677701584</v>
      </c>
      <c r="L50" s="78">
        <f>D50/C50</f>
        <v>1.2127917615268409E-3</v>
      </c>
      <c r="M50" s="53">
        <f t="shared" si="12"/>
        <v>11700</v>
      </c>
      <c r="N50" s="664">
        <f>J50/E50</f>
        <v>3.0196122951161525E-3</v>
      </c>
      <c r="O50" s="230">
        <f t="shared" si="130"/>
        <v>5.9589501234567896E-2</v>
      </c>
      <c r="P50" s="1111">
        <f>E50/M50</f>
        <v>2.0493162393162394</v>
      </c>
      <c r="Q50" s="143">
        <v>9</v>
      </c>
      <c r="R50" s="52"/>
      <c r="S50" s="52"/>
      <c r="T50" s="1404">
        <f t="shared" ref="T50:T58" si="136">$AB$12/30</f>
        <v>141.76666666666668</v>
      </c>
      <c r="U50" s="234">
        <f>Q50/T50</f>
        <v>6.3484599106513037E-2</v>
      </c>
      <c r="V50" s="225">
        <f>J50/Q50</f>
        <v>8.0445826666666651</v>
      </c>
      <c r="W50" s="316">
        <f t="shared" ref="W50:W51" si="137">Q50/D50</f>
        <v>0.15789473684210525</v>
      </c>
      <c r="X50" s="303">
        <v>0</v>
      </c>
      <c r="Y50" s="392">
        <v>1</v>
      </c>
      <c r="Z50" s="166">
        <v>12693</v>
      </c>
      <c r="AA50" s="15">
        <v>17</v>
      </c>
      <c r="AB50" s="15">
        <v>6284</v>
      </c>
      <c r="AC50" s="52">
        <v>2380</v>
      </c>
      <c r="AD50" s="52">
        <v>736</v>
      </c>
      <c r="AE50" s="52">
        <v>289</v>
      </c>
      <c r="AF50" s="52">
        <v>147</v>
      </c>
      <c r="AG50" s="77">
        <v>18.870137</v>
      </c>
      <c r="AH50" s="729">
        <f>AG50/AB50</f>
        <v>3.0028862189688094E-3</v>
      </c>
      <c r="AI50" s="730">
        <f t="shared" si="131"/>
        <v>0.30924369747899161</v>
      </c>
      <c r="AJ50" s="719">
        <f>AA50/Z50</f>
        <v>1.339320885527456E-3</v>
      </c>
      <c r="AK50" s="143">
        <v>5</v>
      </c>
      <c r="AL50" s="52"/>
      <c r="AM50" s="52"/>
      <c r="AN50" s="312">
        <f t="shared" ref="AN50:AN51" si="138">AG50/AK50</f>
        <v>3.7740274</v>
      </c>
      <c r="AO50" s="330">
        <f t="shared" si="132"/>
        <v>0.29411764705882354</v>
      </c>
      <c r="AP50" s="123"/>
      <c r="AQ50" s="168"/>
      <c r="AR50" s="166">
        <v>8366</v>
      </c>
      <c r="AS50" s="15">
        <v>17</v>
      </c>
      <c r="AT50" s="15">
        <v>4064</v>
      </c>
      <c r="AU50" s="52">
        <v>772</v>
      </c>
      <c r="AV50" s="52">
        <v>172</v>
      </c>
      <c r="AW50" s="52">
        <v>58</v>
      </c>
      <c r="AX50" s="52">
        <v>36</v>
      </c>
      <c r="AY50" s="77">
        <v>12.465384</v>
      </c>
      <c r="AZ50" s="723">
        <f>AY50/AT50</f>
        <v>3.0672696850393704E-3</v>
      </c>
      <c r="BA50" s="70">
        <f t="shared" ref="BA50:BA51" si="139">AY50/AX50</f>
        <v>0.34626066666666666</v>
      </c>
      <c r="BB50" s="244">
        <f t="shared" ref="BB50:BB51" si="140">AS50/AR50</f>
        <v>2.0320344250537893E-3</v>
      </c>
      <c r="BC50" s="143">
        <v>2</v>
      </c>
      <c r="BD50" s="52"/>
      <c r="BE50" s="52"/>
      <c r="BF50" s="329">
        <f t="shared" ref="BF50:BF51" si="141">AY50/BC50</f>
        <v>6.2326920000000001</v>
      </c>
      <c r="BG50" s="389">
        <f t="shared" si="133"/>
        <v>0.11764705882352941</v>
      </c>
      <c r="BH50" s="123"/>
      <c r="BI50" s="168"/>
      <c r="BJ50" s="166">
        <v>25940</v>
      </c>
      <c r="BK50" s="15">
        <v>23</v>
      </c>
      <c r="BL50" s="15">
        <v>13629</v>
      </c>
      <c r="BM50" s="52">
        <v>8810</v>
      </c>
      <c r="BN50" s="52">
        <v>3877</v>
      </c>
      <c r="BO50" s="52">
        <v>1885</v>
      </c>
      <c r="BP50" s="52">
        <v>1032</v>
      </c>
      <c r="BQ50" s="77">
        <v>41.065722999999998</v>
      </c>
      <c r="BR50" s="738">
        <f>BQ50/BL50</f>
        <v>3.0131134345880105E-3</v>
      </c>
      <c r="BS50" s="739">
        <f t="shared" si="134"/>
        <v>3.9792367248062011E-2</v>
      </c>
      <c r="BT50" s="740">
        <f>BK50/BJ50</f>
        <v>8.8666152659984583E-4</v>
      </c>
      <c r="BU50" s="143">
        <v>2</v>
      </c>
      <c r="BV50" s="52"/>
      <c r="BW50" s="52"/>
      <c r="BX50" s="274">
        <f>BQ50/BU50</f>
        <v>20.532861499999999</v>
      </c>
      <c r="BY50" s="330">
        <f t="shared" si="135"/>
        <v>8.6956521739130432E-2</v>
      </c>
      <c r="BZ50" s="123"/>
      <c r="CA50" s="257"/>
    </row>
    <row r="51" spans="2:79" s="26" customFormat="1">
      <c r="B51" s="248">
        <v>40827</v>
      </c>
      <c r="C51" s="15">
        <v>46791</v>
      </c>
      <c r="D51" s="15">
        <v>46</v>
      </c>
      <c r="E51" s="15">
        <v>22554</v>
      </c>
      <c r="F51" s="52">
        <v>11260</v>
      </c>
      <c r="G51" s="52">
        <v>4596</v>
      </c>
      <c r="H51" s="52">
        <v>2159</v>
      </c>
      <c r="I51" s="52">
        <v>1182</v>
      </c>
      <c r="J51" s="77">
        <v>72.421660000000003</v>
      </c>
      <c r="K51" s="73">
        <f>SUM($J$32,$J$40,$J$48:J51)/$C$5</f>
        <v>0.93180691812716965</v>
      </c>
      <c r="L51" s="78">
        <f t="shared" ref="L51" si="142">D51/C51</f>
        <v>9.8309503964437613E-4</v>
      </c>
      <c r="M51" s="53">
        <f t="shared" si="12"/>
        <v>11700</v>
      </c>
      <c r="N51" s="664">
        <f t="shared" ref="N51" si="143">J51/E51</f>
        <v>3.2110339629334043E-3</v>
      </c>
      <c r="O51" s="230">
        <f t="shared" si="130"/>
        <v>6.1270439932318108E-2</v>
      </c>
      <c r="P51" s="1111">
        <f t="shared" ref="P51" si="144">E51/M51</f>
        <v>1.9276923076923076</v>
      </c>
      <c r="Q51" s="143">
        <v>8</v>
      </c>
      <c r="R51" s="52"/>
      <c r="S51" s="52"/>
      <c r="T51" s="1404">
        <f t="shared" si="136"/>
        <v>141.76666666666668</v>
      </c>
      <c r="U51" s="234">
        <f t="shared" ref="U51" si="145">Q51/T51</f>
        <v>5.6430754761344924E-2</v>
      </c>
      <c r="V51" s="225">
        <f t="shared" ref="V51" si="146">J51/Q51</f>
        <v>9.0527075000000004</v>
      </c>
      <c r="W51" s="316">
        <f t="shared" si="137"/>
        <v>0.17391304347826086</v>
      </c>
      <c r="X51" s="303">
        <v>49.666666666666664</v>
      </c>
      <c r="Y51" s="392">
        <v>0.875</v>
      </c>
      <c r="Z51" s="166">
        <v>9248</v>
      </c>
      <c r="AA51" s="15">
        <v>8</v>
      </c>
      <c r="AB51" s="15">
        <v>4323</v>
      </c>
      <c r="AC51" s="52">
        <v>1616</v>
      </c>
      <c r="AD51" s="52">
        <v>512</v>
      </c>
      <c r="AE51" s="52">
        <v>192</v>
      </c>
      <c r="AF51" s="52">
        <v>100</v>
      </c>
      <c r="AG51" s="77">
        <v>13.965691</v>
      </c>
      <c r="AH51" s="729">
        <f t="shared" ref="AH51:AH55" si="147">AG51/AB51</f>
        <v>3.2305554013416608E-3</v>
      </c>
      <c r="AI51" s="730">
        <f t="shared" si="131"/>
        <v>0.31683168316831684</v>
      </c>
      <c r="AJ51" s="719">
        <f t="shared" ref="AJ51" si="148">AA51/Z51</f>
        <v>8.6505190311418688E-4</v>
      </c>
      <c r="AK51" s="143">
        <v>1</v>
      </c>
      <c r="AL51" s="52"/>
      <c r="AM51" s="52"/>
      <c r="AN51" s="312">
        <f t="shared" si="138"/>
        <v>13.965691</v>
      </c>
      <c r="AO51" s="330">
        <f t="shared" si="132"/>
        <v>0.125</v>
      </c>
      <c r="AP51" s="124"/>
      <c r="AQ51" s="169"/>
      <c r="AR51" s="166">
        <v>9068</v>
      </c>
      <c r="AS51" s="15">
        <v>13</v>
      </c>
      <c r="AT51" s="15">
        <v>4028</v>
      </c>
      <c r="AU51" s="52">
        <v>688</v>
      </c>
      <c r="AV51" s="52">
        <v>173</v>
      </c>
      <c r="AW51" s="52">
        <v>76</v>
      </c>
      <c r="AX51" s="52">
        <v>44</v>
      </c>
      <c r="AY51" s="77">
        <v>13.369909</v>
      </c>
      <c r="AZ51" s="723">
        <f t="shared" ref="AZ51" si="149">AY51/AT51</f>
        <v>3.3192425521350547E-3</v>
      </c>
      <c r="BA51" s="70">
        <f t="shared" si="139"/>
        <v>0.3038615681818182</v>
      </c>
      <c r="BB51" s="244">
        <f t="shared" si="140"/>
        <v>1.4336127040141156E-3</v>
      </c>
      <c r="BC51" s="143">
        <v>3</v>
      </c>
      <c r="BD51" s="52"/>
      <c r="BE51" s="52"/>
      <c r="BF51" s="329">
        <f t="shared" si="141"/>
        <v>4.456636333333333</v>
      </c>
      <c r="BG51" s="389">
        <f t="shared" si="133"/>
        <v>0.23076923076923078</v>
      </c>
      <c r="BH51" s="124"/>
      <c r="BI51" s="169"/>
      <c r="BJ51" s="166">
        <v>28475</v>
      </c>
      <c r="BK51" s="15">
        <v>25</v>
      </c>
      <c r="BL51" s="15">
        <v>14203</v>
      </c>
      <c r="BM51" s="52">
        <v>8956</v>
      </c>
      <c r="BN51" s="52">
        <v>3911</v>
      </c>
      <c r="BO51" s="52">
        <v>1891</v>
      </c>
      <c r="BP51" s="52">
        <v>1038</v>
      </c>
      <c r="BQ51" s="77">
        <v>45.086060000000003</v>
      </c>
      <c r="BR51" s="738">
        <f t="shared" ref="BR51" si="150">BQ51/BL51</f>
        <v>3.1744039991551082E-3</v>
      </c>
      <c r="BS51" s="739">
        <f t="shared" si="134"/>
        <v>4.343551059730251E-2</v>
      </c>
      <c r="BT51" s="740">
        <f t="shared" ref="BT51" si="151">BK51/BJ51</f>
        <v>8.7796312554872696E-4</v>
      </c>
      <c r="BU51" s="143">
        <v>4</v>
      </c>
      <c r="BV51" s="52"/>
      <c r="BW51" s="52"/>
      <c r="BX51" s="274">
        <f t="shared" ref="BX51" si="152">BQ51/BU51</f>
        <v>11.271515000000001</v>
      </c>
      <c r="BY51" s="330">
        <f t="shared" si="135"/>
        <v>0.16</v>
      </c>
      <c r="BZ51" s="124"/>
      <c r="CA51" s="258"/>
    </row>
    <row r="52" spans="2:79">
      <c r="B52" s="248">
        <v>40828</v>
      </c>
      <c r="C52" s="15">
        <v>44458</v>
      </c>
      <c r="D52" s="15">
        <v>34</v>
      </c>
      <c r="E52" s="15">
        <v>21158</v>
      </c>
      <c r="F52" s="52">
        <v>10743</v>
      </c>
      <c r="G52" s="52">
        <v>4355</v>
      </c>
      <c r="H52" s="52">
        <v>2044</v>
      </c>
      <c r="I52" s="52">
        <v>1131</v>
      </c>
      <c r="J52" s="77">
        <v>72.42</v>
      </c>
      <c r="K52" s="73">
        <f>SUM($J$32,$J$40,$J$48:J52)/$C$5</f>
        <v>0.94202620523241054</v>
      </c>
      <c r="L52" s="78">
        <f t="shared" ref="L52:L55" si="153">D52/C52</f>
        <v>7.6476674614242655E-4</v>
      </c>
      <c r="M52" s="53">
        <f t="shared" si="12"/>
        <v>11700</v>
      </c>
      <c r="N52" s="664">
        <f t="shared" ref="N52:N55" si="154">J52/E52</f>
        <v>3.4228187919463087E-3</v>
      </c>
      <c r="O52" s="230">
        <f t="shared" ref="O52:O55" si="155">J52/I52</f>
        <v>6.4031830238726786E-2</v>
      </c>
      <c r="P52" s="1111">
        <f t="shared" ref="P52:P58" si="156">E52/M52</f>
        <v>1.8083760683760683</v>
      </c>
      <c r="Q52" s="143">
        <v>6</v>
      </c>
      <c r="R52" s="52"/>
      <c r="S52" s="52"/>
      <c r="T52" s="1404">
        <f t="shared" si="136"/>
        <v>141.76666666666668</v>
      </c>
      <c r="U52" s="234">
        <f t="shared" ref="U52:U55" si="157">Q52/T52</f>
        <v>4.2323066071008698E-2</v>
      </c>
      <c r="V52" s="225">
        <f t="shared" ref="V52:V55" si="158">J52/Q52</f>
        <v>12.07</v>
      </c>
      <c r="W52" s="316">
        <f t="shared" ref="W52:W55" si="159">Q52/D52</f>
        <v>0.17647058823529413</v>
      </c>
      <c r="X52" s="303">
        <v>0</v>
      </c>
      <c r="Y52" s="392">
        <v>1</v>
      </c>
      <c r="Z52" s="166">
        <v>5935</v>
      </c>
      <c r="AA52" s="15">
        <v>8</v>
      </c>
      <c r="AB52" s="15">
        <v>2772</v>
      </c>
      <c r="AC52" s="52">
        <v>1027</v>
      </c>
      <c r="AD52" s="52">
        <v>300</v>
      </c>
      <c r="AE52" s="52">
        <v>119</v>
      </c>
      <c r="AF52" s="52">
        <v>66</v>
      </c>
      <c r="AG52" s="77">
        <v>9.8236910000000002</v>
      </c>
      <c r="AH52" s="729">
        <f t="shared" si="147"/>
        <v>3.5439000721500724E-3</v>
      </c>
      <c r="AI52" s="730">
        <f t="shared" ref="AI52:AI55" si="160">AD52/AC52</f>
        <v>0.29211295034079843</v>
      </c>
      <c r="AJ52" s="719">
        <f t="shared" ref="AJ52:AJ55" si="161">AA52/Z52</f>
        <v>1.3479359730412806E-3</v>
      </c>
      <c r="AK52" s="143">
        <v>3</v>
      </c>
      <c r="AL52" s="52"/>
      <c r="AM52" s="52"/>
      <c r="AN52" s="312">
        <f t="shared" ref="AN52:AN55" si="162">AG52/AK52</f>
        <v>3.2745636666666669</v>
      </c>
      <c r="AO52" s="330">
        <f t="shared" ref="AO52:AO55" si="163">AK52/AA52</f>
        <v>0.375</v>
      </c>
      <c r="AP52" s="125"/>
      <c r="AQ52" s="170"/>
      <c r="AR52" s="166">
        <v>9843</v>
      </c>
      <c r="AS52" s="15">
        <v>9</v>
      </c>
      <c r="AT52" s="15">
        <v>4487</v>
      </c>
      <c r="AU52" s="52">
        <v>803</v>
      </c>
      <c r="AV52" s="52">
        <v>175</v>
      </c>
      <c r="AW52" s="52">
        <v>73</v>
      </c>
      <c r="AX52" s="52">
        <v>42</v>
      </c>
      <c r="AY52" s="77">
        <v>15.824586</v>
      </c>
      <c r="AZ52" s="723">
        <f t="shared" ref="AZ52:AZ55" si="164">AY52/AT52</f>
        <v>3.5267630933808782E-3</v>
      </c>
      <c r="BA52" s="70">
        <f t="shared" ref="BA52:BA55" si="165">AY52/AX52</f>
        <v>0.37677585714285716</v>
      </c>
      <c r="BB52" s="244">
        <f t="shared" ref="BB52:BB55" si="166">AS52/AR52</f>
        <v>9.1435537945748252E-4</v>
      </c>
      <c r="BC52" s="143">
        <v>1</v>
      </c>
      <c r="BD52" s="52"/>
      <c r="BE52" s="52"/>
      <c r="BF52" s="329">
        <f t="shared" ref="BF52:BF55" si="167">AY52/BC52</f>
        <v>15.824586</v>
      </c>
      <c r="BG52" s="389">
        <f t="shared" ref="BG52:BG55" si="168">BC52/AS52</f>
        <v>0.1111111111111111</v>
      </c>
      <c r="BH52" s="125"/>
      <c r="BI52" s="170"/>
      <c r="BJ52" s="166">
        <v>28680</v>
      </c>
      <c r="BK52" s="15">
        <v>17</v>
      </c>
      <c r="BL52" s="15">
        <v>13899</v>
      </c>
      <c r="BM52" s="52">
        <v>8913</v>
      </c>
      <c r="BN52" s="52">
        <v>3880</v>
      </c>
      <c r="BO52" s="52">
        <v>1852</v>
      </c>
      <c r="BP52" s="52">
        <v>1023</v>
      </c>
      <c r="BQ52" s="77">
        <v>46.771723000000001</v>
      </c>
      <c r="BR52" s="734">
        <f t="shared" ref="BR52:BR55" si="169">BQ52/BL52</f>
        <v>3.3651142528239443E-3</v>
      </c>
      <c r="BS52" s="739">
        <f t="shared" ref="BS52:BS55" si="170">BQ52/BP52</f>
        <v>4.572015933528837E-2</v>
      </c>
      <c r="BT52" s="740">
        <f t="shared" ref="BT52:BT55" si="171">BK52/BJ52</f>
        <v>5.9274755927475598E-4</v>
      </c>
      <c r="BU52" s="143">
        <v>2</v>
      </c>
      <c r="BV52" s="52"/>
      <c r="BW52" s="52"/>
      <c r="BX52" s="274">
        <f t="shared" ref="BX52:BX55" si="172">BQ52/BU52</f>
        <v>23.385861500000001</v>
      </c>
      <c r="BY52" s="330">
        <f t="shared" ref="BY52:BY55" si="173">BU52/BK52</f>
        <v>0.11764705882352941</v>
      </c>
      <c r="BZ52" s="125"/>
      <c r="CA52" s="259"/>
    </row>
    <row r="53" spans="2:79">
      <c r="B53" s="248">
        <v>40829</v>
      </c>
      <c r="C53" s="15">
        <v>41114</v>
      </c>
      <c r="D53" s="15">
        <v>40</v>
      </c>
      <c r="E53" s="15">
        <v>19089</v>
      </c>
      <c r="F53" s="52">
        <v>9845</v>
      </c>
      <c r="G53" s="52">
        <v>4019</v>
      </c>
      <c r="H53" s="52">
        <v>1849</v>
      </c>
      <c r="I53" s="52">
        <v>950</v>
      </c>
      <c r="J53" s="77">
        <v>72.42</v>
      </c>
      <c r="K53" s="73">
        <f>SUM($J$32,$J$40,$J$48:J53)/$C$5</f>
        <v>0.95224549233765143</v>
      </c>
      <c r="L53" s="78">
        <f t="shared" si="153"/>
        <v>9.7290460670331272E-4</v>
      </c>
      <c r="M53" s="53">
        <f t="shared" si="12"/>
        <v>11700</v>
      </c>
      <c r="N53" s="664">
        <f t="shared" si="154"/>
        <v>3.7938079522237939E-3</v>
      </c>
      <c r="O53" s="230">
        <f t="shared" si="155"/>
        <v>7.6231578947368428E-2</v>
      </c>
      <c r="P53" s="1111">
        <f t="shared" si="156"/>
        <v>1.6315384615384616</v>
      </c>
      <c r="Q53" s="143">
        <v>11</v>
      </c>
      <c r="R53" s="52"/>
      <c r="S53" s="52"/>
      <c r="T53" s="1404">
        <f t="shared" si="136"/>
        <v>141.76666666666668</v>
      </c>
      <c r="U53" s="234">
        <f t="shared" si="157"/>
        <v>7.7592287796849277E-2</v>
      </c>
      <c r="V53" s="225">
        <f t="shared" si="158"/>
        <v>6.583636363636364</v>
      </c>
      <c r="W53" s="316">
        <f t="shared" si="159"/>
        <v>0.27500000000000002</v>
      </c>
      <c r="X53" s="303">
        <v>19</v>
      </c>
      <c r="Y53" s="392">
        <v>0.81818181818181823</v>
      </c>
      <c r="Z53" s="166">
        <v>5258</v>
      </c>
      <c r="AA53" s="15">
        <v>4</v>
      </c>
      <c r="AB53" s="15">
        <v>2334</v>
      </c>
      <c r="AC53" s="52">
        <v>816</v>
      </c>
      <c r="AD53" s="52">
        <v>242</v>
      </c>
      <c r="AE53" s="52">
        <v>87</v>
      </c>
      <c r="AF53" s="52">
        <v>40</v>
      </c>
      <c r="AG53" s="77">
        <v>9.57592</v>
      </c>
      <c r="AH53" s="729">
        <f t="shared" si="147"/>
        <v>4.1027934875749782E-3</v>
      </c>
      <c r="AI53" s="730">
        <f t="shared" si="160"/>
        <v>0.29656862745098039</v>
      </c>
      <c r="AJ53" s="719">
        <f t="shared" si="161"/>
        <v>7.6074553062000763E-4</v>
      </c>
      <c r="AK53" s="143">
        <v>1</v>
      </c>
      <c r="AL53" s="52"/>
      <c r="AM53" s="52"/>
      <c r="AN53" s="312">
        <f t="shared" si="162"/>
        <v>9.57592</v>
      </c>
      <c r="AO53" s="330">
        <f t="shared" si="163"/>
        <v>0.25</v>
      </c>
      <c r="AP53" s="125"/>
      <c r="AQ53" s="170"/>
      <c r="AR53" s="166">
        <v>7772</v>
      </c>
      <c r="AS53" s="15">
        <v>12</v>
      </c>
      <c r="AT53" s="15">
        <v>3358</v>
      </c>
      <c r="AU53" s="52">
        <v>622</v>
      </c>
      <c r="AV53" s="52">
        <v>146</v>
      </c>
      <c r="AW53" s="52">
        <v>59</v>
      </c>
      <c r="AX53" s="52">
        <v>39</v>
      </c>
      <c r="AY53" s="77">
        <v>13.889170999999999</v>
      </c>
      <c r="AZ53" s="723">
        <f t="shared" si="164"/>
        <v>4.1361438356164381E-3</v>
      </c>
      <c r="BA53" s="70">
        <f t="shared" si="165"/>
        <v>0.35613258974358974</v>
      </c>
      <c r="BB53" s="244">
        <f t="shared" si="166"/>
        <v>1.5440041173443129E-3</v>
      </c>
      <c r="BC53" s="143">
        <v>4</v>
      </c>
      <c r="BD53" s="52"/>
      <c r="BE53" s="52"/>
      <c r="BF53" s="329">
        <f t="shared" si="167"/>
        <v>3.4722927499999998</v>
      </c>
      <c r="BG53" s="389">
        <f t="shared" si="168"/>
        <v>0.33333333333333331</v>
      </c>
      <c r="BH53" s="125"/>
      <c r="BI53" s="170"/>
      <c r="BJ53" s="731">
        <v>28084</v>
      </c>
      <c r="BK53" s="15">
        <v>24</v>
      </c>
      <c r="BL53" s="15">
        <v>13397</v>
      </c>
      <c r="BM53" s="52">
        <v>8407</v>
      </c>
      <c r="BN53" s="52">
        <v>3631</v>
      </c>
      <c r="BO53" s="52">
        <v>1703</v>
      </c>
      <c r="BP53" s="52">
        <v>871</v>
      </c>
      <c r="BQ53" s="77">
        <v>48.954909000000001</v>
      </c>
      <c r="BR53" s="741">
        <f t="shared" si="169"/>
        <v>3.654169515563186E-3</v>
      </c>
      <c r="BS53" s="742">
        <f t="shared" si="170"/>
        <v>5.6205406429391508E-2</v>
      </c>
      <c r="BT53" s="743">
        <f t="shared" si="171"/>
        <v>8.5457911978350663E-4</v>
      </c>
      <c r="BU53" s="143">
        <v>6</v>
      </c>
      <c r="BV53" s="52"/>
      <c r="BW53" s="52"/>
      <c r="BX53" s="274">
        <f t="shared" si="172"/>
        <v>8.1591515000000001</v>
      </c>
      <c r="BY53" s="330">
        <f t="shared" si="173"/>
        <v>0.25</v>
      </c>
      <c r="BZ53" s="125"/>
      <c r="CA53" s="259"/>
    </row>
    <row r="54" spans="2:79">
      <c r="B54" s="253">
        <v>40830</v>
      </c>
      <c r="C54" s="15">
        <v>39428</v>
      </c>
      <c r="D54" s="15">
        <v>35</v>
      </c>
      <c r="E54" s="15">
        <v>18717</v>
      </c>
      <c r="F54" s="52">
        <v>9358</v>
      </c>
      <c r="G54" s="52">
        <v>3793</v>
      </c>
      <c r="H54" s="52">
        <v>1823</v>
      </c>
      <c r="I54" s="52">
        <v>973</v>
      </c>
      <c r="J54" s="77">
        <v>72.42</v>
      </c>
      <c r="K54" s="73">
        <f>SUM($J$32,$J$40,$J$48:J54)/$C$5</f>
        <v>0.96246477944289233</v>
      </c>
      <c r="L54" s="78">
        <f t="shared" si="153"/>
        <v>8.8769402455108042E-4</v>
      </c>
      <c r="M54" s="53">
        <f t="shared" si="12"/>
        <v>11700</v>
      </c>
      <c r="N54" s="664">
        <f t="shared" si="154"/>
        <v>3.8692098092643051E-3</v>
      </c>
      <c r="O54" s="230">
        <f t="shared" si="155"/>
        <v>7.4429599177800621E-2</v>
      </c>
      <c r="P54" s="1111">
        <f t="shared" si="156"/>
        <v>1.5997435897435897</v>
      </c>
      <c r="Q54" s="143">
        <v>7</v>
      </c>
      <c r="R54" s="52"/>
      <c r="S54" s="52"/>
      <c r="T54" s="1404">
        <f t="shared" si="136"/>
        <v>141.76666666666668</v>
      </c>
      <c r="U54" s="234">
        <f t="shared" si="157"/>
        <v>4.9376910416176811E-2</v>
      </c>
      <c r="V54" s="225">
        <f t="shared" si="158"/>
        <v>10.345714285714285</v>
      </c>
      <c r="W54" s="316">
        <f t="shared" si="159"/>
        <v>0.2</v>
      </c>
      <c r="X54" s="303">
        <v>0</v>
      </c>
      <c r="Y54" s="392">
        <v>1</v>
      </c>
      <c r="Z54" s="166">
        <v>8390</v>
      </c>
      <c r="AA54" s="15">
        <v>8</v>
      </c>
      <c r="AB54" s="15">
        <v>3826</v>
      </c>
      <c r="AC54" s="52">
        <v>1382</v>
      </c>
      <c r="AD54" s="52">
        <v>424</v>
      </c>
      <c r="AE54" s="52">
        <v>179</v>
      </c>
      <c r="AF54" s="52">
        <v>90</v>
      </c>
      <c r="AG54" s="77">
        <v>14.855242000000001</v>
      </c>
      <c r="AH54" s="729">
        <f t="shared" si="147"/>
        <v>3.8827083115525354E-3</v>
      </c>
      <c r="AI54" s="730">
        <f t="shared" si="160"/>
        <v>0.30680173661360349</v>
      </c>
      <c r="AJ54" s="719">
        <f t="shared" si="161"/>
        <v>9.5351609058402862E-4</v>
      </c>
      <c r="AK54" s="143">
        <v>2</v>
      </c>
      <c r="AL54" s="52"/>
      <c r="AM54" s="52"/>
      <c r="AN54" s="312">
        <f t="shared" si="162"/>
        <v>7.4276210000000003</v>
      </c>
      <c r="AO54" s="330">
        <f t="shared" si="163"/>
        <v>0.25</v>
      </c>
      <c r="AP54" s="125"/>
      <c r="AQ54" s="170"/>
      <c r="AR54" s="166">
        <v>7301</v>
      </c>
      <c r="AS54" s="15">
        <v>7</v>
      </c>
      <c r="AT54" s="15">
        <v>3321</v>
      </c>
      <c r="AU54" s="52">
        <v>621</v>
      </c>
      <c r="AV54" s="52">
        <v>142</v>
      </c>
      <c r="AW54" s="52">
        <v>56</v>
      </c>
      <c r="AX54" s="52">
        <v>27</v>
      </c>
      <c r="AY54" s="77">
        <v>13.081835999999999</v>
      </c>
      <c r="AZ54" s="723">
        <f t="shared" si="164"/>
        <v>3.9391255645889788E-3</v>
      </c>
      <c r="BA54" s="70">
        <f t="shared" si="165"/>
        <v>0.48451244444444441</v>
      </c>
      <c r="BB54" s="244">
        <f t="shared" si="166"/>
        <v>9.5877277085330771E-4</v>
      </c>
      <c r="BC54" s="143">
        <v>3</v>
      </c>
      <c r="BD54" s="52"/>
      <c r="BE54" s="52"/>
      <c r="BF54" s="329">
        <f t="shared" si="167"/>
        <v>4.3606119999999997</v>
      </c>
      <c r="BG54" s="389">
        <f t="shared" si="168"/>
        <v>0.42857142857142855</v>
      </c>
      <c r="BH54" s="125"/>
      <c r="BI54" s="170"/>
      <c r="BJ54" s="166">
        <v>23737</v>
      </c>
      <c r="BK54" s="15">
        <v>20</v>
      </c>
      <c r="BL54" s="15">
        <v>11570</v>
      </c>
      <c r="BM54" s="52">
        <v>7355</v>
      </c>
      <c r="BN54" s="52">
        <v>3227</v>
      </c>
      <c r="BO54" s="52">
        <v>1588</v>
      </c>
      <c r="BP54" s="52">
        <v>856</v>
      </c>
      <c r="BQ54" s="77">
        <v>44.482922000000002</v>
      </c>
      <c r="BR54" s="738">
        <f t="shared" si="169"/>
        <v>3.8446777873811584E-3</v>
      </c>
      <c r="BS54" s="739">
        <f t="shared" si="170"/>
        <v>5.1966030373831781E-2</v>
      </c>
      <c r="BT54" s="740">
        <f t="shared" si="171"/>
        <v>8.4256645742932976E-4</v>
      </c>
      <c r="BU54" s="143">
        <v>2</v>
      </c>
      <c r="BV54" s="52"/>
      <c r="BW54" s="52"/>
      <c r="BX54" s="274">
        <f t="shared" si="172"/>
        <v>22.241461000000001</v>
      </c>
      <c r="BY54" s="330">
        <f t="shared" si="173"/>
        <v>0.1</v>
      </c>
      <c r="BZ54" s="125"/>
      <c r="CA54" s="259"/>
    </row>
    <row r="55" spans="2:79">
      <c r="B55" s="253">
        <v>40831</v>
      </c>
      <c r="C55" s="15">
        <v>44862</v>
      </c>
      <c r="D55" s="15">
        <v>50</v>
      </c>
      <c r="E55" s="15">
        <v>22047</v>
      </c>
      <c r="F55" s="52">
        <v>11236</v>
      </c>
      <c r="G55" s="52">
        <v>4534</v>
      </c>
      <c r="H55" s="52">
        <v>2158</v>
      </c>
      <c r="I55" s="52">
        <v>1161</v>
      </c>
      <c r="J55" s="77">
        <v>72.424459999999996</v>
      </c>
      <c r="K55" s="73">
        <f>SUM($J$32,$J$40,$J$48:J55)/$C$5</f>
        <v>0.97268469590494744</v>
      </c>
      <c r="L55" s="78">
        <f t="shared" si="153"/>
        <v>1.1145290000445813E-3</v>
      </c>
      <c r="M55" s="53">
        <f t="shared" si="12"/>
        <v>11700</v>
      </c>
      <c r="N55" s="664">
        <f t="shared" si="154"/>
        <v>3.2850029482469267E-3</v>
      </c>
      <c r="O55" s="230">
        <f t="shared" si="155"/>
        <v>6.2381102497846681E-2</v>
      </c>
      <c r="P55" s="1111">
        <f t="shared" si="156"/>
        <v>1.8843589743589744</v>
      </c>
      <c r="Q55" s="143">
        <v>12</v>
      </c>
      <c r="R55" s="52"/>
      <c r="S55" s="52"/>
      <c r="T55" s="1404">
        <f t="shared" si="136"/>
        <v>141.76666666666668</v>
      </c>
      <c r="U55" s="234">
        <f t="shared" si="157"/>
        <v>8.4646132142017397E-2</v>
      </c>
      <c r="V55" s="225">
        <f t="shared" si="158"/>
        <v>6.0353716666666664</v>
      </c>
      <c r="W55" s="316">
        <f t="shared" si="159"/>
        <v>0.24</v>
      </c>
      <c r="X55" s="303">
        <v>0</v>
      </c>
      <c r="Y55" s="392">
        <v>1</v>
      </c>
      <c r="Z55" s="166">
        <v>12851</v>
      </c>
      <c r="AA55" s="15">
        <v>14</v>
      </c>
      <c r="AB55" s="15">
        <v>6028</v>
      </c>
      <c r="AC55" s="52">
        <v>2280</v>
      </c>
      <c r="AD55" s="52">
        <v>726</v>
      </c>
      <c r="AE55" s="52">
        <v>303</v>
      </c>
      <c r="AF55" s="52">
        <v>147</v>
      </c>
      <c r="AG55" s="77">
        <v>20.172789000000002</v>
      </c>
      <c r="AH55" s="664">
        <f t="shared" si="147"/>
        <v>3.3465144326476448E-3</v>
      </c>
      <c r="AI55" s="230">
        <f t="shared" si="160"/>
        <v>0.31842105263157894</v>
      </c>
      <c r="AJ55" s="146">
        <f t="shared" si="161"/>
        <v>1.0894093844836979E-3</v>
      </c>
      <c r="AK55" s="143">
        <v>4</v>
      </c>
      <c r="AL55" s="52"/>
      <c r="AM55" s="52"/>
      <c r="AN55" s="312">
        <f t="shared" si="162"/>
        <v>5.0431972500000004</v>
      </c>
      <c r="AO55" s="330">
        <f t="shared" si="163"/>
        <v>0.2857142857142857</v>
      </c>
      <c r="AP55" s="125"/>
      <c r="AQ55" s="170"/>
      <c r="AR55" s="166">
        <v>6286</v>
      </c>
      <c r="AS55" s="15">
        <v>10</v>
      </c>
      <c r="AT55" s="15">
        <v>3050</v>
      </c>
      <c r="AU55" s="52">
        <v>612</v>
      </c>
      <c r="AV55" s="52">
        <v>147</v>
      </c>
      <c r="AW55" s="52">
        <v>51</v>
      </c>
      <c r="AX55" s="52">
        <v>25</v>
      </c>
      <c r="AY55" s="77">
        <v>10.138999999999999</v>
      </c>
      <c r="AZ55" s="723">
        <f t="shared" si="164"/>
        <v>3.3242622950819668E-3</v>
      </c>
      <c r="BA55" s="70">
        <f t="shared" si="165"/>
        <v>0.40555999999999998</v>
      </c>
      <c r="BB55" s="244">
        <f t="shared" si="166"/>
        <v>1.590836780146357E-3</v>
      </c>
      <c r="BC55" s="143">
        <v>4</v>
      </c>
      <c r="BD55" s="52"/>
      <c r="BE55" s="52"/>
      <c r="BF55" s="312">
        <f t="shared" si="167"/>
        <v>2.5347499999999998</v>
      </c>
      <c r="BG55" s="330">
        <f t="shared" si="168"/>
        <v>0.4</v>
      </c>
      <c r="BH55" s="125"/>
      <c r="BI55" s="170"/>
      <c r="BJ55" s="166">
        <v>25725</v>
      </c>
      <c r="BK55" s="15">
        <v>26</v>
      </c>
      <c r="BL55" s="15">
        <v>12969</v>
      </c>
      <c r="BM55" s="52">
        <v>8344</v>
      </c>
      <c r="BN55" s="52">
        <v>3661</v>
      </c>
      <c r="BO55" s="52">
        <v>1804</v>
      </c>
      <c r="BP55" s="52">
        <v>989</v>
      </c>
      <c r="BQ55" s="77">
        <v>42.112670999999999</v>
      </c>
      <c r="BR55" s="734">
        <f t="shared" si="169"/>
        <v>3.2471795049733979E-3</v>
      </c>
      <c r="BS55" s="735">
        <f t="shared" si="170"/>
        <v>4.258106268958544E-2</v>
      </c>
      <c r="BT55" s="375">
        <f t="shared" si="171"/>
        <v>1.010689990281827E-3</v>
      </c>
      <c r="BU55" s="143">
        <v>4</v>
      </c>
      <c r="BV55" s="52"/>
      <c r="BW55" s="52"/>
      <c r="BX55" s="274">
        <f t="shared" si="172"/>
        <v>10.52816775</v>
      </c>
      <c r="BY55" s="330">
        <f t="shared" si="173"/>
        <v>0.15384615384615385</v>
      </c>
      <c r="BZ55" s="125"/>
      <c r="CA55" s="259"/>
    </row>
    <row r="56" spans="2:79">
      <c r="B56" s="254" t="s">
        <v>160</v>
      </c>
      <c r="C56" s="298">
        <f>SUM(C49:C55)</f>
        <v>307209</v>
      </c>
      <c r="D56" s="298">
        <f t="shared" ref="D56:J56" si="174">SUM(D49:D55)</f>
        <v>323</v>
      </c>
      <c r="E56" s="298">
        <f t="shared" si="174"/>
        <v>149076</v>
      </c>
      <c r="F56" s="298">
        <f t="shared" si="174"/>
        <v>74864</v>
      </c>
      <c r="G56" s="298">
        <f t="shared" si="174"/>
        <v>30287</v>
      </c>
      <c r="H56" s="298">
        <f t="shared" si="174"/>
        <v>14231</v>
      </c>
      <c r="I56" s="298">
        <f t="shared" si="174"/>
        <v>7681</v>
      </c>
      <c r="J56" s="479">
        <f t="shared" si="174"/>
        <v>506.92736400000001</v>
      </c>
      <c r="K56" s="599">
        <f>SUM($J$32,$J$40,$J$48,$J$56)/$C$5</f>
        <v>0.97268469590494744</v>
      </c>
      <c r="L56" s="299">
        <f>D56/C56</f>
        <v>1.0514014888886719E-3</v>
      </c>
      <c r="M56" s="300">
        <f>SUM(M49:M55)</f>
        <v>81900</v>
      </c>
      <c r="N56" s="625">
        <f>J56/E56</f>
        <v>3.4004626096756016E-3</v>
      </c>
      <c r="O56" s="301">
        <f>J56/I56</f>
        <v>6.5997573753417527E-2</v>
      </c>
      <c r="P56" s="1113">
        <f>E56/M56</f>
        <v>1.8202197802197801</v>
      </c>
      <c r="Q56" s="121">
        <f>SUM(Q49:Q55)</f>
        <v>66</v>
      </c>
      <c r="R56" s="27"/>
      <c r="S56" s="27"/>
      <c r="T56" s="454">
        <f>SUM(T49:T55)</f>
        <v>992.36666666666667</v>
      </c>
      <c r="U56" s="140">
        <f>Q56/T56</f>
        <v>6.6507675254442247E-2</v>
      </c>
      <c r="V56" s="237">
        <f>J56/Q56</f>
        <v>7.6807176363636369</v>
      </c>
      <c r="W56" s="75">
        <f>Q56/D56</f>
        <v>0.2043343653250774</v>
      </c>
      <c r="X56" s="1119">
        <f>AVERAGE(X49:X55)</f>
        <v>10.19047619047619</v>
      </c>
      <c r="Y56" s="566">
        <f>AVERAGE(Y49:Y55)</f>
        <v>0.93419080919080921</v>
      </c>
      <c r="Z56" s="164">
        <f>SUM(Z49:Z55)</f>
        <v>66192</v>
      </c>
      <c r="AA56" s="27">
        <f t="shared" ref="AA56:AK56" si="175">SUM(AA49:AA55)</f>
        <v>73</v>
      </c>
      <c r="AB56" s="27">
        <f t="shared" si="175"/>
        <v>31294</v>
      </c>
      <c r="AC56" s="27">
        <f t="shared" si="175"/>
        <v>11635</v>
      </c>
      <c r="AD56" s="27">
        <f t="shared" si="175"/>
        <v>3623</v>
      </c>
      <c r="AE56" s="27">
        <f t="shared" si="175"/>
        <v>1440</v>
      </c>
      <c r="AF56" s="27">
        <f t="shared" si="175"/>
        <v>724</v>
      </c>
      <c r="AG56" s="74">
        <f t="shared" si="175"/>
        <v>106.852755</v>
      </c>
      <c r="AH56" s="226">
        <f>AG56/AB56</f>
        <v>3.4144805713555316E-3</v>
      </c>
      <c r="AI56" s="226">
        <f>AG56/AF56</f>
        <v>0.14758667817679558</v>
      </c>
      <c r="AJ56" s="147">
        <f>AA56/Z56</f>
        <v>1.1028523084360648E-3</v>
      </c>
      <c r="AK56" s="121">
        <f t="shared" si="175"/>
        <v>19</v>
      </c>
      <c r="AL56" s="27"/>
      <c r="AM56" s="27"/>
      <c r="AN56" s="227">
        <f>AG56/AK56</f>
        <v>5.6238292105263161</v>
      </c>
      <c r="AO56" s="147">
        <f>AK56/AA56</f>
        <v>0.26027397260273971</v>
      </c>
      <c r="AP56" s="130"/>
      <c r="AQ56" s="165"/>
      <c r="AR56" s="164">
        <f>SUM(AR49:AR55)</f>
        <v>56344</v>
      </c>
      <c r="AS56" s="27">
        <f t="shared" ref="AS56:AY56" si="176">SUM(AS49:AS55)</f>
        <v>92</v>
      </c>
      <c r="AT56" s="27">
        <f t="shared" si="176"/>
        <v>25948</v>
      </c>
      <c r="AU56" s="27">
        <f t="shared" si="176"/>
        <v>4766</v>
      </c>
      <c r="AV56" s="27">
        <f t="shared" si="176"/>
        <v>1096</v>
      </c>
      <c r="AW56" s="27">
        <f t="shared" si="176"/>
        <v>441</v>
      </c>
      <c r="AX56" s="27">
        <f t="shared" si="176"/>
        <v>246</v>
      </c>
      <c r="AY56" s="74">
        <f t="shared" si="176"/>
        <v>90.729546999999997</v>
      </c>
      <c r="AZ56" s="724">
        <f>AY56/AT56</f>
        <v>3.4965911438261136E-3</v>
      </c>
      <c r="BA56" s="226">
        <f>AY56/AX56</f>
        <v>0.36881929674796748</v>
      </c>
      <c r="BB56" s="147">
        <f>AS56/AR56</f>
        <v>1.6328269203464434E-3</v>
      </c>
      <c r="BC56" s="121">
        <f t="shared" ref="BC56" si="177">SUM(BC49:BC55)</f>
        <v>24</v>
      </c>
      <c r="BD56" s="27"/>
      <c r="BE56" s="27"/>
      <c r="BF56" s="227">
        <f>AY56/BC56</f>
        <v>3.7803977916666667</v>
      </c>
      <c r="BG56" s="147">
        <f>BC56/AS56</f>
        <v>0.2608695652173913</v>
      </c>
      <c r="BH56" s="130"/>
      <c r="BI56" s="165"/>
      <c r="BJ56" s="164">
        <f>SUM(BJ49:BJ55)</f>
        <v>184673</v>
      </c>
      <c r="BK56" s="27">
        <f t="shared" ref="BK56:BQ56" si="178">SUM(BK49:BK55)</f>
        <v>158</v>
      </c>
      <c r="BL56" s="27">
        <f t="shared" si="178"/>
        <v>91834</v>
      </c>
      <c r="BM56" s="27">
        <f t="shared" si="178"/>
        <v>58463</v>
      </c>
      <c r="BN56" s="27">
        <f t="shared" si="178"/>
        <v>25568</v>
      </c>
      <c r="BO56" s="27">
        <f t="shared" si="178"/>
        <v>12350</v>
      </c>
      <c r="BP56" s="27">
        <f t="shared" si="178"/>
        <v>6711</v>
      </c>
      <c r="BQ56" s="74">
        <f t="shared" si="178"/>
        <v>309.34506199999998</v>
      </c>
      <c r="BR56" s="231">
        <f>BQ56/BL56</f>
        <v>3.3685243156129537E-3</v>
      </c>
      <c r="BS56" s="226">
        <f>BQ56/BP56</f>
        <v>4.6095226046788854E-2</v>
      </c>
      <c r="BT56" s="147">
        <f>BK56/BJ56</f>
        <v>8.555663253426327E-4</v>
      </c>
      <c r="BU56" s="121">
        <f t="shared" ref="BU56" si="179">SUM(BU49:BU55)</f>
        <v>23</v>
      </c>
      <c r="BV56" s="27"/>
      <c r="BW56" s="27"/>
      <c r="BX56" s="227">
        <f>BQ56/BU56</f>
        <v>13.449785304347825</v>
      </c>
      <c r="BY56" s="147">
        <f>BU56/BK56</f>
        <v>0.14556962025316456</v>
      </c>
      <c r="BZ56" s="126"/>
      <c r="CA56" s="260"/>
    </row>
    <row r="57" spans="2:79">
      <c r="B57" s="248">
        <v>40832</v>
      </c>
      <c r="C57" s="15">
        <v>48375</v>
      </c>
      <c r="D57" s="15">
        <v>46</v>
      </c>
      <c r="E57" s="15">
        <v>24088</v>
      </c>
      <c r="F57" s="52">
        <v>11924</v>
      </c>
      <c r="G57" s="52">
        <v>4705</v>
      </c>
      <c r="H57" s="52">
        <v>2177</v>
      </c>
      <c r="I57" s="52">
        <v>1159</v>
      </c>
      <c r="J57" s="77">
        <v>72.403895000000006</v>
      </c>
      <c r="K57" s="662">
        <f>SUM($J$32,$J$40,$J$48,$J$56,$J$57:J58)/$C$5</f>
        <v>0.99312331724663472</v>
      </c>
      <c r="L57" s="78">
        <f t="shared" ref="L57" si="180">D57/C57</f>
        <v>9.5090439276485788E-4</v>
      </c>
      <c r="M57" s="53">
        <f t="shared" si="12"/>
        <v>11700</v>
      </c>
      <c r="N57" s="664">
        <f t="shared" ref="N57" si="181">J57/E57</f>
        <v>3.0058076635669216E-3</v>
      </c>
      <c r="O57" s="230">
        <f t="shared" ref="O57" si="182">J57/I57</f>
        <v>6.2471005176876621E-2</v>
      </c>
      <c r="P57" s="1111">
        <f t="shared" si="156"/>
        <v>2.0588034188034188</v>
      </c>
      <c r="Q57" s="143">
        <v>20</v>
      </c>
      <c r="R57" s="52"/>
      <c r="S57" s="52"/>
      <c r="T57" s="1404">
        <f t="shared" si="136"/>
        <v>141.76666666666668</v>
      </c>
      <c r="U57" s="234">
        <f t="shared" ref="U57:U58" si="183">Q57/T57</f>
        <v>0.14107688690336231</v>
      </c>
      <c r="V57" s="225">
        <f t="shared" ref="V57:V58" si="184">J57/Q57</f>
        <v>3.6201947500000005</v>
      </c>
      <c r="W57" s="316">
        <f t="shared" ref="W57:W58" si="185">Q57/D57</f>
        <v>0.43478260869565216</v>
      </c>
      <c r="X57" s="702">
        <v>23</v>
      </c>
      <c r="Y57" s="392">
        <v>0.77</v>
      </c>
      <c r="Z57" s="166">
        <v>14601</v>
      </c>
      <c r="AA57" s="15">
        <v>13</v>
      </c>
      <c r="AB57" s="15">
        <v>7019</v>
      </c>
      <c r="AC57" s="52">
        <v>2624</v>
      </c>
      <c r="AD57" s="52">
        <v>809</v>
      </c>
      <c r="AE57" s="52">
        <v>302</v>
      </c>
      <c r="AF57" s="52">
        <v>162</v>
      </c>
      <c r="AG57" s="77">
        <v>20.755873000000001</v>
      </c>
      <c r="AH57" s="729">
        <f t="shared" ref="AH57:AH58" si="186">AG57/AB57</f>
        <v>2.9570983046017952E-3</v>
      </c>
      <c r="AI57" s="730">
        <f t="shared" ref="AI57:AI58" si="187">AD57/AC57</f>
        <v>0.30830792682926828</v>
      </c>
      <c r="AJ57" s="719">
        <f t="shared" ref="AJ57:AJ58" si="188">AA57/Z57</f>
        <v>8.9034997602903908E-4</v>
      </c>
      <c r="AK57" s="143">
        <v>3</v>
      </c>
      <c r="AL57" s="52"/>
      <c r="AM57" s="52"/>
      <c r="AN57" s="312">
        <f t="shared" ref="AN57:AN58" si="189">AG57/AK57</f>
        <v>6.9186243333333337</v>
      </c>
      <c r="AO57" s="330">
        <f t="shared" ref="AO57:AO58" si="190">AK57/AA57</f>
        <v>0.23076923076923078</v>
      </c>
      <c r="AP57" s="125"/>
      <c r="AQ57" s="170"/>
      <c r="AR57" s="166">
        <v>6941</v>
      </c>
      <c r="AS57" s="15">
        <v>13</v>
      </c>
      <c r="AT57" s="15">
        <v>3428</v>
      </c>
      <c r="AU57" s="52">
        <v>684</v>
      </c>
      <c r="AV57" s="52">
        <v>139</v>
      </c>
      <c r="AW57" s="52">
        <v>55</v>
      </c>
      <c r="AX57" s="52">
        <v>31</v>
      </c>
      <c r="AY57" s="77">
        <v>10.687697</v>
      </c>
      <c r="AZ57" s="723">
        <f t="shared" ref="AZ57:AZ58" si="191">AY57/AT57</f>
        <v>3.1177645857642941E-3</v>
      </c>
      <c r="BA57" s="70">
        <f t="shared" ref="BA57:BA58" si="192">AY57/AX57</f>
        <v>0.3447644193548387</v>
      </c>
      <c r="BB57" s="244">
        <f t="shared" ref="BB57:BB58" si="193">AS57/AR57</f>
        <v>1.8729289727704942E-3</v>
      </c>
      <c r="BC57" s="143">
        <v>4</v>
      </c>
      <c r="BD57" s="52"/>
      <c r="BE57" s="52"/>
      <c r="BF57" s="329">
        <f t="shared" ref="BF57:BF58" si="194">AY57/BC57</f>
        <v>2.67192425</v>
      </c>
      <c r="BG57" s="389">
        <f t="shared" ref="BG57:BG58" si="195">BC57/AS57</f>
        <v>0.30769230769230771</v>
      </c>
      <c r="BH57" s="125"/>
      <c r="BI57" s="170"/>
      <c r="BJ57" s="166">
        <v>26833</v>
      </c>
      <c r="BK57" s="15">
        <v>20</v>
      </c>
      <c r="BL57" s="15">
        <v>13641</v>
      </c>
      <c r="BM57" s="52">
        <v>8616</v>
      </c>
      <c r="BN57" s="52">
        <v>3757</v>
      </c>
      <c r="BO57" s="52">
        <v>1820</v>
      </c>
      <c r="BP57" s="52">
        <v>966</v>
      </c>
      <c r="BQ57" s="77">
        <v>40.960324999999997</v>
      </c>
      <c r="BR57" s="738">
        <f t="shared" ref="BR57:BR58" si="196">BQ57/BL57</f>
        <v>3.0027362363463086E-3</v>
      </c>
      <c r="BS57" s="739">
        <f t="shared" ref="BS57:BS58" si="197">BQ57/BP57</f>
        <v>4.2401992753623184E-2</v>
      </c>
      <c r="BT57" s="740">
        <f t="shared" ref="BT57:BT58" si="198">BK57/BJ57</f>
        <v>7.453508739238997E-4</v>
      </c>
      <c r="BU57" s="143">
        <v>6</v>
      </c>
      <c r="BV57" s="52"/>
      <c r="BW57" s="52"/>
      <c r="BX57" s="274">
        <f t="shared" ref="BX57:BX58" si="199">BQ57/BU57</f>
        <v>6.8267208333333329</v>
      </c>
      <c r="BY57" s="330">
        <f t="shared" ref="BY57:BY58" si="200">BU57/BK57</f>
        <v>0.3</v>
      </c>
      <c r="BZ57" s="125"/>
      <c r="CA57" s="259"/>
    </row>
    <row r="58" spans="2:79" s="24" customFormat="1">
      <c r="B58" s="248">
        <v>40833</v>
      </c>
      <c r="C58" s="15">
        <v>46285</v>
      </c>
      <c r="D58" s="15">
        <v>46</v>
      </c>
      <c r="E58" s="15">
        <v>23558</v>
      </c>
      <c r="F58" s="52">
        <v>11677</v>
      </c>
      <c r="G58" s="52">
        <v>4534</v>
      </c>
      <c r="H58" s="52">
        <v>2102</v>
      </c>
      <c r="I58" s="52">
        <v>1137</v>
      </c>
      <c r="J58" s="77">
        <v>72.436439000000007</v>
      </c>
      <c r="K58" s="662">
        <f>SUM($J$32,$J$40,$J$48,$J$56,$J$57:J59)/$C$5</f>
        <v>0.99312331724663472</v>
      </c>
      <c r="L58" s="78">
        <f t="shared" ref="L58" si="201">D58/C58</f>
        <v>9.9384249756940689E-4</v>
      </c>
      <c r="M58" s="53">
        <f t="shared" si="12"/>
        <v>11700</v>
      </c>
      <c r="N58" s="664">
        <f t="shared" ref="N58" si="202">J58/E58</f>
        <v>3.0748127599966044E-3</v>
      </c>
      <c r="O58" s="230">
        <f t="shared" ref="O58" si="203">J58/I58</f>
        <v>6.3708389621811787E-2</v>
      </c>
      <c r="P58" s="1111">
        <f t="shared" si="156"/>
        <v>2.0135042735042736</v>
      </c>
      <c r="Q58" s="143">
        <v>7</v>
      </c>
      <c r="R58" s="52"/>
      <c r="S58" s="52"/>
      <c r="T58" s="1404">
        <f t="shared" si="136"/>
        <v>141.76666666666668</v>
      </c>
      <c r="U58" s="234">
        <f t="shared" si="183"/>
        <v>4.9376910416176811E-2</v>
      </c>
      <c r="V58" s="225">
        <f t="shared" si="184"/>
        <v>10.348062714285716</v>
      </c>
      <c r="W58" s="560">
        <f t="shared" si="185"/>
        <v>0.15217391304347827</v>
      </c>
      <c r="X58" s="702">
        <v>5</v>
      </c>
      <c r="Y58" s="392">
        <v>0.71</v>
      </c>
      <c r="Z58" s="166">
        <v>11024</v>
      </c>
      <c r="AA58" s="15">
        <v>7</v>
      </c>
      <c r="AB58" s="15">
        <v>5270</v>
      </c>
      <c r="AC58" s="52">
        <v>1964</v>
      </c>
      <c r="AD58" s="52">
        <v>553</v>
      </c>
      <c r="AE58" s="52">
        <v>208</v>
      </c>
      <c r="AF58" s="52">
        <v>98</v>
      </c>
      <c r="AG58" s="77">
        <v>15.894788999999999</v>
      </c>
      <c r="AH58" s="664">
        <f t="shared" si="186"/>
        <v>3.0160889943074004E-3</v>
      </c>
      <c r="AI58" s="230">
        <f t="shared" si="187"/>
        <v>0.28156822810590632</v>
      </c>
      <c r="AJ58" s="146">
        <f t="shared" si="188"/>
        <v>6.3497822931785194E-4</v>
      </c>
      <c r="AK58" s="143">
        <v>3</v>
      </c>
      <c r="AL58" s="52"/>
      <c r="AM58" s="52"/>
      <c r="AN58" s="312">
        <f t="shared" si="189"/>
        <v>5.2982629999999995</v>
      </c>
      <c r="AO58" s="330">
        <f t="shared" si="190"/>
        <v>0.42857142857142855</v>
      </c>
      <c r="AP58" s="123"/>
      <c r="AQ58" s="168"/>
      <c r="AR58" s="166">
        <v>8844</v>
      </c>
      <c r="AS58" s="15">
        <v>16</v>
      </c>
      <c r="AT58" s="15">
        <v>4578</v>
      </c>
      <c r="AU58" s="52">
        <v>830</v>
      </c>
      <c r="AV58" s="52">
        <v>166</v>
      </c>
      <c r="AW58" s="52">
        <v>68</v>
      </c>
      <c r="AX58" s="52">
        <v>34</v>
      </c>
      <c r="AY58" s="77">
        <v>14.923033999999999</v>
      </c>
      <c r="AZ58" s="723">
        <f t="shared" si="191"/>
        <v>3.2597278287461772E-3</v>
      </c>
      <c r="BA58" s="70">
        <f t="shared" si="192"/>
        <v>0.43891276470588236</v>
      </c>
      <c r="BB58" s="244">
        <f t="shared" si="193"/>
        <v>1.8091361374943465E-3</v>
      </c>
      <c r="BC58" s="143">
        <v>4</v>
      </c>
      <c r="BD58" s="52"/>
      <c r="BE58" s="52"/>
      <c r="BF58" s="312">
        <f t="shared" si="194"/>
        <v>3.7307584999999999</v>
      </c>
      <c r="BG58" s="330">
        <f t="shared" si="195"/>
        <v>0.25</v>
      </c>
      <c r="BH58" s="123"/>
      <c r="BI58" s="168"/>
      <c r="BJ58" s="166">
        <v>26417</v>
      </c>
      <c r="BK58" s="15">
        <v>23</v>
      </c>
      <c r="BL58" s="15">
        <v>13710</v>
      </c>
      <c r="BM58" s="52">
        <v>8883</v>
      </c>
      <c r="BN58" s="52">
        <v>3815</v>
      </c>
      <c r="BO58" s="52">
        <v>1826</v>
      </c>
      <c r="BP58" s="52">
        <v>1005</v>
      </c>
      <c r="BQ58" s="77">
        <v>41.618616000000003</v>
      </c>
      <c r="BR58" s="734">
        <f t="shared" si="196"/>
        <v>3.0356393873085343E-3</v>
      </c>
      <c r="BS58" s="735">
        <f t="shared" si="197"/>
        <v>4.1411558208955229E-2</v>
      </c>
      <c r="BT58" s="375">
        <f t="shared" si="198"/>
        <v>8.7065147442934472E-4</v>
      </c>
      <c r="BU58" s="143"/>
      <c r="BV58" s="52"/>
      <c r="BW58" s="52"/>
      <c r="BX58" s="274" t="e">
        <f t="shared" si="199"/>
        <v>#DIV/0!</v>
      </c>
      <c r="BY58" s="330">
        <f t="shared" si="200"/>
        <v>0</v>
      </c>
      <c r="BZ58" s="123"/>
      <c r="CA58" s="257"/>
    </row>
    <row r="59" spans="2:79" s="26" customFormat="1">
      <c r="B59" s="248">
        <v>40834</v>
      </c>
      <c r="C59" s="15"/>
      <c r="D59" s="15"/>
      <c r="E59" s="15"/>
      <c r="F59" s="52"/>
      <c r="G59" s="52"/>
      <c r="H59" s="52"/>
      <c r="I59" s="52"/>
      <c r="J59" s="77"/>
      <c r="K59" s="605"/>
      <c r="L59" s="52"/>
      <c r="M59" s="52"/>
      <c r="N59" s="52"/>
      <c r="O59" s="52"/>
      <c r="P59" s="1115"/>
      <c r="Q59" s="143"/>
      <c r="R59" s="52"/>
      <c r="S59" s="52"/>
      <c r="T59" s="52"/>
      <c r="U59" s="25"/>
      <c r="V59" s="219"/>
      <c r="W59" s="367"/>
      <c r="X59" s="1147"/>
      <c r="Y59" s="169"/>
      <c r="Z59" s="166"/>
      <c r="AA59" s="15"/>
      <c r="AB59" s="15"/>
      <c r="AC59" s="52"/>
      <c r="AD59" s="52"/>
      <c r="AE59" s="52"/>
      <c r="AF59" s="52"/>
      <c r="AG59" s="77"/>
      <c r="AH59" s="52"/>
      <c r="AI59" s="52"/>
      <c r="AJ59" s="148"/>
      <c r="AK59" s="143"/>
      <c r="AL59" s="52"/>
      <c r="AM59" s="52"/>
      <c r="AN59" s="143"/>
      <c r="AO59" s="124"/>
      <c r="AP59" s="124"/>
      <c r="AQ59" s="169"/>
      <c r="AR59" s="166"/>
      <c r="AS59" s="15"/>
      <c r="AT59" s="15"/>
      <c r="AU59" s="52"/>
      <c r="AV59" s="52"/>
      <c r="AW59" s="52"/>
      <c r="AX59" s="52"/>
      <c r="AY59" s="77"/>
      <c r="AZ59" s="52"/>
      <c r="BA59" s="52"/>
      <c r="BB59" s="148"/>
      <c r="BC59" s="143"/>
      <c r="BD59" s="52"/>
      <c r="BE59" s="52"/>
      <c r="BF59" s="143"/>
      <c r="BG59" s="124"/>
      <c r="BH59" s="124"/>
      <c r="BI59" s="169"/>
      <c r="BJ59" s="166"/>
      <c r="BK59" s="15"/>
      <c r="BL59" s="15"/>
      <c r="BM59" s="52"/>
      <c r="BN59" s="52"/>
      <c r="BO59" s="52"/>
      <c r="BP59" s="52"/>
      <c r="BQ59" s="77"/>
      <c r="BR59" s="52"/>
      <c r="BS59" s="52"/>
      <c r="BT59" s="148"/>
      <c r="BU59" s="143"/>
      <c r="BV59" s="52"/>
      <c r="BW59" s="52"/>
      <c r="BX59" s="143"/>
      <c r="BY59" s="124"/>
      <c r="BZ59" s="124"/>
      <c r="CA59" s="258"/>
    </row>
    <row r="60" spans="2:79">
      <c r="B60" s="248">
        <v>40835</v>
      </c>
      <c r="C60" s="15"/>
      <c r="D60" s="15"/>
      <c r="E60" s="15"/>
      <c r="F60" s="52"/>
      <c r="G60" s="52"/>
      <c r="H60" s="52"/>
      <c r="I60" s="52"/>
      <c r="J60" s="77"/>
      <c r="K60" s="605"/>
      <c r="L60" s="52"/>
      <c r="M60" s="52"/>
      <c r="N60" s="52"/>
      <c r="O60" s="52"/>
      <c r="P60" s="1115"/>
      <c r="Q60" s="143"/>
      <c r="R60" s="52"/>
      <c r="S60" s="52"/>
      <c r="T60" s="52"/>
      <c r="U60" s="16"/>
      <c r="V60" s="220"/>
      <c r="W60" s="364"/>
      <c r="X60" s="1118"/>
      <c r="Y60" s="170"/>
      <c r="Z60" s="166"/>
      <c r="AA60" s="15"/>
      <c r="AB60" s="15"/>
      <c r="AC60" s="52"/>
      <c r="AD60" s="52"/>
      <c r="AE60" s="52"/>
      <c r="AF60" s="52"/>
      <c r="AG60" s="77"/>
      <c r="AH60" s="52"/>
      <c r="AI60" s="52"/>
      <c r="AJ60" s="148"/>
      <c r="AK60" s="143"/>
      <c r="AL60" s="52"/>
      <c r="AM60" s="52"/>
      <c r="AN60" s="143"/>
      <c r="AO60" s="125"/>
      <c r="AP60" s="125"/>
      <c r="AQ60" s="170"/>
      <c r="AR60" s="166"/>
      <c r="AS60" s="15"/>
      <c r="AT60" s="15"/>
      <c r="AU60" s="52"/>
      <c r="AV60" s="52"/>
      <c r="AW60" s="52"/>
      <c r="AX60" s="52"/>
      <c r="AY60" s="77"/>
      <c r="AZ60" s="52"/>
      <c r="BA60" s="52"/>
      <c r="BB60" s="148"/>
      <c r="BC60" s="143"/>
      <c r="BD60" s="52"/>
      <c r="BE60" s="52"/>
      <c r="BF60" s="143"/>
      <c r="BG60" s="125"/>
      <c r="BH60" s="125"/>
      <c r="BI60" s="170"/>
      <c r="BJ60" s="166"/>
      <c r="BK60" s="15"/>
      <c r="BL60" s="15"/>
      <c r="BM60" s="52"/>
      <c r="BN60" s="52"/>
      <c r="BO60" s="52"/>
      <c r="BP60" s="52"/>
      <c r="BQ60" s="77"/>
      <c r="BR60" s="52"/>
      <c r="BS60" s="52"/>
      <c r="BT60" s="148"/>
      <c r="BU60" s="143"/>
      <c r="BV60" s="52"/>
      <c r="BW60" s="52"/>
      <c r="BX60" s="143"/>
      <c r="BY60" s="125"/>
      <c r="BZ60" s="125"/>
      <c r="CA60" s="259"/>
    </row>
    <row r="61" spans="2:79">
      <c r="B61" s="248">
        <v>40836</v>
      </c>
      <c r="C61" s="15"/>
      <c r="D61" s="15"/>
      <c r="E61" s="15"/>
      <c r="F61" s="52"/>
      <c r="G61" s="52"/>
      <c r="H61" s="52"/>
      <c r="I61" s="52"/>
      <c r="J61" s="77"/>
      <c r="K61" s="605"/>
      <c r="L61" s="52"/>
      <c r="M61" s="52"/>
      <c r="N61" s="52"/>
      <c r="O61" s="52"/>
      <c r="P61" s="1115"/>
      <c r="Q61" s="143"/>
      <c r="R61" s="52"/>
      <c r="S61" s="52"/>
      <c r="T61" s="52"/>
      <c r="U61" s="16"/>
      <c r="V61" s="220"/>
      <c r="W61" s="364"/>
      <c r="X61" s="680"/>
      <c r="Y61" s="170"/>
      <c r="Z61" s="166"/>
      <c r="AA61" s="15"/>
      <c r="AB61" s="15"/>
      <c r="AC61" s="52"/>
      <c r="AD61" s="52"/>
      <c r="AE61" s="52"/>
      <c r="AF61" s="52"/>
      <c r="AG61" s="77"/>
      <c r="AH61" s="52"/>
      <c r="AI61" s="52"/>
      <c r="AJ61" s="148"/>
      <c r="AK61" s="143"/>
      <c r="AL61" s="52"/>
      <c r="AM61" s="52"/>
      <c r="AN61" s="143"/>
      <c r="AO61" s="125"/>
      <c r="AP61" s="125"/>
      <c r="AQ61" s="170"/>
      <c r="AR61" s="166"/>
      <c r="AS61" s="15"/>
      <c r="AT61" s="15"/>
      <c r="AU61" s="52"/>
      <c r="AV61" s="52"/>
      <c r="AW61" s="52"/>
      <c r="AX61" s="52"/>
      <c r="AY61" s="77"/>
      <c r="AZ61" s="52"/>
      <c r="BA61" s="52"/>
      <c r="BB61" s="148"/>
      <c r="BC61" s="143"/>
      <c r="BD61" s="52"/>
      <c r="BE61" s="52"/>
      <c r="BF61" s="143"/>
      <c r="BG61" s="125"/>
      <c r="BH61" s="125"/>
      <c r="BI61" s="170"/>
      <c r="BJ61" s="166"/>
      <c r="BK61" s="15"/>
      <c r="BL61" s="15"/>
      <c r="BM61" s="52"/>
      <c r="BN61" s="52"/>
      <c r="BO61" s="52"/>
      <c r="BP61" s="52"/>
      <c r="BQ61" s="77"/>
      <c r="BR61" s="52"/>
      <c r="BS61" s="52"/>
      <c r="BT61" s="148"/>
      <c r="BU61" s="143"/>
      <c r="BV61" s="52"/>
      <c r="BW61" s="52"/>
      <c r="BX61" s="143"/>
      <c r="BY61" s="125"/>
      <c r="BZ61" s="125"/>
      <c r="CA61" s="259"/>
    </row>
    <row r="62" spans="2:79">
      <c r="B62" s="253">
        <v>40837</v>
      </c>
      <c r="C62" s="15"/>
      <c r="D62" s="15"/>
      <c r="E62" s="15"/>
      <c r="F62" s="52"/>
      <c r="G62" s="52"/>
      <c r="H62" s="52"/>
      <c r="I62" s="52"/>
      <c r="J62" s="77"/>
      <c r="K62" s="605"/>
      <c r="L62" s="52"/>
      <c r="M62" s="52"/>
      <c r="N62" s="52"/>
      <c r="O62" s="52"/>
      <c r="P62" s="1115"/>
      <c r="Q62" s="143"/>
      <c r="R62" s="52"/>
      <c r="S62" s="52"/>
      <c r="T62" s="52"/>
      <c r="U62" s="16"/>
      <c r="V62" s="220"/>
      <c r="W62" s="364"/>
      <c r="X62" s="680"/>
      <c r="Y62" s="170"/>
      <c r="Z62" s="166"/>
      <c r="AA62" s="15"/>
      <c r="AB62" s="15"/>
      <c r="AC62" s="52"/>
      <c r="AD62" s="52"/>
      <c r="AE62" s="52"/>
      <c r="AF62" s="52"/>
      <c r="AG62" s="77"/>
      <c r="AH62" s="52"/>
      <c r="AI62" s="52"/>
      <c r="AJ62" s="148"/>
      <c r="AK62" s="143"/>
      <c r="AL62" s="52"/>
      <c r="AM62" s="52"/>
      <c r="AN62" s="143"/>
      <c r="AO62" s="125"/>
      <c r="AP62" s="125"/>
      <c r="AQ62" s="170"/>
      <c r="AR62" s="166"/>
      <c r="AS62" s="15"/>
      <c r="AT62" s="15"/>
      <c r="AU62" s="52"/>
      <c r="AV62" s="52"/>
      <c r="AW62" s="52"/>
      <c r="AX62" s="52"/>
      <c r="AY62" s="77"/>
      <c r="AZ62" s="52"/>
      <c r="BA62" s="52"/>
      <c r="BB62" s="148"/>
      <c r="BC62" s="143"/>
      <c r="BD62" s="52"/>
      <c r="BE62" s="52"/>
      <c r="BF62" s="143"/>
      <c r="BG62" s="125"/>
      <c r="BH62" s="125"/>
      <c r="BI62" s="170"/>
      <c r="BJ62" s="166"/>
      <c r="BK62" s="15"/>
      <c r="BL62" s="15"/>
      <c r="BM62" s="52"/>
      <c r="BN62" s="52"/>
      <c r="BO62" s="52"/>
      <c r="BP62" s="52"/>
      <c r="BQ62" s="77"/>
      <c r="BR62" s="52"/>
      <c r="BS62" s="52"/>
      <c r="BT62" s="148"/>
      <c r="BU62" s="143"/>
      <c r="BV62" s="52"/>
      <c r="BW62" s="52"/>
      <c r="BX62" s="143"/>
      <c r="BY62" s="125"/>
      <c r="BZ62" s="125"/>
      <c r="CA62" s="259"/>
    </row>
    <row r="63" spans="2:79">
      <c r="B63" s="253">
        <v>40838</v>
      </c>
      <c r="C63" s="15"/>
      <c r="D63" s="15"/>
      <c r="E63" s="15"/>
      <c r="F63" s="52"/>
      <c r="G63" s="52"/>
      <c r="H63" s="52"/>
      <c r="I63" s="52"/>
      <c r="J63" s="77"/>
      <c r="K63" s="605"/>
      <c r="L63" s="52"/>
      <c r="M63" s="52"/>
      <c r="N63" s="52"/>
      <c r="O63" s="52"/>
      <c r="P63" s="1115"/>
      <c r="Q63" s="143"/>
      <c r="R63" s="52"/>
      <c r="S63" s="52"/>
      <c r="T63" s="52"/>
      <c r="U63" s="16"/>
      <c r="V63" s="220"/>
      <c r="W63" s="364"/>
      <c r="X63" s="680"/>
      <c r="Y63" s="170"/>
      <c r="Z63" s="166"/>
      <c r="AA63" s="15"/>
      <c r="AB63" s="15"/>
      <c r="AC63" s="52"/>
      <c r="AD63" s="52"/>
      <c r="AE63" s="52"/>
      <c r="AF63" s="52"/>
      <c r="AG63" s="77"/>
      <c r="AH63" s="52"/>
      <c r="AI63" s="52"/>
      <c r="AJ63" s="148"/>
      <c r="AK63" s="143"/>
      <c r="AL63" s="52"/>
      <c r="AM63" s="52"/>
      <c r="AN63" s="143"/>
      <c r="AO63" s="125"/>
      <c r="AP63" s="125"/>
      <c r="AQ63" s="170"/>
      <c r="AR63" s="166"/>
      <c r="AS63" s="15"/>
      <c r="AT63" s="15"/>
      <c r="AU63" s="52"/>
      <c r="AV63" s="52"/>
      <c r="AW63" s="52"/>
      <c r="AX63" s="52"/>
      <c r="AY63" s="77"/>
      <c r="AZ63" s="52"/>
      <c r="BA63" s="52"/>
      <c r="BB63" s="148"/>
      <c r="BC63" s="143"/>
      <c r="BD63" s="52"/>
      <c r="BE63" s="52"/>
      <c r="BF63" s="143"/>
      <c r="BG63" s="125"/>
      <c r="BH63" s="125"/>
      <c r="BI63" s="170"/>
      <c r="BJ63" s="166"/>
      <c r="BK63" s="15"/>
      <c r="BL63" s="15"/>
      <c r="BM63" s="52"/>
      <c r="BN63" s="52"/>
      <c r="BO63" s="52"/>
      <c r="BP63" s="52"/>
      <c r="BQ63" s="77"/>
      <c r="BR63" s="52"/>
      <c r="BS63" s="52"/>
      <c r="BT63" s="148"/>
      <c r="BU63" s="143"/>
      <c r="BV63" s="52"/>
      <c r="BW63" s="52"/>
      <c r="BX63" s="143"/>
      <c r="BY63" s="125"/>
      <c r="BZ63" s="125"/>
      <c r="CA63" s="259"/>
    </row>
    <row r="64" spans="2:79">
      <c r="B64" s="254" t="s">
        <v>160</v>
      </c>
      <c r="C64" s="298">
        <f>SUM(C57:C63)</f>
        <v>94660</v>
      </c>
      <c r="D64" s="298">
        <f t="shared" ref="D64:J64" si="204">SUM(D57:D63)</f>
        <v>92</v>
      </c>
      <c r="E64" s="298">
        <f t="shared" si="204"/>
        <v>47646</v>
      </c>
      <c r="F64" s="298">
        <f t="shared" si="204"/>
        <v>23601</v>
      </c>
      <c r="G64" s="298">
        <f t="shared" si="204"/>
        <v>9239</v>
      </c>
      <c r="H64" s="298">
        <f t="shared" si="204"/>
        <v>4279</v>
      </c>
      <c r="I64" s="298">
        <f t="shared" si="204"/>
        <v>2296</v>
      </c>
      <c r="J64" s="479">
        <f t="shared" si="204"/>
        <v>144.84033400000001</v>
      </c>
      <c r="K64" s="599">
        <f>SUM($J$32,$J$40,$J$48,$J$56)/$C$5</f>
        <v>0.97268469590494744</v>
      </c>
      <c r="L64" s="299">
        <f>D64/C64</f>
        <v>9.718994295372914E-4</v>
      </c>
      <c r="M64" s="300">
        <f>SUM(M57:M63)</f>
        <v>23400</v>
      </c>
      <c r="N64" s="625">
        <f>J64/E64</f>
        <v>3.0399264156487429E-3</v>
      </c>
      <c r="O64" s="301">
        <f>J64/I64</f>
        <v>6.308376916376307E-2</v>
      </c>
      <c r="P64" s="1113">
        <f>E64/M64</f>
        <v>2.0361538461538462</v>
      </c>
      <c r="Q64" s="121">
        <f>SUM(Q57:Q63)</f>
        <v>27</v>
      </c>
      <c r="R64" s="27"/>
      <c r="S64" s="27"/>
      <c r="T64" s="27">
        <f>SUM(T57:T63)</f>
        <v>283.53333333333336</v>
      </c>
      <c r="U64" s="140">
        <f>Q64/T64</f>
        <v>9.5226898659769563E-2</v>
      </c>
      <c r="V64" s="227">
        <f>J64/Q64</f>
        <v>5.3644568148148153</v>
      </c>
      <c r="W64" s="437">
        <f>Q64/D64</f>
        <v>0.29347826086956524</v>
      </c>
      <c r="X64" s="1148">
        <f>AVERAGE(X57:X63)</f>
        <v>14</v>
      </c>
      <c r="Y64" s="566">
        <f>AVERAGE(Y57:Y63)</f>
        <v>0.74</v>
      </c>
      <c r="Z64" s="164">
        <f>SUM(Z57:Z63)</f>
        <v>25625</v>
      </c>
      <c r="AA64" s="27">
        <f t="shared" ref="AA64:AK64" si="205">SUM(AA57:AA63)</f>
        <v>20</v>
      </c>
      <c r="AB64" s="27">
        <f t="shared" si="205"/>
        <v>12289</v>
      </c>
      <c r="AC64" s="27">
        <f t="shared" si="205"/>
        <v>4588</v>
      </c>
      <c r="AD64" s="27">
        <f t="shared" si="205"/>
        <v>1362</v>
      </c>
      <c r="AE64" s="27">
        <f t="shared" si="205"/>
        <v>510</v>
      </c>
      <c r="AF64" s="27">
        <f t="shared" si="205"/>
        <v>260</v>
      </c>
      <c r="AG64" s="74">
        <f t="shared" si="205"/>
        <v>36.650661999999997</v>
      </c>
      <c r="AH64" s="226">
        <f>AG64/AB64</f>
        <v>2.9823958011229554E-3</v>
      </c>
      <c r="AI64" s="226">
        <f>AG64/AF64</f>
        <v>0.14096408461538459</v>
      </c>
      <c r="AJ64" s="147">
        <f>AA64/Z64</f>
        <v>7.8048780487804882E-4</v>
      </c>
      <c r="AK64" s="121">
        <f t="shared" si="205"/>
        <v>6</v>
      </c>
      <c r="AL64" s="27"/>
      <c r="AM64" s="27"/>
      <c r="AN64" s="227">
        <f>AG64/AK64</f>
        <v>6.1084436666666662</v>
      </c>
      <c r="AO64" s="147">
        <f>AK64/AA64</f>
        <v>0.3</v>
      </c>
      <c r="AP64" s="130"/>
      <c r="AQ64" s="165"/>
      <c r="AR64" s="164">
        <f>SUM(AR57:AR63)</f>
        <v>15785</v>
      </c>
      <c r="AS64" s="27">
        <f t="shared" ref="AS64:AY64" si="206">SUM(AS57:AS63)</f>
        <v>29</v>
      </c>
      <c r="AT64" s="27">
        <f t="shared" si="206"/>
        <v>8006</v>
      </c>
      <c r="AU64" s="27">
        <f t="shared" si="206"/>
        <v>1514</v>
      </c>
      <c r="AV64" s="27">
        <f t="shared" si="206"/>
        <v>305</v>
      </c>
      <c r="AW64" s="27">
        <f t="shared" si="206"/>
        <v>123</v>
      </c>
      <c r="AX64" s="27">
        <f t="shared" si="206"/>
        <v>65</v>
      </c>
      <c r="AY64" s="74">
        <f t="shared" si="206"/>
        <v>25.610731000000001</v>
      </c>
      <c r="AZ64" s="724">
        <f>AY64/AT64</f>
        <v>3.1989421683737197E-3</v>
      </c>
      <c r="BA64" s="226">
        <f>AY64/AX64</f>
        <v>0.3940112461538462</v>
      </c>
      <c r="BB64" s="147">
        <f>AS64/AR64</f>
        <v>1.8371872030408616E-3</v>
      </c>
      <c r="BC64" s="121">
        <f t="shared" ref="BC64" si="207">SUM(BC57:BC63)</f>
        <v>8</v>
      </c>
      <c r="BD64" s="27"/>
      <c r="BE64" s="27"/>
      <c r="BF64" s="227">
        <f>AY64/BC64</f>
        <v>3.2013413750000002</v>
      </c>
      <c r="BG64" s="147">
        <f>BC64/AS64</f>
        <v>0.27586206896551724</v>
      </c>
      <c r="BH64" s="130"/>
      <c r="BI64" s="165"/>
      <c r="BJ64" s="164">
        <f>SUM(BJ57:BJ63)</f>
        <v>53250</v>
      </c>
      <c r="BK64" s="27">
        <f t="shared" ref="BK64:BQ64" si="208">SUM(BK57:BK63)</f>
        <v>43</v>
      </c>
      <c r="BL64" s="27">
        <f t="shared" si="208"/>
        <v>27351</v>
      </c>
      <c r="BM64" s="27">
        <f t="shared" si="208"/>
        <v>17499</v>
      </c>
      <c r="BN64" s="27">
        <f t="shared" si="208"/>
        <v>7572</v>
      </c>
      <c r="BO64" s="27">
        <f t="shared" si="208"/>
        <v>3646</v>
      </c>
      <c r="BP64" s="27">
        <f t="shared" si="208"/>
        <v>1971</v>
      </c>
      <c r="BQ64" s="74">
        <f t="shared" si="208"/>
        <v>82.578941</v>
      </c>
      <c r="BR64" s="231">
        <f>BQ64/BL64</f>
        <v>3.0192293151987131E-3</v>
      </c>
      <c r="BS64" s="226">
        <f>BQ64/BP64</f>
        <v>4.1896976661593102E-2</v>
      </c>
      <c r="BT64" s="147">
        <f>BK64/BJ64</f>
        <v>8.0751173708920186E-4</v>
      </c>
      <c r="BU64" s="121">
        <f t="shared" ref="BU64" si="209">SUM(BU57:BU63)</f>
        <v>6</v>
      </c>
      <c r="BV64" s="27"/>
      <c r="BW64" s="27"/>
      <c r="BX64" s="227">
        <f>BQ64/BU64</f>
        <v>13.763156833333333</v>
      </c>
      <c r="BY64" s="147">
        <f>BU64/BK64</f>
        <v>0.13953488372093023</v>
      </c>
      <c r="BZ64" s="126"/>
      <c r="CA64" s="260"/>
    </row>
    <row r="65" spans="2:79">
      <c r="B65" s="248">
        <v>40839</v>
      </c>
      <c r="C65" s="15"/>
      <c r="D65" s="15"/>
      <c r="E65" s="15"/>
      <c r="F65" s="52"/>
      <c r="G65" s="52"/>
      <c r="H65" s="52"/>
      <c r="I65" s="52"/>
      <c r="J65" s="77"/>
      <c r="K65" s="605"/>
      <c r="L65" s="52"/>
      <c r="M65" s="52"/>
      <c r="N65" s="52"/>
      <c r="O65" s="52"/>
      <c r="P65" s="1115"/>
      <c r="Q65" s="143"/>
      <c r="R65" s="52"/>
      <c r="S65" s="52"/>
      <c r="T65" s="52"/>
      <c r="U65" s="16"/>
      <c r="V65" s="220"/>
      <c r="W65" s="364"/>
      <c r="X65" s="680"/>
      <c r="Y65" s="170"/>
      <c r="Z65" s="166"/>
      <c r="AA65" s="15"/>
      <c r="AB65" s="15"/>
      <c r="AC65" s="52"/>
      <c r="AD65" s="52"/>
      <c r="AE65" s="52"/>
      <c r="AF65" s="52"/>
      <c r="AG65" s="77"/>
      <c r="AH65" s="52"/>
      <c r="AI65" s="52"/>
      <c r="AJ65" s="148"/>
      <c r="AK65" s="143"/>
      <c r="AL65" s="52"/>
      <c r="AM65" s="52"/>
      <c r="AN65" s="143"/>
      <c r="AO65" s="125"/>
      <c r="AP65" s="125"/>
      <c r="AQ65" s="170"/>
      <c r="AR65" s="166"/>
      <c r="AS65" s="15"/>
      <c r="AT65" s="15"/>
      <c r="AU65" s="52"/>
      <c r="AV65" s="52"/>
      <c r="AW65" s="52"/>
      <c r="AX65" s="52"/>
      <c r="AY65" s="77"/>
      <c r="AZ65" s="52"/>
      <c r="BA65" s="52"/>
      <c r="BB65" s="148"/>
      <c r="BC65" s="143"/>
      <c r="BD65" s="52"/>
      <c r="BE65" s="52"/>
      <c r="BF65" s="143"/>
      <c r="BG65" s="125"/>
      <c r="BH65" s="125"/>
      <c r="BI65" s="170"/>
      <c r="BJ65" s="166"/>
      <c r="BK65" s="15"/>
      <c r="BL65" s="15"/>
      <c r="BM65" s="52"/>
      <c r="BN65" s="52"/>
      <c r="BO65" s="52"/>
      <c r="BP65" s="52"/>
      <c r="BQ65" s="77"/>
      <c r="BR65" s="52"/>
      <c r="BS65" s="52"/>
      <c r="BT65" s="148"/>
      <c r="BU65" s="143"/>
      <c r="BV65" s="52"/>
      <c r="BW65" s="52"/>
      <c r="BX65" s="143"/>
      <c r="BY65" s="125"/>
      <c r="BZ65" s="125"/>
      <c r="CA65" s="259"/>
    </row>
    <row r="66" spans="2:79" s="24" customFormat="1">
      <c r="B66" s="248">
        <v>40840</v>
      </c>
      <c r="C66" s="15"/>
      <c r="D66" s="15"/>
      <c r="E66" s="15"/>
      <c r="F66" s="52"/>
      <c r="G66" s="52"/>
      <c r="H66" s="52"/>
      <c r="I66" s="52"/>
      <c r="J66" s="77"/>
      <c r="K66" s="605"/>
      <c r="L66" s="52"/>
      <c r="M66" s="52"/>
      <c r="N66" s="52"/>
      <c r="O66" s="52"/>
      <c r="P66" s="1115"/>
      <c r="Q66" s="143"/>
      <c r="R66" s="52"/>
      <c r="S66" s="52"/>
      <c r="T66" s="52"/>
      <c r="U66" s="23"/>
      <c r="V66" s="218"/>
      <c r="W66" s="366"/>
      <c r="X66" s="698"/>
      <c r="Y66" s="168"/>
      <c r="Z66" s="166"/>
      <c r="AA66" s="15"/>
      <c r="AB66" s="15"/>
      <c r="AC66" s="52"/>
      <c r="AD66" s="52"/>
      <c r="AE66" s="52"/>
      <c r="AF66" s="52"/>
      <c r="AG66" s="77"/>
      <c r="AH66" s="52"/>
      <c r="AI66" s="52"/>
      <c r="AJ66" s="148"/>
      <c r="AK66" s="143"/>
      <c r="AL66" s="52"/>
      <c r="AM66" s="52"/>
      <c r="AN66" s="143"/>
      <c r="AO66" s="123"/>
      <c r="AP66" s="123"/>
      <c r="AQ66" s="168"/>
      <c r="AR66" s="166"/>
      <c r="AS66" s="15"/>
      <c r="AT66" s="15"/>
      <c r="AU66" s="52"/>
      <c r="AV66" s="52"/>
      <c r="AW66" s="52"/>
      <c r="AX66" s="52"/>
      <c r="AY66" s="77"/>
      <c r="AZ66" s="52"/>
      <c r="BA66" s="52"/>
      <c r="BB66" s="148"/>
      <c r="BC66" s="143"/>
      <c r="BD66" s="52"/>
      <c r="BE66" s="52"/>
      <c r="BF66" s="143"/>
      <c r="BG66" s="123"/>
      <c r="BH66" s="123"/>
      <c r="BI66" s="168"/>
      <c r="BJ66" s="166"/>
      <c r="BK66" s="15"/>
      <c r="BL66" s="15"/>
      <c r="BM66" s="52"/>
      <c r="BN66" s="52"/>
      <c r="BO66" s="52"/>
      <c r="BP66" s="52"/>
      <c r="BQ66" s="77"/>
      <c r="BR66" s="52"/>
      <c r="BS66" s="52"/>
      <c r="BT66" s="148"/>
      <c r="BU66" s="143"/>
      <c r="BV66" s="52"/>
      <c r="BW66" s="52"/>
      <c r="BX66" s="143"/>
      <c r="BY66" s="123"/>
      <c r="BZ66" s="123"/>
      <c r="CA66" s="257"/>
    </row>
    <row r="67" spans="2:79" s="26" customFormat="1">
      <c r="B67" s="248">
        <v>40841</v>
      </c>
      <c r="C67" s="15"/>
      <c r="D67" s="15"/>
      <c r="E67" s="15"/>
      <c r="F67" s="52"/>
      <c r="G67" s="52"/>
      <c r="H67" s="52"/>
      <c r="I67" s="52"/>
      <c r="J67" s="77"/>
      <c r="K67" s="605"/>
      <c r="L67" s="52"/>
      <c r="M67" s="52"/>
      <c r="N67" s="52"/>
      <c r="O67" s="52"/>
      <c r="P67" s="1115"/>
      <c r="Q67" s="143"/>
      <c r="R67" s="52"/>
      <c r="S67" s="52"/>
      <c r="T67" s="52"/>
      <c r="U67" s="25"/>
      <c r="V67" s="219"/>
      <c r="W67" s="367"/>
      <c r="X67" s="699"/>
      <c r="Y67" s="169"/>
      <c r="Z67" s="166"/>
      <c r="AA67" s="15"/>
      <c r="AB67" s="15"/>
      <c r="AC67" s="52"/>
      <c r="AD67" s="52"/>
      <c r="AE67" s="52"/>
      <c r="AF67" s="52"/>
      <c r="AG67" s="77"/>
      <c r="AH67" s="52"/>
      <c r="AI67" s="52"/>
      <c r="AJ67" s="148"/>
      <c r="AK67" s="143"/>
      <c r="AL67" s="52"/>
      <c r="AM67" s="52"/>
      <c r="AN67" s="143"/>
      <c r="AO67" s="124"/>
      <c r="AP67" s="124"/>
      <c r="AQ67" s="169"/>
      <c r="AR67" s="166"/>
      <c r="AS67" s="15"/>
      <c r="AT67" s="15"/>
      <c r="AU67" s="52"/>
      <c r="AV67" s="52"/>
      <c r="AW67" s="52"/>
      <c r="AX67" s="52"/>
      <c r="AY67" s="77"/>
      <c r="AZ67" s="52"/>
      <c r="BA67" s="52"/>
      <c r="BB67" s="148"/>
      <c r="BC67" s="143"/>
      <c r="BD67" s="52"/>
      <c r="BE67" s="52"/>
      <c r="BF67" s="143"/>
      <c r="BG67" s="124"/>
      <c r="BH67" s="124"/>
      <c r="BI67" s="169"/>
      <c r="BJ67" s="166"/>
      <c r="BK67" s="15"/>
      <c r="BL67" s="15"/>
      <c r="BM67" s="52"/>
      <c r="BN67" s="52"/>
      <c r="BO67" s="52"/>
      <c r="BP67" s="52"/>
      <c r="BQ67" s="77"/>
      <c r="BR67" s="52"/>
      <c r="BS67" s="52"/>
      <c r="BT67" s="148"/>
      <c r="BU67" s="143"/>
      <c r="BV67" s="52"/>
      <c r="BW67" s="52"/>
      <c r="BX67" s="143"/>
      <c r="BY67" s="124"/>
      <c r="BZ67" s="124"/>
      <c r="CA67" s="258"/>
    </row>
    <row r="68" spans="2:79">
      <c r="B68" s="248">
        <v>40842</v>
      </c>
      <c r="C68" s="15"/>
      <c r="D68" s="15"/>
      <c r="E68" s="15"/>
      <c r="F68" s="52"/>
      <c r="G68" s="52"/>
      <c r="H68" s="52"/>
      <c r="I68" s="52"/>
      <c r="J68" s="77"/>
      <c r="K68" s="605"/>
      <c r="L68" s="52"/>
      <c r="M68" s="52"/>
      <c r="N68" s="52"/>
      <c r="O68" s="52"/>
      <c r="P68" s="1115"/>
      <c r="Q68" s="143"/>
      <c r="R68" s="52"/>
      <c r="S68" s="52"/>
      <c r="T68" s="52"/>
      <c r="U68" s="16"/>
      <c r="V68" s="220"/>
      <c r="W68" s="364"/>
      <c r="X68" s="680"/>
      <c r="Y68" s="170"/>
      <c r="Z68" s="166"/>
      <c r="AA68" s="15"/>
      <c r="AB68" s="15"/>
      <c r="AC68" s="52"/>
      <c r="AD68" s="52"/>
      <c r="AE68" s="52"/>
      <c r="AF68" s="52"/>
      <c r="AG68" s="77"/>
      <c r="AH68" s="52"/>
      <c r="AI68" s="52"/>
      <c r="AJ68" s="148"/>
      <c r="AK68" s="143"/>
      <c r="AL68" s="52"/>
      <c r="AM68" s="52"/>
      <c r="AN68" s="143"/>
      <c r="AO68" s="125"/>
      <c r="AP68" s="125"/>
      <c r="AQ68" s="170"/>
      <c r="AR68" s="166"/>
      <c r="AS68" s="15"/>
      <c r="AT68" s="15"/>
      <c r="AU68" s="52"/>
      <c r="AV68" s="52"/>
      <c r="AW68" s="52"/>
      <c r="AX68" s="52"/>
      <c r="AY68" s="77"/>
      <c r="AZ68" s="52"/>
      <c r="BA68" s="52"/>
      <c r="BB68" s="148"/>
      <c r="BC68" s="143"/>
      <c r="BD68" s="52"/>
      <c r="BE68" s="52"/>
      <c r="BF68" s="143"/>
      <c r="BG68" s="125"/>
      <c r="BH68" s="125"/>
      <c r="BI68" s="170"/>
      <c r="BJ68" s="166"/>
      <c r="BK68" s="15"/>
      <c r="BL68" s="15"/>
      <c r="BM68" s="52"/>
      <c r="BN68" s="52"/>
      <c r="BO68" s="52"/>
      <c r="BP68" s="52"/>
      <c r="BQ68" s="77"/>
      <c r="BR68" s="52"/>
      <c r="BS68" s="52"/>
      <c r="BT68" s="148"/>
      <c r="BU68" s="143"/>
      <c r="BV68" s="52"/>
      <c r="BW68" s="52"/>
      <c r="BX68" s="143"/>
      <c r="BY68" s="125"/>
      <c r="BZ68" s="125"/>
      <c r="CA68" s="259"/>
    </row>
    <row r="69" spans="2:79">
      <c r="B69" s="248">
        <v>40843</v>
      </c>
      <c r="C69" s="15"/>
      <c r="D69" s="15"/>
      <c r="E69" s="15"/>
      <c r="F69" s="52"/>
      <c r="G69" s="52"/>
      <c r="H69" s="52"/>
      <c r="I69" s="52"/>
      <c r="J69" s="77"/>
      <c r="K69" s="605"/>
      <c r="L69" s="52"/>
      <c r="M69" s="52"/>
      <c r="N69" s="52"/>
      <c r="O69" s="52"/>
      <c r="P69" s="1115"/>
      <c r="Q69" s="143"/>
      <c r="R69" s="52"/>
      <c r="S69" s="52"/>
      <c r="T69" s="52"/>
      <c r="U69" s="16"/>
      <c r="V69" s="220"/>
      <c r="W69" s="364"/>
      <c r="X69" s="680"/>
      <c r="Y69" s="170"/>
      <c r="Z69" s="166"/>
      <c r="AA69" s="15"/>
      <c r="AB69" s="15"/>
      <c r="AC69" s="52"/>
      <c r="AD69" s="52"/>
      <c r="AE69" s="52"/>
      <c r="AF69" s="52"/>
      <c r="AG69" s="77"/>
      <c r="AH69" s="52"/>
      <c r="AI69" s="52"/>
      <c r="AJ69" s="148"/>
      <c r="AK69" s="143"/>
      <c r="AL69" s="52"/>
      <c r="AM69" s="52"/>
      <c r="AN69" s="143"/>
      <c r="AO69" s="125"/>
      <c r="AP69" s="125"/>
      <c r="AQ69" s="170"/>
      <c r="AR69" s="166"/>
      <c r="AS69" s="15"/>
      <c r="AT69" s="15"/>
      <c r="AU69" s="52"/>
      <c r="AV69" s="52"/>
      <c r="AW69" s="52"/>
      <c r="AX69" s="52"/>
      <c r="AY69" s="77"/>
      <c r="AZ69" s="52"/>
      <c r="BA69" s="52"/>
      <c r="BB69" s="148"/>
      <c r="BC69" s="143"/>
      <c r="BD69" s="52"/>
      <c r="BE69" s="52"/>
      <c r="BF69" s="143"/>
      <c r="BG69" s="125"/>
      <c r="BH69" s="125"/>
      <c r="BI69" s="170"/>
      <c r="BJ69" s="166"/>
      <c r="BK69" s="15"/>
      <c r="BL69" s="15"/>
      <c r="BM69" s="52"/>
      <c r="BN69" s="52"/>
      <c r="BO69" s="52"/>
      <c r="BP69" s="52"/>
      <c r="BQ69" s="77"/>
      <c r="BR69" s="52"/>
      <c r="BS69" s="52"/>
      <c r="BT69" s="148"/>
      <c r="BU69" s="143"/>
      <c r="BV69" s="52"/>
      <c r="BW69" s="52"/>
      <c r="BX69" s="143"/>
      <c r="BY69" s="125"/>
      <c r="BZ69" s="125"/>
      <c r="CA69" s="259"/>
    </row>
    <row r="70" spans="2:79">
      <c r="B70" s="253">
        <v>40844</v>
      </c>
      <c r="C70" s="15"/>
      <c r="D70" s="15"/>
      <c r="E70" s="15"/>
      <c r="F70" s="52"/>
      <c r="G70" s="52"/>
      <c r="H70" s="52"/>
      <c r="I70" s="52"/>
      <c r="J70" s="77"/>
      <c r="K70" s="605"/>
      <c r="L70" s="52"/>
      <c r="M70" s="52"/>
      <c r="N70" s="52"/>
      <c r="O70" s="52"/>
      <c r="P70" s="1115"/>
      <c r="Q70" s="143"/>
      <c r="R70" s="52"/>
      <c r="S70" s="52"/>
      <c r="T70" s="52"/>
      <c r="U70" s="16"/>
      <c r="V70" s="220"/>
      <c r="W70" s="364"/>
      <c r="X70" s="680"/>
      <c r="Y70" s="170"/>
      <c r="Z70" s="166"/>
      <c r="AA70" s="15"/>
      <c r="AB70" s="15"/>
      <c r="AC70" s="52"/>
      <c r="AD70" s="52"/>
      <c r="AE70" s="52"/>
      <c r="AF70" s="52"/>
      <c r="AG70" s="77"/>
      <c r="AH70" s="52"/>
      <c r="AI70" s="52"/>
      <c r="AJ70" s="148"/>
      <c r="AK70" s="143"/>
      <c r="AL70" s="52"/>
      <c r="AM70" s="52"/>
      <c r="AN70" s="143"/>
      <c r="AO70" s="125"/>
      <c r="AP70" s="125"/>
      <c r="AQ70" s="170"/>
      <c r="AR70" s="166"/>
      <c r="AS70" s="15"/>
      <c r="AT70" s="15"/>
      <c r="AU70" s="52"/>
      <c r="AV70" s="52"/>
      <c r="AW70" s="52"/>
      <c r="AX70" s="52"/>
      <c r="AY70" s="77"/>
      <c r="AZ70" s="52"/>
      <c r="BA70" s="52"/>
      <c r="BB70" s="148"/>
      <c r="BC70" s="143"/>
      <c r="BD70" s="52"/>
      <c r="BE70" s="52"/>
      <c r="BF70" s="143"/>
      <c r="BG70" s="125"/>
      <c r="BH70" s="125"/>
      <c r="BI70" s="170"/>
      <c r="BJ70" s="166"/>
      <c r="BK70" s="15"/>
      <c r="BL70" s="15"/>
      <c r="BM70" s="52"/>
      <c r="BN70" s="52"/>
      <c r="BO70" s="52"/>
      <c r="BP70" s="52"/>
      <c r="BQ70" s="77"/>
      <c r="BR70" s="52"/>
      <c r="BS70" s="52"/>
      <c r="BT70" s="148"/>
      <c r="BU70" s="143"/>
      <c r="BV70" s="52"/>
      <c r="BW70" s="52"/>
      <c r="BX70" s="143"/>
      <c r="BY70" s="125"/>
      <c r="BZ70" s="125"/>
      <c r="CA70" s="259"/>
    </row>
    <row r="71" spans="2:79">
      <c r="B71" s="253">
        <v>40845</v>
      </c>
      <c r="C71" s="15"/>
      <c r="D71" s="15"/>
      <c r="E71" s="15"/>
      <c r="F71" s="52"/>
      <c r="G71" s="52"/>
      <c r="H71" s="52"/>
      <c r="I71" s="52"/>
      <c r="J71" s="77"/>
      <c r="K71" s="605"/>
      <c r="L71" s="52"/>
      <c r="M71" s="52"/>
      <c r="N71" s="52"/>
      <c r="O71" s="52"/>
      <c r="P71" s="1115"/>
      <c r="Q71" s="143"/>
      <c r="R71" s="52"/>
      <c r="S71" s="52"/>
      <c r="T71" s="52"/>
      <c r="U71" s="16"/>
      <c r="V71" s="220"/>
      <c r="W71" s="364"/>
      <c r="X71" s="680"/>
      <c r="Y71" s="170"/>
      <c r="Z71" s="166"/>
      <c r="AA71" s="15"/>
      <c r="AB71" s="15"/>
      <c r="AC71" s="52"/>
      <c r="AD71" s="52"/>
      <c r="AE71" s="52"/>
      <c r="AF71" s="52"/>
      <c r="AG71" s="77"/>
      <c r="AH71" s="52"/>
      <c r="AI71" s="52"/>
      <c r="AJ71" s="148"/>
      <c r="AK71" s="143"/>
      <c r="AL71" s="52"/>
      <c r="AM71" s="52"/>
      <c r="AN71" s="143"/>
      <c r="AO71" s="125"/>
      <c r="AP71" s="125"/>
      <c r="AQ71" s="170"/>
      <c r="AR71" s="166"/>
      <c r="AS71" s="15"/>
      <c r="AT71" s="15"/>
      <c r="AU71" s="52"/>
      <c r="AV71" s="52"/>
      <c r="AW71" s="52"/>
      <c r="AX71" s="52"/>
      <c r="AY71" s="77"/>
      <c r="AZ71" s="52"/>
      <c r="BA71" s="52"/>
      <c r="BB71" s="148"/>
      <c r="BC71" s="143"/>
      <c r="BD71" s="52"/>
      <c r="BE71" s="52"/>
      <c r="BF71" s="143"/>
      <c r="BG71" s="125"/>
      <c r="BH71" s="125"/>
      <c r="BI71" s="170"/>
      <c r="BJ71" s="166"/>
      <c r="BK71" s="15"/>
      <c r="BL71" s="15"/>
      <c r="BM71" s="52"/>
      <c r="BN71" s="52"/>
      <c r="BO71" s="52"/>
      <c r="BP71" s="52"/>
      <c r="BQ71" s="77"/>
      <c r="BR71" s="52"/>
      <c r="BS71" s="52"/>
      <c r="BT71" s="148"/>
      <c r="BU71" s="143"/>
      <c r="BV71" s="52"/>
      <c r="BW71" s="52"/>
      <c r="BX71" s="143"/>
      <c r="BY71" s="125"/>
      <c r="BZ71" s="125"/>
      <c r="CA71" s="259"/>
    </row>
    <row r="72" spans="2:79">
      <c r="B72" s="254" t="s">
        <v>160</v>
      </c>
      <c r="C72" s="27"/>
      <c r="D72" s="27"/>
      <c r="E72" s="27"/>
      <c r="F72" s="56"/>
      <c r="G72" s="56"/>
      <c r="H72" s="56"/>
      <c r="I72" s="56"/>
      <c r="J72" s="227"/>
      <c r="K72" s="610"/>
      <c r="L72" s="56"/>
      <c r="M72" s="56"/>
      <c r="N72" s="56"/>
      <c r="O72" s="56"/>
      <c r="P72" s="370"/>
      <c r="Q72" s="144"/>
      <c r="R72" s="56"/>
      <c r="S72" s="56"/>
      <c r="T72" s="56"/>
      <c r="U72" s="28"/>
      <c r="V72" s="221"/>
      <c r="W72" s="368"/>
      <c r="X72" s="700"/>
      <c r="Y72" s="171"/>
      <c r="Z72" s="164"/>
      <c r="AA72" s="27"/>
      <c r="AB72" s="27"/>
      <c r="AC72" s="56"/>
      <c r="AD72" s="56"/>
      <c r="AE72" s="56"/>
      <c r="AF72" s="56"/>
      <c r="AG72" s="227"/>
      <c r="AH72" s="56"/>
      <c r="AI72" s="56"/>
      <c r="AJ72" s="149"/>
      <c r="AK72" s="144"/>
      <c r="AL72" s="56"/>
      <c r="AM72" s="56"/>
      <c r="AN72" s="144"/>
      <c r="AO72" s="126"/>
      <c r="AP72" s="126"/>
      <c r="AQ72" s="171"/>
      <c r="AR72" s="164"/>
      <c r="AS72" s="27"/>
      <c r="AT72" s="27"/>
      <c r="AU72" s="56"/>
      <c r="AV72" s="56"/>
      <c r="AW72" s="56"/>
      <c r="AX72" s="56"/>
      <c r="AY72" s="227"/>
      <c r="AZ72" s="56"/>
      <c r="BA72" s="56"/>
      <c r="BB72" s="149"/>
      <c r="BC72" s="144"/>
      <c r="BD72" s="56"/>
      <c r="BE72" s="56"/>
      <c r="BF72" s="144"/>
      <c r="BG72" s="126"/>
      <c r="BH72" s="126"/>
      <c r="BI72" s="171"/>
      <c r="BJ72" s="164"/>
      <c r="BK72" s="27"/>
      <c r="BL72" s="27"/>
      <c r="BM72" s="56"/>
      <c r="BN72" s="56"/>
      <c r="BO72" s="56"/>
      <c r="BP72" s="56"/>
      <c r="BQ72" s="227"/>
      <c r="BR72" s="56"/>
      <c r="BS72" s="56"/>
      <c r="BT72" s="149"/>
      <c r="BU72" s="144"/>
      <c r="BV72" s="56"/>
      <c r="BW72" s="56"/>
      <c r="BX72" s="144"/>
      <c r="BY72" s="126"/>
      <c r="BZ72" s="126"/>
      <c r="CA72" s="260"/>
    </row>
    <row r="73" spans="2:79">
      <c r="B73" s="248">
        <v>40846</v>
      </c>
      <c r="C73" s="15"/>
      <c r="D73" s="15"/>
      <c r="E73" s="15"/>
      <c r="F73" s="52"/>
      <c r="G73" s="52"/>
      <c r="H73" s="52"/>
      <c r="I73" s="52"/>
      <c r="J73" s="77"/>
      <c r="K73" s="605"/>
      <c r="L73" s="52"/>
      <c r="M73" s="52"/>
      <c r="N73" s="52"/>
      <c r="O73" s="52"/>
      <c r="P73" s="1115"/>
      <c r="Q73" s="143"/>
      <c r="R73" s="52"/>
      <c r="S73" s="52"/>
      <c r="T73" s="52"/>
      <c r="U73" s="16"/>
      <c r="V73" s="220"/>
      <c r="W73" s="364"/>
      <c r="X73" s="680"/>
      <c r="Y73" s="170"/>
      <c r="Z73" s="166"/>
      <c r="AA73" s="15"/>
      <c r="AB73" s="15"/>
      <c r="AC73" s="52"/>
      <c r="AD73" s="52"/>
      <c r="AE73" s="52"/>
      <c r="AF73" s="52"/>
      <c r="AG73" s="77"/>
      <c r="AH73" s="52"/>
      <c r="AI73" s="52"/>
      <c r="AJ73" s="148"/>
      <c r="AK73" s="143"/>
      <c r="AL73" s="52"/>
      <c r="AM73" s="52"/>
      <c r="AN73" s="143"/>
      <c r="AO73" s="125"/>
      <c r="AP73" s="125"/>
      <c r="AQ73" s="170"/>
      <c r="AR73" s="166"/>
      <c r="AS73" s="15"/>
      <c r="AT73" s="15"/>
      <c r="AU73" s="52"/>
      <c r="AV73" s="52"/>
      <c r="AW73" s="52"/>
      <c r="AX73" s="52"/>
      <c r="AY73" s="77"/>
      <c r="AZ73" s="52"/>
      <c r="BA73" s="52"/>
      <c r="BB73" s="148"/>
      <c r="BC73" s="143"/>
      <c r="BD73" s="52"/>
      <c r="BE73" s="52"/>
      <c r="BF73" s="143"/>
      <c r="BG73" s="125"/>
      <c r="BH73" s="125"/>
      <c r="BI73" s="170"/>
      <c r="BJ73" s="166"/>
      <c r="BK73" s="15"/>
      <c r="BL73" s="15"/>
      <c r="BM73" s="52"/>
      <c r="BN73" s="52"/>
      <c r="BO73" s="52"/>
      <c r="BP73" s="52"/>
      <c r="BQ73" s="77"/>
      <c r="BR73" s="52"/>
      <c r="BS73" s="52"/>
      <c r="BT73" s="148"/>
      <c r="BU73" s="143"/>
      <c r="BV73" s="52"/>
      <c r="BW73" s="52"/>
      <c r="BX73" s="143"/>
      <c r="BY73" s="125"/>
      <c r="BZ73" s="125"/>
      <c r="CA73" s="259"/>
    </row>
    <row r="74" spans="2:79">
      <c r="B74" s="248">
        <v>40847</v>
      </c>
      <c r="C74" s="15"/>
      <c r="D74" s="15"/>
      <c r="E74" s="15"/>
      <c r="F74" s="52"/>
      <c r="G74" s="52"/>
      <c r="H74" s="52"/>
      <c r="I74" s="52"/>
      <c r="J74" s="77"/>
      <c r="K74" s="605"/>
      <c r="L74" s="52"/>
      <c r="M74" s="52"/>
      <c r="N74" s="52"/>
      <c r="O74" s="52"/>
      <c r="P74" s="1115"/>
      <c r="Q74" s="143"/>
      <c r="R74" s="52"/>
      <c r="S74" s="52"/>
      <c r="T74" s="52"/>
      <c r="U74" s="23"/>
      <c r="V74" s="218"/>
      <c r="W74" s="366"/>
      <c r="X74" s="698"/>
      <c r="Y74" s="168"/>
      <c r="Z74" s="166"/>
      <c r="AA74" s="15"/>
      <c r="AB74" s="15"/>
      <c r="AC74" s="52"/>
      <c r="AD74" s="52"/>
      <c r="AE74" s="52"/>
      <c r="AF74" s="52"/>
      <c r="AG74" s="77"/>
      <c r="AH74" s="52"/>
      <c r="AI74" s="52"/>
      <c r="AJ74" s="148"/>
      <c r="AK74" s="143"/>
      <c r="AL74" s="52"/>
      <c r="AM74" s="52"/>
      <c r="AN74" s="143"/>
      <c r="AO74" s="123"/>
      <c r="AP74" s="123"/>
      <c r="AQ74" s="168"/>
      <c r="AR74" s="166"/>
      <c r="AS74" s="15"/>
      <c r="AT74" s="15"/>
      <c r="AU74" s="52"/>
      <c r="AV74" s="52"/>
      <c r="AW74" s="52"/>
      <c r="AX74" s="52"/>
      <c r="AY74" s="77"/>
      <c r="AZ74" s="52"/>
      <c r="BA74" s="52"/>
      <c r="BB74" s="148"/>
      <c r="BC74" s="143"/>
      <c r="BD74" s="52"/>
      <c r="BE74" s="52"/>
      <c r="BF74" s="143"/>
      <c r="BG74" s="123"/>
      <c r="BH74" s="123"/>
      <c r="BI74" s="168"/>
      <c r="BJ74" s="166"/>
      <c r="BK74" s="15"/>
      <c r="BL74" s="15"/>
      <c r="BM74" s="52"/>
      <c r="BN74" s="52"/>
      <c r="BO74" s="52"/>
      <c r="BP74" s="52"/>
      <c r="BQ74" s="77"/>
      <c r="BR74" s="52"/>
      <c r="BS74" s="52"/>
      <c r="BT74" s="148"/>
      <c r="BU74" s="143"/>
      <c r="BV74" s="52"/>
      <c r="BW74" s="52"/>
      <c r="BX74" s="143"/>
      <c r="BY74" s="123"/>
      <c r="BZ74" s="123"/>
      <c r="CA74" s="257"/>
    </row>
    <row r="75" spans="2:79">
      <c r="B75" s="248">
        <v>40848</v>
      </c>
      <c r="C75" s="15"/>
      <c r="D75" s="15"/>
      <c r="E75" s="15"/>
      <c r="F75" s="52"/>
      <c r="G75" s="52"/>
      <c r="H75" s="52"/>
      <c r="I75" s="52"/>
      <c r="J75" s="77"/>
      <c r="K75" s="605"/>
      <c r="L75" s="52"/>
      <c r="M75" s="52"/>
      <c r="N75" s="52"/>
      <c r="O75" s="52"/>
      <c r="P75" s="1115"/>
      <c r="Q75" s="143"/>
      <c r="R75" s="52"/>
      <c r="S75" s="52"/>
      <c r="T75" s="52"/>
      <c r="U75" s="25"/>
      <c r="V75" s="219"/>
      <c r="W75" s="367"/>
      <c r="X75" s="699"/>
      <c r="Y75" s="169"/>
      <c r="Z75" s="166"/>
      <c r="AA75" s="15"/>
      <c r="AB75" s="15"/>
      <c r="AC75" s="52"/>
      <c r="AD75" s="52"/>
      <c r="AE75" s="52"/>
      <c r="AF75" s="52"/>
      <c r="AG75" s="77"/>
      <c r="AH75" s="52"/>
      <c r="AI75" s="52"/>
      <c r="AJ75" s="148"/>
      <c r="AK75" s="143"/>
      <c r="AL75" s="52"/>
      <c r="AM75" s="52"/>
      <c r="AN75" s="143"/>
      <c r="AO75" s="124"/>
      <c r="AP75" s="124"/>
      <c r="AQ75" s="169"/>
      <c r="AR75" s="166"/>
      <c r="AS75" s="15"/>
      <c r="AT75" s="15"/>
      <c r="AU75" s="52"/>
      <c r="AV75" s="52"/>
      <c r="AW75" s="52"/>
      <c r="AX75" s="52"/>
      <c r="AY75" s="77"/>
      <c r="AZ75" s="52"/>
      <c r="BA75" s="52"/>
      <c r="BB75" s="148"/>
      <c r="BC75" s="143"/>
      <c r="BD75" s="52"/>
      <c r="BE75" s="52"/>
      <c r="BF75" s="143"/>
      <c r="BG75" s="124"/>
      <c r="BH75" s="124"/>
      <c r="BI75" s="169"/>
      <c r="BJ75" s="166"/>
      <c r="BK75" s="15"/>
      <c r="BL75" s="15"/>
      <c r="BM75" s="52"/>
      <c r="BN75" s="52"/>
      <c r="BO75" s="52"/>
      <c r="BP75" s="52"/>
      <c r="BQ75" s="77"/>
      <c r="BR75" s="52"/>
      <c r="BS75" s="52"/>
      <c r="BT75" s="148"/>
      <c r="BU75" s="143"/>
      <c r="BV75" s="52"/>
      <c r="BW75" s="52"/>
      <c r="BX75" s="143"/>
      <c r="BY75" s="124"/>
      <c r="BZ75" s="124"/>
      <c r="CA75" s="258"/>
    </row>
    <row r="76" spans="2:79">
      <c r="B76" s="248">
        <v>40849</v>
      </c>
      <c r="C76" s="15"/>
      <c r="D76" s="15"/>
      <c r="E76" s="15"/>
      <c r="F76" s="52"/>
      <c r="G76" s="52"/>
      <c r="H76" s="52"/>
      <c r="I76" s="52"/>
      <c r="J76" s="77"/>
      <c r="K76" s="605"/>
      <c r="L76" s="52"/>
      <c r="M76" s="52"/>
      <c r="N76" s="52"/>
      <c r="O76" s="52"/>
      <c r="P76" s="1115"/>
      <c r="Q76" s="143"/>
      <c r="R76" s="52"/>
      <c r="S76" s="52"/>
      <c r="T76" s="52"/>
      <c r="U76" s="16"/>
      <c r="V76" s="220"/>
      <c r="W76" s="364"/>
      <c r="X76" s="680"/>
      <c r="Y76" s="170"/>
      <c r="Z76" s="166"/>
      <c r="AA76" s="15"/>
      <c r="AB76" s="15"/>
      <c r="AC76" s="52"/>
      <c r="AD76" s="52"/>
      <c r="AE76" s="52"/>
      <c r="AF76" s="52"/>
      <c r="AG76" s="77"/>
      <c r="AH76" s="52"/>
      <c r="AI76" s="52"/>
      <c r="AJ76" s="148"/>
      <c r="AK76" s="143"/>
      <c r="AL76" s="52"/>
      <c r="AM76" s="52"/>
      <c r="AN76" s="143"/>
      <c r="AO76" s="125"/>
      <c r="AP76" s="125"/>
      <c r="AQ76" s="170"/>
      <c r="AR76" s="166"/>
      <c r="AS76" s="15"/>
      <c r="AT76" s="15"/>
      <c r="AU76" s="52"/>
      <c r="AV76" s="52"/>
      <c r="AW76" s="52"/>
      <c r="AX76" s="52"/>
      <c r="AY76" s="77"/>
      <c r="AZ76" s="52"/>
      <c r="BA76" s="52"/>
      <c r="BB76" s="148"/>
      <c r="BC76" s="143"/>
      <c r="BD76" s="52"/>
      <c r="BE76" s="52"/>
      <c r="BF76" s="143"/>
      <c r="BG76" s="125"/>
      <c r="BH76" s="125"/>
      <c r="BI76" s="170"/>
      <c r="BJ76" s="166"/>
      <c r="BK76" s="15"/>
      <c r="BL76" s="15"/>
      <c r="BM76" s="52"/>
      <c r="BN76" s="52"/>
      <c r="BO76" s="52"/>
      <c r="BP76" s="52"/>
      <c r="BQ76" s="77"/>
      <c r="BR76" s="52"/>
      <c r="BS76" s="52"/>
      <c r="BT76" s="148"/>
      <c r="BU76" s="143"/>
      <c r="BV76" s="52"/>
      <c r="BW76" s="52"/>
      <c r="BX76" s="143"/>
      <c r="BY76" s="125"/>
      <c r="BZ76" s="125"/>
      <c r="CA76" s="259"/>
    </row>
    <row r="77" spans="2:79">
      <c r="B77" s="248">
        <v>40850</v>
      </c>
      <c r="C77" s="15"/>
      <c r="D77" s="15"/>
      <c r="E77" s="15"/>
      <c r="F77" s="52"/>
      <c r="G77" s="52"/>
      <c r="H77" s="52"/>
      <c r="I77" s="52"/>
      <c r="J77" s="77"/>
      <c r="K77" s="605"/>
      <c r="L77" s="52"/>
      <c r="M77" s="52"/>
      <c r="N77" s="52"/>
      <c r="O77" s="52"/>
      <c r="P77" s="1115"/>
      <c r="Q77" s="143"/>
      <c r="R77" s="52"/>
      <c r="S77" s="52"/>
      <c r="T77" s="52"/>
      <c r="U77" s="16"/>
      <c r="V77" s="220"/>
      <c r="W77" s="364"/>
      <c r="X77" s="680"/>
      <c r="Y77" s="170"/>
      <c r="Z77" s="166"/>
      <c r="AA77" s="15"/>
      <c r="AB77" s="15"/>
      <c r="AC77" s="52"/>
      <c r="AD77" s="52"/>
      <c r="AE77" s="52"/>
      <c r="AF77" s="52"/>
      <c r="AG77" s="77"/>
      <c r="AH77" s="52"/>
      <c r="AI77" s="52"/>
      <c r="AJ77" s="148"/>
      <c r="AK77" s="143"/>
      <c r="AL77" s="52"/>
      <c r="AM77" s="52"/>
      <c r="AN77" s="143"/>
      <c r="AO77" s="125"/>
      <c r="AP77" s="125"/>
      <c r="AQ77" s="170"/>
      <c r="AR77" s="166"/>
      <c r="AS77" s="15"/>
      <c r="AT77" s="15"/>
      <c r="AU77" s="52"/>
      <c r="AV77" s="52"/>
      <c r="AW77" s="52"/>
      <c r="AX77" s="52"/>
      <c r="AY77" s="77"/>
      <c r="AZ77" s="52"/>
      <c r="BA77" s="52"/>
      <c r="BB77" s="148"/>
      <c r="BC77" s="143"/>
      <c r="BD77" s="52"/>
      <c r="BE77" s="52"/>
      <c r="BF77" s="143"/>
      <c r="BG77" s="125"/>
      <c r="BH77" s="125"/>
      <c r="BI77" s="170"/>
      <c r="BJ77" s="166"/>
      <c r="BK77" s="15"/>
      <c r="BL77" s="15"/>
      <c r="BM77" s="52"/>
      <c r="BN77" s="52"/>
      <c r="BO77" s="52"/>
      <c r="BP77" s="52"/>
      <c r="BQ77" s="77"/>
      <c r="BR77" s="52"/>
      <c r="BS77" s="52"/>
      <c r="BT77" s="148"/>
      <c r="BU77" s="143"/>
      <c r="BV77" s="52"/>
      <c r="BW77" s="52"/>
      <c r="BX77" s="143"/>
      <c r="BY77" s="125"/>
      <c r="BZ77" s="125"/>
      <c r="CA77" s="259"/>
    </row>
    <row r="78" spans="2:79">
      <c r="B78" s="253">
        <v>40851</v>
      </c>
      <c r="C78" s="15"/>
      <c r="D78" s="15"/>
      <c r="E78" s="15"/>
      <c r="F78" s="52"/>
      <c r="G78" s="52"/>
      <c r="H78" s="52"/>
      <c r="I78" s="52"/>
      <c r="J78" s="77"/>
      <c r="K78" s="605"/>
      <c r="L78" s="52"/>
      <c r="M78" s="52"/>
      <c r="N78" s="52"/>
      <c r="O78" s="52"/>
      <c r="P78" s="1115"/>
      <c r="Q78" s="143"/>
      <c r="R78" s="52"/>
      <c r="S78" s="52"/>
      <c r="T78" s="52"/>
      <c r="U78" s="16"/>
      <c r="V78" s="220"/>
      <c r="W78" s="364"/>
      <c r="X78" s="680"/>
      <c r="Y78" s="170"/>
      <c r="Z78" s="166"/>
      <c r="AA78" s="15"/>
      <c r="AB78" s="15"/>
      <c r="AC78" s="52"/>
      <c r="AD78" s="52"/>
      <c r="AE78" s="52"/>
      <c r="AF78" s="52"/>
      <c r="AG78" s="77"/>
      <c r="AH78" s="52"/>
      <c r="AI78" s="52"/>
      <c r="AJ78" s="148"/>
      <c r="AK78" s="143"/>
      <c r="AL78" s="52"/>
      <c r="AM78" s="52"/>
      <c r="AN78" s="143"/>
      <c r="AO78" s="125"/>
      <c r="AP78" s="125"/>
      <c r="AQ78" s="170"/>
      <c r="AR78" s="166"/>
      <c r="AS78" s="15"/>
      <c r="AT78" s="15"/>
      <c r="AU78" s="52"/>
      <c r="AV78" s="52"/>
      <c r="AW78" s="52"/>
      <c r="AX78" s="52"/>
      <c r="AY78" s="77"/>
      <c r="AZ78" s="52"/>
      <c r="BA78" s="52"/>
      <c r="BB78" s="148"/>
      <c r="BC78" s="143"/>
      <c r="BD78" s="52"/>
      <c r="BE78" s="52"/>
      <c r="BF78" s="143"/>
      <c r="BG78" s="125"/>
      <c r="BH78" s="125"/>
      <c r="BI78" s="170"/>
      <c r="BJ78" s="166"/>
      <c r="BK78" s="15"/>
      <c r="BL78" s="15"/>
      <c r="BM78" s="52"/>
      <c r="BN78" s="52"/>
      <c r="BO78" s="52"/>
      <c r="BP78" s="52"/>
      <c r="BQ78" s="77"/>
      <c r="BR78" s="52"/>
      <c r="BS78" s="52"/>
      <c r="BT78" s="148"/>
      <c r="BU78" s="143"/>
      <c r="BV78" s="52"/>
      <c r="BW78" s="52"/>
      <c r="BX78" s="143"/>
      <c r="BY78" s="125"/>
      <c r="BZ78" s="125"/>
      <c r="CA78" s="259"/>
    </row>
    <row r="79" spans="2:79">
      <c r="B79" s="253">
        <v>40852</v>
      </c>
      <c r="C79" s="15"/>
      <c r="D79" s="15"/>
      <c r="E79" s="15"/>
      <c r="F79" s="52"/>
      <c r="G79" s="52"/>
      <c r="H79" s="52"/>
      <c r="I79" s="52"/>
      <c r="J79" s="77"/>
      <c r="K79" s="605"/>
      <c r="L79" s="52"/>
      <c r="M79" s="52"/>
      <c r="N79" s="52"/>
      <c r="O79" s="52"/>
      <c r="P79" s="1115"/>
      <c r="Q79" s="143"/>
      <c r="R79" s="52"/>
      <c r="S79" s="52"/>
      <c r="T79" s="52"/>
      <c r="U79" s="16"/>
      <c r="V79" s="220"/>
      <c r="W79" s="364"/>
      <c r="X79" s="680"/>
      <c r="Y79" s="170"/>
      <c r="Z79" s="166"/>
      <c r="AA79" s="15"/>
      <c r="AB79" s="15"/>
      <c r="AC79" s="52"/>
      <c r="AD79" s="52"/>
      <c r="AE79" s="52"/>
      <c r="AF79" s="52"/>
      <c r="AG79" s="77"/>
      <c r="AH79" s="52"/>
      <c r="AI79" s="52"/>
      <c r="AJ79" s="148"/>
      <c r="AK79" s="143"/>
      <c r="AL79" s="52"/>
      <c r="AM79" s="52"/>
      <c r="AN79" s="143"/>
      <c r="AO79" s="125"/>
      <c r="AP79" s="125"/>
      <c r="AQ79" s="170"/>
      <c r="AR79" s="166"/>
      <c r="AS79" s="15"/>
      <c r="AT79" s="15"/>
      <c r="AU79" s="52"/>
      <c r="AV79" s="52"/>
      <c r="AW79" s="52"/>
      <c r="AX79" s="52"/>
      <c r="AY79" s="77"/>
      <c r="AZ79" s="52"/>
      <c r="BA79" s="52"/>
      <c r="BB79" s="148"/>
      <c r="BC79" s="143"/>
      <c r="BD79" s="52"/>
      <c r="BE79" s="52"/>
      <c r="BF79" s="143"/>
      <c r="BG79" s="125"/>
      <c r="BH79" s="125"/>
      <c r="BI79" s="170"/>
      <c r="BJ79" s="166"/>
      <c r="BK79" s="15"/>
      <c r="BL79" s="15"/>
      <c r="BM79" s="52"/>
      <c r="BN79" s="52"/>
      <c r="BO79" s="52"/>
      <c r="BP79" s="52"/>
      <c r="BQ79" s="77"/>
      <c r="BR79" s="52"/>
      <c r="BS79" s="52"/>
      <c r="BT79" s="148"/>
      <c r="BU79" s="143"/>
      <c r="BV79" s="52"/>
      <c r="BW79" s="52"/>
      <c r="BX79" s="143"/>
      <c r="BY79" s="125"/>
      <c r="BZ79" s="125"/>
      <c r="CA79" s="259"/>
    </row>
    <row r="80" spans="2:79">
      <c r="B80" s="254" t="s">
        <v>160</v>
      </c>
      <c r="C80" s="27"/>
      <c r="D80" s="27"/>
      <c r="E80" s="27"/>
      <c r="F80" s="56"/>
      <c r="G80" s="56"/>
      <c r="H80" s="56"/>
      <c r="I80" s="56"/>
      <c r="J80" s="227"/>
      <c r="K80" s="610"/>
      <c r="L80" s="56"/>
      <c r="M80" s="56"/>
      <c r="N80" s="56"/>
      <c r="O80" s="56"/>
      <c r="P80" s="370"/>
      <c r="Q80" s="144"/>
      <c r="R80" s="56"/>
      <c r="S80" s="56"/>
      <c r="T80" s="56"/>
      <c r="U80" s="28"/>
      <c r="V80" s="221"/>
      <c r="W80" s="368"/>
      <c r="X80" s="700"/>
      <c r="Y80" s="171"/>
      <c r="Z80" s="164"/>
      <c r="AA80" s="27"/>
      <c r="AB80" s="27"/>
      <c r="AC80" s="56"/>
      <c r="AD80" s="56"/>
      <c r="AE80" s="56"/>
      <c r="AF80" s="56"/>
      <c r="AG80" s="227"/>
      <c r="AH80" s="56"/>
      <c r="AI80" s="56"/>
      <c r="AJ80" s="149"/>
      <c r="AK80" s="144"/>
      <c r="AL80" s="56"/>
      <c r="AM80" s="56"/>
      <c r="AN80" s="144"/>
      <c r="AO80" s="126"/>
      <c r="AP80" s="126"/>
      <c r="AQ80" s="171"/>
      <c r="AR80" s="164"/>
      <c r="AS80" s="27"/>
      <c r="AT80" s="27"/>
      <c r="AU80" s="56"/>
      <c r="AV80" s="56"/>
      <c r="AW80" s="56"/>
      <c r="AX80" s="56"/>
      <c r="AY80" s="227"/>
      <c r="AZ80" s="56"/>
      <c r="BA80" s="56"/>
      <c r="BB80" s="149"/>
      <c r="BC80" s="144"/>
      <c r="BD80" s="56"/>
      <c r="BE80" s="56"/>
      <c r="BF80" s="144"/>
      <c r="BG80" s="126"/>
      <c r="BH80" s="126"/>
      <c r="BI80" s="171"/>
      <c r="BJ80" s="164"/>
      <c r="BK80" s="27"/>
      <c r="BL80" s="27"/>
      <c r="BM80" s="56"/>
      <c r="BN80" s="56"/>
      <c r="BO80" s="56"/>
      <c r="BP80" s="56"/>
      <c r="BQ80" s="227"/>
      <c r="BR80" s="56"/>
      <c r="BS80" s="56"/>
      <c r="BT80" s="149"/>
      <c r="BU80" s="144"/>
      <c r="BV80" s="56"/>
      <c r="BW80" s="56"/>
      <c r="BX80" s="144"/>
      <c r="BY80" s="126"/>
      <c r="BZ80" s="126"/>
      <c r="CA80" s="260"/>
    </row>
    <row r="81" spans="2:79">
      <c r="B81" s="248">
        <v>40853</v>
      </c>
      <c r="C81" s="15"/>
      <c r="D81" s="15"/>
      <c r="E81" s="15"/>
      <c r="F81" s="52"/>
      <c r="G81" s="52"/>
      <c r="H81" s="52"/>
      <c r="I81" s="52"/>
      <c r="J81" s="77"/>
      <c r="K81" s="605"/>
      <c r="L81" s="52"/>
      <c r="M81" s="52"/>
      <c r="N81" s="52"/>
      <c r="O81" s="52"/>
      <c r="P81" s="1115"/>
      <c r="Q81" s="143"/>
      <c r="R81" s="52"/>
      <c r="S81" s="52"/>
      <c r="T81" s="52"/>
      <c r="U81" s="16"/>
      <c r="V81" s="220"/>
      <c r="W81" s="364"/>
      <c r="X81" s="680"/>
      <c r="Y81" s="170"/>
      <c r="Z81" s="166"/>
      <c r="AA81" s="15"/>
      <c r="AB81" s="15"/>
      <c r="AC81" s="52"/>
      <c r="AD81" s="52"/>
      <c r="AE81" s="52"/>
      <c r="AF81" s="52"/>
      <c r="AG81" s="77"/>
      <c r="AH81" s="52"/>
      <c r="AI81" s="52"/>
      <c r="AJ81" s="148"/>
      <c r="AK81" s="143"/>
      <c r="AL81" s="52"/>
      <c r="AM81" s="52"/>
      <c r="AN81" s="143"/>
      <c r="AO81" s="125"/>
      <c r="AP81" s="125"/>
      <c r="AQ81" s="170"/>
      <c r="AR81" s="166"/>
      <c r="AS81" s="15"/>
      <c r="AT81" s="15"/>
      <c r="AU81" s="52"/>
      <c r="AV81" s="52"/>
      <c r="AW81" s="52"/>
      <c r="AX81" s="52"/>
      <c r="AY81" s="77"/>
      <c r="AZ81" s="52"/>
      <c r="BA81" s="52"/>
      <c r="BB81" s="148"/>
      <c r="BC81" s="143"/>
      <c r="BD81" s="52"/>
      <c r="BE81" s="52"/>
      <c r="BF81" s="143"/>
      <c r="BG81" s="125"/>
      <c r="BH81" s="125"/>
      <c r="BI81" s="170"/>
      <c r="BJ81" s="166"/>
      <c r="BK81" s="15"/>
      <c r="BL81" s="15"/>
      <c r="BM81" s="52"/>
      <c r="BN81" s="52"/>
      <c r="BO81" s="52"/>
      <c r="BP81" s="52"/>
      <c r="BQ81" s="77"/>
      <c r="BR81" s="52"/>
      <c r="BS81" s="52"/>
      <c r="BT81" s="148"/>
      <c r="BU81" s="143"/>
      <c r="BV81" s="52"/>
      <c r="BW81" s="52"/>
      <c r="BX81" s="143"/>
      <c r="BY81" s="125"/>
      <c r="BZ81" s="125"/>
      <c r="CA81" s="259"/>
    </row>
    <row r="82" spans="2:79">
      <c r="B82" s="248">
        <v>40854</v>
      </c>
      <c r="C82" s="15"/>
      <c r="D82" s="15"/>
      <c r="E82" s="15"/>
      <c r="F82" s="52"/>
      <c r="G82" s="52"/>
      <c r="H82" s="52"/>
      <c r="I82" s="52"/>
      <c r="J82" s="77"/>
      <c r="K82" s="605"/>
      <c r="L82" s="52"/>
      <c r="M82" s="52"/>
      <c r="N82" s="52"/>
      <c r="O82" s="52"/>
      <c r="P82" s="1115"/>
      <c r="Q82" s="143"/>
      <c r="R82" s="52"/>
      <c r="S82" s="52"/>
      <c r="T82" s="52"/>
      <c r="U82" s="16"/>
      <c r="V82" s="220"/>
      <c r="W82" s="364"/>
      <c r="X82" s="680"/>
      <c r="Y82" s="170"/>
      <c r="Z82" s="166"/>
      <c r="AA82" s="15"/>
      <c r="AB82" s="15"/>
      <c r="AC82" s="52"/>
      <c r="AD82" s="52"/>
      <c r="AE82" s="52"/>
      <c r="AF82" s="52"/>
      <c r="AG82" s="77"/>
      <c r="AH82" s="52"/>
      <c r="AI82" s="52"/>
      <c r="AJ82" s="148"/>
      <c r="AK82" s="143"/>
      <c r="AL82" s="52"/>
      <c r="AM82" s="52"/>
      <c r="AN82" s="143"/>
      <c r="AO82" s="125"/>
      <c r="AP82" s="125"/>
      <c r="AQ82" s="170"/>
      <c r="AR82" s="166"/>
      <c r="AS82" s="15"/>
      <c r="AT82" s="15"/>
      <c r="AU82" s="52"/>
      <c r="AV82" s="52"/>
      <c r="AW82" s="52"/>
      <c r="AX82" s="52"/>
      <c r="AY82" s="77"/>
      <c r="AZ82" s="52"/>
      <c r="BA82" s="52"/>
      <c r="BB82" s="148"/>
      <c r="BC82" s="143"/>
      <c r="BD82" s="52"/>
      <c r="BE82" s="52"/>
      <c r="BF82" s="143"/>
      <c r="BG82" s="125"/>
      <c r="BH82" s="125"/>
      <c r="BI82" s="170"/>
      <c r="BJ82" s="166"/>
      <c r="BK82" s="15"/>
      <c r="BL82" s="15"/>
      <c r="BM82" s="52"/>
      <c r="BN82" s="52"/>
      <c r="BO82" s="52"/>
      <c r="BP82" s="52"/>
      <c r="BQ82" s="77"/>
      <c r="BR82" s="52"/>
      <c r="BS82" s="52"/>
      <c r="BT82" s="148"/>
      <c r="BU82" s="143"/>
      <c r="BV82" s="52"/>
      <c r="BW82" s="52"/>
      <c r="BX82" s="143"/>
      <c r="BY82" s="125"/>
      <c r="BZ82" s="125"/>
      <c r="CA82" s="259"/>
    </row>
    <row r="83" spans="2:79">
      <c r="B83" s="248">
        <v>40855</v>
      </c>
      <c r="C83" s="15"/>
      <c r="D83" s="15"/>
      <c r="E83" s="15"/>
      <c r="F83" s="52"/>
      <c r="G83" s="52"/>
      <c r="H83" s="52"/>
      <c r="I83" s="52"/>
      <c r="J83" s="77"/>
      <c r="K83" s="605"/>
      <c r="L83" s="52"/>
      <c r="M83" s="52"/>
      <c r="N83" s="52"/>
      <c r="O83" s="52"/>
      <c r="P83" s="1115"/>
      <c r="Q83" s="143"/>
      <c r="R83" s="52"/>
      <c r="S83" s="52"/>
      <c r="T83" s="52"/>
      <c r="U83" s="16"/>
      <c r="V83" s="220"/>
      <c r="W83" s="364"/>
      <c r="X83" s="680"/>
      <c r="Y83" s="170"/>
      <c r="Z83" s="166"/>
      <c r="AA83" s="15"/>
      <c r="AB83" s="15"/>
      <c r="AC83" s="52"/>
      <c r="AD83" s="52"/>
      <c r="AE83" s="52"/>
      <c r="AF83" s="52"/>
      <c r="AG83" s="77"/>
      <c r="AH83" s="52"/>
      <c r="AI83" s="52"/>
      <c r="AJ83" s="148"/>
      <c r="AK83" s="143"/>
      <c r="AL83" s="52"/>
      <c r="AM83" s="52"/>
      <c r="AN83" s="143"/>
      <c r="AO83" s="125"/>
      <c r="AP83" s="125"/>
      <c r="AQ83" s="170"/>
      <c r="AR83" s="166"/>
      <c r="AS83" s="15"/>
      <c r="AT83" s="15"/>
      <c r="AU83" s="52"/>
      <c r="AV83" s="52"/>
      <c r="AW83" s="52"/>
      <c r="AX83" s="52"/>
      <c r="AY83" s="77"/>
      <c r="AZ83" s="52"/>
      <c r="BA83" s="52"/>
      <c r="BB83" s="148"/>
      <c r="BC83" s="143"/>
      <c r="BD83" s="52"/>
      <c r="BE83" s="52"/>
      <c r="BF83" s="143"/>
      <c r="BG83" s="125"/>
      <c r="BH83" s="125"/>
      <c r="BI83" s="170"/>
      <c r="BJ83" s="166"/>
      <c r="BK83" s="15"/>
      <c r="BL83" s="15"/>
      <c r="BM83" s="52"/>
      <c r="BN83" s="52"/>
      <c r="BO83" s="52"/>
      <c r="BP83" s="52"/>
      <c r="BQ83" s="77"/>
      <c r="BR83" s="52"/>
      <c r="BS83" s="52"/>
      <c r="BT83" s="148"/>
      <c r="BU83" s="143"/>
      <c r="BV83" s="52"/>
      <c r="BW83" s="52"/>
      <c r="BX83" s="143"/>
      <c r="BY83" s="125"/>
      <c r="BZ83" s="125"/>
      <c r="CA83" s="259"/>
    </row>
    <row r="84" spans="2:79">
      <c r="B84" s="248">
        <v>40856</v>
      </c>
      <c r="C84" s="15"/>
      <c r="D84" s="15"/>
      <c r="E84" s="15"/>
      <c r="F84" s="52"/>
      <c r="G84" s="52"/>
      <c r="H84" s="52"/>
      <c r="I84" s="52"/>
      <c r="J84" s="77"/>
      <c r="K84" s="605"/>
      <c r="L84" s="52"/>
      <c r="M84" s="52"/>
      <c r="N84" s="52"/>
      <c r="O84" s="52"/>
      <c r="P84" s="1115"/>
      <c r="Q84" s="143"/>
      <c r="R84" s="52"/>
      <c r="S84" s="52"/>
      <c r="T84" s="52"/>
      <c r="U84" s="16"/>
      <c r="V84" s="220"/>
      <c r="W84" s="364"/>
      <c r="X84" s="680"/>
      <c r="Y84" s="170"/>
      <c r="Z84" s="166"/>
      <c r="AA84" s="15"/>
      <c r="AB84" s="15"/>
      <c r="AC84" s="52"/>
      <c r="AD84" s="52"/>
      <c r="AE84" s="52"/>
      <c r="AF84" s="52"/>
      <c r="AG84" s="77"/>
      <c r="AH84" s="52"/>
      <c r="AI84" s="52"/>
      <c r="AJ84" s="148"/>
      <c r="AK84" s="143"/>
      <c r="AL84" s="52"/>
      <c r="AM84" s="52"/>
      <c r="AN84" s="143"/>
      <c r="AO84" s="125"/>
      <c r="AP84" s="125"/>
      <c r="AQ84" s="170"/>
      <c r="AR84" s="166"/>
      <c r="AS84" s="15"/>
      <c r="AT84" s="15"/>
      <c r="AU84" s="52"/>
      <c r="AV84" s="52"/>
      <c r="AW84" s="52"/>
      <c r="AX84" s="52"/>
      <c r="AY84" s="77"/>
      <c r="AZ84" s="52"/>
      <c r="BA84" s="52"/>
      <c r="BB84" s="148"/>
      <c r="BC84" s="143"/>
      <c r="BD84" s="52"/>
      <c r="BE84" s="52"/>
      <c r="BF84" s="143"/>
      <c r="BG84" s="125"/>
      <c r="BH84" s="125"/>
      <c r="BI84" s="170"/>
      <c r="BJ84" s="166"/>
      <c r="BK84" s="15"/>
      <c r="BL84" s="15"/>
      <c r="BM84" s="52"/>
      <c r="BN84" s="52"/>
      <c r="BO84" s="52"/>
      <c r="BP84" s="52"/>
      <c r="BQ84" s="77"/>
      <c r="BR84" s="52"/>
      <c r="BS84" s="52"/>
      <c r="BT84" s="148"/>
      <c r="BU84" s="143"/>
      <c r="BV84" s="52"/>
      <c r="BW84" s="52"/>
      <c r="BX84" s="143"/>
      <c r="BY84" s="125"/>
      <c r="BZ84" s="125"/>
      <c r="CA84" s="259"/>
    </row>
    <row r="85" spans="2:79">
      <c r="B85" s="248">
        <v>40857</v>
      </c>
      <c r="C85" s="15"/>
      <c r="D85" s="15"/>
      <c r="E85" s="15"/>
      <c r="F85" s="52"/>
      <c r="G85" s="52"/>
      <c r="H85" s="52"/>
      <c r="I85" s="52"/>
      <c r="J85" s="77"/>
      <c r="K85" s="605"/>
      <c r="L85" s="52"/>
      <c r="M85" s="52"/>
      <c r="N85" s="52"/>
      <c r="O85" s="52"/>
      <c r="P85" s="1115"/>
      <c r="Q85" s="143"/>
      <c r="R85" s="52"/>
      <c r="S85" s="52"/>
      <c r="T85" s="52"/>
      <c r="U85" s="16"/>
      <c r="V85" s="220"/>
      <c r="W85" s="364"/>
      <c r="X85" s="680"/>
      <c r="Y85" s="170"/>
      <c r="Z85" s="166"/>
      <c r="AA85" s="15"/>
      <c r="AB85" s="15"/>
      <c r="AC85" s="52"/>
      <c r="AD85" s="52"/>
      <c r="AE85" s="52"/>
      <c r="AF85" s="52"/>
      <c r="AG85" s="77"/>
      <c r="AH85" s="52"/>
      <c r="AI85" s="52"/>
      <c r="AJ85" s="148"/>
      <c r="AK85" s="143"/>
      <c r="AL85" s="52"/>
      <c r="AM85" s="52"/>
      <c r="AN85" s="143"/>
      <c r="AO85" s="125"/>
      <c r="AP85" s="125"/>
      <c r="AQ85" s="170"/>
      <c r="AR85" s="166"/>
      <c r="AS85" s="15"/>
      <c r="AT85" s="15"/>
      <c r="AU85" s="52"/>
      <c r="AV85" s="52"/>
      <c r="AW85" s="52"/>
      <c r="AX85" s="52"/>
      <c r="AY85" s="77"/>
      <c r="AZ85" s="52"/>
      <c r="BA85" s="52"/>
      <c r="BB85" s="148"/>
      <c r="BC85" s="143"/>
      <c r="BD85" s="52"/>
      <c r="BE85" s="52"/>
      <c r="BF85" s="143"/>
      <c r="BG85" s="125"/>
      <c r="BH85" s="125"/>
      <c r="BI85" s="170"/>
      <c r="BJ85" s="166"/>
      <c r="BK85" s="15"/>
      <c r="BL85" s="15"/>
      <c r="BM85" s="52"/>
      <c r="BN85" s="52"/>
      <c r="BO85" s="52"/>
      <c r="BP85" s="52"/>
      <c r="BQ85" s="77"/>
      <c r="BR85" s="52"/>
      <c r="BS85" s="52"/>
      <c r="BT85" s="148"/>
      <c r="BU85" s="143"/>
      <c r="BV85" s="52"/>
      <c r="BW85" s="52"/>
      <c r="BX85" s="143"/>
      <c r="BY85" s="125"/>
      <c r="BZ85" s="125"/>
      <c r="CA85" s="259"/>
    </row>
    <row r="86" spans="2:79">
      <c r="B86" s="253">
        <v>40858</v>
      </c>
      <c r="C86" s="15"/>
      <c r="D86" s="15"/>
      <c r="E86" s="15"/>
      <c r="F86" s="52"/>
      <c r="G86" s="52"/>
      <c r="H86" s="52"/>
      <c r="I86" s="52"/>
      <c r="J86" s="77"/>
      <c r="K86" s="605"/>
      <c r="L86" s="52"/>
      <c r="M86" s="52"/>
      <c r="N86" s="52"/>
      <c r="O86" s="52"/>
      <c r="P86" s="1115"/>
      <c r="Q86" s="143"/>
      <c r="R86" s="52"/>
      <c r="S86" s="52"/>
      <c r="T86" s="52"/>
      <c r="U86" s="16"/>
      <c r="V86" s="220"/>
      <c r="W86" s="364"/>
      <c r="X86" s="680"/>
      <c r="Y86" s="170"/>
      <c r="Z86" s="166"/>
      <c r="AA86" s="15"/>
      <c r="AB86" s="15"/>
      <c r="AC86" s="52"/>
      <c r="AD86" s="52"/>
      <c r="AE86" s="52"/>
      <c r="AF86" s="52"/>
      <c r="AG86" s="77"/>
      <c r="AH86" s="52"/>
      <c r="AI86" s="52"/>
      <c r="AJ86" s="148"/>
      <c r="AK86" s="143"/>
      <c r="AL86" s="52"/>
      <c r="AM86" s="52"/>
      <c r="AN86" s="143"/>
      <c r="AO86" s="125"/>
      <c r="AP86" s="125"/>
      <c r="AQ86" s="170"/>
      <c r="AR86" s="166"/>
      <c r="AS86" s="15"/>
      <c r="AT86" s="15"/>
      <c r="AU86" s="52"/>
      <c r="AV86" s="52"/>
      <c r="AW86" s="52"/>
      <c r="AX86" s="52"/>
      <c r="AY86" s="77"/>
      <c r="AZ86" s="52"/>
      <c r="BA86" s="52"/>
      <c r="BB86" s="148"/>
      <c r="BC86" s="143"/>
      <c r="BD86" s="52"/>
      <c r="BE86" s="52"/>
      <c r="BF86" s="143"/>
      <c r="BG86" s="125"/>
      <c r="BH86" s="125"/>
      <c r="BI86" s="170"/>
      <c r="BJ86" s="166"/>
      <c r="BK86" s="15"/>
      <c r="BL86" s="15"/>
      <c r="BM86" s="52"/>
      <c r="BN86" s="52"/>
      <c r="BO86" s="52"/>
      <c r="BP86" s="52"/>
      <c r="BQ86" s="77"/>
      <c r="BR86" s="52"/>
      <c r="BS86" s="52"/>
      <c r="BT86" s="148"/>
      <c r="BU86" s="143"/>
      <c r="BV86" s="52"/>
      <c r="BW86" s="52"/>
      <c r="BX86" s="143"/>
      <c r="BY86" s="125"/>
      <c r="BZ86" s="125"/>
      <c r="CA86" s="259"/>
    </row>
    <row r="87" spans="2:79">
      <c r="B87" s="253">
        <v>40859</v>
      </c>
      <c r="C87" s="15"/>
      <c r="D87" s="15"/>
      <c r="E87" s="15"/>
      <c r="F87" s="52"/>
      <c r="G87" s="52"/>
      <c r="H87" s="52"/>
      <c r="I87" s="52"/>
      <c r="J87" s="77"/>
      <c r="K87" s="605"/>
      <c r="L87" s="52"/>
      <c r="M87" s="52"/>
      <c r="N87" s="52"/>
      <c r="O87" s="52"/>
      <c r="P87" s="1115"/>
      <c r="Q87" s="143"/>
      <c r="R87" s="52"/>
      <c r="S87" s="52"/>
      <c r="T87" s="52"/>
      <c r="U87" s="16"/>
      <c r="V87" s="220"/>
      <c r="W87" s="364"/>
      <c r="X87" s="680"/>
      <c r="Y87" s="170"/>
      <c r="Z87" s="166"/>
      <c r="AA87" s="15"/>
      <c r="AB87" s="15"/>
      <c r="AC87" s="52"/>
      <c r="AD87" s="52"/>
      <c r="AE87" s="52"/>
      <c r="AF87" s="52"/>
      <c r="AG87" s="77"/>
      <c r="AH87" s="52"/>
      <c r="AI87" s="52"/>
      <c r="AJ87" s="148"/>
      <c r="AK87" s="143"/>
      <c r="AL87" s="52"/>
      <c r="AM87" s="52"/>
      <c r="AN87" s="143"/>
      <c r="AO87" s="125"/>
      <c r="AP87" s="125"/>
      <c r="AQ87" s="170"/>
      <c r="AR87" s="166"/>
      <c r="AS87" s="15"/>
      <c r="AT87" s="15"/>
      <c r="AU87" s="52"/>
      <c r="AV87" s="52"/>
      <c r="AW87" s="52"/>
      <c r="AX87" s="52"/>
      <c r="AY87" s="77"/>
      <c r="AZ87" s="52"/>
      <c r="BA87" s="52"/>
      <c r="BB87" s="148"/>
      <c r="BC87" s="143"/>
      <c r="BD87" s="52"/>
      <c r="BE87" s="52"/>
      <c r="BF87" s="143"/>
      <c r="BG87" s="125"/>
      <c r="BH87" s="125"/>
      <c r="BI87" s="170"/>
      <c r="BJ87" s="166"/>
      <c r="BK87" s="15"/>
      <c r="BL87" s="15"/>
      <c r="BM87" s="52"/>
      <c r="BN87" s="52"/>
      <c r="BO87" s="52"/>
      <c r="BP87" s="52"/>
      <c r="BQ87" s="77"/>
      <c r="BR87" s="52"/>
      <c r="BS87" s="52"/>
      <c r="BT87" s="148"/>
      <c r="BU87" s="143"/>
      <c r="BV87" s="52"/>
      <c r="BW87" s="52"/>
      <c r="BX87" s="143"/>
      <c r="BY87" s="125"/>
      <c r="BZ87" s="125"/>
      <c r="CA87" s="259"/>
    </row>
    <row r="88" spans="2:79">
      <c r="B88" s="254" t="s">
        <v>160</v>
      </c>
      <c r="C88" s="27"/>
      <c r="D88" s="27"/>
      <c r="E88" s="27"/>
      <c r="F88" s="56"/>
      <c r="G88" s="56"/>
      <c r="H88" s="56"/>
      <c r="I88" s="56"/>
      <c r="J88" s="227"/>
      <c r="K88" s="610"/>
      <c r="L88" s="56"/>
      <c r="M88" s="56"/>
      <c r="N88" s="56"/>
      <c r="O88" s="56"/>
      <c r="P88" s="370"/>
      <c r="Q88" s="144"/>
      <c r="R88" s="56"/>
      <c r="S88" s="56"/>
      <c r="T88" s="56"/>
      <c r="U88" s="28"/>
      <c r="V88" s="221"/>
      <c r="W88" s="368"/>
      <c r="X88" s="700"/>
      <c r="Y88" s="171"/>
      <c r="Z88" s="164"/>
      <c r="AA88" s="27"/>
      <c r="AB88" s="27"/>
      <c r="AC88" s="56"/>
      <c r="AD88" s="56"/>
      <c r="AE88" s="56"/>
      <c r="AF88" s="56"/>
      <c r="AG88" s="227"/>
      <c r="AH88" s="56"/>
      <c r="AI88" s="56"/>
      <c r="AJ88" s="149"/>
      <c r="AK88" s="144"/>
      <c r="AL88" s="56"/>
      <c r="AM88" s="56"/>
      <c r="AN88" s="144"/>
      <c r="AO88" s="126"/>
      <c r="AP88" s="126"/>
      <c r="AQ88" s="171"/>
      <c r="AR88" s="164"/>
      <c r="AS88" s="27"/>
      <c r="AT88" s="27"/>
      <c r="AU88" s="56"/>
      <c r="AV88" s="56"/>
      <c r="AW88" s="56"/>
      <c r="AX88" s="56"/>
      <c r="AY88" s="227"/>
      <c r="AZ88" s="56"/>
      <c r="BA88" s="56"/>
      <c r="BB88" s="149"/>
      <c r="BC88" s="144"/>
      <c r="BD88" s="56"/>
      <c r="BE88" s="56"/>
      <c r="BF88" s="144"/>
      <c r="BG88" s="126"/>
      <c r="BH88" s="126"/>
      <c r="BI88" s="171"/>
      <c r="BJ88" s="164"/>
      <c r="BK88" s="27"/>
      <c r="BL88" s="27"/>
      <c r="BM88" s="56"/>
      <c r="BN88" s="56"/>
      <c r="BO88" s="56"/>
      <c r="BP88" s="56"/>
      <c r="BQ88" s="227"/>
      <c r="BR88" s="56"/>
      <c r="BS88" s="56"/>
      <c r="BT88" s="149"/>
      <c r="BU88" s="144"/>
      <c r="BV88" s="56"/>
      <c r="BW88" s="56"/>
      <c r="BX88" s="144"/>
      <c r="BY88" s="126"/>
      <c r="BZ88" s="126"/>
      <c r="CA88" s="260"/>
    </row>
    <row r="89" spans="2:79">
      <c r="B89" s="248">
        <v>40860</v>
      </c>
      <c r="C89" s="15"/>
      <c r="D89" s="15"/>
      <c r="E89" s="15"/>
      <c r="F89" s="52"/>
      <c r="G89" s="52"/>
      <c r="H89" s="52"/>
      <c r="I89" s="52"/>
      <c r="J89" s="77"/>
      <c r="K89" s="605"/>
      <c r="L89" s="52"/>
      <c r="M89" s="52"/>
      <c r="N89" s="52"/>
      <c r="O89" s="52"/>
      <c r="P89" s="1115"/>
      <c r="Q89" s="143"/>
      <c r="R89" s="52"/>
      <c r="S89" s="52"/>
      <c r="T89" s="52"/>
      <c r="U89" s="16"/>
      <c r="V89" s="220"/>
      <c r="W89" s="364"/>
      <c r="X89" s="680"/>
      <c r="Y89" s="170"/>
      <c r="Z89" s="166"/>
      <c r="AA89" s="15"/>
      <c r="AB89" s="15"/>
      <c r="AC89" s="52"/>
      <c r="AD89" s="52"/>
      <c r="AE89" s="52"/>
      <c r="AF89" s="52"/>
      <c r="AG89" s="77"/>
      <c r="AH89" s="52"/>
      <c r="AI89" s="52"/>
      <c r="AJ89" s="148"/>
      <c r="AK89" s="143"/>
      <c r="AL89" s="52"/>
      <c r="AM89" s="52"/>
      <c r="AN89" s="143"/>
      <c r="AO89" s="125"/>
      <c r="AP89" s="125"/>
      <c r="AQ89" s="170"/>
      <c r="AR89" s="166"/>
      <c r="AS89" s="15"/>
      <c r="AT89" s="15"/>
      <c r="AU89" s="52"/>
      <c r="AV89" s="52"/>
      <c r="AW89" s="52"/>
      <c r="AX89" s="52"/>
      <c r="AY89" s="77"/>
      <c r="AZ89" s="52"/>
      <c r="BA89" s="52"/>
      <c r="BB89" s="148"/>
      <c r="BC89" s="143"/>
      <c r="BD89" s="52"/>
      <c r="BE89" s="52"/>
      <c r="BF89" s="143"/>
      <c r="BG89" s="125"/>
      <c r="BH89" s="125"/>
      <c r="BI89" s="170"/>
      <c r="BJ89" s="166"/>
      <c r="BK89" s="15"/>
      <c r="BL89" s="15"/>
      <c r="BM89" s="52"/>
      <c r="BN89" s="52"/>
      <c r="BO89" s="52"/>
      <c r="BP89" s="52"/>
      <c r="BQ89" s="77"/>
      <c r="BR89" s="52"/>
      <c r="BS89" s="52"/>
      <c r="BT89" s="148"/>
      <c r="BU89" s="143"/>
      <c r="BV89" s="52"/>
      <c r="BW89" s="52"/>
      <c r="BX89" s="143"/>
      <c r="BY89" s="125"/>
      <c r="BZ89" s="125"/>
      <c r="CA89" s="259"/>
    </row>
    <row r="90" spans="2:79">
      <c r="B90" s="248">
        <v>40861</v>
      </c>
      <c r="C90" s="15"/>
      <c r="D90" s="15"/>
      <c r="E90" s="15"/>
      <c r="F90" s="52"/>
      <c r="G90" s="52"/>
      <c r="H90" s="52"/>
      <c r="I90" s="52"/>
      <c r="J90" s="77"/>
      <c r="K90" s="605"/>
      <c r="L90" s="52"/>
      <c r="M90" s="52"/>
      <c r="N90" s="52"/>
      <c r="O90" s="52"/>
      <c r="P90" s="1115"/>
      <c r="Q90" s="143"/>
      <c r="R90" s="52"/>
      <c r="S90" s="52"/>
      <c r="T90" s="52"/>
      <c r="U90" s="16"/>
      <c r="V90" s="220"/>
      <c r="W90" s="364"/>
      <c r="X90" s="680"/>
      <c r="Y90" s="170"/>
      <c r="Z90" s="166"/>
      <c r="AA90" s="15"/>
      <c r="AB90" s="15"/>
      <c r="AC90" s="52"/>
      <c r="AD90" s="52"/>
      <c r="AE90" s="52"/>
      <c r="AF90" s="52"/>
      <c r="AG90" s="77"/>
      <c r="AH90" s="52"/>
      <c r="AI90" s="52"/>
      <c r="AJ90" s="148"/>
      <c r="AK90" s="143"/>
      <c r="AL90" s="52"/>
      <c r="AM90" s="52"/>
      <c r="AN90" s="143"/>
      <c r="AO90" s="125"/>
      <c r="AP90" s="125"/>
      <c r="AQ90" s="170"/>
      <c r="AR90" s="166"/>
      <c r="AS90" s="15"/>
      <c r="AT90" s="15"/>
      <c r="AU90" s="52"/>
      <c r="AV90" s="52"/>
      <c r="AW90" s="52"/>
      <c r="AX90" s="52"/>
      <c r="AY90" s="77"/>
      <c r="AZ90" s="52"/>
      <c r="BA90" s="52"/>
      <c r="BB90" s="148"/>
      <c r="BC90" s="143"/>
      <c r="BD90" s="52"/>
      <c r="BE90" s="52"/>
      <c r="BF90" s="143"/>
      <c r="BG90" s="125"/>
      <c r="BH90" s="125"/>
      <c r="BI90" s="170"/>
      <c r="BJ90" s="166"/>
      <c r="BK90" s="15"/>
      <c r="BL90" s="15"/>
      <c r="BM90" s="52"/>
      <c r="BN90" s="52"/>
      <c r="BO90" s="52"/>
      <c r="BP90" s="52"/>
      <c r="BQ90" s="77"/>
      <c r="BR90" s="52"/>
      <c r="BS90" s="52"/>
      <c r="BT90" s="148"/>
      <c r="BU90" s="143"/>
      <c r="BV90" s="52"/>
      <c r="BW90" s="52"/>
      <c r="BX90" s="143"/>
      <c r="BY90" s="125"/>
      <c r="BZ90" s="125"/>
      <c r="CA90" s="259"/>
    </row>
    <row r="91" spans="2:79">
      <c r="B91" s="248">
        <v>40862</v>
      </c>
      <c r="C91" s="15"/>
      <c r="D91" s="15"/>
      <c r="E91" s="15"/>
      <c r="F91" s="52"/>
      <c r="G91" s="52"/>
      <c r="H91" s="52"/>
      <c r="I91" s="52"/>
      <c r="J91" s="77"/>
      <c r="K91" s="605"/>
      <c r="L91" s="52"/>
      <c r="M91" s="52"/>
      <c r="N91" s="52"/>
      <c r="O91" s="52"/>
      <c r="P91" s="1115"/>
      <c r="Q91" s="143"/>
      <c r="R91" s="52"/>
      <c r="S91" s="52"/>
      <c r="T91" s="52"/>
      <c r="U91" s="16"/>
      <c r="V91" s="220"/>
      <c r="W91" s="364"/>
      <c r="X91" s="680"/>
      <c r="Y91" s="170"/>
      <c r="Z91" s="166"/>
      <c r="AA91" s="15"/>
      <c r="AB91" s="15"/>
      <c r="AC91" s="52"/>
      <c r="AD91" s="52"/>
      <c r="AE91" s="52"/>
      <c r="AF91" s="52"/>
      <c r="AG91" s="77"/>
      <c r="AH91" s="52"/>
      <c r="AI91" s="52"/>
      <c r="AJ91" s="148"/>
      <c r="AK91" s="143"/>
      <c r="AL91" s="52"/>
      <c r="AM91" s="52"/>
      <c r="AN91" s="143"/>
      <c r="AO91" s="125"/>
      <c r="AP91" s="125"/>
      <c r="AQ91" s="170"/>
      <c r="AR91" s="166"/>
      <c r="AS91" s="15"/>
      <c r="AT91" s="15"/>
      <c r="AU91" s="52"/>
      <c r="AV91" s="52"/>
      <c r="AW91" s="52"/>
      <c r="AX91" s="52"/>
      <c r="AY91" s="77"/>
      <c r="AZ91" s="52"/>
      <c r="BA91" s="52"/>
      <c r="BB91" s="148"/>
      <c r="BC91" s="143"/>
      <c r="BD91" s="52"/>
      <c r="BE91" s="52"/>
      <c r="BF91" s="143"/>
      <c r="BG91" s="125"/>
      <c r="BH91" s="125"/>
      <c r="BI91" s="170"/>
      <c r="BJ91" s="166"/>
      <c r="BK91" s="15"/>
      <c r="BL91" s="15"/>
      <c r="BM91" s="52"/>
      <c r="BN91" s="52"/>
      <c r="BO91" s="52"/>
      <c r="BP91" s="52"/>
      <c r="BQ91" s="77"/>
      <c r="BR91" s="52"/>
      <c r="BS91" s="52"/>
      <c r="BT91" s="148"/>
      <c r="BU91" s="143"/>
      <c r="BV91" s="52"/>
      <c r="BW91" s="52"/>
      <c r="BX91" s="143"/>
      <c r="BY91" s="125"/>
      <c r="BZ91" s="125"/>
      <c r="CA91" s="259"/>
    </row>
    <row r="92" spans="2:79">
      <c r="B92" s="248">
        <v>40863</v>
      </c>
      <c r="C92" s="15"/>
      <c r="D92" s="15"/>
      <c r="E92" s="15"/>
      <c r="F92" s="52"/>
      <c r="G92" s="52"/>
      <c r="H92" s="52"/>
      <c r="I92" s="52"/>
      <c r="J92" s="77"/>
      <c r="K92" s="605"/>
      <c r="L92" s="52"/>
      <c r="M92" s="52"/>
      <c r="N92" s="52"/>
      <c r="O92" s="52"/>
      <c r="P92" s="1115"/>
      <c r="Q92" s="143"/>
      <c r="R92" s="52"/>
      <c r="S92" s="52"/>
      <c r="T92" s="52"/>
      <c r="U92" s="16"/>
      <c r="V92" s="220"/>
      <c r="W92" s="364"/>
      <c r="X92" s="680"/>
      <c r="Y92" s="170"/>
      <c r="Z92" s="166"/>
      <c r="AA92" s="15"/>
      <c r="AB92" s="15"/>
      <c r="AC92" s="52"/>
      <c r="AD92" s="52"/>
      <c r="AE92" s="52"/>
      <c r="AF92" s="52"/>
      <c r="AG92" s="77"/>
      <c r="AH92" s="52"/>
      <c r="AI92" s="52"/>
      <c r="AJ92" s="148"/>
      <c r="AK92" s="143"/>
      <c r="AL92" s="52"/>
      <c r="AM92" s="52"/>
      <c r="AN92" s="143"/>
      <c r="AO92" s="125"/>
      <c r="AP92" s="125"/>
      <c r="AQ92" s="170"/>
      <c r="AR92" s="166"/>
      <c r="AS92" s="15"/>
      <c r="AT92" s="15"/>
      <c r="AU92" s="52"/>
      <c r="AV92" s="52"/>
      <c r="AW92" s="52"/>
      <c r="AX92" s="52"/>
      <c r="AY92" s="77"/>
      <c r="AZ92" s="52"/>
      <c r="BA92" s="52"/>
      <c r="BB92" s="148"/>
      <c r="BC92" s="143"/>
      <c r="BD92" s="52"/>
      <c r="BE92" s="52"/>
      <c r="BF92" s="143"/>
      <c r="BG92" s="125"/>
      <c r="BH92" s="125"/>
      <c r="BI92" s="170"/>
      <c r="BJ92" s="166"/>
      <c r="BK92" s="15"/>
      <c r="BL92" s="15"/>
      <c r="BM92" s="52"/>
      <c r="BN92" s="52"/>
      <c r="BO92" s="52"/>
      <c r="BP92" s="52"/>
      <c r="BQ92" s="77"/>
      <c r="BR92" s="52"/>
      <c r="BS92" s="52"/>
      <c r="BT92" s="148"/>
      <c r="BU92" s="143"/>
      <c r="BV92" s="52"/>
      <c r="BW92" s="52"/>
      <c r="BX92" s="143"/>
      <c r="BY92" s="125"/>
      <c r="BZ92" s="125"/>
      <c r="CA92" s="259"/>
    </row>
    <row r="93" spans="2:79">
      <c r="B93" s="248">
        <v>40864</v>
      </c>
      <c r="C93" s="15"/>
      <c r="D93" s="15"/>
      <c r="E93" s="15"/>
      <c r="F93" s="52"/>
      <c r="G93" s="52"/>
      <c r="H93" s="52"/>
      <c r="I93" s="52"/>
      <c r="J93" s="77"/>
      <c r="K93" s="605"/>
      <c r="L93" s="52"/>
      <c r="M93" s="52"/>
      <c r="N93" s="52"/>
      <c r="O93" s="52"/>
      <c r="P93" s="1115"/>
      <c r="Q93" s="143"/>
      <c r="R93" s="52"/>
      <c r="S93" s="52"/>
      <c r="T93" s="52"/>
      <c r="U93" s="16"/>
      <c r="V93" s="220"/>
      <c r="W93" s="364"/>
      <c r="X93" s="680"/>
      <c r="Y93" s="170"/>
      <c r="Z93" s="166"/>
      <c r="AA93" s="15"/>
      <c r="AB93" s="15"/>
      <c r="AC93" s="52"/>
      <c r="AD93" s="52"/>
      <c r="AE93" s="52"/>
      <c r="AF93" s="52"/>
      <c r="AG93" s="77"/>
      <c r="AH93" s="52"/>
      <c r="AI93" s="52"/>
      <c r="AJ93" s="148"/>
      <c r="AK93" s="143"/>
      <c r="AL93" s="52"/>
      <c r="AM93" s="52"/>
      <c r="AN93" s="143"/>
      <c r="AO93" s="125"/>
      <c r="AP93" s="125"/>
      <c r="AQ93" s="170"/>
      <c r="AR93" s="166"/>
      <c r="AS93" s="15"/>
      <c r="AT93" s="15"/>
      <c r="AU93" s="52"/>
      <c r="AV93" s="52"/>
      <c r="AW93" s="52"/>
      <c r="AX93" s="52"/>
      <c r="AY93" s="77"/>
      <c r="AZ93" s="52"/>
      <c r="BA93" s="52"/>
      <c r="BB93" s="148"/>
      <c r="BC93" s="143"/>
      <c r="BD93" s="52"/>
      <c r="BE93" s="52"/>
      <c r="BF93" s="143"/>
      <c r="BG93" s="125"/>
      <c r="BH93" s="125"/>
      <c r="BI93" s="170"/>
      <c r="BJ93" s="166"/>
      <c r="BK93" s="15"/>
      <c r="BL93" s="15"/>
      <c r="BM93" s="52"/>
      <c r="BN93" s="52"/>
      <c r="BO93" s="52"/>
      <c r="BP93" s="52"/>
      <c r="BQ93" s="77"/>
      <c r="BR93" s="52"/>
      <c r="BS93" s="52"/>
      <c r="BT93" s="148"/>
      <c r="BU93" s="143"/>
      <c r="BV93" s="52"/>
      <c r="BW93" s="52"/>
      <c r="BX93" s="143"/>
      <c r="BY93" s="125"/>
      <c r="BZ93" s="125"/>
      <c r="CA93" s="259"/>
    </row>
    <row r="94" spans="2:79">
      <c r="B94" s="253">
        <v>40865</v>
      </c>
      <c r="C94" s="15"/>
      <c r="D94" s="15"/>
      <c r="E94" s="15"/>
      <c r="F94" s="52"/>
      <c r="G94" s="52"/>
      <c r="H94" s="52"/>
      <c r="I94" s="52"/>
      <c r="J94" s="77"/>
      <c r="K94" s="605"/>
      <c r="L94" s="52"/>
      <c r="M94" s="52"/>
      <c r="N94" s="52"/>
      <c r="O94" s="52"/>
      <c r="P94" s="1115"/>
      <c r="Q94" s="143"/>
      <c r="R94" s="52"/>
      <c r="S94" s="52"/>
      <c r="T94" s="52"/>
      <c r="U94" s="16"/>
      <c r="V94" s="220"/>
      <c r="W94" s="364"/>
      <c r="X94" s="680"/>
      <c r="Y94" s="170"/>
      <c r="Z94" s="166"/>
      <c r="AA94" s="15"/>
      <c r="AB94" s="15"/>
      <c r="AC94" s="52"/>
      <c r="AD94" s="52"/>
      <c r="AE94" s="52"/>
      <c r="AF94" s="52"/>
      <c r="AG94" s="77"/>
      <c r="AH94" s="52"/>
      <c r="AI94" s="52"/>
      <c r="AJ94" s="148"/>
      <c r="AK94" s="143"/>
      <c r="AL94" s="52"/>
      <c r="AM94" s="52"/>
      <c r="AN94" s="143"/>
      <c r="AO94" s="125"/>
      <c r="AP94" s="125"/>
      <c r="AQ94" s="170"/>
      <c r="AR94" s="166"/>
      <c r="AS94" s="15"/>
      <c r="AT94" s="15"/>
      <c r="AU94" s="52"/>
      <c r="AV94" s="52"/>
      <c r="AW94" s="52"/>
      <c r="AX94" s="52"/>
      <c r="AY94" s="77"/>
      <c r="AZ94" s="52"/>
      <c r="BA94" s="52"/>
      <c r="BB94" s="148"/>
      <c r="BC94" s="143"/>
      <c r="BD94" s="52"/>
      <c r="BE94" s="52"/>
      <c r="BF94" s="143"/>
      <c r="BG94" s="125"/>
      <c r="BH94" s="125"/>
      <c r="BI94" s="170"/>
      <c r="BJ94" s="166"/>
      <c r="BK94" s="15"/>
      <c r="BL94" s="15"/>
      <c r="BM94" s="52"/>
      <c r="BN94" s="52"/>
      <c r="BO94" s="52"/>
      <c r="BP94" s="52"/>
      <c r="BQ94" s="77"/>
      <c r="BR94" s="52"/>
      <c r="BS94" s="52"/>
      <c r="BT94" s="148"/>
      <c r="BU94" s="143"/>
      <c r="BV94" s="52"/>
      <c r="BW94" s="52"/>
      <c r="BX94" s="143"/>
      <c r="BY94" s="125"/>
      <c r="BZ94" s="125"/>
      <c r="CA94" s="259"/>
    </row>
    <row r="95" spans="2:79">
      <c r="B95" s="253">
        <v>40866</v>
      </c>
      <c r="C95" s="15"/>
      <c r="D95" s="15"/>
      <c r="E95" s="15"/>
      <c r="F95" s="52"/>
      <c r="G95" s="52"/>
      <c r="H95" s="52"/>
      <c r="I95" s="52"/>
      <c r="J95" s="77"/>
      <c r="K95" s="605"/>
      <c r="L95" s="52"/>
      <c r="M95" s="52"/>
      <c r="N95" s="52"/>
      <c r="O95" s="52"/>
      <c r="P95" s="1115"/>
      <c r="Q95" s="143"/>
      <c r="R95" s="52"/>
      <c r="S95" s="52"/>
      <c r="T95" s="52"/>
      <c r="U95" s="16"/>
      <c r="V95" s="220"/>
      <c r="W95" s="364"/>
      <c r="X95" s="680"/>
      <c r="Y95" s="170"/>
      <c r="Z95" s="166"/>
      <c r="AA95" s="15"/>
      <c r="AB95" s="15"/>
      <c r="AC95" s="52"/>
      <c r="AD95" s="52"/>
      <c r="AE95" s="52"/>
      <c r="AF95" s="52"/>
      <c r="AG95" s="77"/>
      <c r="AH95" s="52"/>
      <c r="AI95" s="52"/>
      <c r="AJ95" s="148"/>
      <c r="AK95" s="143"/>
      <c r="AL95" s="52"/>
      <c r="AM95" s="52"/>
      <c r="AN95" s="143"/>
      <c r="AO95" s="125"/>
      <c r="AP95" s="125"/>
      <c r="AQ95" s="170"/>
      <c r="AR95" s="166"/>
      <c r="AS95" s="15"/>
      <c r="AT95" s="15"/>
      <c r="AU95" s="52"/>
      <c r="AV95" s="52"/>
      <c r="AW95" s="52"/>
      <c r="AX95" s="52"/>
      <c r="AY95" s="77"/>
      <c r="AZ95" s="52"/>
      <c r="BA95" s="52"/>
      <c r="BB95" s="148"/>
      <c r="BC95" s="143"/>
      <c r="BD95" s="52"/>
      <c r="BE95" s="52"/>
      <c r="BF95" s="143"/>
      <c r="BG95" s="125"/>
      <c r="BH95" s="125"/>
      <c r="BI95" s="170"/>
      <c r="BJ95" s="166"/>
      <c r="BK95" s="15"/>
      <c r="BL95" s="15"/>
      <c r="BM95" s="52"/>
      <c r="BN95" s="52"/>
      <c r="BO95" s="52"/>
      <c r="BP95" s="52"/>
      <c r="BQ95" s="77"/>
      <c r="BR95" s="52"/>
      <c r="BS95" s="52"/>
      <c r="BT95" s="148"/>
      <c r="BU95" s="143"/>
      <c r="BV95" s="52"/>
      <c r="BW95" s="52"/>
      <c r="BX95" s="143"/>
      <c r="BY95" s="125"/>
      <c r="BZ95" s="125"/>
      <c r="CA95" s="259"/>
    </row>
    <row r="96" spans="2:79">
      <c r="B96" s="254" t="s">
        <v>160</v>
      </c>
      <c r="C96" s="27"/>
      <c r="D96" s="27"/>
      <c r="E96" s="27"/>
      <c r="F96" s="27"/>
      <c r="G96" s="27"/>
      <c r="H96" s="27"/>
      <c r="I96" s="27"/>
      <c r="J96" s="74"/>
      <c r="K96" s="27"/>
      <c r="L96" s="211"/>
      <c r="M96" s="56"/>
      <c r="N96" s="231"/>
      <c r="O96" s="227"/>
      <c r="P96" s="370"/>
      <c r="Q96" s="27"/>
      <c r="R96" s="56"/>
      <c r="S96" s="56"/>
      <c r="T96" s="27"/>
      <c r="U96" s="1149"/>
      <c r="V96" s="646"/>
      <c r="W96" s="1150"/>
      <c r="X96" s="700"/>
      <c r="Y96" s="1151"/>
      <c r="Z96" s="27"/>
      <c r="AA96" s="27"/>
      <c r="AB96" s="27"/>
      <c r="AC96" s="27"/>
      <c r="AD96" s="27"/>
      <c r="AE96" s="27"/>
      <c r="AF96" s="27"/>
      <c r="AG96" s="74"/>
      <c r="AH96" s="231"/>
      <c r="AI96" s="227"/>
      <c r="AJ96" s="147"/>
      <c r="AK96" s="27"/>
      <c r="AL96" s="56"/>
      <c r="AM96" s="56"/>
      <c r="AN96" s="646"/>
      <c r="AO96" s="1152"/>
      <c r="AP96" s="126"/>
      <c r="AQ96" s="171"/>
      <c r="AR96" s="27"/>
      <c r="AS96" s="27"/>
      <c r="AT96" s="27"/>
      <c r="AU96" s="27"/>
      <c r="AV96" s="27"/>
      <c r="AW96" s="27"/>
      <c r="AX96" s="27"/>
      <c r="AY96" s="74"/>
      <c r="AZ96" s="231"/>
      <c r="BA96" s="227"/>
      <c r="BB96" s="147"/>
      <c r="BC96" s="27"/>
      <c r="BD96" s="56"/>
      <c r="BE96" s="56"/>
      <c r="BF96" s="646"/>
      <c r="BG96" s="1152"/>
      <c r="BH96" s="126"/>
      <c r="BI96" s="171"/>
      <c r="BJ96" s="27"/>
      <c r="BK96" s="27"/>
      <c r="BL96" s="27"/>
      <c r="BM96" s="27"/>
      <c r="BN96" s="27"/>
      <c r="BO96" s="27"/>
      <c r="BP96" s="27"/>
      <c r="BQ96" s="74"/>
      <c r="BR96" s="231"/>
      <c r="BS96" s="227"/>
      <c r="BT96" s="147"/>
      <c r="BU96" s="27"/>
      <c r="BV96" s="56"/>
      <c r="BW96" s="56"/>
      <c r="BX96" s="646"/>
      <c r="BY96" s="1152"/>
      <c r="BZ96" s="126"/>
      <c r="CA96" s="260"/>
    </row>
    <row r="97" spans="2:79" ht="16.2" thickBot="1">
      <c r="B97" s="261" t="s">
        <v>36</v>
      </c>
      <c r="C97" s="262">
        <f>SUM(C32,C40,C48,C56,C64,C72,C80,C88,C96)</f>
        <v>2627985</v>
      </c>
      <c r="D97" s="262">
        <f t="shared" ref="D97:I97" si="210">SUM(D32,D40,D48,D56,D64,D72,D80,D88,D96)</f>
        <v>2873</v>
      </c>
      <c r="E97" s="262">
        <f>SUM(E32,E40,E48,E56,E64)</f>
        <v>1165644</v>
      </c>
      <c r="F97" s="262">
        <f t="shared" si="210"/>
        <v>504670</v>
      </c>
      <c r="G97" s="262">
        <f t="shared" si="210"/>
        <v>180997</v>
      </c>
      <c r="H97" s="262">
        <f t="shared" si="210"/>
        <v>83884</v>
      </c>
      <c r="I97" s="262">
        <f t="shared" si="210"/>
        <v>45164</v>
      </c>
      <c r="J97" s="268">
        <f>SUM(J32,J40,J48,J56,J64,J72,J80,J88,J96)</f>
        <v>7037.8677000000016</v>
      </c>
      <c r="K97" s="611">
        <f>J97/C5</f>
        <v>0.99312331724663472</v>
      </c>
      <c r="L97" s="343">
        <f>D97/C97</f>
        <v>1.0932330283468133E-3</v>
      </c>
      <c r="M97" s="262">
        <f t="shared" ref="M97" si="211">SUM(M32,M40,M48,M56,M64,M72,M80,M88,M96)</f>
        <v>351000</v>
      </c>
      <c r="N97" s="269">
        <f>J97/E97</f>
        <v>6.0377505481948191E-3</v>
      </c>
      <c r="O97" s="269">
        <f>J97/I97</f>
        <v>0.15582914932246925</v>
      </c>
      <c r="P97" s="520">
        <f>E97/M97</f>
        <v>3.3209230769230769</v>
      </c>
      <c r="Q97" s="271">
        <f>SUM(Q32,Q40,Q48,Q56,Q64,Q72,Q80,Q88,Q96)</f>
        <v>620</v>
      </c>
      <c r="R97" s="262">
        <f t="shared" ref="R97:T97" si="212">SUM(R32,R40,R48,R56,R64,R72,R80,R88,R96)</f>
        <v>0</v>
      </c>
      <c r="S97" s="262">
        <f t="shared" si="212"/>
        <v>0</v>
      </c>
      <c r="T97" s="262">
        <f t="shared" si="212"/>
        <v>4111.2333333333336</v>
      </c>
      <c r="U97" s="611">
        <f>Q97/T97</f>
        <v>0.15080632737945629</v>
      </c>
      <c r="V97" s="1146">
        <f>J97/Q97</f>
        <v>11.351399516129035</v>
      </c>
      <c r="W97" s="655">
        <f>Q97/D97</f>
        <v>0.21580229725026104</v>
      </c>
      <c r="X97" s="701"/>
      <c r="Y97" s="266"/>
      <c r="Z97" s="267">
        <f>SUM(Z32,Z40,Z48,Z56,Z64,Z72,Z80,Z88,Z96)</f>
        <v>699440</v>
      </c>
      <c r="AA97" s="262">
        <f t="shared" ref="AA97:AM97" si="213">SUM(AA32,AA40,AA48,AA56,AA64,AA72,AA80,AA88,AA96)</f>
        <v>888</v>
      </c>
      <c r="AB97" s="262">
        <f t="shared" si="213"/>
        <v>311682</v>
      </c>
      <c r="AC97" s="262">
        <f t="shared" si="213"/>
        <v>107011</v>
      </c>
      <c r="AD97" s="262">
        <f t="shared" si="213"/>
        <v>31301</v>
      </c>
      <c r="AE97" s="262">
        <f t="shared" si="213"/>
        <v>12655</v>
      </c>
      <c r="AF97" s="262">
        <f t="shared" si="213"/>
        <v>6537</v>
      </c>
      <c r="AG97" s="268">
        <f t="shared" si="213"/>
        <v>1850.444915</v>
      </c>
      <c r="AH97" s="269">
        <f>AG97/AB97</f>
        <v>5.9369643258192642E-3</v>
      </c>
      <c r="AI97" s="269">
        <f>AG97/AF97</f>
        <v>0.28307249732293099</v>
      </c>
      <c r="AJ97" s="270">
        <f>AA97/Z97</f>
        <v>1.2695870982500285E-3</v>
      </c>
      <c r="AK97" s="271">
        <f t="shared" si="213"/>
        <v>202</v>
      </c>
      <c r="AL97" s="262">
        <f t="shared" si="213"/>
        <v>0</v>
      </c>
      <c r="AM97" s="262">
        <f t="shared" si="213"/>
        <v>0</v>
      </c>
      <c r="AN97" s="1153">
        <f t="shared" ref="AN97" si="214">AG97/AK97</f>
        <v>9.160618391089109</v>
      </c>
      <c r="AO97" s="611">
        <f t="shared" ref="AO97" si="215">AK97/AA97</f>
        <v>0.22747747747747749</v>
      </c>
      <c r="AP97" s="262">
        <f t="shared" ref="AP97:AY97" si="216">SUM(AP32,AP40,AP48,AP56,AP64,AP72,AP80,AP88,AP96)</f>
        <v>0</v>
      </c>
      <c r="AQ97" s="272">
        <f t="shared" si="216"/>
        <v>0</v>
      </c>
      <c r="AR97" s="267">
        <f t="shared" si="216"/>
        <v>513386</v>
      </c>
      <c r="AS97" s="262">
        <f t="shared" si="216"/>
        <v>790</v>
      </c>
      <c r="AT97" s="262">
        <f t="shared" si="216"/>
        <v>218098</v>
      </c>
      <c r="AU97" s="262">
        <f t="shared" si="216"/>
        <v>36653</v>
      </c>
      <c r="AV97" s="262">
        <f t="shared" si="216"/>
        <v>7854</v>
      </c>
      <c r="AW97" s="268">
        <f t="shared" si="216"/>
        <v>3252</v>
      </c>
      <c r="AX97" s="262">
        <f t="shared" si="216"/>
        <v>1804</v>
      </c>
      <c r="AY97" s="268">
        <f t="shared" si="216"/>
        <v>1441.6524360000001</v>
      </c>
      <c r="AZ97" s="1212">
        <f>AY97/AT97</f>
        <v>6.6101130500967461E-3</v>
      </c>
      <c r="BA97" s="1212">
        <f>AY97/AX97</f>
        <v>0.79914214855875831</v>
      </c>
      <c r="BB97" s="1213">
        <f>AS97/AR97</f>
        <v>1.5388031617535344E-3</v>
      </c>
      <c r="BC97" s="1214">
        <f>SUM(BC32,BC40,BC48,BC56,BC64,BC72,BC80,BC88,BC96)</f>
        <v>227</v>
      </c>
      <c r="BD97" s="1216">
        <f>SUM(BD32,BD40,BD48,BD56,BD64,BD72,BD80,BD88,BD96)</f>
        <v>0</v>
      </c>
      <c r="BE97" s="262">
        <f>SUM(BE32,BE40,BE48,BE56,BE64,BE72,BE80,BE88,BE96)</f>
        <v>0</v>
      </c>
      <c r="BF97" s="1215">
        <f>AY97/BC97</f>
        <v>6.3508917885462557</v>
      </c>
      <c r="BG97" s="1217">
        <f>AVERAGE(BG32,BG40,BG48,BG56,BG64,BG72,BG80,BG88,BG96)</f>
        <v>0.2799041129396424</v>
      </c>
      <c r="BH97" s="1216">
        <f>SUM(BH32,BH40,BH48,BH56,BH64,BH72,BH80,BH88,BH96)</f>
        <v>0</v>
      </c>
      <c r="BI97" s="272">
        <f t="shared" ref="BI97:BM97" si="217">SUM(BI32,BI40,BI48,BI56,BI64,BI72,BI80,BI88,BI96)</f>
        <v>0</v>
      </c>
      <c r="BJ97" s="267">
        <f t="shared" si="217"/>
        <v>1415159</v>
      </c>
      <c r="BK97" s="262">
        <f t="shared" si="217"/>
        <v>1195</v>
      </c>
      <c r="BL97" s="262">
        <f t="shared" si="217"/>
        <v>635864</v>
      </c>
      <c r="BM97" s="262">
        <f t="shared" si="217"/>
        <v>361006</v>
      </c>
      <c r="BN97" s="262">
        <f t="shared" ref="BN97" si="218">SUM(BN32,BN40,BN48,BN56,BN64,BN72,BN80,BN88,BN96)</f>
        <v>141842</v>
      </c>
      <c r="BO97" s="262"/>
      <c r="BP97" s="262">
        <f t="shared" ref="BP97:BQ97" si="219">SUM(BP32,BP40,BP48,BP56,BP64,BP72,BP80,BP88,BP96)</f>
        <v>36823</v>
      </c>
      <c r="BQ97" s="268">
        <f t="shared" si="219"/>
        <v>3745.7703489999999</v>
      </c>
      <c r="BR97" s="269">
        <f>BQ97/BL97</f>
        <v>5.8908356959978866E-3</v>
      </c>
      <c r="BS97" s="269">
        <f>BQ97/BP97</f>
        <v>0.10172366045677973</v>
      </c>
      <c r="BT97" s="270">
        <f>BK97/BJ97</f>
        <v>8.4442808193284293E-4</v>
      </c>
      <c r="BU97" s="271">
        <f t="shared" ref="BU97" si="220">SUM(BU32,BU40,BU48,BU56,BU64,BU72,BU80,BU88,BU96)</f>
        <v>184</v>
      </c>
      <c r="BV97" s="263"/>
      <c r="BW97" s="263"/>
      <c r="BX97" s="1215">
        <f>BQ97/BU97</f>
        <v>20.357447548913044</v>
      </c>
      <c r="BY97" s="1217">
        <f>AVERAGE(BY32,BY40,BY48,BY56,BY64,BY72,BY80,BY88,BY96)</f>
        <v>0.15219596959284556</v>
      </c>
      <c r="BZ97" s="265"/>
      <c r="CA97" s="273"/>
    </row>
  </sheetData>
  <mergeCells count="16">
    <mergeCell ref="B7:Y7"/>
    <mergeCell ref="AR22:BI22"/>
    <mergeCell ref="BJ22:CA22"/>
    <mergeCell ref="Z23:AJ23"/>
    <mergeCell ref="AK23:AQ23"/>
    <mergeCell ref="AR23:BB23"/>
    <mergeCell ref="BC23:BI23"/>
    <mergeCell ref="BJ23:BT23"/>
    <mergeCell ref="BU23:CA23"/>
    <mergeCell ref="C23:P23"/>
    <mergeCell ref="C8:P8"/>
    <mergeCell ref="B22:Y22"/>
    <mergeCell ref="Z22:AQ22"/>
    <mergeCell ref="AA8:AC8"/>
    <mergeCell ref="Q8:Y8"/>
    <mergeCell ref="Q23:Y23"/>
  </mergeCells>
  <conditionalFormatting sqref="BQ21:BS21 BM21 BJ21 BB21:BC21 BG21">
    <cfRule type="cellIs" dxfId="2" priority="1" stopIfTrue="1" operator="greaterThan">
      <formula>1</formula>
    </cfRule>
  </conditionalFormatting>
  <pageMargins left="0.75" right="0.75" top="1" bottom="1" header="0.5" footer="0.5"/>
  <pageSetup paperSize="9"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Summary</vt:lpstr>
      <vt:lpstr>Daily_Total </vt:lpstr>
      <vt:lpstr>FB BoostUp</vt:lpstr>
      <vt:lpstr>Facebook Carousel</vt:lpstr>
      <vt:lpstr>Facebook Video</vt:lpstr>
      <vt:lpstr>Youtube Trueview</vt:lpstr>
      <vt:lpstr>IG Video</vt:lpstr>
      <vt:lpstr>Snapchat Video</vt:lpstr>
      <vt:lpstr>Twitter</vt:lpstr>
      <vt:lpstr>Snapchat Image</vt:lpstr>
      <vt:lpstr>GDN</vt:lpstr>
      <vt:lpstr>UAC</vt:lpstr>
      <vt:lpstr>Influencer Overall</vt:lpstr>
      <vt:lpstr>Influencer_Data</vt:lpstr>
      <vt:lpstr>LG.com Overview</vt:lpstr>
      <vt:lpstr>Owned Media</vt:lpstr>
      <vt:lpstr>'Daily_Total '!Print_Area</vt:lpstr>
      <vt:lpstr>'Facebook Carousel'!Print_Area</vt:lpstr>
      <vt:lpstr>'Facebook Video'!Print_Area</vt:lpstr>
      <vt:lpstr>'FB BoostUp'!Print_Area</vt:lpstr>
      <vt:lpstr>GDN!Print_Area</vt:lpstr>
      <vt:lpstr>'IG Video'!Print_Area</vt:lpstr>
      <vt:lpstr>'Influencer Overall'!Print_Area</vt:lpstr>
      <vt:lpstr>'Snapchat Image'!Print_Area</vt:lpstr>
      <vt:lpstr>'Snapchat Video'!Print_Area</vt:lpstr>
      <vt:lpstr>Summary!Print_Area</vt:lpstr>
      <vt:lpstr>Twitter!Print_Area</vt:lpstr>
      <vt:lpstr>UAC!Print_Area</vt:lpstr>
      <vt:lpstr>'Youtube Trueview'!Print_Area</vt:lpstr>
    </vt:vector>
  </TitlesOfParts>
  <Manager/>
  <Company>DMC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김우재</dc:creator>
  <cp:keywords/>
  <dc:description/>
  <cp:lastModifiedBy>user</cp:lastModifiedBy>
  <cp:revision/>
  <dcterms:created xsi:type="dcterms:W3CDTF">2005-11-24T04:59:18Z</dcterms:created>
  <dcterms:modified xsi:type="dcterms:W3CDTF">2022-12-14T12:08:53Z</dcterms:modified>
  <cp:category/>
  <cp:contentStatus/>
</cp:coreProperties>
</file>