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book G3\Documents\"/>
    </mc:Choice>
  </mc:AlternateContent>
  <xr:revisionPtr revIDLastSave="0" documentId="13_ncr:1_{AF8CA8C2-ED57-4031-8C1F-755C35DEBED0}" xr6:coauthVersionLast="47" xr6:coauthVersionMax="47" xr10:uidLastSave="{00000000-0000-0000-0000-000000000000}"/>
  <bookViews>
    <workbookView xWindow="-108" yWindow="-108" windowWidth="23256" windowHeight="12576" xr2:uid="{5C77FAC3-06A2-4B6E-BF8F-CBA39005E6B0}"/>
  </bookViews>
  <sheets>
    <sheet name="Financial Data" sheetId="1" r:id="rId1"/>
    <sheet name="Estimating beta extra" sheetId="8" r:id="rId2"/>
    <sheet name="Takeaway from Valuation" sheetId="11" r:id="rId3"/>
    <sheet name="DCF Valuation Model_FCF" sheetId="2" r:id="rId4"/>
    <sheet name="DCF Valuation Model_Dividends" sheetId="7" r:id="rId5"/>
    <sheet name="DCF Valution Model_FCFE" sheetId="5" r:id="rId6"/>
    <sheet name="Relative Valuation Model" sheetId="4" r:id="rId7"/>
    <sheet name="Ratio Analysis" sheetId="6" r:id="rId8"/>
    <sheet name="References" sheetId="10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7" l="1"/>
  <c r="P40" i="6"/>
  <c r="B42" i="2"/>
  <c r="F30" i="2"/>
  <c r="B41" i="2"/>
  <c r="C93" i="1"/>
  <c r="C98" i="1"/>
  <c r="N54" i="1"/>
  <c r="G8" i="7"/>
  <c r="E8" i="7"/>
  <c r="I8" i="7"/>
  <c r="J8" i="7"/>
  <c r="K8" i="7"/>
  <c r="L8" i="7"/>
  <c r="M8" i="7"/>
  <c r="N8" i="7"/>
  <c r="F3" i="7"/>
  <c r="M9" i="7"/>
  <c r="P9" i="6"/>
  <c r="P13" i="6"/>
  <c r="P17" i="6"/>
  <c r="C43" i="6"/>
  <c r="C42" i="6"/>
  <c r="C7" i="6"/>
  <c r="C40" i="6"/>
  <c r="C41" i="6"/>
  <c r="H40" i="6"/>
  <c r="C30" i="6"/>
  <c r="C31" i="6"/>
  <c r="C32" i="6"/>
  <c r="C34" i="6"/>
  <c r="P30" i="6"/>
  <c r="C33" i="6"/>
  <c r="H30" i="6"/>
  <c r="O21" i="1"/>
  <c r="C9" i="6"/>
  <c r="C24" i="6"/>
  <c r="P24" i="6"/>
  <c r="C23" i="6"/>
  <c r="C12" i="6"/>
  <c r="H24" i="6"/>
  <c r="J28" i="8"/>
  <c r="J27" i="8"/>
  <c r="D15" i="1"/>
  <c r="H9" i="6"/>
  <c r="D12" i="5"/>
  <c r="F20" i="5"/>
  <c r="E12" i="5"/>
  <c r="F12" i="5"/>
  <c r="C12" i="5"/>
  <c r="H10" i="7"/>
  <c r="D28" i="1"/>
  <c r="F28" i="1"/>
  <c r="B23" i="4"/>
  <c r="G14" i="4"/>
  <c r="H14" i="4"/>
  <c r="G13" i="4"/>
  <c r="H13" i="4"/>
  <c r="F18" i="4"/>
  <c r="E18" i="4"/>
  <c r="D18" i="4"/>
  <c r="C18" i="4"/>
  <c r="B18" i="4"/>
  <c r="N65" i="1"/>
  <c r="F95" i="1"/>
  <c r="B18" i="2"/>
  <c r="C18" i="2"/>
  <c r="D18" i="2"/>
  <c r="F18" i="2"/>
  <c r="E18" i="2"/>
  <c r="I15" i="1"/>
  <c r="H15" i="1"/>
  <c r="G15" i="1"/>
  <c r="F15" i="1"/>
  <c r="D17" i="1"/>
  <c r="P38" i="1"/>
  <c r="Q38" i="1"/>
  <c r="R38" i="1"/>
  <c r="S38" i="1"/>
  <c r="O38" i="1"/>
  <c r="B36" i="2"/>
  <c r="C49" i="1"/>
  <c r="F15" i="2"/>
  <c r="E15" i="2"/>
  <c r="D15" i="2"/>
  <c r="C15" i="2"/>
  <c r="B15" i="2"/>
  <c r="C96" i="1"/>
  <c r="N66" i="1"/>
  <c r="N67" i="1"/>
  <c r="E76" i="1"/>
  <c r="E78" i="1"/>
  <c r="E79" i="1"/>
  <c r="E80" i="1"/>
  <c r="E81" i="1"/>
  <c r="E63" i="1"/>
  <c r="E72" i="1"/>
  <c r="E65" i="1"/>
  <c r="E73" i="1"/>
  <c r="E64" i="1"/>
  <c r="E68" i="1"/>
  <c r="E66" i="1"/>
  <c r="E74" i="1"/>
  <c r="E69" i="1"/>
  <c r="E70" i="1"/>
  <c r="E75" i="1"/>
  <c r="E67" i="1"/>
  <c r="E82" i="1"/>
  <c r="E71" i="1"/>
  <c r="E77" i="1"/>
  <c r="N50" i="1"/>
  <c r="E4" i="8"/>
  <c r="F4" i="8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E21" i="8"/>
  <c r="F21" i="8"/>
  <c r="E22" i="8"/>
  <c r="F22" i="8"/>
  <c r="E23" i="8"/>
  <c r="F23" i="8"/>
  <c r="E24" i="8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E31" i="8"/>
  <c r="F31" i="8"/>
  <c r="E32" i="8"/>
  <c r="F32" i="8"/>
  <c r="E33" i="8"/>
  <c r="F33" i="8"/>
  <c r="E34" i="8"/>
  <c r="F34" i="8"/>
  <c r="E35" i="8"/>
  <c r="F35" i="8"/>
  <c r="E36" i="8"/>
  <c r="F36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65" i="8"/>
  <c r="F65" i="8"/>
  <c r="E66" i="8"/>
  <c r="F66" i="8"/>
  <c r="E67" i="8"/>
  <c r="F67" i="8"/>
  <c r="E68" i="8"/>
  <c r="F68" i="8"/>
  <c r="E69" i="8"/>
  <c r="F69" i="8"/>
  <c r="E70" i="8"/>
  <c r="F70" i="8"/>
  <c r="E71" i="8"/>
  <c r="F71" i="8"/>
  <c r="E72" i="8"/>
  <c r="F72" i="8"/>
  <c r="E73" i="8"/>
  <c r="F73" i="8"/>
  <c r="E74" i="8"/>
  <c r="F74" i="8"/>
  <c r="E75" i="8"/>
  <c r="F75" i="8"/>
  <c r="E76" i="8"/>
  <c r="F76" i="8"/>
  <c r="E77" i="8"/>
  <c r="F77" i="8"/>
  <c r="E78" i="8"/>
  <c r="F78" i="8"/>
  <c r="E79" i="8"/>
  <c r="F79" i="8"/>
  <c r="E80" i="8"/>
  <c r="F80" i="8"/>
  <c r="E81" i="8"/>
  <c r="F81" i="8"/>
  <c r="E82" i="8"/>
  <c r="F82" i="8"/>
  <c r="E83" i="8"/>
  <c r="F83" i="8"/>
  <c r="E84" i="8"/>
  <c r="F84" i="8"/>
  <c r="E85" i="8"/>
  <c r="F85" i="8"/>
  <c r="E86" i="8"/>
  <c r="F86" i="8"/>
  <c r="E87" i="8"/>
  <c r="F87" i="8"/>
  <c r="E88" i="8"/>
  <c r="F88" i="8"/>
  <c r="E89" i="8"/>
  <c r="F89" i="8"/>
  <c r="E90" i="8"/>
  <c r="F90" i="8"/>
  <c r="E91" i="8"/>
  <c r="F91" i="8"/>
  <c r="E92" i="8"/>
  <c r="F92" i="8"/>
  <c r="E93" i="8"/>
  <c r="F93" i="8"/>
  <c r="E94" i="8"/>
  <c r="F94" i="8"/>
  <c r="E95" i="8"/>
  <c r="F95" i="8"/>
  <c r="E96" i="8"/>
  <c r="F96" i="8"/>
  <c r="E97" i="8"/>
  <c r="F97" i="8"/>
  <c r="E98" i="8"/>
  <c r="F98" i="8"/>
  <c r="E99" i="8"/>
  <c r="F99" i="8"/>
  <c r="E100" i="8"/>
  <c r="F100" i="8"/>
  <c r="E101" i="8"/>
  <c r="F101" i="8"/>
  <c r="E102" i="8"/>
  <c r="F102" i="8"/>
  <c r="E103" i="8"/>
  <c r="F103" i="8"/>
  <c r="E104" i="8"/>
  <c r="F104" i="8"/>
  <c r="E105" i="8"/>
  <c r="F105" i="8"/>
  <c r="E106" i="8"/>
  <c r="F106" i="8"/>
  <c r="E107" i="8"/>
  <c r="F107" i="8"/>
  <c r="E108" i="8"/>
  <c r="F108" i="8"/>
  <c r="E109" i="8"/>
  <c r="F109" i="8"/>
  <c r="E110" i="8"/>
  <c r="F110" i="8"/>
  <c r="E111" i="8"/>
  <c r="F111" i="8"/>
  <c r="E112" i="8"/>
  <c r="F112" i="8"/>
  <c r="E113" i="8"/>
  <c r="F113" i="8"/>
  <c r="E114" i="8"/>
  <c r="F114" i="8"/>
  <c r="E115" i="8"/>
  <c r="F115" i="8"/>
  <c r="E116" i="8"/>
  <c r="F116" i="8"/>
  <c r="E117" i="8"/>
  <c r="F117" i="8"/>
  <c r="E118" i="8"/>
  <c r="F118" i="8"/>
  <c r="E119" i="8"/>
  <c r="F119" i="8"/>
  <c r="E120" i="8"/>
  <c r="F120" i="8"/>
  <c r="E121" i="8"/>
  <c r="F121" i="8"/>
  <c r="E122" i="8"/>
  <c r="F122" i="8"/>
  <c r="E123" i="8"/>
  <c r="F123" i="8"/>
  <c r="E124" i="8"/>
  <c r="F124" i="8"/>
  <c r="E125" i="8"/>
  <c r="F125" i="8"/>
  <c r="E126" i="8"/>
  <c r="F126" i="8"/>
  <c r="E127" i="8"/>
  <c r="F127" i="8"/>
  <c r="E128" i="8"/>
  <c r="F128" i="8"/>
  <c r="E129" i="8"/>
  <c r="F129" i="8"/>
  <c r="E130" i="8"/>
  <c r="F130" i="8"/>
  <c r="E131" i="8"/>
  <c r="F131" i="8"/>
  <c r="E132" i="8"/>
  <c r="F132" i="8"/>
  <c r="E133" i="8"/>
  <c r="F133" i="8"/>
  <c r="E134" i="8"/>
  <c r="F134" i="8"/>
  <c r="E135" i="8"/>
  <c r="F135" i="8"/>
  <c r="E136" i="8"/>
  <c r="F136" i="8"/>
  <c r="E137" i="8"/>
  <c r="F137" i="8"/>
  <c r="E138" i="8"/>
  <c r="F138" i="8"/>
  <c r="E139" i="8"/>
  <c r="F139" i="8"/>
  <c r="E140" i="8"/>
  <c r="F140" i="8"/>
  <c r="E141" i="8"/>
  <c r="F141" i="8"/>
  <c r="E142" i="8"/>
  <c r="F142" i="8"/>
  <c r="E143" i="8"/>
  <c r="F143" i="8"/>
  <c r="E144" i="8"/>
  <c r="F144" i="8"/>
  <c r="E145" i="8"/>
  <c r="F145" i="8"/>
  <c r="E146" i="8"/>
  <c r="F146" i="8"/>
  <c r="E147" i="8"/>
  <c r="F147" i="8"/>
  <c r="E148" i="8"/>
  <c r="F148" i="8"/>
  <c r="E149" i="8"/>
  <c r="F149" i="8"/>
  <c r="E150" i="8"/>
  <c r="F150" i="8"/>
  <c r="E151" i="8"/>
  <c r="F151" i="8"/>
  <c r="E152" i="8"/>
  <c r="F152" i="8"/>
  <c r="E153" i="8"/>
  <c r="F153" i="8"/>
  <c r="E154" i="8"/>
  <c r="F154" i="8"/>
  <c r="E155" i="8"/>
  <c r="F155" i="8"/>
  <c r="E156" i="8"/>
  <c r="F156" i="8"/>
  <c r="E157" i="8"/>
  <c r="F157" i="8"/>
  <c r="E158" i="8"/>
  <c r="F158" i="8"/>
  <c r="E159" i="8"/>
  <c r="F159" i="8"/>
  <c r="E160" i="8"/>
  <c r="F160" i="8"/>
  <c r="E161" i="8"/>
  <c r="F161" i="8"/>
  <c r="E162" i="8"/>
  <c r="F162" i="8"/>
  <c r="E163" i="8"/>
  <c r="F163" i="8"/>
  <c r="E164" i="8"/>
  <c r="F164" i="8"/>
  <c r="E165" i="8"/>
  <c r="F165" i="8"/>
  <c r="E166" i="8"/>
  <c r="F166" i="8"/>
  <c r="E167" i="8"/>
  <c r="F167" i="8"/>
  <c r="E168" i="8"/>
  <c r="F168" i="8"/>
  <c r="E169" i="8"/>
  <c r="F169" i="8"/>
  <c r="E170" i="8"/>
  <c r="F170" i="8"/>
  <c r="E171" i="8"/>
  <c r="F171" i="8"/>
  <c r="E172" i="8"/>
  <c r="F172" i="8"/>
  <c r="E173" i="8"/>
  <c r="F173" i="8"/>
  <c r="E174" i="8"/>
  <c r="F174" i="8"/>
  <c r="E175" i="8"/>
  <c r="F175" i="8"/>
  <c r="E176" i="8"/>
  <c r="F176" i="8"/>
  <c r="E177" i="8"/>
  <c r="F177" i="8"/>
  <c r="E178" i="8"/>
  <c r="F178" i="8"/>
  <c r="E179" i="8"/>
  <c r="F179" i="8"/>
  <c r="E180" i="8"/>
  <c r="F180" i="8"/>
  <c r="E181" i="8"/>
  <c r="F181" i="8"/>
  <c r="E182" i="8"/>
  <c r="F182" i="8"/>
  <c r="E183" i="8"/>
  <c r="F183" i="8"/>
  <c r="E184" i="8"/>
  <c r="F184" i="8"/>
  <c r="E185" i="8"/>
  <c r="F185" i="8"/>
  <c r="E186" i="8"/>
  <c r="F186" i="8"/>
  <c r="E187" i="8"/>
  <c r="F187" i="8"/>
  <c r="E188" i="8"/>
  <c r="F188" i="8"/>
  <c r="E189" i="8"/>
  <c r="F189" i="8"/>
  <c r="E190" i="8"/>
  <c r="F190" i="8"/>
  <c r="E191" i="8"/>
  <c r="F191" i="8"/>
  <c r="E192" i="8"/>
  <c r="F192" i="8"/>
  <c r="E193" i="8"/>
  <c r="F193" i="8"/>
  <c r="E194" i="8"/>
  <c r="F194" i="8"/>
  <c r="E195" i="8"/>
  <c r="F195" i="8"/>
  <c r="E196" i="8"/>
  <c r="F196" i="8"/>
  <c r="E197" i="8"/>
  <c r="F197" i="8"/>
  <c r="E198" i="8"/>
  <c r="F198" i="8"/>
  <c r="E199" i="8"/>
  <c r="F199" i="8"/>
  <c r="E200" i="8"/>
  <c r="F200" i="8"/>
  <c r="E201" i="8"/>
  <c r="F201" i="8"/>
  <c r="E202" i="8"/>
  <c r="F202" i="8"/>
  <c r="E203" i="8"/>
  <c r="F203" i="8"/>
  <c r="E204" i="8"/>
  <c r="F204" i="8"/>
  <c r="E205" i="8"/>
  <c r="F205" i="8"/>
  <c r="E206" i="8"/>
  <c r="F206" i="8"/>
  <c r="E207" i="8"/>
  <c r="F207" i="8"/>
  <c r="E208" i="8"/>
  <c r="F208" i="8"/>
  <c r="E209" i="8"/>
  <c r="F209" i="8"/>
  <c r="E210" i="8"/>
  <c r="F210" i="8"/>
  <c r="E211" i="8"/>
  <c r="F211" i="8"/>
  <c r="E212" i="8"/>
  <c r="F212" i="8"/>
  <c r="E213" i="8"/>
  <c r="F213" i="8"/>
  <c r="E214" i="8"/>
  <c r="F214" i="8"/>
  <c r="E215" i="8"/>
  <c r="F215" i="8"/>
  <c r="E216" i="8"/>
  <c r="F216" i="8"/>
  <c r="E217" i="8"/>
  <c r="F217" i="8"/>
  <c r="E218" i="8"/>
  <c r="F218" i="8"/>
  <c r="E219" i="8"/>
  <c r="F219" i="8"/>
  <c r="E220" i="8"/>
  <c r="F220" i="8"/>
  <c r="E221" i="8"/>
  <c r="F221" i="8"/>
  <c r="E222" i="8"/>
  <c r="F222" i="8"/>
  <c r="E223" i="8"/>
  <c r="F223" i="8"/>
  <c r="E224" i="8"/>
  <c r="F224" i="8"/>
  <c r="E225" i="8"/>
  <c r="F225" i="8"/>
  <c r="E226" i="8"/>
  <c r="F226" i="8"/>
  <c r="E227" i="8"/>
  <c r="F227" i="8"/>
  <c r="E228" i="8"/>
  <c r="F228" i="8"/>
  <c r="E229" i="8"/>
  <c r="F229" i="8"/>
  <c r="E230" i="8"/>
  <c r="F230" i="8"/>
  <c r="E231" i="8"/>
  <c r="F231" i="8"/>
  <c r="E232" i="8"/>
  <c r="F232" i="8"/>
  <c r="E233" i="8"/>
  <c r="F233" i="8"/>
  <c r="E234" i="8"/>
  <c r="F234" i="8"/>
  <c r="E235" i="8"/>
  <c r="F235" i="8"/>
  <c r="E236" i="8"/>
  <c r="F236" i="8"/>
  <c r="E237" i="8"/>
  <c r="F237" i="8"/>
  <c r="E238" i="8"/>
  <c r="F238" i="8"/>
  <c r="E239" i="8"/>
  <c r="F239" i="8"/>
  <c r="E240" i="8"/>
  <c r="F240" i="8"/>
  <c r="E241" i="8"/>
  <c r="F241" i="8"/>
  <c r="E242" i="8"/>
  <c r="F242" i="8"/>
  <c r="E243" i="8"/>
  <c r="F243" i="8"/>
  <c r="E244" i="8"/>
  <c r="F244" i="8"/>
  <c r="E245" i="8"/>
  <c r="F245" i="8"/>
  <c r="E246" i="8"/>
  <c r="F246" i="8"/>
  <c r="E247" i="8"/>
  <c r="F247" i="8"/>
  <c r="E248" i="8"/>
  <c r="F248" i="8"/>
  <c r="E249" i="8"/>
  <c r="F249" i="8"/>
  <c r="E250" i="8"/>
  <c r="F250" i="8"/>
  <c r="E251" i="8"/>
  <c r="F251" i="8"/>
  <c r="E252" i="8"/>
  <c r="F252" i="8"/>
  <c r="E253" i="8"/>
  <c r="F253" i="8"/>
  <c r="E254" i="8"/>
  <c r="F254" i="8"/>
  <c r="F3" i="8"/>
  <c r="E3" i="8"/>
  <c r="C3" i="5"/>
  <c r="C84" i="1"/>
  <c r="C86" i="1"/>
  <c r="C95" i="1"/>
  <c r="C92" i="1"/>
  <c r="B22" i="4"/>
  <c r="F92" i="1"/>
  <c r="F93" i="1"/>
  <c r="N52" i="1"/>
  <c r="S29" i="1"/>
  <c r="R27" i="1"/>
  <c r="R29" i="1"/>
  <c r="R32" i="1"/>
  <c r="Q27" i="1"/>
  <c r="P27" i="1"/>
  <c r="O27" i="1"/>
  <c r="Q26" i="1"/>
  <c r="P26" i="1"/>
  <c r="O26" i="1"/>
  <c r="R21" i="1"/>
  <c r="Q21" i="1"/>
  <c r="P21" i="1"/>
  <c r="C11" i="6"/>
  <c r="G28" i="1"/>
  <c r="F8" i="7"/>
  <c r="H28" i="1"/>
  <c r="I28" i="1"/>
  <c r="D8" i="7"/>
  <c r="F17" i="1"/>
  <c r="G17" i="1"/>
  <c r="H17" i="1"/>
  <c r="I17" i="1"/>
  <c r="D18" i="1"/>
  <c r="R39" i="1"/>
  <c r="C13" i="5"/>
  <c r="C14" i="5"/>
  <c r="I10" i="7"/>
  <c r="I11" i="7"/>
  <c r="D21" i="1"/>
  <c r="D22" i="1"/>
  <c r="H17" i="6"/>
  <c r="F10" i="2"/>
  <c r="B16" i="2"/>
  <c r="B17" i="2"/>
  <c r="B19" i="2"/>
  <c r="S32" i="1"/>
  <c r="N56" i="1"/>
  <c r="C16" i="2"/>
  <c r="C17" i="2"/>
  <c r="C19" i="2"/>
  <c r="S21" i="1"/>
  <c r="Q29" i="1"/>
  <c r="Q32" i="1"/>
  <c r="O29" i="1"/>
  <c r="P29" i="1"/>
  <c r="P32" i="1"/>
  <c r="J10" i="7"/>
  <c r="J11" i="7"/>
  <c r="P39" i="1"/>
  <c r="E13" i="5"/>
  <c r="E14" i="5"/>
  <c r="Q39" i="1"/>
  <c r="D13" i="5"/>
  <c r="D14" i="5"/>
  <c r="S39" i="1"/>
  <c r="B13" i="5"/>
  <c r="B14" i="5"/>
  <c r="F11" i="2"/>
  <c r="F16" i="4"/>
  <c r="F17" i="4"/>
  <c r="D23" i="1"/>
  <c r="C20" i="2"/>
  <c r="O32" i="1"/>
  <c r="F16" i="2"/>
  <c r="F17" i="2"/>
  <c r="F19" i="2"/>
  <c r="D16" i="2"/>
  <c r="D17" i="2"/>
  <c r="D19" i="2"/>
  <c r="D20" i="2"/>
  <c r="E16" i="2"/>
  <c r="E17" i="2"/>
  <c r="E19" i="2"/>
  <c r="O39" i="1"/>
  <c r="C13" i="6"/>
  <c r="F13" i="5"/>
  <c r="F14" i="5"/>
  <c r="K10" i="7"/>
  <c r="K11" i="7"/>
  <c r="C10" i="6"/>
  <c r="F9" i="5"/>
  <c r="F16" i="5"/>
  <c r="E20" i="2"/>
  <c r="F20" i="2"/>
  <c r="F98" i="1"/>
  <c r="C4" i="2"/>
  <c r="L10" i="7"/>
  <c r="L11" i="7"/>
  <c r="H13" i="6"/>
  <c r="F18" i="5"/>
  <c r="M10" i="7"/>
  <c r="M11" i="7"/>
  <c r="H12" i="7"/>
  <c r="E8" i="4"/>
  <c r="E7" i="4"/>
  <c r="C29" i="4"/>
  <c r="B29" i="4"/>
  <c r="E6" i="4"/>
  <c r="C28" i="4"/>
  <c r="B28" i="4"/>
  <c r="F19" i="4"/>
  <c r="F13" i="2"/>
  <c r="F22" i="2"/>
  <c r="G18" i="1"/>
  <c r="I18" i="1"/>
  <c r="H18" i="1"/>
  <c r="H21" i="1"/>
  <c r="H22" i="1"/>
  <c r="F18" i="1"/>
  <c r="F21" i="1"/>
  <c r="F22" i="1"/>
  <c r="I21" i="1"/>
  <c r="I22" i="1"/>
  <c r="B16" i="4"/>
  <c r="B17" i="4"/>
  <c r="B19" i="4"/>
  <c r="G19" i="4"/>
  <c r="H19" i="4"/>
  <c r="C30" i="4"/>
  <c r="B30" i="4"/>
  <c r="B31" i="4"/>
  <c r="D10" i="2"/>
  <c r="G21" i="1"/>
  <c r="G22" i="1"/>
  <c r="H23" i="1"/>
  <c r="C9" i="5"/>
  <c r="C16" i="5"/>
  <c r="C10" i="2"/>
  <c r="C16" i="4"/>
  <c r="B10" i="2"/>
  <c r="B11" i="2"/>
  <c r="B13" i="2"/>
  <c r="E10" i="2"/>
  <c r="E16" i="4"/>
  <c r="G22" i="2"/>
  <c r="F24" i="2"/>
  <c r="F26" i="2"/>
  <c r="C17" i="4"/>
  <c r="C19" i="4"/>
  <c r="D11" i="2"/>
  <c r="D13" i="2"/>
  <c r="D22" i="2"/>
  <c r="D16" i="4"/>
  <c r="E17" i="4"/>
  <c r="E19" i="4"/>
  <c r="F23" i="1"/>
  <c r="E9" i="5"/>
  <c r="E16" i="5"/>
  <c r="I23" i="1"/>
  <c r="B9" i="5"/>
  <c r="E11" i="2"/>
  <c r="E13" i="2"/>
  <c r="E22" i="2"/>
  <c r="C11" i="2"/>
  <c r="C13" i="2"/>
  <c r="C22" i="2"/>
  <c r="G23" i="1"/>
  <c r="D9" i="5"/>
  <c r="D16" i="5"/>
  <c r="G24" i="2"/>
  <c r="G26" i="2"/>
  <c r="H22" i="2"/>
  <c r="C4" i="5"/>
  <c r="G16" i="5"/>
  <c r="D17" i="4"/>
  <c r="D19" i="4"/>
  <c r="H24" i="2"/>
  <c r="H26" i="2"/>
  <c r="I22" i="2"/>
  <c r="J22" i="2"/>
  <c r="H16" i="5"/>
  <c r="G18" i="5"/>
  <c r="I24" i="2"/>
  <c r="I26" i="2"/>
  <c r="I16" i="5"/>
  <c r="H18" i="5"/>
  <c r="K22" i="2"/>
  <c r="L22" i="2"/>
  <c r="J24" i="2"/>
  <c r="J26" i="2"/>
  <c r="J16" i="5"/>
  <c r="I18" i="5"/>
  <c r="K23" i="2"/>
  <c r="K16" i="5"/>
  <c r="J18" i="5"/>
  <c r="K24" i="2"/>
  <c r="K26" i="2"/>
  <c r="L16" i="5"/>
  <c r="K17" i="5"/>
  <c r="K18" i="5"/>
  <c r="F19" i="5"/>
  <c r="F22" i="5"/>
  <c r="F28" i="2"/>
  <c r="F32" i="2"/>
  <c r="B35" i="2"/>
  <c r="B40" i="2"/>
  <c r="B37" i="2"/>
  <c r="B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5528C8-B548-4AC7-B4F7-B29005E370E5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<sst xmlns="http://schemas.openxmlformats.org/spreadsheetml/2006/main" count="296" uniqueCount="226">
  <si>
    <t>(in millions of dollars)</t>
  </si>
  <si>
    <t>Actual</t>
  </si>
  <si>
    <t>Projected</t>
  </si>
  <si>
    <t>Costs (except depreciation)</t>
  </si>
  <si>
    <t xml:space="preserve">   Total operating costs</t>
  </si>
  <si>
    <t>Earning before int. &amp; tax</t>
  </si>
  <si>
    <t xml:space="preserve">   Less: Net interest</t>
  </si>
  <si>
    <t>Earning before taxes</t>
  </si>
  <si>
    <t>Common dividends</t>
  </si>
  <si>
    <t>Addition to retained earnings</t>
  </si>
  <si>
    <t>Number of shares</t>
  </si>
  <si>
    <t>Dividends per share</t>
  </si>
  <si>
    <t>Depreciation &amp; Amortization</t>
  </si>
  <si>
    <t>Cash</t>
  </si>
  <si>
    <t>Accounts receivable</t>
  </si>
  <si>
    <t xml:space="preserve">   Total current assets</t>
  </si>
  <si>
    <t>Net plant and equipment</t>
  </si>
  <si>
    <t>Total Assets</t>
  </si>
  <si>
    <t>Liabilities and Equity</t>
  </si>
  <si>
    <t>Accounts Payable</t>
  </si>
  <si>
    <t>Accruals</t>
  </si>
  <si>
    <t xml:space="preserve">   Total current liabilities</t>
  </si>
  <si>
    <t>Long-term bonds</t>
  </si>
  <si>
    <t>Retained earnings</t>
  </si>
  <si>
    <t xml:space="preserve">   Common equity</t>
  </si>
  <si>
    <t>Total liabilities and equity</t>
  </si>
  <si>
    <t>Other current liabilities</t>
  </si>
  <si>
    <t>Financial Data</t>
  </si>
  <si>
    <t>I - Income Statement</t>
  </si>
  <si>
    <t>II - Balance Sheet</t>
  </si>
  <si>
    <t>III- Cost of Equity</t>
  </si>
  <si>
    <t>IV- Cost of Debt</t>
  </si>
  <si>
    <t>V- WACC</t>
  </si>
  <si>
    <t>EBIT</t>
  </si>
  <si>
    <t>TAX</t>
  </si>
  <si>
    <t>NOPAT</t>
  </si>
  <si>
    <t>Current Assets</t>
  </si>
  <si>
    <t>Current Liabilities</t>
  </si>
  <si>
    <t>Year</t>
  </si>
  <si>
    <t>Net Working Operating Capital</t>
  </si>
  <si>
    <t>Past</t>
  </si>
  <si>
    <t>Free Cash Flows</t>
  </si>
  <si>
    <t>Change in NOC</t>
  </si>
  <si>
    <t>Net Operating Capital</t>
  </si>
  <si>
    <t>WACC</t>
  </si>
  <si>
    <t>Growth Rate</t>
  </si>
  <si>
    <t>Horizon Value</t>
  </si>
  <si>
    <t>Total Free Cash Flows</t>
  </si>
  <si>
    <t>Pv of Free Cash Flows</t>
  </si>
  <si>
    <t>Value of Debts</t>
  </si>
  <si>
    <t>Value of Equity</t>
  </si>
  <si>
    <t>Number of Outstanding Shares</t>
  </si>
  <si>
    <t>Price per Share</t>
  </si>
  <si>
    <t>Total value of the firm</t>
  </si>
  <si>
    <t>Minus: Book value of debt</t>
  </si>
  <si>
    <t>Minus: Book value of equity</t>
  </si>
  <si>
    <t>Total Value of the firm</t>
  </si>
  <si>
    <t>Market Value Added (MVA)</t>
  </si>
  <si>
    <t>Price/Book</t>
  </si>
  <si>
    <t>Price/Earnings</t>
  </si>
  <si>
    <t>Price/Cash Flow</t>
  </si>
  <si>
    <t>Multiples</t>
  </si>
  <si>
    <t>Depreciation</t>
  </si>
  <si>
    <t>Book Value of Equity</t>
  </si>
  <si>
    <t>CAGR_4years</t>
  </si>
  <si>
    <t>Cash Flow</t>
  </si>
  <si>
    <t>Based on Earnings</t>
  </si>
  <si>
    <t>Based on Book Value</t>
  </si>
  <si>
    <t>Based on Cash Flow</t>
  </si>
  <si>
    <t>Averages</t>
  </si>
  <si>
    <t>Cost of Equity</t>
  </si>
  <si>
    <t>Net Sales</t>
  </si>
  <si>
    <t xml:space="preserve">Net income </t>
  </si>
  <si>
    <t>Marketable Securities</t>
  </si>
  <si>
    <t>Inventories</t>
  </si>
  <si>
    <t>Common Stock (par plus paid in capital)</t>
  </si>
  <si>
    <t>Total non-current assets</t>
  </si>
  <si>
    <t>Cost of equity</t>
  </si>
  <si>
    <t>Date</t>
  </si>
  <si>
    <t>Beta</t>
  </si>
  <si>
    <t>DISH Network Corp</t>
  </si>
  <si>
    <t>L3Harris Technologies Inc</t>
  </si>
  <si>
    <t>Motorola Solutions Inc</t>
  </si>
  <si>
    <t>Average Beta</t>
  </si>
  <si>
    <t>Unlevered Beta</t>
  </si>
  <si>
    <t>Tax Rate</t>
  </si>
  <si>
    <t>D/E</t>
  </si>
  <si>
    <t>Levered Beta</t>
  </si>
  <si>
    <t>III- Cost of Debt</t>
  </si>
  <si>
    <t xml:space="preserve">Total liabilities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</si>
  <si>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</si>
  <si>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</si>
  <si>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</si>
  <si>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</si>
  <si>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</si>
  <si>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</si>
  <si>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</si>
  <si>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</si>
  <si>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</si>
  <si>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</si>
  <si>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</si>
  <si>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</si>
  <si>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</si>
  <si>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</si>
  <si>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</si>
  <si>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</si>
  <si>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</si>
  <si>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</si>
  <si>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</si>
  <si>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</si>
  <si>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</si>
  <si>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</si>
  <si>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</si>
  <si>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</si>
  <si>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</si>
  <si>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Adjusted Close S&amp;P 500</t>
  </si>
  <si>
    <t>Adj Close apple</t>
  </si>
  <si>
    <t>Slope</t>
  </si>
  <si>
    <t>Covariance</t>
  </si>
  <si>
    <t>Estimating Beta using Unlevered Beta</t>
  </si>
  <si>
    <t>EchoStar Corp</t>
  </si>
  <si>
    <t>Dolby Laboratories Inc</t>
  </si>
  <si>
    <t>Voxx International Corp</t>
  </si>
  <si>
    <t>Yield</t>
  </si>
  <si>
    <t>Issuer Name</t>
  </si>
  <si>
    <t>Yield Weighed Average</t>
  </si>
  <si>
    <t>Weighed Average life</t>
  </si>
  <si>
    <t>Cost of Debt</t>
  </si>
  <si>
    <t>Yield (%)</t>
  </si>
  <si>
    <t>Cost of debt using default spread</t>
  </si>
  <si>
    <t>10 Years risk free</t>
  </si>
  <si>
    <t xml:space="preserve">V- WACC </t>
  </si>
  <si>
    <t>Equity Value</t>
  </si>
  <si>
    <t>Debt Value</t>
  </si>
  <si>
    <t>Value of firm</t>
  </si>
  <si>
    <t>Equity/ firm value</t>
  </si>
  <si>
    <t>Debt / firm value</t>
  </si>
  <si>
    <t>Tax rate</t>
  </si>
  <si>
    <t>Other non-current liabilities</t>
  </si>
  <si>
    <t>Note Payable</t>
  </si>
  <si>
    <t>Current portion long term debt</t>
  </si>
  <si>
    <t>Preferred Stock</t>
  </si>
  <si>
    <t>Other Equity</t>
  </si>
  <si>
    <t>Non Operating Income</t>
  </si>
  <si>
    <t xml:space="preserve">   Taxes (13.63%)</t>
  </si>
  <si>
    <t>Default spread for Aaa credit rating 10 years bond</t>
  </si>
  <si>
    <t>Default spread in percentage</t>
  </si>
  <si>
    <t># Outstanding shares</t>
  </si>
  <si>
    <t>Earnings / share</t>
  </si>
  <si>
    <t>Book Value of Equity/ share</t>
  </si>
  <si>
    <t>Average price</t>
  </si>
  <si>
    <t>Dividend/share</t>
  </si>
  <si>
    <t>Cash dividends per share</t>
  </si>
  <si>
    <t>Present value</t>
  </si>
  <si>
    <t>Price per share</t>
  </si>
  <si>
    <t>Net Income</t>
  </si>
  <si>
    <t>Change in NWOC</t>
  </si>
  <si>
    <t>Debt to Capital Ratio</t>
  </si>
  <si>
    <t>Free Cash Flow to Equity</t>
  </si>
  <si>
    <t>1- D/C</t>
  </si>
  <si>
    <t>Net Capex</t>
  </si>
  <si>
    <t>Present value of FCFE</t>
  </si>
  <si>
    <t>Value of the firm</t>
  </si>
  <si>
    <t># Outstanding Shares</t>
  </si>
  <si>
    <t>Profitability</t>
  </si>
  <si>
    <t>Profitability relative to sales</t>
  </si>
  <si>
    <t>Gross Profit Margin = (Sales - COGS) / Sales</t>
  </si>
  <si>
    <t>Net Profit Margin = Net Income / Sales</t>
  </si>
  <si>
    <t>Profitability relative to assets</t>
  </si>
  <si>
    <t>Return on Assets = Net Income/Total Assets</t>
  </si>
  <si>
    <t>Return on Equity = Net Income / Book value of Equity</t>
  </si>
  <si>
    <t>Attributes</t>
  </si>
  <si>
    <t>Values</t>
  </si>
  <si>
    <t>Sales</t>
  </si>
  <si>
    <t>COGS</t>
  </si>
  <si>
    <t>Operating Marging = EBIT / Sales</t>
  </si>
  <si>
    <t>Total Capital</t>
  </si>
  <si>
    <t>Apple Ratio Analysis in 2021</t>
  </si>
  <si>
    <t>Gross Profit Margin</t>
  </si>
  <si>
    <t xml:space="preserve">Net Profit Margin </t>
  </si>
  <si>
    <t xml:space="preserve">Operating Marging </t>
  </si>
  <si>
    <t>ROA</t>
  </si>
  <si>
    <t>ROE</t>
  </si>
  <si>
    <t>Return on Capital = Net Income / Total Capital</t>
  </si>
  <si>
    <t>ROC</t>
  </si>
  <si>
    <t>Solvency</t>
  </si>
  <si>
    <t>Debt Equity Ratio = Debt / Equity</t>
  </si>
  <si>
    <t>Interest Coverage Ratio = EBIT / Interest Expense</t>
  </si>
  <si>
    <t xml:space="preserve">Liquidity </t>
  </si>
  <si>
    <t>Quick Ratio = Cash &amp; Cash Equivalents+Marketable Securities+Accounts Receivables/Current Liabilities</t>
  </si>
  <si>
    <t>Fixed Assets Turnover Ratio  = Net Sales / Average Fixed Assets</t>
  </si>
  <si>
    <t>DCF Valuation Model Using Free Cash Flow to Equity</t>
  </si>
  <si>
    <t>DCF Valuation Model Using Free Cash Flows</t>
  </si>
  <si>
    <t>DCF Valuation Model Using Dividends Cash Flows</t>
  </si>
  <si>
    <t>Beta Using</t>
  </si>
  <si>
    <t>Return Market</t>
  </si>
  <si>
    <t>Return Apple</t>
  </si>
  <si>
    <t>Estimated Price Price:</t>
  </si>
  <si>
    <t>Companies/Comparables</t>
  </si>
  <si>
    <t>Relative Valuation Model</t>
  </si>
  <si>
    <t>Apple Inc.: Income Statements for Years Ending December 31</t>
  </si>
  <si>
    <t>Apple Inc.:  December 31 Balance Sheets</t>
  </si>
  <si>
    <t xml:space="preserve">Levered beta = unlevered beta *(1+(1-tax rate)*D/E) </t>
  </si>
  <si>
    <t>Apple Inc</t>
  </si>
  <si>
    <t xml:space="preserve">Debt Equity Ratio </t>
  </si>
  <si>
    <t>Debt</t>
  </si>
  <si>
    <t>Interest Expense</t>
  </si>
  <si>
    <t xml:space="preserve">Interest Coverage Ratio </t>
  </si>
  <si>
    <t>Current Ratio</t>
  </si>
  <si>
    <t>Current Ratio = Current Assets / Current Liabilities</t>
  </si>
  <si>
    <t>Cash &amp; Cash equivalent</t>
  </si>
  <si>
    <t>Account Receivables</t>
  </si>
  <si>
    <t>Quick Ratio</t>
  </si>
  <si>
    <t xml:space="preserve">Fixed Assets Turnover Ratio  </t>
  </si>
  <si>
    <t>Fixed Assets 2021</t>
  </si>
  <si>
    <t>Fixed Assets 2020</t>
  </si>
  <si>
    <t xml:space="preserve">Turnover </t>
  </si>
  <si>
    <t xml:space="preserve">Inventory Turnover Ratio </t>
  </si>
  <si>
    <t>Inventory Turnover Ratio = Cost of Goods Sold/Average Inventories</t>
  </si>
  <si>
    <t>Inventories 2021</t>
  </si>
  <si>
    <t>Inventories 2020</t>
  </si>
  <si>
    <t>CAGR</t>
  </si>
  <si>
    <r>
      <t xml:space="preserve">Beta from  </t>
    </r>
    <r>
      <rPr>
        <sz val="12"/>
        <color theme="4"/>
        <rFont val="Times New Roman"/>
        <family val="1"/>
      </rPr>
      <t>Zacks.com</t>
    </r>
  </si>
  <si>
    <r>
      <t>US 10 Years Treasury Bond rate AKA Risk free rate (</t>
    </r>
    <r>
      <rPr>
        <sz val="12"/>
        <color theme="4"/>
        <rFont val="Times New Roman"/>
        <family val="1"/>
      </rPr>
      <t>From Bloomberg</t>
    </r>
    <r>
      <rPr>
        <sz val="12"/>
        <color theme="1"/>
        <rFont val="Times New Roman"/>
        <family val="1"/>
      </rPr>
      <t>)</t>
    </r>
  </si>
  <si>
    <r>
      <t xml:space="preserve">Market Risk Premium from </t>
    </r>
    <r>
      <rPr>
        <sz val="12"/>
        <color theme="4"/>
        <rFont val="Times New Roman"/>
        <family val="1"/>
      </rPr>
      <t>Statista</t>
    </r>
  </si>
  <si>
    <r>
      <t xml:space="preserve">I - Income Statement </t>
    </r>
    <r>
      <rPr>
        <i/>
        <sz val="14"/>
        <color theme="4"/>
        <rFont val="Times New Roman"/>
        <family val="1"/>
      </rPr>
      <t>From Mergent Online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</si>
</sst>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"/>
    <numFmt numFmtId="165" formatCode="0.0"/>
    <numFmt numFmtId="166" formatCode="&quot;$&quot;#,##0.000"/>
    <numFmt numFmtId="167" formatCode="#,##0.0"/>
    <numFmt numFmtId="168" formatCode="&quot;$&quot;#,##0.00"/>
    <numFmt numFmtId="169" formatCode="#,##0.000"/>
    <numFmt numFmtId="170" formatCode="&quot;$&quot;#,##0.0_);\(&quot;$&quot;#,##0.0\)"/>
    <numFmt numFmtId="178" formatCode="0.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16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u val="singleAccounting"/>
      <sz val="12"/>
      <name val="Times New Roman"/>
      <family val="1"/>
    </font>
    <font>
      <b/>
      <u val="doubleAccounting"/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4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  <font>
      <b/>
      <sz val="12"/>
      <color indexed="12"/>
      <name val="Times New Roman"/>
      <family val="1"/>
    </font>
    <font>
      <b/>
      <u val="singleAccounting"/>
      <sz val="12"/>
      <color indexed="12"/>
      <name val="Times New Roman"/>
      <family val="1"/>
    </font>
    <font>
      <b/>
      <u val="doubleAccounting"/>
      <sz val="12"/>
      <color indexed="12"/>
      <name val="Times New Roman"/>
      <family val="1"/>
    </font>
    <font>
      <b/>
      <sz val="12"/>
      <color theme="1"/>
      <name val="Times New Roman"/>
      <family val="1"/>
    </font>
    <font>
      <sz val="12"/>
      <color theme="4"/>
      <name val="Times New Roman"/>
      <family val="1"/>
    </font>
    <font>
      <b/>
      <sz val="12"/>
      <color theme="4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Calibri"/>
      <family val="2"/>
      <scheme val="minor"/>
    </font>
    <font>
      <b/>
      <sz val="12"/>
      <color rgb="FFC00000"/>
      <name val="Times New Roman"/>
      <family val="1"/>
    </font>
    <font>
      <i/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5" tint="-0.249977111117893"/>
      <name val="Times New Roman"/>
      <family val="1"/>
    </font>
    <font>
      <sz val="11"/>
      <name val="Calibri"/>
      <family val="2"/>
      <scheme val="minor"/>
    </font>
    <font>
      <b/>
      <sz val="14"/>
      <color theme="4"/>
      <name val="Times New Roman"/>
      <family val="1"/>
    </font>
    <font>
      <b/>
      <sz val="14"/>
      <name val="Times New Roman"/>
      <family val="1"/>
    </font>
    <font>
      <i/>
      <sz val="14"/>
      <color theme="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0">
    <xf numFmtId="0" fontId="0" fillId="0" borderId="0" xfId="0"/>
    <xf numFmtId="164" fontId="0" fillId="0" borderId="0" xfId="0" applyNumberFormat="1"/>
    <xf numFmtId="0" fontId="8" fillId="0" borderId="0" xfId="0" applyFont="1"/>
    <xf numFmtId="0" fontId="3" fillId="2" borderId="6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3" fontId="4" fillId="2" borderId="0" xfId="1" applyNumberFormat="1" applyFont="1" applyFill="1" applyBorder="1"/>
    <xf numFmtId="164" fontId="3" fillId="2" borderId="8" xfId="2" applyNumberFormat="1" applyFont="1" applyFill="1" applyBorder="1"/>
    <xf numFmtId="164" fontId="3" fillId="2" borderId="0" xfId="2" applyNumberFormat="1" applyFont="1" applyFill="1" applyBorder="1"/>
    <xf numFmtId="164" fontId="3" fillId="2" borderId="9" xfId="2" applyNumberFormat="1" applyFont="1" applyFill="1" applyBorder="1"/>
    <xf numFmtId="165" fontId="5" fillId="2" borderId="8" xfId="1" applyNumberFormat="1" applyFont="1" applyFill="1" applyBorder="1"/>
    <xf numFmtId="165" fontId="5" fillId="2" borderId="0" xfId="1" applyNumberFormat="1" applyFont="1" applyFill="1" applyBorder="1"/>
    <xf numFmtId="165" fontId="5" fillId="2" borderId="9" xfId="1" applyNumberFormat="1" applyFont="1" applyFill="1" applyBorder="1"/>
    <xf numFmtId="164" fontId="5" fillId="2" borderId="8" xfId="2" applyNumberFormat="1" applyFont="1" applyFill="1" applyBorder="1"/>
    <xf numFmtId="4" fontId="3" fillId="2" borderId="8" xfId="2" applyNumberFormat="1" applyFont="1" applyFill="1" applyBorder="1"/>
    <xf numFmtId="4" fontId="3" fillId="2" borderId="0" xfId="2" applyNumberFormat="1" applyFont="1" applyFill="1" applyBorder="1"/>
    <xf numFmtId="4" fontId="3" fillId="2" borderId="9" xfId="2" applyNumberFormat="1" applyFont="1" applyFill="1" applyBorder="1"/>
    <xf numFmtId="0" fontId="3" fillId="2" borderId="8" xfId="2" applyNumberFormat="1" applyFont="1" applyFill="1" applyBorder="1"/>
    <xf numFmtId="0" fontId="3" fillId="2" borderId="0" xfId="2" applyNumberFormat="1" applyFont="1" applyFill="1" applyBorder="1"/>
    <xf numFmtId="0" fontId="3" fillId="2" borderId="9" xfId="2" applyNumberFormat="1" applyFont="1" applyFill="1" applyBorder="1"/>
    <xf numFmtId="166" fontId="3" fillId="2" borderId="10" xfId="2" applyNumberFormat="1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0" xfId="0" applyFont="1" applyFill="1"/>
    <xf numFmtId="0" fontId="3" fillId="0" borderId="0" xfId="0" applyFont="1" applyFill="1" applyBorder="1"/>
    <xf numFmtId="0" fontId="9" fillId="0" borderId="0" xfId="0" applyFont="1"/>
    <xf numFmtId="0" fontId="10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0" fillId="0" borderId="0" xfId="0" applyAlignment="1"/>
    <xf numFmtId="168" fontId="0" fillId="0" borderId="0" xfId="0" applyNumberFormat="1"/>
    <xf numFmtId="0" fontId="0" fillId="4" borderId="0" xfId="0" applyFill="1"/>
    <xf numFmtId="168" fontId="0" fillId="4" borderId="0" xfId="0" applyNumberFormat="1" applyFill="1"/>
    <xf numFmtId="0" fontId="12" fillId="0" borderId="0" xfId="0" applyFont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3" fillId="0" borderId="0" xfId="3" applyFont="1" applyFill="1" applyBorder="1"/>
    <xf numFmtId="0" fontId="3" fillId="0" borderId="0" xfId="3" applyFont="1" applyFill="1" applyBorder="1" applyAlignment="1">
      <alignment horizontal="left"/>
    </xf>
    <xf numFmtId="168" fontId="16" fillId="0" borderId="0" xfId="3" applyNumberFormat="1" applyFont="1" applyFill="1" applyBorder="1"/>
    <xf numFmtId="4" fontId="3" fillId="0" borderId="0" xfId="3" applyNumberFormat="1" applyFont="1" applyFill="1" applyBorder="1"/>
    <xf numFmtId="169" fontId="16" fillId="0" borderId="0" xfId="5" applyNumberFormat="1" applyFont="1" applyFill="1" applyBorder="1"/>
    <xf numFmtId="0" fontId="3" fillId="0" borderId="0" xfId="3" applyFont="1" applyFill="1" applyBorder="1" applyAlignment="1">
      <alignment horizontal="right"/>
    </xf>
    <xf numFmtId="0" fontId="2" fillId="0" borderId="0" xfId="3" applyFont="1" applyFill="1" applyBorder="1"/>
    <xf numFmtId="168" fontId="16" fillId="0" borderId="0" xfId="5" applyNumberFormat="1" applyFont="1" applyFill="1" applyBorder="1"/>
    <xf numFmtId="2" fontId="17" fillId="0" borderId="0" xfId="4" applyNumberFormat="1" applyFont="1" applyFill="1" applyBorder="1"/>
    <xf numFmtId="168" fontId="18" fillId="0" borderId="0" xfId="5" applyNumberFormat="1" applyFont="1" applyFill="1" applyBorder="1"/>
    <xf numFmtId="170" fontId="6" fillId="0" borderId="0" xfId="5" applyNumberFormat="1" applyFont="1" applyFill="1" applyBorder="1"/>
    <xf numFmtId="0" fontId="15" fillId="0" borderId="0" xfId="3" applyFill="1" applyBorder="1"/>
    <xf numFmtId="9" fontId="16" fillId="0" borderId="0" xfId="3" applyNumberFormat="1" applyFont="1" applyFill="1" applyBorder="1"/>
    <xf numFmtId="0" fontId="16" fillId="0" borderId="0" xfId="3" applyFont="1" applyFill="1" applyBorder="1"/>
    <xf numFmtId="10" fontId="16" fillId="0" borderId="0" xfId="6" applyNumberFormat="1" applyFont="1" applyFill="1" applyBorder="1"/>
    <xf numFmtId="0" fontId="20" fillId="0" borderId="0" xfId="0" applyFont="1" applyFill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3" borderId="1" xfId="0" applyFont="1" applyFill="1" applyBorder="1"/>
    <xf numFmtId="168" fontId="0" fillId="5" borderId="0" xfId="0" applyNumberFormat="1" applyFill="1"/>
    <xf numFmtId="0" fontId="0" fillId="5" borderId="0" xfId="0" applyFill="1"/>
    <xf numFmtId="0" fontId="0" fillId="6" borderId="13" xfId="0" applyFill="1" applyBorder="1"/>
    <xf numFmtId="0" fontId="0" fillId="6" borderId="15" xfId="0" applyFill="1" applyBorder="1"/>
    <xf numFmtId="0" fontId="19" fillId="4" borderId="0" xfId="0" applyFont="1" applyFill="1"/>
    <xf numFmtId="0" fontId="19" fillId="0" borderId="0" xfId="0" applyFont="1"/>
    <xf numFmtId="0" fontId="23" fillId="0" borderId="0" xfId="0" applyFont="1"/>
    <xf numFmtId="0" fontId="24" fillId="0" borderId="0" xfId="0" applyFont="1"/>
    <xf numFmtId="0" fontId="23" fillId="4" borderId="0" xfId="0" applyFont="1" applyFill="1"/>
    <xf numFmtId="0" fontId="3" fillId="0" borderId="0" xfId="3" applyNumberFormat="1" applyFont="1" applyFill="1" applyBorder="1" applyAlignment="1">
      <alignment horizontal="right"/>
    </xf>
    <xf numFmtId="0" fontId="3" fillId="0" borderId="0" xfId="3" applyFont="1" applyFill="1" applyBorder="1" applyAlignment="1"/>
    <xf numFmtId="0" fontId="25" fillId="7" borderId="0" xfId="0" applyFont="1" applyFill="1"/>
    <xf numFmtId="0" fontId="3" fillId="0" borderId="0" xfId="3" applyFont="1" applyBorder="1"/>
    <xf numFmtId="0" fontId="25" fillId="7" borderId="0" xfId="3" applyFont="1" applyFill="1" applyBorder="1" applyAlignment="1">
      <alignment horizontal="left"/>
    </xf>
    <xf numFmtId="0" fontId="25" fillId="4" borderId="0" xfId="3" applyFont="1" applyFill="1" applyBorder="1"/>
    <xf numFmtId="168" fontId="0" fillId="0" borderId="0" xfId="0" applyNumberFormat="1" applyFill="1"/>
    <xf numFmtId="0" fontId="0" fillId="0" borderId="0" xfId="0" applyFill="1"/>
    <xf numFmtId="0" fontId="19" fillId="0" borderId="0" xfId="0" applyFont="1" applyFill="1"/>
    <xf numFmtId="0" fontId="14" fillId="3" borderId="0" xfId="0" applyFont="1" applyFill="1" applyAlignment="1"/>
    <xf numFmtId="0" fontId="14" fillId="0" borderId="0" xfId="0" applyFont="1" applyFill="1" applyAlignment="1"/>
    <xf numFmtId="0" fontId="22" fillId="3" borderId="0" xfId="0" applyFont="1" applyFill="1"/>
    <xf numFmtId="165" fontId="0" fillId="0" borderId="0" xfId="0" applyNumberFormat="1"/>
    <xf numFmtId="44" fontId="5" fillId="2" borderId="8" xfId="2" applyFont="1" applyFill="1" applyBorder="1"/>
    <xf numFmtId="44" fontId="5" fillId="2" borderId="0" xfId="2" applyFont="1" applyFill="1" applyBorder="1"/>
    <xf numFmtId="44" fontId="5" fillId="2" borderId="9" xfId="2" applyFont="1" applyFill="1" applyBorder="1"/>
    <xf numFmtId="44" fontId="0" fillId="0" borderId="0" xfId="2" applyFont="1"/>
    <xf numFmtId="0" fontId="14" fillId="0" borderId="0" xfId="0" applyFont="1"/>
    <xf numFmtId="0" fontId="3" fillId="0" borderId="0" xfId="0" applyFont="1" applyFill="1"/>
    <xf numFmtId="0" fontId="3" fillId="0" borderId="4" xfId="0" applyFont="1" applyFill="1" applyBorder="1"/>
    <xf numFmtId="0" fontId="3" fillId="0" borderId="5" xfId="0" applyFont="1" applyFill="1" applyBorder="1" applyAlignment="1">
      <alignment horizontal="right"/>
    </xf>
    <xf numFmtId="0" fontId="3" fillId="0" borderId="6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164" fontId="3" fillId="0" borderId="8" xfId="5" applyNumberFormat="1" applyFont="1" applyFill="1" applyBorder="1"/>
    <xf numFmtId="164" fontId="3" fillId="0" borderId="0" xfId="5" applyNumberFormat="1" applyFont="1" applyFill="1" applyBorder="1"/>
    <xf numFmtId="164" fontId="3" fillId="0" borderId="9" xfId="5" applyNumberFormat="1" applyFont="1" applyFill="1" applyBorder="1"/>
    <xf numFmtId="3" fontId="4" fillId="0" borderId="0" xfId="4" applyNumberFormat="1" applyFont="1" applyFill="1" applyBorder="1"/>
    <xf numFmtId="165" fontId="3" fillId="0" borderId="8" xfId="4" applyNumberFormat="1" applyFont="1" applyFill="1" applyBorder="1"/>
    <xf numFmtId="165" fontId="3" fillId="0" borderId="0" xfId="4" applyNumberFormat="1" applyFont="1" applyFill="1" applyBorder="1"/>
    <xf numFmtId="165" fontId="3" fillId="0" borderId="9" xfId="4" applyNumberFormat="1" applyFont="1" applyFill="1" applyBorder="1"/>
    <xf numFmtId="165" fontId="5" fillId="0" borderId="8" xfId="4" applyNumberFormat="1" applyFont="1" applyFill="1" applyBorder="1"/>
    <xf numFmtId="165" fontId="5" fillId="0" borderId="0" xfId="4" applyNumberFormat="1" applyFont="1" applyFill="1" applyBorder="1"/>
    <xf numFmtId="165" fontId="5" fillId="0" borderId="9" xfId="4" applyNumberFormat="1" applyFont="1" applyFill="1" applyBorder="1"/>
    <xf numFmtId="4" fontId="3" fillId="0" borderId="8" xfId="0" applyNumberFormat="1" applyFont="1" applyFill="1" applyBorder="1"/>
    <xf numFmtId="4" fontId="3" fillId="0" borderId="0" xfId="0" applyNumberFormat="1" applyFont="1" applyFill="1"/>
    <xf numFmtId="4" fontId="3" fillId="0" borderId="9" xfId="0" applyNumberFormat="1" applyFont="1" applyFill="1" applyBorder="1"/>
    <xf numFmtId="166" fontId="3" fillId="3" borderId="0" xfId="5" applyNumberFormat="1" applyFont="1" applyFill="1" applyBorder="1"/>
    <xf numFmtId="166" fontId="3" fillId="3" borderId="9" xfId="5" applyNumberFormat="1" applyFont="1" applyFill="1" applyBorder="1"/>
    <xf numFmtId="167" fontId="3" fillId="3" borderId="5" xfId="5" applyNumberFormat="1" applyFont="1" applyFill="1" applyBorder="1" applyAlignment="1">
      <alignment horizontal="right"/>
    </xf>
    <xf numFmtId="0" fontId="21" fillId="3" borderId="4" xfId="0" applyFont="1" applyFill="1" applyBorder="1"/>
    <xf numFmtId="0" fontId="0" fillId="0" borderId="0" xfId="0" applyFill="1" applyBorder="1"/>
    <xf numFmtId="0" fontId="0" fillId="8" borderId="0" xfId="0" applyFill="1"/>
    <xf numFmtId="14" fontId="0" fillId="0" borderId="0" xfId="0" applyNumberFormat="1"/>
    <xf numFmtId="0" fontId="0" fillId="0" borderId="0" xfId="0" applyFill="1" applyBorder="1" applyAlignment="1"/>
    <xf numFmtId="0" fontId="0" fillId="0" borderId="12" xfId="0" applyFill="1" applyBorder="1" applyAlignment="1"/>
    <xf numFmtId="0" fontId="26" fillId="0" borderId="17" xfId="0" applyFont="1" applyFill="1" applyBorder="1" applyAlignment="1">
      <alignment horizontal="center"/>
    </xf>
    <xf numFmtId="0" fontId="26" fillId="0" borderId="17" xfId="0" applyFont="1" applyFill="1" applyBorder="1" applyAlignment="1">
      <alignment horizontal="centerContinuous"/>
    </xf>
    <xf numFmtId="4" fontId="0" fillId="0" borderId="0" xfId="0" applyNumberFormat="1"/>
    <xf numFmtId="9" fontId="0" fillId="0" borderId="0" xfId="7" applyFont="1"/>
    <xf numFmtId="0" fontId="3" fillId="3" borderId="6" xfId="0" applyFont="1" applyFill="1" applyBorder="1" applyAlignment="1">
      <alignment horizontal="right"/>
    </xf>
    <xf numFmtId="10" fontId="0" fillId="0" borderId="0" xfId="7" applyNumberFormat="1" applyFont="1"/>
    <xf numFmtId="44" fontId="12" fillId="0" borderId="0" xfId="2" applyFont="1"/>
    <xf numFmtId="44" fontId="0" fillId="5" borderId="0" xfId="2" applyFont="1" applyFill="1"/>
    <xf numFmtId="10" fontId="0" fillId="0" borderId="14" xfId="0" applyNumberFormat="1" applyBorder="1"/>
    <xf numFmtId="10" fontId="0" fillId="0" borderId="5" xfId="7" applyNumberFormat="1" applyFont="1" applyBorder="1"/>
    <xf numFmtId="44" fontId="3" fillId="0" borderId="0" xfId="2" applyFont="1" applyFill="1" applyBorder="1" applyAlignment="1"/>
    <xf numFmtId="44" fontId="0" fillId="0" borderId="0" xfId="0" applyNumberFormat="1"/>
    <xf numFmtId="168" fontId="3" fillId="0" borderId="0" xfId="3" applyNumberFormat="1" applyFont="1" applyFill="1" applyBorder="1" applyAlignment="1">
      <alignment horizontal="right"/>
    </xf>
    <xf numFmtId="44" fontId="3" fillId="4" borderId="0" xfId="2" applyFont="1" applyFill="1" applyBorder="1"/>
    <xf numFmtId="44" fontId="10" fillId="4" borderId="0" xfId="2" applyFont="1" applyFill="1"/>
    <xf numFmtId="44" fontId="0" fillId="4" borderId="0" xfId="2" applyFont="1" applyFill="1"/>
    <xf numFmtId="44" fontId="10" fillId="0" borderId="0" xfId="2" applyFont="1"/>
    <xf numFmtId="44" fontId="13" fillId="0" borderId="0" xfId="2" applyFont="1"/>
    <xf numFmtId="44" fontId="3" fillId="0" borderId="0" xfId="2" applyFont="1" applyFill="1" applyBorder="1"/>
    <xf numFmtId="44" fontId="3" fillId="0" borderId="0" xfId="2" applyFont="1" applyFill="1" applyBorder="1" applyAlignment="1">
      <alignment horizontal="right"/>
    </xf>
    <xf numFmtId="44" fontId="2" fillId="4" borderId="0" xfId="2" applyFont="1" applyFill="1" applyBorder="1"/>
    <xf numFmtId="43" fontId="3" fillId="0" borderId="0" xfId="1" applyFont="1" applyFill="1" applyBorder="1" applyAlignment="1"/>
    <xf numFmtId="44" fontId="3" fillId="0" borderId="0" xfId="3" applyNumberFormat="1" applyFont="1" applyBorder="1"/>
    <xf numFmtId="44" fontId="7" fillId="7" borderId="0" xfId="0" applyNumberFormat="1" applyFont="1" applyFill="1"/>
    <xf numFmtId="44" fontId="3" fillId="0" borderId="0" xfId="3" applyNumberFormat="1" applyFont="1" applyFill="1" applyBorder="1" applyAlignment="1">
      <alignment horizontal="left"/>
    </xf>
    <xf numFmtId="164" fontId="3" fillId="0" borderId="0" xfId="0" applyNumberFormat="1" applyFont="1" applyFill="1"/>
    <xf numFmtId="44" fontId="3" fillId="7" borderId="0" xfId="2" applyFont="1" applyFill="1" applyBorder="1" applyAlignment="1">
      <alignment horizontal="left"/>
    </xf>
    <xf numFmtId="0" fontId="28" fillId="0" borderId="0" xfId="0" applyFont="1"/>
    <xf numFmtId="44" fontId="14" fillId="0" borderId="0" xfId="2" applyFont="1" applyFill="1"/>
    <xf numFmtId="44" fontId="28" fillId="0" borderId="0" xfId="2" applyFont="1" applyFill="1"/>
    <xf numFmtId="44" fontId="14" fillId="0" borderId="0" xfId="2" applyFont="1"/>
    <xf numFmtId="44" fontId="28" fillId="0" borderId="0" xfId="2" applyFont="1"/>
    <xf numFmtId="44" fontId="14" fillId="4" borderId="0" xfId="2" applyFont="1" applyFill="1"/>
    <xf numFmtId="10" fontId="29" fillId="0" borderId="0" xfId="7" applyNumberFormat="1" applyFont="1" applyAlignment="1">
      <alignment horizontal="center"/>
    </xf>
    <xf numFmtId="44" fontId="21" fillId="0" borderId="0" xfId="2" applyFont="1" applyAlignment="1">
      <alignment horizontal="center"/>
    </xf>
    <xf numFmtId="44" fontId="21" fillId="0" borderId="0" xfId="2" applyNumberFormat="1" applyFont="1" applyAlignment="1">
      <alignment horizontal="center"/>
    </xf>
    <xf numFmtId="44" fontId="27" fillId="4" borderId="0" xfId="2" applyFont="1" applyFill="1" applyAlignment="1">
      <alignment horizontal="center" vertical="center"/>
    </xf>
    <xf numFmtId="44" fontId="3" fillId="4" borderId="0" xfId="2" applyFont="1" applyFill="1" applyAlignment="1">
      <alignment horizontal="center"/>
    </xf>
    <xf numFmtId="44" fontId="12" fillId="0" borderId="0" xfId="0" applyNumberFormat="1" applyFont="1"/>
    <xf numFmtId="9" fontId="0" fillId="0" borderId="0" xfId="0" applyNumberFormat="1"/>
    <xf numFmtId="10" fontId="14" fillId="0" borderId="0" xfId="7" applyNumberFormat="1" applyFont="1"/>
    <xf numFmtId="0" fontId="14" fillId="3" borderId="13" xfId="0" applyFont="1" applyFill="1" applyBorder="1"/>
    <xf numFmtId="0" fontId="14" fillId="3" borderId="14" xfId="0" applyFont="1" applyFill="1" applyBorder="1"/>
    <xf numFmtId="0" fontId="21" fillId="0" borderId="0" xfId="0" applyFont="1"/>
    <xf numFmtId="0" fontId="14" fillId="9" borderId="0" xfId="0" applyFont="1" applyFill="1"/>
    <xf numFmtId="0" fontId="11" fillId="0" borderId="0" xfId="0" applyFont="1" applyAlignment="1">
      <alignment horizontal="center" vertical="center"/>
    </xf>
    <xf numFmtId="0" fontId="0" fillId="7" borderId="0" xfId="0" applyFill="1"/>
    <xf numFmtId="44" fontId="0" fillId="7" borderId="0" xfId="0" applyNumberFormat="1" applyFill="1"/>
    <xf numFmtId="44" fontId="22" fillId="0" borderId="0" xfId="2" applyFont="1"/>
    <xf numFmtId="44" fontId="14" fillId="0" borderId="0" xfId="0" applyNumberFormat="1" applyFont="1"/>
    <xf numFmtId="0" fontId="14" fillId="8" borderId="0" xfId="0" applyFont="1" applyFill="1"/>
    <xf numFmtId="44" fontId="14" fillId="8" borderId="0" xfId="0" applyNumberFormat="1" applyFont="1" applyFill="1"/>
    <xf numFmtId="43" fontId="14" fillId="0" borderId="0" xfId="1" applyFont="1"/>
    <xf numFmtId="0" fontId="14" fillId="7" borderId="0" xfId="0" applyFont="1" applyFill="1"/>
    <xf numFmtId="44" fontId="14" fillId="7" borderId="0" xfId="0" applyNumberFormat="1" applyFont="1" applyFill="1"/>
    <xf numFmtId="0" fontId="19" fillId="8" borderId="0" xfId="0" applyFont="1" applyFill="1"/>
    <xf numFmtId="0" fontId="0" fillId="0" borderId="13" xfId="0" applyBorder="1"/>
    <xf numFmtId="0" fontId="0" fillId="0" borderId="15" xfId="0" applyBorder="1"/>
    <xf numFmtId="0" fontId="30" fillId="6" borderId="13" xfId="0" applyFont="1" applyFill="1" applyBorder="1"/>
    <xf numFmtId="0" fontId="30" fillId="6" borderId="15" xfId="0" applyFont="1" applyFill="1" applyBorder="1"/>
    <xf numFmtId="0" fontId="25" fillId="8" borderId="0" xfId="0" applyFont="1" applyFill="1"/>
    <xf numFmtId="0" fontId="14" fillId="0" borderId="0" xfId="0" applyFont="1" applyAlignment="1">
      <alignment wrapText="1"/>
    </xf>
    <xf numFmtId="10" fontId="14" fillId="0" borderId="0" xfId="0" applyNumberFormat="1" applyFont="1"/>
    <xf numFmtId="44" fontId="14" fillId="7" borderId="0" xfId="2" applyFont="1" applyFill="1"/>
    <xf numFmtId="44" fontId="14" fillId="8" borderId="0" xfId="2" applyFont="1" applyFill="1"/>
    <xf numFmtId="0" fontId="1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10" fontId="10" fillId="0" borderId="14" xfId="0" applyNumberFormat="1" applyFont="1" applyBorder="1"/>
    <xf numFmtId="0" fontId="19" fillId="6" borderId="13" xfId="0" applyFont="1" applyFill="1" applyBorder="1"/>
    <xf numFmtId="0" fontId="19" fillId="6" borderId="15" xfId="0" applyFont="1" applyFill="1" applyBorder="1"/>
    <xf numFmtId="0" fontId="14" fillId="0" borderId="18" xfId="0" applyFont="1" applyBorder="1"/>
    <xf numFmtId="0" fontId="14" fillId="0" borderId="0" xfId="0" applyFont="1" applyBorder="1"/>
    <xf numFmtId="0" fontId="14" fillId="0" borderId="8" xfId="0" applyFont="1" applyBorder="1"/>
    <xf numFmtId="0" fontId="14" fillId="0" borderId="15" xfId="0" applyFont="1" applyBorder="1"/>
    <xf numFmtId="0" fontId="14" fillId="0" borderId="6" xfId="0" applyFont="1" applyBorder="1"/>
    <xf numFmtId="0" fontId="14" fillId="0" borderId="5" xfId="0" applyFont="1" applyBorder="1"/>
    <xf numFmtId="0" fontId="19" fillId="0" borderId="23" xfId="0" applyFont="1" applyBorder="1"/>
    <xf numFmtId="0" fontId="19" fillId="0" borderId="19" xfId="0" applyFont="1" applyBorder="1"/>
    <xf numFmtId="0" fontId="19" fillId="0" borderId="24" xfId="0" applyFont="1" applyBorder="1"/>
    <xf numFmtId="0" fontId="14" fillId="3" borderId="20" xfId="0" applyFont="1" applyFill="1" applyBorder="1"/>
    <xf numFmtId="0" fontId="14" fillId="3" borderId="16" xfId="0" applyFont="1" applyFill="1" applyBorder="1"/>
    <xf numFmtId="0" fontId="14" fillId="3" borderId="21" xfId="0" applyFont="1" applyFill="1" applyBorder="1"/>
    <xf numFmtId="43" fontId="10" fillId="0" borderId="5" xfId="1" applyFont="1" applyBorder="1"/>
    <xf numFmtId="0" fontId="3" fillId="3" borderId="8" xfId="0" applyFont="1" applyFill="1" applyBorder="1" applyAlignment="1">
      <alignment horizontal="right"/>
    </xf>
    <xf numFmtId="0" fontId="3" fillId="2" borderId="13" xfId="0" applyFont="1" applyFill="1" applyBorder="1"/>
    <xf numFmtId="0" fontId="3" fillId="2" borderId="22" xfId="0" applyFont="1" applyFill="1" applyBorder="1"/>
    <xf numFmtId="0" fontId="3" fillId="2" borderId="21" xfId="0" applyFont="1" applyFill="1" applyBorder="1" applyAlignment="1">
      <alignment horizontal="right"/>
    </xf>
    <xf numFmtId="0" fontId="3" fillId="2" borderId="18" xfId="0" applyFont="1" applyFill="1" applyBorder="1"/>
    <xf numFmtId="0" fontId="3" fillId="2" borderId="0" xfId="0" applyFont="1" applyFill="1" applyBorder="1"/>
    <xf numFmtId="165" fontId="3" fillId="2" borderId="0" xfId="0" applyNumberFormat="1" applyFont="1" applyFill="1" applyBorder="1"/>
    <xf numFmtId="10" fontId="3" fillId="2" borderId="0" xfId="7" applyNumberFormat="1" applyFont="1" applyFill="1" applyBorder="1"/>
    <xf numFmtId="0" fontId="19" fillId="0" borderId="8" xfId="0" applyFont="1" applyBorder="1"/>
    <xf numFmtId="0" fontId="3" fillId="2" borderId="15" xfId="0" applyFont="1" applyFill="1" applyBorder="1"/>
    <xf numFmtId="0" fontId="3" fillId="2" borderId="6" xfId="0" applyFont="1" applyFill="1" applyBorder="1"/>
    <xf numFmtId="166" fontId="3" fillId="2" borderId="5" xfId="2" applyNumberFormat="1" applyFont="1" applyFill="1" applyBorder="1"/>
    <xf numFmtId="164" fontId="3" fillId="2" borderId="23" xfId="2" applyNumberFormat="1" applyFont="1" applyFill="1" applyBorder="1"/>
    <xf numFmtId="164" fontId="5" fillId="2" borderId="19" xfId="2" applyNumberFormat="1" applyFont="1" applyFill="1" applyBorder="1"/>
    <xf numFmtId="165" fontId="5" fillId="2" borderId="19" xfId="1" applyNumberFormat="1" applyFont="1" applyFill="1" applyBorder="1"/>
    <xf numFmtId="164" fontId="3" fillId="2" borderId="19" xfId="2" applyNumberFormat="1" applyFont="1" applyFill="1" applyBorder="1"/>
    <xf numFmtId="44" fontId="5" fillId="2" borderId="19" xfId="2" applyFont="1" applyFill="1" applyBorder="1"/>
    <xf numFmtId="4" fontId="3" fillId="2" borderId="19" xfId="2" applyNumberFormat="1" applyFont="1" applyFill="1" applyBorder="1"/>
    <xf numFmtId="0" fontId="3" fillId="2" borderId="19" xfId="2" applyNumberFormat="1" applyFont="1" applyFill="1" applyBorder="1"/>
    <xf numFmtId="166" fontId="3" fillId="2" borderId="24" xfId="2" applyNumberFormat="1" applyFont="1" applyFill="1" applyBorder="1"/>
    <xf numFmtId="0" fontId="3" fillId="4" borderId="18" xfId="0" applyFont="1" applyFill="1" applyBorder="1"/>
    <xf numFmtId="0" fontId="3" fillId="4" borderId="0" xfId="0" applyFont="1" applyFill="1" applyBorder="1"/>
    <xf numFmtId="164" fontId="3" fillId="4" borderId="8" xfId="2" applyNumberFormat="1" applyFont="1" applyFill="1" applyBorder="1"/>
    <xf numFmtId="164" fontId="3" fillId="4" borderId="19" xfId="2" applyNumberFormat="1" applyFont="1" applyFill="1" applyBorder="1"/>
    <xf numFmtId="0" fontId="3" fillId="4" borderId="4" xfId="0" applyFont="1" applyFill="1" applyBorder="1"/>
    <xf numFmtId="0" fontId="3" fillId="4" borderId="0" xfId="0" applyFont="1" applyFill="1"/>
    <xf numFmtId="164" fontId="6" fillId="4" borderId="8" xfId="5" applyNumberFormat="1" applyFont="1" applyFill="1" applyBorder="1"/>
    <xf numFmtId="164" fontId="3" fillId="4" borderId="8" xfId="5" applyNumberFormat="1" applyFont="1" applyFill="1" applyBorder="1"/>
    <xf numFmtId="3" fontId="4" fillId="4" borderId="0" xfId="4" applyNumberFormat="1" applyFont="1" applyFill="1" applyBorder="1"/>
    <xf numFmtId="165" fontId="3" fillId="4" borderId="8" xfId="4" applyNumberFormat="1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164" fontId="6" fillId="4" borderId="10" xfId="5" applyNumberFormat="1" applyFont="1" applyFill="1" applyBorder="1"/>
    <xf numFmtId="0" fontId="14" fillId="4" borderId="0" xfId="0" applyFont="1" applyFill="1"/>
    <xf numFmtId="10" fontId="14" fillId="7" borderId="0" xfId="0" applyNumberFormat="1" applyFont="1" applyFill="1"/>
    <xf numFmtId="2" fontId="14" fillId="0" borderId="0" xfId="0" applyNumberFormat="1" applyFont="1"/>
    <xf numFmtId="2" fontId="14" fillId="7" borderId="0" xfId="0" applyNumberFormat="1" applyFont="1" applyFill="1"/>
    <xf numFmtId="0" fontId="32" fillId="0" borderId="0" xfId="0" applyFont="1" applyFill="1" applyBorder="1"/>
    <xf numFmtId="14" fontId="14" fillId="0" borderId="0" xfId="0" applyNumberFormat="1" applyFont="1"/>
    <xf numFmtId="0" fontId="14" fillId="0" borderId="0" xfId="7" applyNumberFormat="1" applyFont="1"/>
    <xf numFmtId="0" fontId="14" fillId="0" borderId="0" xfId="7" applyNumberFormat="1" applyFont="1" applyFill="1"/>
    <xf numFmtId="0" fontId="0" fillId="9" borderId="0" xfId="0" applyFill="1"/>
    <xf numFmtId="10" fontId="0" fillId="7" borderId="0" xfId="7" applyNumberFormat="1" applyFont="1" applyFill="1"/>
    <xf numFmtId="10" fontId="14" fillId="7" borderId="0" xfId="7" applyNumberFormat="1" applyFont="1" applyFill="1"/>
    <xf numFmtId="0" fontId="14" fillId="0" borderId="0" xfId="0" applyNumberFormat="1" applyFont="1"/>
    <xf numFmtId="0" fontId="31" fillId="0" borderId="0" xfId="0" applyFont="1"/>
    <xf numFmtId="164" fontId="0" fillId="9" borderId="0" xfId="0" applyNumberFormat="1" applyFill="1"/>
    <xf numFmtId="164" fontId="0" fillId="0" borderId="5" xfId="0" applyNumberFormat="1" applyBorder="1"/>
    <xf numFmtId="165" fontId="0" fillId="0" borderId="5" xfId="0" applyNumberFormat="1" applyBorder="1"/>
    <xf numFmtId="2" fontId="0" fillId="0" borderId="5" xfId="0" applyNumberFormat="1" applyBorder="1"/>
    <xf numFmtId="0" fontId="19" fillId="0" borderId="0" xfId="0" applyFont="1" applyFill="1" applyBorder="1"/>
    <xf numFmtId="0" fontId="21" fillId="0" borderId="0" xfId="0" applyFont="1" applyFill="1" applyBorder="1"/>
    <xf numFmtId="0" fontId="3" fillId="0" borderId="0" xfId="0" applyFont="1" applyFill="1" applyBorder="1" applyAlignment="1">
      <alignment horizontal="right"/>
    </xf>
    <xf numFmtId="9" fontId="0" fillId="0" borderId="0" xfId="7" applyFont="1" applyFill="1" applyBorder="1"/>
    <xf numFmtId="0" fontId="0" fillId="0" borderId="0" xfId="7" applyNumberFormat="1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4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3" fillId="0" borderId="0" xfId="3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3" borderId="8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21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Fill="1" applyAlignment="1"/>
    <xf numFmtId="0" fontId="0" fillId="0" borderId="0" xfId="0" applyFill="1" applyAlignment="1"/>
    <xf numFmtId="0" fontId="14" fillId="0" borderId="9" xfId="0" applyFont="1" applyBorder="1"/>
    <xf numFmtId="44" fontId="14" fillId="0" borderId="25" xfId="0" applyNumberFormat="1" applyFont="1" applyBorder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center"/>
    </xf>
    <xf numFmtId="0" fontId="14" fillId="3" borderId="1" xfId="0" applyFont="1" applyFill="1" applyBorder="1"/>
    <xf numFmtId="0" fontId="14" fillId="3" borderId="3" xfId="0" applyFont="1" applyFill="1" applyBorder="1"/>
    <xf numFmtId="0" fontId="14" fillId="3" borderId="1" xfId="0" applyFont="1" applyFill="1" applyBorder="1" applyAlignment="1">
      <alignment vertical="center"/>
    </xf>
    <xf numFmtId="0" fontId="14" fillId="3" borderId="3" xfId="0" applyFont="1" applyFill="1" applyBorder="1" applyAlignment="1">
      <alignment vertical="center"/>
    </xf>
    <xf numFmtId="0" fontId="14" fillId="6" borderId="4" xfId="0" applyFont="1" applyFill="1" applyBorder="1"/>
    <xf numFmtId="0" fontId="14" fillId="6" borderId="11" xfId="0" applyFont="1" applyFill="1" applyBorder="1"/>
    <xf numFmtId="0" fontId="14" fillId="6" borderId="1" xfId="0" applyFont="1" applyFill="1" applyBorder="1"/>
    <xf numFmtId="178" fontId="14" fillId="7" borderId="0" xfId="0" applyNumberFormat="1" applyFont="1" applyFill="1"/>
    <xf numFmtId="44" fontId="14" fillId="0" borderId="3" xfId="2" applyFont="1" applyBorder="1"/>
    <xf numFmtId="44" fontId="14" fillId="0" borderId="9" xfId="2" applyFont="1" applyBorder="1"/>
    <xf numFmtId="44" fontId="14" fillId="0" borderId="25" xfId="2" applyFont="1" applyBorder="1"/>
    <xf numFmtId="0" fontId="14" fillId="0" borderId="0" xfId="0" applyFont="1" applyAlignment="1">
      <alignment horizontal="left" vertical="center" wrapText="1"/>
    </xf>
    <xf numFmtId="0" fontId="14" fillId="6" borderId="18" xfId="0" applyFont="1" applyFill="1" applyBorder="1"/>
    <xf numFmtId="0" fontId="14" fillId="6" borderId="15" xfId="0" applyFont="1" applyFill="1" applyBorder="1"/>
    <xf numFmtId="44" fontId="14" fillId="0" borderId="8" xfId="2" applyFont="1" applyFill="1" applyBorder="1"/>
    <xf numFmtId="44" fontId="14" fillId="0" borderId="5" xfId="2" applyFont="1" applyFill="1" applyBorder="1"/>
    <xf numFmtId="0" fontId="14" fillId="6" borderId="1" xfId="0" applyFont="1" applyFill="1" applyBorder="1" applyAlignment="1">
      <alignment vertical="center" wrapText="1"/>
    </xf>
    <xf numFmtId="10" fontId="14" fillId="0" borderId="3" xfId="0" applyNumberFormat="1" applyFont="1" applyBorder="1" applyAlignment="1">
      <alignment vertical="center"/>
    </xf>
    <xf numFmtId="10" fontId="14" fillId="0" borderId="25" xfId="7" applyNumberFormat="1" applyFont="1" applyBorder="1"/>
    <xf numFmtId="0" fontId="14" fillId="3" borderId="18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2" fontId="0" fillId="0" borderId="14" xfId="0" applyNumberFormat="1" applyBorder="1"/>
    <xf numFmtId="44" fontId="3" fillId="0" borderId="0" xfId="2" applyFont="1" applyBorder="1"/>
    <xf numFmtId="0" fontId="3" fillId="4" borderId="0" xfId="3" applyFont="1" applyFill="1" applyBorder="1" applyAlignment="1"/>
    <xf numFmtId="44" fontId="3" fillId="4" borderId="0" xfId="3" applyNumberFormat="1" applyFont="1" applyFill="1" applyBorder="1" applyAlignment="1"/>
  </cellXfs>
  <cellStyles count="8">
    <cellStyle name="Comma" xfId="1" builtinId="3"/>
    <cellStyle name="Comma 2" xfId="4" xr:uid="{B40F15FD-73DB-4405-A2EC-9D295C2C73BD}"/>
    <cellStyle name="Currency" xfId="2" builtinId="4"/>
    <cellStyle name="Currency 2" xfId="5" xr:uid="{A4208B25-913C-413E-BBDC-FC8A1DE3F482}"/>
    <cellStyle name="Normal" xfId="0" builtinId="0"/>
    <cellStyle name="Normal 2" xfId="3" xr:uid="{22107A90-22FC-4BD2-BFF6-9B356D1C619D}"/>
    <cellStyle name="Percent" xfId="7" builtinId="5"/>
    <cellStyle name="Percent 2" xfId="6" xr:uid="{33DB7E44-025F-472F-9438-5D0F2B4BBA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70</xdr:row>
      <xdr:rowOff>45720</xdr:rowOff>
    </xdr:from>
    <xdr:to>
      <xdr:col>13</xdr:col>
      <xdr:colOff>0</xdr:colOff>
      <xdr:row>72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07D0BC-59B0-F0BB-89CA-87F44FDBB726}"/>
            </a:ext>
          </a:extLst>
        </xdr:cNvPr>
        <xdr:cNvSpPr txBox="1"/>
      </xdr:nvSpPr>
      <xdr:spPr>
        <a:xfrm>
          <a:off x="12199620" y="14805660"/>
          <a:ext cx="2933700" cy="525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Defautl</a:t>
          </a:r>
          <a:r>
            <a:rPr lang="en-US" sz="1100" baseline="0"/>
            <a:t> Spread from Table H Investment Grade Long Term Benchmark Spreads excel file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160020</xdr:colOff>
      <xdr:row>65</xdr:row>
      <xdr:rowOff>60960</xdr:rowOff>
    </xdr:from>
    <xdr:to>
      <xdr:col>1</xdr:col>
      <xdr:colOff>1104900</xdr:colOff>
      <xdr:row>67</xdr:row>
      <xdr:rowOff>137160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1A1D60-8AF2-2C45-22D3-0D67AE7080C3}"/>
            </a:ext>
          </a:extLst>
        </xdr:cNvPr>
        <xdr:cNvSpPr txBox="1"/>
      </xdr:nvSpPr>
      <xdr:spPr>
        <a:xfrm>
          <a:off x="160020" y="13830300"/>
          <a:ext cx="1554480" cy="472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Collected</a:t>
          </a:r>
          <a:r>
            <a:rPr lang="en-US" sz="1100" baseline="0"/>
            <a:t> from </a:t>
          </a:r>
          <a:r>
            <a:rPr lang="en-US" sz="1100" baseline="0">
              <a:solidFill>
                <a:schemeClr val="accent5"/>
              </a:solidFill>
            </a:rPr>
            <a:t>morningstar.com</a:t>
          </a:r>
          <a:endParaRPr lang="en-US" sz="1100">
            <a:solidFill>
              <a:schemeClr val="accent5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1</xdr:row>
      <xdr:rowOff>15240</xdr:rowOff>
    </xdr:from>
    <xdr:to>
      <xdr:col>15</xdr:col>
      <xdr:colOff>449580</xdr:colOff>
      <xdr:row>3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155D43-F2BC-0154-2224-2172FD81530A}"/>
            </a:ext>
          </a:extLst>
        </xdr:cNvPr>
        <xdr:cNvSpPr txBox="1"/>
      </xdr:nvSpPr>
      <xdr:spPr>
        <a:xfrm>
          <a:off x="6675120" y="198120"/>
          <a:ext cx="5234940" cy="525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I couldn't unfortunately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got past one year of historical prices for S&amp;P 500.</a:t>
          </a:r>
        </a:p>
        <a:p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Data are taken from Yahoo Finance.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2</xdr:row>
      <xdr:rowOff>30480</xdr:rowOff>
    </xdr:from>
    <xdr:to>
      <xdr:col>13</xdr:col>
      <xdr:colOff>38100</xdr:colOff>
      <xdr:row>23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CCC3E6-0685-8F0E-5721-5DCC98848043}"/>
            </a:ext>
          </a:extLst>
        </xdr:cNvPr>
        <xdr:cNvSpPr txBox="1"/>
      </xdr:nvSpPr>
      <xdr:spPr>
        <a:xfrm>
          <a:off x="1051560" y="396240"/>
          <a:ext cx="6911340" cy="3893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Key Takeaways</a:t>
          </a:r>
        </a:p>
        <a:p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Prices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estimate using Dividends, FCFE, and relative valuation, respectively $63.10, $72.48 and $60.16, are approximatively similar, whereas there is a huge gap with the price determined with Free Cash Flows, which is of $196.</a:t>
          </a:r>
        </a:p>
        <a:p>
          <a:endParaRPr lang="en-US" sz="14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The current price per share of Apple is 166, so the FCF method generated the closest results. </a:t>
          </a:r>
        </a:p>
        <a:p>
          <a:endParaRPr lang="en-US" sz="14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Based on the D/E being 1.73, Apple has lot of debts. The Net profit Margin is of 25.16%, which means that Apple has a goof financial stability despite having lot of debts. However, Apple has a huge inventory turnover of 40, indicating that a big portion of production in unsold. 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950259</xdr:colOff>
      <xdr:row>2</xdr:row>
      <xdr:rowOff>71717</xdr:rowOff>
    </xdr:from>
    <xdr:to>
      <xdr:col>8</xdr:col>
      <xdr:colOff>762000</xdr:colOff>
      <xdr:row>5</xdr:row>
      <xdr:rowOff>143435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CFDF95-D52B-CD95-BBC9-74235A016A05}"/>
            </a:ext>
          </a:extLst>
        </xdr:cNvPr>
        <xdr:cNvSpPr txBox="1"/>
      </xdr:nvSpPr>
      <xdr:spPr>
        <a:xfrm>
          <a:off x="6831106" y="475129"/>
          <a:ext cx="4303059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 year growth rate from cis market. </a:t>
          </a:r>
        </a:p>
        <a:p>
          <a:r>
            <a:rPr lang="en-US" sz="1100"/>
            <a:t>Computed growth rate was</a:t>
          </a:r>
          <a:r>
            <a:rPr lang="en-US" sz="1100" baseline="0"/>
            <a:t> greater than WACC and would result in calculation errors.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6626</xdr:colOff>
      <xdr:row>1</xdr:row>
      <xdr:rowOff>79513</xdr:rowOff>
    </xdr:from>
    <xdr:to>
      <xdr:col>15</xdr:col>
      <xdr:colOff>357809</xdr:colOff>
      <xdr:row>4</xdr:row>
      <xdr:rowOff>46383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BEF7F3-509A-6051-1DD9-0E67686BA216}"/>
            </a:ext>
          </a:extLst>
        </xdr:cNvPr>
        <xdr:cNvSpPr txBox="1"/>
      </xdr:nvSpPr>
      <xdr:spPr>
        <a:xfrm>
          <a:off x="7010400" y="298174"/>
          <a:ext cx="4081670" cy="6758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Having no dividends in 2021, I calculated a growth</a:t>
          </a:r>
          <a:r>
            <a:rPr lang="en-US" sz="1100" baseline="0"/>
            <a:t> rate based on a 2 years period, from 2018 to 2020. I also chose this period to have a growth rate less thna the cost of equity o avoid errors in calculations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1</xdr:row>
      <xdr:rowOff>53340</xdr:rowOff>
    </xdr:from>
    <xdr:to>
      <xdr:col>11</xdr:col>
      <xdr:colOff>205740</xdr:colOff>
      <xdr:row>5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BE2DDC-AE2D-9A46-4676-35A8390D75B0}"/>
            </a:ext>
          </a:extLst>
        </xdr:cNvPr>
        <xdr:cNvSpPr txBox="1"/>
      </xdr:nvSpPr>
      <xdr:spPr>
        <a:xfrm>
          <a:off x="9334500" y="274320"/>
          <a:ext cx="2346960" cy="746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year growth rate from cis market.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Computed growth rate was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greater than WACC and would result in calculation errors.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0</xdr:row>
      <xdr:rowOff>0</xdr:rowOff>
    </xdr:from>
    <xdr:to>
      <xdr:col>12</xdr:col>
      <xdr:colOff>213360</xdr:colOff>
      <xdr:row>24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E0FB19-0AED-689E-345E-ADAC0509B2DF}"/>
            </a:ext>
          </a:extLst>
        </xdr:cNvPr>
        <xdr:cNvSpPr txBox="1"/>
      </xdr:nvSpPr>
      <xdr:spPr>
        <a:xfrm>
          <a:off x="2308860" y="0"/>
          <a:ext cx="5219700" cy="4556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References</a:t>
          </a:r>
        </a:p>
        <a:p>
          <a:endParaRPr lang="en-US" sz="1100"/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Shibboleth authentication request. (n.d.). Retrieved August 1, 2022, from 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https://www.mergentonline.com.hult.idm.oclc.org/companydetail.php?compnumber=12161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Bonds. Bonds - Search Results. (n.d.). Retrieved August 2, 2022, from 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https://finra-markets.morningstar.com/BondCenter/Results.jsp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Staff, M. B. (2022, August 3). AAPL earnings date 2022: Apple Earnings Forecast. MarketBeat. Retrieved August 3, 2022, from 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https://www.marketbeat.com/stocks/NASDAQ/AAPL/earnings/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Yahoo! (2022, August). Apple Inc. (AAPL) stock price, news, Quote &amp;amp; History. Yahoo! Finance. Retrieved August 3, 2022, from 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https://finance.yahoo.com/quote/AAPL?p=AAPL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Zacks Investment Research. (2022, August 4). Member sign in. Zacks Investment Research. Retrieved August 3, 2022, from 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https://www.zacks.com/stock/quote/AAPL/income-statement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Published by Statista Research Department, &amp; 4, J. (2022, July 4). </a:t>
          </a:r>
          <a:r>
            <a:rPr lang="en-US" i="1">
              <a:effectLst/>
            </a:rPr>
            <a:t>Average market risk premium in the U.S. 2011-2022</a:t>
          </a:r>
          <a:r>
            <a:rPr lang="en-US">
              <a:effectLst/>
            </a:rPr>
            <a:t>. Statista. Retrieved August 3, 2022, from https://www.statista.com/statistics/664840/average-market-risk-premium-usa/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i="1">
              <a:effectLst/>
            </a:rPr>
            <a:t>AAPL's revenue growth by quarter and Year</a:t>
          </a:r>
          <a:r>
            <a:rPr lang="en-US">
              <a:effectLst/>
            </a:rPr>
            <a:t>. CSIMarket. (n.d.). Retrieved August 3, 2022, from https://csimarket.com/stocks/single_growth_rates.php?code=AAPL&amp;rev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  <a:p>
          <a:r>
            <a:rPr lang="en-US" sz="1100"/>
            <a:t>Table H (6/30/2022) Investment Grade Long Term Benchmark Spreads (in bps) Excel</a:t>
          </a:r>
          <a:r>
            <a:rPr lang="en-US" sz="1100" baseline="0"/>
            <a:t> File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70B1-F128-4C43-A3DF-48D4DC5A7849}">
  <sheetPr codeName="Sheet1">
    <tabColor theme="9" tint="-0.499984740745262"/>
  </sheetPr>
  <dimension ref="B1:Z110"/>
  <sheetViews>
    <sheetView tabSelected="1" zoomScale="85" zoomScaleNormal="85" workbookViewId="0">
      <selection activeCell="M77" sqref="M77"/>
    </sheetView>
  </sheetViews>
  <sheetFormatPr defaultRowHeight="14.4" x14ac:dyDescent="0.3"/>
  <cols>
    <col min="2" max="2" width="47.44140625" customWidth="1"/>
    <col min="3" max="3" width="15.5546875" customWidth="1"/>
    <col min="4" max="5" width="15.21875" customWidth="1"/>
    <col min="6" max="9" width="12.5546875" bestFit="1" customWidth="1"/>
    <col min="11" max="11" width="3.109375" style="70" customWidth="1"/>
    <col min="13" max="13" width="47.21875" bestFit="1" customWidth="1"/>
    <col min="14" max="14" width="13.6640625" bestFit="1" customWidth="1"/>
    <col min="15" max="15" width="12" bestFit="1" customWidth="1"/>
    <col min="16" max="16" width="19.5546875" bestFit="1" customWidth="1"/>
    <col min="17" max="17" width="19.77734375" bestFit="1" customWidth="1"/>
    <col min="18" max="18" width="20.5546875" bestFit="1" customWidth="1"/>
    <col min="19" max="19" width="11.6640625" bestFit="1" customWidth="1"/>
  </cols>
  <sheetData>
    <row r="1" spans="2:19" ht="24.6" x14ac:dyDescent="0.4">
      <c r="B1" s="27" t="s">
        <v>27</v>
      </c>
      <c r="C1" s="28"/>
      <c r="D1" s="29"/>
      <c r="E1" s="29"/>
      <c r="F1" s="29"/>
      <c r="G1" s="29"/>
      <c r="H1" s="29"/>
      <c r="I1" s="29"/>
    </row>
    <row r="2" spans="2:19" ht="18" x14ac:dyDescent="0.35">
      <c r="B2" s="25" t="s">
        <v>28</v>
      </c>
      <c r="C2" s="26"/>
    </row>
    <row r="3" spans="2:19" ht="18" x14ac:dyDescent="0.35">
      <c r="B3" s="25" t="s">
        <v>29</v>
      </c>
      <c r="C3" s="26"/>
    </row>
    <row r="4" spans="2:19" ht="18" x14ac:dyDescent="0.35">
      <c r="B4" s="25" t="s">
        <v>30</v>
      </c>
      <c r="C4" s="26"/>
    </row>
    <row r="5" spans="2:19" ht="18" x14ac:dyDescent="0.35">
      <c r="B5" s="25" t="s">
        <v>31</v>
      </c>
      <c r="C5" s="26"/>
    </row>
    <row r="6" spans="2:19" ht="18" x14ac:dyDescent="0.35">
      <c r="B6" s="25" t="s">
        <v>32</v>
      </c>
      <c r="C6" s="26"/>
    </row>
    <row r="7" spans="2:19" ht="18" x14ac:dyDescent="0.35">
      <c r="B7" s="25"/>
      <c r="C7" s="26"/>
    </row>
    <row r="8" spans="2:19" x14ac:dyDescent="0.3">
      <c r="B8" s="26"/>
      <c r="C8" s="26"/>
    </row>
    <row r="9" spans="2:19" ht="18" x14ac:dyDescent="0.35">
      <c r="B9" s="25" t="s">
        <v>225</v>
      </c>
      <c r="C9" s="26"/>
      <c r="F9" s="75"/>
      <c r="M9" s="25" t="s">
        <v>29</v>
      </c>
    </row>
    <row r="10" spans="2:19" ht="18.600000000000001" thickBot="1" x14ac:dyDescent="0.4">
      <c r="B10" s="2"/>
    </row>
    <row r="11" spans="2:19" ht="15.6" x14ac:dyDescent="0.3">
      <c r="B11" s="53" t="s">
        <v>200</v>
      </c>
      <c r="C11" s="20"/>
      <c r="D11" s="20"/>
      <c r="E11" s="20"/>
      <c r="F11" s="20"/>
      <c r="G11" s="20"/>
      <c r="H11" s="20"/>
      <c r="I11" s="21"/>
      <c r="M11" s="102" t="s">
        <v>201</v>
      </c>
      <c r="N11" s="23"/>
      <c r="O11" s="99"/>
      <c r="P11" s="99"/>
      <c r="Q11" s="99"/>
      <c r="R11" s="99"/>
      <c r="S11" s="100"/>
    </row>
    <row r="12" spans="2:19" ht="15.6" x14ac:dyDescent="0.3">
      <c r="B12" s="22" t="s">
        <v>0</v>
      </c>
      <c r="C12" s="23"/>
      <c r="D12" s="191" t="s">
        <v>1</v>
      </c>
      <c r="E12" s="112"/>
      <c r="F12" s="246" t="s">
        <v>40</v>
      </c>
      <c r="G12" s="246"/>
      <c r="H12" s="246"/>
      <c r="I12" s="247"/>
      <c r="M12" s="22" t="s">
        <v>0</v>
      </c>
      <c r="N12" s="23"/>
      <c r="O12" s="101" t="s">
        <v>1</v>
      </c>
      <c r="P12" s="246" t="s">
        <v>2</v>
      </c>
      <c r="Q12" s="246"/>
      <c r="R12" s="246"/>
      <c r="S12" s="247"/>
    </row>
    <row r="13" spans="2:19" ht="15.6" x14ac:dyDescent="0.3">
      <c r="B13" s="192"/>
      <c r="C13" s="193"/>
      <c r="D13" s="194">
        <v>2021</v>
      </c>
      <c r="E13" s="3"/>
      <c r="F13" s="3">
        <v>2020</v>
      </c>
      <c r="G13" s="3">
        <v>2019</v>
      </c>
      <c r="H13" s="3">
        <v>201</v>
      </c>
      <c r="I13" s="4">
        <v>2017</v>
      </c>
      <c r="M13" s="82"/>
      <c r="N13" s="81"/>
      <c r="O13" s="83">
        <v>2021</v>
      </c>
      <c r="P13" s="84">
        <v>2020</v>
      </c>
      <c r="Q13" s="84">
        <v>2019</v>
      </c>
      <c r="R13" s="84">
        <v>2018</v>
      </c>
      <c r="S13" s="85">
        <v>2017</v>
      </c>
    </row>
    <row r="14" spans="2:19" ht="15.6" x14ac:dyDescent="0.3">
      <c r="B14" s="195" t="s">
        <v>71</v>
      </c>
      <c r="C14" s="5"/>
      <c r="D14" s="6">
        <v>365817</v>
      </c>
      <c r="E14" s="203"/>
      <c r="F14" s="7">
        <v>274515</v>
      </c>
      <c r="G14" s="7">
        <v>260174</v>
      </c>
      <c r="H14" s="7">
        <v>265595</v>
      </c>
      <c r="I14" s="8">
        <v>229234</v>
      </c>
      <c r="M14" s="82" t="s">
        <v>13</v>
      </c>
      <c r="N14" s="81"/>
      <c r="O14" s="86">
        <v>34940</v>
      </c>
      <c r="P14" s="87">
        <v>38016</v>
      </c>
      <c r="Q14" s="87">
        <v>48844</v>
      </c>
      <c r="R14" s="87">
        <v>25913</v>
      </c>
      <c r="S14" s="88">
        <v>20289</v>
      </c>
    </row>
    <row r="15" spans="2:19" ht="19.2" x14ac:dyDescent="0.6">
      <c r="B15" s="195" t="s">
        <v>3</v>
      </c>
      <c r="C15" s="196"/>
      <c r="D15" s="12">
        <f>212981+32603</f>
        <v>245584</v>
      </c>
      <c r="E15" s="204"/>
      <c r="F15" s="12">
        <f>27612+169559</f>
        <v>197171</v>
      </c>
      <c r="G15" s="12">
        <f>161782+21915</f>
        <v>183697</v>
      </c>
      <c r="H15" s="12">
        <f>163786+20038</f>
        <v>183824</v>
      </c>
      <c r="I15" s="12">
        <f>141048+16685</f>
        <v>157733</v>
      </c>
      <c r="M15" s="82" t="s">
        <v>73</v>
      </c>
      <c r="N15" s="89"/>
      <c r="O15" s="90">
        <v>27699</v>
      </c>
      <c r="P15" s="91">
        <v>52927</v>
      </c>
      <c r="Q15" s="91">
        <v>51713</v>
      </c>
      <c r="R15" s="91">
        <v>40388</v>
      </c>
      <c r="S15" s="92">
        <v>53892</v>
      </c>
    </row>
    <row r="16" spans="2:19" ht="19.2" x14ac:dyDescent="0.6">
      <c r="B16" s="195" t="s">
        <v>12</v>
      </c>
      <c r="C16" s="196"/>
      <c r="D16" s="9">
        <v>11284</v>
      </c>
      <c r="E16" s="205"/>
      <c r="F16" s="10">
        <v>11056</v>
      </c>
      <c r="G16" s="10">
        <v>12547</v>
      </c>
      <c r="H16" s="10">
        <v>10903</v>
      </c>
      <c r="I16" s="11">
        <v>10157</v>
      </c>
      <c r="M16" s="82" t="s">
        <v>14</v>
      </c>
      <c r="N16" s="81"/>
      <c r="O16" s="90">
        <v>51506</v>
      </c>
      <c r="P16" s="91">
        <v>16120</v>
      </c>
      <c r="Q16" s="91">
        <v>22926</v>
      </c>
      <c r="R16" s="91">
        <v>23186</v>
      </c>
      <c r="S16" s="92">
        <v>17874</v>
      </c>
    </row>
    <row r="17" spans="2:26" ht="19.2" x14ac:dyDescent="0.6">
      <c r="B17" s="195" t="s">
        <v>4</v>
      </c>
      <c r="C17" s="197"/>
      <c r="D17" s="12">
        <f>D15+D16</f>
        <v>256868</v>
      </c>
      <c r="E17" s="204"/>
      <c r="F17" s="12">
        <f t="shared" ref="F17:I17" si="0">F15+F16</f>
        <v>208227</v>
      </c>
      <c r="G17" s="12">
        <f t="shared" si="0"/>
        <v>196244</v>
      </c>
      <c r="H17" s="12">
        <f t="shared" si="0"/>
        <v>194727</v>
      </c>
      <c r="I17" s="12">
        <f t="shared" si="0"/>
        <v>167890</v>
      </c>
      <c r="L17" s="24"/>
      <c r="M17" s="82" t="s">
        <v>74</v>
      </c>
      <c r="N17" s="81"/>
      <c r="O17" s="93">
        <v>6580</v>
      </c>
      <c r="P17" s="94">
        <v>4061</v>
      </c>
      <c r="Q17" s="94">
        <v>4106</v>
      </c>
      <c r="R17" s="94">
        <v>3956</v>
      </c>
      <c r="S17" s="95">
        <v>4855</v>
      </c>
    </row>
    <row r="18" spans="2:26" ht="15.6" x14ac:dyDescent="0.3">
      <c r="B18" s="211" t="s">
        <v>5</v>
      </c>
      <c r="C18" s="212"/>
      <c r="D18" s="213">
        <f>D14-D17</f>
        <v>108949</v>
      </c>
      <c r="E18" s="214"/>
      <c r="F18" s="213">
        <f>F14-F17</f>
        <v>66288</v>
      </c>
      <c r="G18" s="213">
        <f>G14-G17</f>
        <v>63930</v>
      </c>
      <c r="H18" s="213">
        <f>H14-H17</f>
        <v>70868</v>
      </c>
      <c r="I18" s="213">
        <f>I14-I17</f>
        <v>61344</v>
      </c>
      <c r="L18" s="103"/>
      <c r="M18" s="82" t="s">
        <v>15</v>
      </c>
      <c r="N18" s="133"/>
      <c r="O18" s="86">
        <v>134836</v>
      </c>
      <c r="P18" s="86">
        <v>143713</v>
      </c>
      <c r="Q18" s="86">
        <v>162819</v>
      </c>
      <c r="R18" s="86">
        <v>131339</v>
      </c>
      <c r="S18" s="86">
        <v>128645</v>
      </c>
    </row>
    <row r="19" spans="2:26" ht="19.2" x14ac:dyDescent="0.6">
      <c r="B19" s="195" t="s">
        <v>6</v>
      </c>
      <c r="C19" s="196"/>
      <c r="D19" s="76">
        <v>2645</v>
      </c>
      <c r="E19" s="207"/>
      <c r="F19" s="77">
        <v>2873</v>
      </c>
      <c r="G19" s="77">
        <v>3576</v>
      </c>
      <c r="H19" s="77">
        <v>3240</v>
      </c>
      <c r="I19" s="78">
        <v>2323</v>
      </c>
      <c r="M19" s="82" t="s">
        <v>16</v>
      </c>
      <c r="N19" s="81"/>
      <c r="O19" s="93">
        <v>39440</v>
      </c>
      <c r="P19" s="94">
        <v>36766</v>
      </c>
      <c r="Q19" s="94">
        <v>37378</v>
      </c>
      <c r="R19" s="94">
        <v>41304</v>
      </c>
      <c r="S19" s="95">
        <v>33783</v>
      </c>
    </row>
    <row r="20" spans="2:26" ht="19.2" x14ac:dyDescent="0.6">
      <c r="B20" s="195" t="s">
        <v>143</v>
      </c>
      <c r="C20" s="196"/>
      <c r="D20" s="6">
        <v>258</v>
      </c>
      <c r="E20" s="206"/>
      <c r="F20" s="6">
        <v>803</v>
      </c>
      <c r="G20" s="6">
        <v>1807</v>
      </c>
      <c r="H20" s="6">
        <v>2005</v>
      </c>
      <c r="I20" s="6">
        <v>2745</v>
      </c>
      <c r="M20" s="82" t="s">
        <v>76</v>
      </c>
      <c r="N20" s="133"/>
      <c r="O20" s="93">
        <v>176726</v>
      </c>
      <c r="P20" s="94">
        <v>143409</v>
      </c>
      <c r="Q20" s="94">
        <v>138319</v>
      </c>
      <c r="R20" s="94">
        <v>193082</v>
      </c>
      <c r="S20" s="94">
        <v>212891</v>
      </c>
    </row>
    <row r="21" spans="2:26" ht="17.399999999999999" x14ac:dyDescent="0.45">
      <c r="B21" s="195" t="s">
        <v>7</v>
      </c>
      <c r="C21" s="198"/>
      <c r="D21" s="6">
        <f>D18-D19+D20</f>
        <v>106562</v>
      </c>
      <c r="E21" s="206"/>
      <c r="F21" s="6">
        <f t="shared" ref="F21:I21" si="1">F18-F19+F20</f>
        <v>64218</v>
      </c>
      <c r="G21" s="6">
        <f t="shared" si="1"/>
        <v>62161</v>
      </c>
      <c r="H21" s="6">
        <f t="shared" si="1"/>
        <v>69633</v>
      </c>
      <c r="I21" s="6">
        <f t="shared" si="1"/>
        <v>61766</v>
      </c>
      <c r="M21" s="215" t="s">
        <v>17</v>
      </c>
      <c r="N21" s="216"/>
      <c r="O21" s="217">
        <f>O18+O19+O20</f>
        <v>351002</v>
      </c>
      <c r="P21" s="217">
        <f t="shared" ref="P21" si="2">P18+P19+P20</f>
        <v>323888</v>
      </c>
      <c r="Q21" s="217">
        <f t="shared" ref="Q21" si="3">Q18+Q19+Q20</f>
        <v>338516</v>
      </c>
      <c r="R21" s="217">
        <f t="shared" ref="R21" si="4">R18+R19+R20</f>
        <v>365725</v>
      </c>
      <c r="S21" s="217">
        <f>S18+S19+S20</f>
        <v>375319</v>
      </c>
    </row>
    <row r="22" spans="2:26" ht="19.2" x14ac:dyDescent="0.6">
      <c r="B22" s="195" t="s">
        <v>144</v>
      </c>
      <c r="C22" s="196"/>
      <c r="D22" s="76">
        <f>D21*0.1363</f>
        <v>14524.400600000001</v>
      </c>
      <c r="E22" s="207"/>
      <c r="F22" s="76">
        <f t="shared" ref="F22:I22" si="5">F21*0.1363</f>
        <v>8752.9133999999995</v>
      </c>
      <c r="G22" s="76">
        <f t="shared" si="5"/>
        <v>8472.5442999999996</v>
      </c>
      <c r="H22" s="76">
        <f t="shared" si="5"/>
        <v>9490.9778999999999</v>
      </c>
      <c r="I22" s="76">
        <f t="shared" si="5"/>
        <v>8418.7057999999997</v>
      </c>
      <c r="M22" s="82"/>
      <c r="N22" s="81"/>
      <c r="O22" s="96"/>
      <c r="P22" s="97"/>
      <c r="Q22" s="97"/>
      <c r="R22" s="97"/>
      <c r="S22" s="98"/>
    </row>
    <row r="23" spans="2:26" ht="15.6" x14ac:dyDescent="0.3">
      <c r="B23" s="211" t="s">
        <v>72</v>
      </c>
      <c r="C23" s="212"/>
      <c r="D23" s="213">
        <f>D21-D22</f>
        <v>92037.599400000006</v>
      </c>
      <c r="E23" s="214"/>
      <c r="F23" s="213">
        <f>F21-F22</f>
        <v>55465.086600000002</v>
      </c>
      <c r="G23" s="213">
        <f>G21-G22</f>
        <v>53688.455699999999</v>
      </c>
      <c r="H23" s="213">
        <f>H21-H22</f>
        <v>60142.022100000002</v>
      </c>
      <c r="I23" s="213">
        <f>I21-I22</f>
        <v>53347.294200000004</v>
      </c>
      <c r="M23" s="82" t="s">
        <v>18</v>
      </c>
      <c r="N23" s="81"/>
      <c r="O23" s="96"/>
      <c r="P23" s="97"/>
      <c r="Q23" s="97"/>
      <c r="R23" s="97"/>
      <c r="S23" s="98"/>
    </row>
    <row r="24" spans="2:26" ht="15.6" x14ac:dyDescent="0.3">
      <c r="B24" s="195" t="s">
        <v>8</v>
      </c>
      <c r="C24" s="196"/>
      <c r="D24" s="6">
        <v>0</v>
      </c>
      <c r="E24" s="206"/>
      <c r="F24" s="7">
        <v>13496.527</v>
      </c>
      <c r="G24" s="7">
        <v>13329.708000000001</v>
      </c>
      <c r="H24" s="7">
        <v>12931.522000000001</v>
      </c>
      <c r="I24" s="8">
        <v>12302.88</v>
      </c>
      <c r="M24" s="82" t="s">
        <v>19</v>
      </c>
      <c r="N24" s="81"/>
      <c r="O24" s="86">
        <v>54763</v>
      </c>
      <c r="P24" s="87">
        <v>42296</v>
      </c>
      <c r="Q24" s="87">
        <v>46236</v>
      </c>
      <c r="R24" s="87">
        <v>55888</v>
      </c>
      <c r="S24" s="88">
        <v>49049</v>
      </c>
    </row>
    <row r="25" spans="2:26" ht="15.6" x14ac:dyDescent="0.3">
      <c r="B25" s="195" t="s">
        <v>9</v>
      </c>
      <c r="C25" s="196"/>
      <c r="D25" s="199">
        <v>5562</v>
      </c>
      <c r="E25" s="185"/>
      <c r="F25" s="59">
        <v>14966</v>
      </c>
      <c r="G25" s="59">
        <v>45898</v>
      </c>
      <c r="H25" s="59">
        <v>70400</v>
      </c>
      <c r="I25" s="59">
        <v>98330</v>
      </c>
      <c r="M25" s="82" t="s">
        <v>139</v>
      </c>
      <c r="N25" s="81"/>
      <c r="O25" s="86">
        <v>0</v>
      </c>
      <c r="P25" s="86">
        <v>0</v>
      </c>
      <c r="Q25" s="86">
        <v>0</v>
      </c>
      <c r="R25" s="86">
        <v>0</v>
      </c>
      <c r="S25" s="86">
        <v>0</v>
      </c>
      <c r="T25" s="86"/>
      <c r="U25" s="86"/>
      <c r="V25" s="86"/>
      <c r="W25" s="86"/>
      <c r="X25" s="86"/>
      <c r="Y25" s="86"/>
      <c r="Z25" s="86"/>
    </row>
    <row r="26" spans="2:26" ht="15.6" x14ac:dyDescent="0.3">
      <c r="B26" s="195"/>
      <c r="C26" s="196"/>
      <c r="D26" s="13"/>
      <c r="E26" s="208"/>
      <c r="F26" s="14"/>
      <c r="G26" s="14"/>
      <c r="H26" s="14"/>
      <c r="I26" s="15"/>
      <c r="M26" s="82" t="s">
        <v>140</v>
      </c>
      <c r="N26" s="89"/>
      <c r="O26" s="90">
        <f>9613+6000</f>
        <v>15613</v>
      </c>
      <c r="P26" s="91">
        <f>8773+4996</f>
        <v>13769</v>
      </c>
      <c r="Q26" s="91">
        <f>10260+5980</f>
        <v>16240</v>
      </c>
      <c r="R26" s="91">
        <v>11964</v>
      </c>
      <c r="S26" s="92">
        <v>11977</v>
      </c>
    </row>
    <row r="27" spans="2:26" ht="15.6" x14ac:dyDescent="0.3">
      <c r="B27" s="195" t="s">
        <v>10</v>
      </c>
      <c r="C27" s="196"/>
      <c r="D27" s="16">
        <v>16701</v>
      </c>
      <c r="E27" s="209"/>
      <c r="F27" s="17">
        <v>16976.762999999999</v>
      </c>
      <c r="G27" s="17">
        <v>17772.944</v>
      </c>
      <c r="H27" s="17">
        <v>19016.944</v>
      </c>
      <c r="I27" s="18">
        <v>20504.804</v>
      </c>
      <c r="M27" s="82" t="s">
        <v>26</v>
      </c>
      <c r="N27" s="89"/>
      <c r="O27" s="90">
        <f>7612+47493</f>
        <v>55105</v>
      </c>
      <c r="P27" s="91">
        <f>6643+42684</f>
        <v>49327</v>
      </c>
      <c r="Q27" s="91">
        <f>5522+37720</f>
        <v>43242</v>
      </c>
      <c r="R27" s="91">
        <f>7543+32687</f>
        <v>40230</v>
      </c>
      <c r="S27" s="92">
        <v>7548</v>
      </c>
    </row>
    <row r="28" spans="2:26" ht="19.8" thickBot="1" x14ac:dyDescent="0.65">
      <c r="B28" s="200" t="s">
        <v>11</v>
      </c>
      <c r="C28" s="201"/>
      <c r="D28" s="202">
        <f>D24/D27</f>
        <v>0</v>
      </c>
      <c r="E28" s="210"/>
      <c r="F28" s="19">
        <f>F24/F27</f>
        <v>0.79500002444517848</v>
      </c>
      <c r="G28" s="19">
        <f>G24/G27</f>
        <v>0.75</v>
      </c>
      <c r="H28" s="19">
        <f>H24/H27</f>
        <v>0.68000000420677487</v>
      </c>
      <c r="I28" s="19">
        <f>I24/I27</f>
        <v>0.59999988295425788</v>
      </c>
      <c r="M28" s="82" t="s">
        <v>20</v>
      </c>
      <c r="N28" s="81"/>
      <c r="O28" s="93">
        <v>0</v>
      </c>
      <c r="P28" s="94">
        <v>0</v>
      </c>
      <c r="Q28" s="94">
        <v>0</v>
      </c>
      <c r="R28" s="94"/>
      <c r="S28" s="94">
        <v>25744</v>
      </c>
    </row>
    <row r="29" spans="2:26" ht="15.6" x14ac:dyDescent="0.3">
      <c r="M29" s="82" t="s">
        <v>21</v>
      </c>
      <c r="N29" s="81"/>
      <c r="O29" s="86">
        <f>SUM(O24:O28)</f>
        <v>125481</v>
      </c>
      <c r="P29" s="86">
        <f>SUM(P24:P28)</f>
        <v>105392</v>
      </c>
      <c r="Q29" s="86">
        <f>SUM(Q24:Q28)</f>
        <v>105718</v>
      </c>
      <c r="R29" s="86">
        <f>SUM(R24:R28)</f>
        <v>108082</v>
      </c>
      <c r="S29" s="86">
        <f>SUM(S24:S28)</f>
        <v>94318</v>
      </c>
    </row>
    <row r="30" spans="2:26" ht="15.6" x14ac:dyDescent="0.3">
      <c r="M30" s="82" t="s">
        <v>22</v>
      </c>
      <c r="N30" s="89"/>
      <c r="O30" s="90">
        <v>109106</v>
      </c>
      <c r="P30" s="91">
        <v>98667</v>
      </c>
      <c r="Q30" s="91">
        <v>91807</v>
      </c>
      <c r="R30" s="91">
        <v>93735</v>
      </c>
      <c r="S30" s="92">
        <v>97207</v>
      </c>
    </row>
    <row r="31" spans="2:26" ht="15.6" x14ac:dyDescent="0.3">
      <c r="M31" s="82" t="s">
        <v>138</v>
      </c>
      <c r="N31" s="89"/>
      <c r="O31" s="90">
        <v>53325</v>
      </c>
      <c r="P31" s="91">
        <v>54490</v>
      </c>
      <c r="Q31" s="91">
        <v>50503</v>
      </c>
      <c r="R31" s="91">
        <v>45180</v>
      </c>
      <c r="S31" s="92">
        <v>40415</v>
      </c>
    </row>
    <row r="32" spans="2:26" ht="15.6" x14ac:dyDescent="0.3">
      <c r="M32" s="215" t="s">
        <v>89</v>
      </c>
      <c r="N32" s="219"/>
      <c r="O32" s="220">
        <f>O29+O30+O31</f>
        <v>287912</v>
      </c>
      <c r="P32" s="220">
        <f t="shared" ref="P32:S32" si="6">P29+P30+P31</f>
        <v>258549</v>
      </c>
      <c r="Q32" s="220">
        <f t="shared" si="6"/>
        <v>248028</v>
      </c>
      <c r="R32" s="220">
        <f t="shared" si="6"/>
        <v>246997</v>
      </c>
      <c r="S32" s="220">
        <f t="shared" si="6"/>
        <v>231940</v>
      </c>
    </row>
    <row r="33" spans="2:19" ht="15.6" x14ac:dyDescent="0.3">
      <c r="M33" s="82"/>
      <c r="N33" s="89"/>
      <c r="O33" s="90"/>
      <c r="P33" s="91"/>
      <c r="Q33" s="91"/>
      <c r="R33" s="91"/>
      <c r="S33" s="91"/>
    </row>
    <row r="34" spans="2:19" ht="15.6" x14ac:dyDescent="0.3">
      <c r="M34" s="82" t="s">
        <v>141</v>
      </c>
      <c r="N34" s="89"/>
      <c r="O34" s="90">
        <v>0</v>
      </c>
      <c r="P34" s="90">
        <v>0</v>
      </c>
      <c r="Q34" s="90">
        <v>0</v>
      </c>
      <c r="R34" s="90">
        <v>0</v>
      </c>
      <c r="S34" s="90">
        <v>0</v>
      </c>
    </row>
    <row r="35" spans="2:19" ht="15.6" x14ac:dyDescent="0.3">
      <c r="M35" s="82" t="s">
        <v>75</v>
      </c>
      <c r="N35" s="89"/>
      <c r="O35" s="90">
        <v>57365</v>
      </c>
      <c r="P35" s="91">
        <v>50779</v>
      </c>
      <c r="Q35" s="91">
        <v>45174</v>
      </c>
      <c r="R35" s="91">
        <v>40201</v>
      </c>
      <c r="S35" s="92">
        <v>35867</v>
      </c>
    </row>
    <row r="36" spans="2:19" ht="19.2" x14ac:dyDescent="0.6">
      <c r="M36" s="82" t="s">
        <v>23</v>
      </c>
      <c r="N36" s="89"/>
      <c r="O36" s="93">
        <v>5562</v>
      </c>
      <c r="P36" s="94">
        <v>14966</v>
      </c>
      <c r="Q36" s="94">
        <v>45898</v>
      </c>
      <c r="R36" s="94">
        <v>70400</v>
      </c>
      <c r="S36" s="95">
        <v>98330</v>
      </c>
    </row>
    <row r="37" spans="2:19" ht="19.2" x14ac:dyDescent="0.6">
      <c r="M37" s="82" t="s">
        <v>142</v>
      </c>
      <c r="N37" s="89"/>
      <c r="O37" s="93">
        <v>163</v>
      </c>
      <c r="P37" s="94">
        <v>-406</v>
      </c>
      <c r="Q37" s="94">
        <v>-584</v>
      </c>
      <c r="R37" s="94">
        <v>-3454</v>
      </c>
      <c r="S37" s="94">
        <v>-150</v>
      </c>
    </row>
    <row r="38" spans="2:19" ht="15.6" x14ac:dyDescent="0.3">
      <c r="M38" s="215" t="s">
        <v>24</v>
      </c>
      <c r="N38" s="216"/>
      <c r="O38" s="218">
        <f>O35+O36+O37</f>
        <v>63090</v>
      </c>
      <c r="P38" s="218">
        <f t="shared" ref="P38:S38" si="7">P35+P36+P37</f>
        <v>65339</v>
      </c>
      <c r="Q38" s="218">
        <f t="shared" si="7"/>
        <v>90488</v>
      </c>
      <c r="R38" s="218">
        <f t="shared" si="7"/>
        <v>107147</v>
      </c>
      <c r="S38" s="218">
        <f t="shared" si="7"/>
        <v>134047</v>
      </c>
    </row>
    <row r="39" spans="2:19" ht="18" thickBot="1" x14ac:dyDescent="0.5">
      <c r="M39" s="221" t="s">
        <v>25</v>
      </c>
      <c r="N39" s="222"/>
      <c r="O39" s="223">
        <f>O32+O38</f>
        <v>351002</v>
      </c>
      <c r="P39" s="223">
        <f t="shared" ref="P39:S39" si="8">P32+P38</f>
        <v>323888</v>
      </c>
      <c r="Q39" s="223">
        <f t="shared" si="8"/>
        <v>338516</v>
      </c>
      <c r="R39" s="223">
        <f t="shared" si="8"/>
        <v>354144</v>
      </c>
      <c r="S39" s="223">
        <f t="shared" si="8"/>
        <v>365987</v>
      </c>
    </row>
    <row r="41" spans="2:19" x14ac:dyDescent="0.3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</row>
    <row r="42" spans="2:19" x14ac:dyDescent="0.3">
      <c r="O42" s="30"/>
    </row>
    <row r="44" spans="2:19" ht="15.6" x14ac:dyDescent="0.3">
      <c r="B44" s="24" t="s">
        <v>30</v>
      </c>
      <c r="F44" s="1"/>
    </row>
    <row r="45" spans="2:19" ht="15.6" x14ac:dyDescent="0.3">
      <c r="B45" s="80"/>
      <c r="C45" s="80"/>
      <c r="D45" s="80"/>
      <c r="M45" s="151" t="s">
        <v>119</v>
      </c>
    </row>
    <row r="46" spans="2:19" ht="15.6" x14ac:dyDescent="0.3">
      <c r="B46" s="80" t="s">
        <v>222</v>
      </c>
      <c r="C46" s="80">
        <v>1.23</v>
      </c>
      <c r="D46" s="80"/>
      <c r="M46" s="80" t="s">
        <v>202</v>
      </c>
      <c r="N46" s="80"/>
      <c r="O46" s="80"/>
      <c r="P46" s="80"/>
      <c r="Q46" s="80"/>
      <c r="R46" s="80"/>
    </row>
    <row r="47" spans="2:19" ht="27" customHeight="1" x14ac:dyDescent="0.3">
      <c r="B47" s="169" t="s">
        <v>223</v>
      </c>
      <c r="C47" s="170">
        <v>2.5999999999999999E-2</v>
      </c>
      <c r="D47" s="80"/>
      <c r="M47" s="80"/>
      <c r="N47" s="80"/>
      <c r="O47" s="80"/>
      <c r="P47" s="80"/>
      <c r="Q47" s="80"/>
      <c r="R47" s="80"/>
    </row>
    <row r="48" spans="2:19" ht="15.6" x14ac:dyDescent="0.3">
      <c r="B48" s="80" t="s">
        <v>224</v>
      </c>
      <c r="C48" s="170">
        <v>5.6000000000000001E-2</v>
      </c>
      <c r="D48" s="80"/>
      <c r="M48" s="80"/>
      <c r="N48" s="80" t="s">
        <v>120</v>
      </c>
      <c r="O48" s="80" t="s">
        <v>81</v>
      </c>
      <c r="P48" s="80" t="s">
        <v>121</v>
      </c>
      <c r="Q48" s="80" t="s">
        <v>82</v>
      </c>
      <c r="R48" s="80" t="s">
        <v>122</v>
      </c>
    </row>
    <row r="49" spans="2:18" ht="15.6" x14ac:dyDescent="0.3">
      <c r="B49" s="161" t="s">
        <v>77</v>
      </c>
      <c r="C49" s="225">
        <f>C47+C46*C48</f>
        <v>9.4879999999999992E-2</v>
      </c>
      <c r="D49" s="80"/>
      <c r="M49" s="80" t="s">
        <v>79</v>
      </c>
      <c r="N49" s="80">
        <v>0.62</v>
      </c>
      <c r="O49" s="80">
        <v>0.64</v>
      </c>
      <c r="P49" s="80">
        <v>1.02</v>
      </c>
      <c r="Q49" s="80">
        <v>0.97</v>
      </c>
      <c r="R49" s="80">
        <v>0.87</v>
      </c>
    </row>
    <row r="50" spans="2:18" ht="15.6" x14ac:dyDescent="0.3">
      <c r="M50" s="224" t="s">
        <v>83</v>
      </c>
      <c r="N50" s="224">
        <f>AVERAGE(N49:R49)</f>
        <v>0.82400000000000007</v>
      </c>
      <c r="O50" s="80"/>
      <c r="P50" s="80"/>
      <c r="Q50" s="80"/>
      <c r="R50" s="80"/>
    </row>
    <row r="51" spans="2:18" ht="15.6" x14ac:dyDescent="0.3">
      <c r="M51" s="80"/>
      <c r="N51" s="80"/>
      <c r="O51" s="80"/>
      <c r="P51" s="80"/>
      <c r="Q51" s="80"/>
      <c r="R51" s="80"/>
    </row>
    <row r="52" spans="2:18" ht="15.6" x14ac:dyDescent="0.3">
      <c r="M52" s="224" t="s">
        <v>84</v>
      </c>
      <c r="N52" s="224">
        <f>N50</f>
        <v>0.82400000000000007</v>
      </c>
      <c r="O52" s="80"/>
      <c r="P52" s="80"/>
      <c r="Q52" s="80"/>
      <c r="R52" s="80"/>
    </row>
    <row r="53" spans="2:18" ht="15.6" x14ac:dyDescent="0.3">
      <c r="M53" s="80" t="s">
        <v>85</v>
      </c>
      <c r="N53" s="80">
        <v>0.1363</v>
      </c>
      <c r="O53" s="80"/>
      <c r="P53" s="80"/>
      <c r="Q53" s="80"/>
      <c r="R53" s="80"/>
    </row>
    <row r="54" spans="2:18" ht="15.6" x14ac:dyDescent="0.3">
      <c r="M54" s="80" t="s">
        <v>86</v>
      </c>
      <c r="N54" s="226">
        <f>O30/(O38+O15)</f>
        <v>1.201753516395158</v>
      </c>
      <c r="O54" s="80"/>
      <c r="P54" s="80"/>
      <c r="Q54" s="80"/>
      <c r="R54" s="80"/>
    </row>
    <row r="55" spans="2:18" ht="15.6" x14ac:dyDescent="0.3">
      <c r="M55" s="80"/>
      <c r="N55" s="80"/>
      <c r="O55" s="80"/>
      <c r="P55" s="80"/>
      <c r="Q55" s="80"/>
      <c r="R55" s="80"/>
    </row>
    <row r="56" spans="2:18" ht="15.6" x14ac:dyDescent="0.3">
      <c r="M56" s="161" t="s">
        <v>87</v>
      </c>
      <c r="N56" s="227">
        <f>N52*(1+((1-N53)*N54))</f>
        <v>1.6792745179790505</v>
      </c>
      <c r="O56" s="80"/>
      <c r="P56" s="80"/>
      <c r="Q56" s="80"/>
      <c r="R56" s="80"/>
    </row>
    <row r="58" spans="2:18" s="104" customFormat="1" x14ac:dyDescent="0.3"/>
    <row r="60" spans="2:18" ht="17.399999999999999" x14ac:dyDescent="0.3">
      <c r="B60" s="228" t="s">
        <v>88</v>
      </c>
    </row>
    <row r="62" spans="2:18" ht="17.399999999999999" x14ac:dyDescent="0.3">
      <c r="B62" s="295" t="s">
        <v>124</v>
      </c>
      <c r="C62" s="80"/>
      <c r="D62" s="80" t="s">
        <v>123</v>
      </c>
      <c r="E62" s="80" t="s">
        <v>128</v>
      </c>
      <c r="F62" s="80" t="s">
        <v>126</v>
      </c>
      <c r="M62" s="236" t="s">
        <v>129</v>
      </c>
      <c r="N62" s="80"/>
    </row>
    <row r="63" spans="2:18" ht="15.6" x14ac:dyDescent="0.3">
      <c r="B63" s="295" t="s">
        <v>203</v>
      </c>
      <c r="C63" s="229"/>
      <c r="D63" s="230">
        <v>3.0990000000000002</v>
      </c>
      <c r="E63" s="230">
        <f t="shared" ref="E63:E82" si="9">D63/100</f>
        <v>3.0990000000000004E-2</v>
      </c>
      <c r="F63" s="80">
        <v>2</v>
      </c>
      <c r="M63" s="80"/>
      <c r="N63" s="80"/>
    </row>
    <row r="64" spans="2:18" ht="15.6" x14ac:dyDescent="0.3">
      <c r="B64" s="295" t="s">
        <v>203</v>
      </c>
      <c r="C64" s="80"/>
      <c r="D64" s="230">
        <v>3.1749999999999998</v>
      </c>
      <c r="E64" s="230">
        <f t="shared" si="9"/>
        <v>3.175E-2</v>
      </c>
      <c r="F64" s="80">
        <v>3</v>
      </c>
      <c r="M64" s="80" t="s">
        <v>145</v>
      </c>
      <c r="N64" s="235">
        <v>75.62</v>
      </c>
    </row>
    <row r="65" spans="2:14" ht="15.6" x14ac:dyDescent="0.3">
      <c r="B65" s="295" t="s">
        <v>203</v>
      </c>
      <c r="C65" s="80"/>
      <c r="D65" s="230">
        <v>3.0510000000000002</v>
      </c>
      <c r="E65" s="230">
        <f t="shared" si="9"/>
        <v>3.0510000000000002E-2</v>
      </c>
      <c r="F65" s="80">
        <v>4</v>
      </c>
      <c r="M65" s="80" t="s">
        <v>146</v>
      </c>
      <c r="N65" s="170">
        <f>N64*0.01%</f>
        <v>7.562000000000001E-3</v>
      </c>
    </row>
    <row r="66" spans="2:14" ht="15.6" x14ac:dyDescent="0.3">
      <c r="B66" s="295" t="s">
        <v>203</v>
      </c>
      <c r="C66" s="80"/>
      <c r="D66" s="230">
        <v>3.2080000000000002</v>
      </c>
      <c r="E66" s="230">
        <f t="shared" si="9"/>
        <v>3.2080000000000004E-2</v>
      </c>
      <c r="F66" s="80">
        <v>5</v>
      </c>
      <c r="M66" s="80" t="s">
        <v>130</v>
      </c>
      <c r="N66" s="170">
        <f>C47</f>
        <v>2.5999999999999999E-2</v>
      </c>
    </row>
    <row r="67" spans="2:14" ht="15.6" x14ac:dyDescent="0.3">
      <c r="B67" s="295" t="s">
        <v>203</v>
      </c>
      <c r="C67" s="80"/>
      <c r="D67" s="230">
        <v>3.1720000000000002</v>
      </c>
      <c r="E67" s="230">
        <f t="shared" si="9"/>
        <v>3.1719999999999998E-2</v>
      </c>
      <c r="F67" s="80">
        <v>5</v>
      </c>
      <c r="M67" s="161" t="s">
        <v>127</v>
      </c>
      <c r="N67" s="225">
        <f>N65+N66</f>
        <v>3.3562000000000002E-2</v>
      </c>
    </row>
    <row r="68" spans="2:14" ht="15.6" x14ac:dyDescent="0.3">
      <c r="B68" s="295" t="s">
        <v>203</v>
      </c>
      <c r="C68" s="80"/>
      <c r="D68" s="230">
        <v>3.226</v>
      </c>
      <c r="E68" s="230">
        <f t="shared" si="9"/>
        <v>3.2259999999999997E-2</v>
      </c>
      <c r="F68" s="80">
        <v>6</v>
      </c>
    </row>
    <row r="69" spans="2:14" ht="15.6" x14ac:dyDescent="0.3">
      <c r="B69" s="295" t="s">
        <v>203</v>
      </c>
      <c r="C69" s="80"/>
      <c r="D69" s="230">
        <v>3.51</v>
      </c>
      <c r="E69" s="230">
        <f t="shared" si="9"/>
        <v>3.5099999999999999E-2</v>
      </c>
      <c r="F69" s="80">
        <v>9</v>
      </c>
    </row>
    <row r="70" spans="2:14" ht="15.6" x14ac:dyDescent="0.3">
      <c r="B70" s="295" t="s">
        <v>203</v>
      </c>
      <c r="C70" s="80"/>
      <c r="D70" s="230">
        <v>3.32</v>
      </c>
      <c r="E70" s="230">
        <f t="shared" si="9"/>
        <v>3.32E-2</v>
      </c>
      <c r="F70" s="80">
        <v>9</v>
      </c>
    </row>
    <row r="71" spans="2:14" ht="15.6" x14ac:dyDescent="0.3">
      <c r="B71" s="295" t="s">
        <v>203</v>
      </c>
      <c r="C71" s="80"/>
      <c r="D71" s="230">
        <v>4.0890000000000004</v>
      </c>
      <c r="E71" s="230">
        <f t="shared" si="9"/>
        <v>4.0890000000000003E-2</v>
      </c>
      <c r="F71" s="80">
        <v>20</v>
      </c>
    </row>
    <row r="72" spans="2:14" ht="15.6" x14ac:dyDescent="0.3">
      <c r="B72" s="295" t="s">
        <v>203</v>
      </c>
      <c r="C72" s="80"/>
      <c r="D72" s="230">
        <v>4.085</v>
      </c>
      <c r="E72" s="230">
        <f t="shared" si="9"/>
        <v>4.0849999999999997E-2</v>
      </c>
      <c r="F72" s="80">
        <v>22</v>
      </c>
    </row>
    <row r="73" spans="2:14" ht="15.6" x14ac:dyDescent="0.3">
      <c r="B73" s="295" t="s">
        <v>203</v>
      </c>
      <c r="C73" s="80"/>
      <c r="D73" s="230">
        <v>4.0490000000000004</v>
      </c>
      <c r="E73" s="230">
        <f t="shared" si="9"/>
        <v>4.0490000000000005E-2</v>
      </c>
      <c r="F73" s="80">
        <v>24</v>
      </c>
    </row>
    <row r="74" spans="2:14" ht="15.6" x14ac:dyDescent="0.3">
      <c r="B74" s="295" t="s">
        <v>203</v>
      </c>
      <c r="C74" s="80"/>
      <c r="D74" s="231">
        <v>3.9119999999999999</v>
      </c>
      <c r="E74" s="230">
        <f t="shared" si="9"/>
        <v>3.9120000000000002E-2</v>
      </c>
      <c r="F74" s="80">
        <v>26</v>
      </c>
    </row>
    <row r="75" spans="2:14" ht="15.6" x14ac:dyDescent="0.3">
      <c r="B75" s="295" t="s">
        <v>203</v>
      </c>
      <c r="C75" s="80"/>
      <c r="D75" s="231">
        <v>4.0570000000000004</v>
      </c>
      <c r="E75" s="230">
        <f t="shared" si="9"/>
        <v>4.0570000000000002E-2</v>
      </c>
      <c r="F75" s="80">
        <v>26</v>
      </c>
    </row>
    <row r="76" spans="2:14" ht="15.6" x14ac:dyDescent="0.3">
      <c r="B76" s="295" t="s">
        <v>203</v>
      </c>
      <c r="C76" s="80"/>
      <c r="D76" s="231">
        <v>4.016</v>
      </c>
      <c r="E76" s="230">
        <f t="shared" si="9"/>
        <v>4.0160000000000001E-2</v>
      </c>
      <c r="F76" s="80">
        <v>26</v>
      </c>
    </row>
    <row r="77" spans="2:14" ht="15.6" x14ac:dyDescent="0.3">
      <c r="B77" s="295" t="s">
        <v>203</v>
      </c>
      <c r="C77" s="80"/>
      <c r="D77" s="231">
        <v>4.0359999999999996</v>
      </c>
      <c r="E77" s="230">
        <f t="shared" si="9"/>
        <v>4.0359999999999993E-2</v>
      </c>
      <c r="F77" s="80">
        <v>26</v>
      </c>
    </row>
    <row r="78" spans="2:14" ht="15.6" x14ac:dyDescent="0.3">
      <c r="B78" s="295" t="s">
        <v>203</v>
      </c>
      <c r="C78" s="80"/>
      <c r="D78" s="231">
        <v>4.008</v>
      </c>
      <c r="E78" s="230">
        <f t="shared" si="9"/>
        <v>4.0079999999999998E-2</v>
      </c>
      <c r="F78" s="80">
        <v>28</v>
      </c>
    </row>
    <row r="79" spans="2:14" ht="15.6" x14ac:dyDescent="0.3">
      <c r="B79" s="295" t="s">
        <v>203</v>
      </c>
      <c r="C79" s="80"/>
      <c r="D79" s="231">
        <v>3.9809999999999999</v>
      </c>
      <c r="E79" s="230">
        <f t="shared" si="9"/>
        <v>3.9809999999999998E-2</v>
      </c>
      <c r="F79" s="80">
        <v>29</v>
      </c>
    </row>
    <row r="80" spans="2:14" ht="15.6" x14ac:dyDescent="0.3">
      <c r="B80" s="295" t="s">
        <v>203</v>
      </c>
      <c r="C80" s="80"/>
      <c r="D80" s="231">
        <v>3.956</v>
      </c>
      <c r="E80" s="230">
        <f t="shared" si="9"/>
        <v>3.9559999999999998E-2</v>
      </c>
      <c r="F80" s="80">
        <v>29</v>
      </c>
    </row>
    <row r="81" spans="2:12" ht="15.6" x14ac:dyDescent="0.3">
      <c r="B81" s="295" t="s">
        <v>203</v>
      </c>
      <c r="C81" s="80"/>
      <c r="D81" s="231">
        <v>3.9169999999999998</v>
      </c>
      <c r="E81" s="230">
        <f t="shared" si="9"/>
        <v>3.9169999999999996E-2</v>
      </c>
      <c r="F81" s="80">
        <v>39</v>
      </c>
    </row>
    <row r="82" spans="2:12" ht="15.6" x14ac:dyDescent="0.3">
      <c r="B82" s="295" t="s">
        <v>203</v>
      </c>
      <c r="C82" s="80"/>
      <c r="D82" s="230">
        <v>4.0289999999999999</v>
      </c>
      <c r="E82" s="230">
        <f t="shared" si="9"/>
        <v>4.0289999999999999E-2</v>
      </c>
      <c r="F82" s="80">
        <v>40</v>
      </c>
    </row>
    <row r="84" spans="2:12" x14ac:dyDescent="0.3">
      <c r="B84" s="31" t="s">
        <v>125</v>
      </c>
      <c r="C84" s="31">
        <f>SUMPRODUCT(E63:E82,F63:F82)/SUM(F63:F82)</f>
        <v>3.9215476190476189E-2</v>
      </c>
      <c r="K84"/>
      <c r="L84" s="70"/>
    </row>
    <row r="86" spans="2:12" ht="15.6" x14ac:dyDescent="0.3">
      <c r="B86" s="154" t="s">
        <v>127</v>
      </c>
      <c r="C86" s="234">
        <f>C84</f>
        <v>3.9215476190476189E-2</v>
      </c>
      <c r="K86"/>
      <c r="L86" s="70"/>
    </row>
    <row r="87" spans="2:12" x14ac:dyDescent="0.3">
      <c r="C87" s="113"/>
    </row>
    <row r="88" spans="2:12" s="104" customFormat="1" x14ac:dyDescent="0.3"/>
    <row r="90" spans="2:12" ht="15.6" x14ac:dyDescent="0.3">
      <c r="B90" s="59" t="s">
        <v>131</v>
      </c>
    </row>
    <row r="92" spans="2:12" x14ac:dyDescent="0.3">
      <c r="B92" s="164" t="s">
        <v>77</v>
      </c>
      <c r="C92" s="116">
        <f>C49</f>
        <v>9.4879999999999992E-2</v>
      </c>
      <c r="E92" s="164" t="s">
        <v>135</v>
      </c>
      <c r="F92" s="296">
        <f>C93/C98</f>
        <v>0.4541834463093124</v>
      </c>
    </row>
    <row r="93" spans="2:12" x14ac:dyDescent="0.3">
      <c r="B93" s="165" t="s">
        <v>132</v>
      </c>
      <c r="C93" s="238">
        <f>O38+O15</f>
        <v>90789</v>
      </c>
      <c r="E93" s="165" t="s">
        <v>136</v>
      </c>
      <c r="F93" s="240">
        <f>C96/C98</f>
        <v>0.5458165536906876</v>
      </c>
    </row>
    <row r="95" spans="2:12" x14ac:dyDescent="0.3">
      <c r="B95" s="164" t="s">
        <v>127</v>
      </c>
      <c r="C95" s="116">
        <f>C86</f>
        <v>3.9215476190476189E-2</v>
      </c>
      <c r="E95" t="s">
        <v>137</v>
      </c>
      <c r="F95" s="113">
        <f>13.63%</f>
        <v>0.1363</v>
      </c>
    </row>
    <row r="96" spans="2:12" x14ac:dyDescent="0.3">
      <c r="B96" s="165" t="s">
        <v>133</v>
      </c>
      <c r="C96" s="239">
        <f>O30</f>
        <v>109106</v>
      </c>
    </row>
    <row r="98" spans="2:9" x14ac:dyDescent="0.3">
      <c r="B98" s="232" t="s">
        <v>134</v>
      </c>
      <c r="C98" s="237">
        <f>C96+C93</f>
        <v>199895</v>
      </c>
      <c r="E98" s="154" t="s">
        <v>44</v>
      </c>
      <c r="F98" s="233">
        <f>C92*F92+C95*(1-F95)*F93</f>
        <v>6.1579954089707803E-2</v>
      </c>
    </row>
    <row r="101" spans="2:9" s="104" customFormat="1" x14ac:dyDescent="0.3"/>
    <row r="103" spans="2:9" ht="15.6" x14ac:dyDescent="0.3">
      <c r="B103" s="241"/>
      <c r="C103" s="103"/>
      <c r="D103" s="103"/>
      <c r="E103" s="103"/>
      <c r="F103" s="103"/>
      <c r="G103" s="103"/>
      <c r="H103" s="103"/>
      <c r="I103" s="103"/>
    </row>
    <row r="104" spans="2:9" x14ac:dyDescent="0.3">
      <c r="B104" s="103"/>
      <c r="C104" s="103"/>
      <c r="D104" s="103"/>
      <c r="E104" s="103"/>
      <c r="F104" s="103"/>
      <c r="G104" s="103"/>
      <c r="H104" s="103"/>
      <c r="I104" s="103"/>
    </row>
    <row r="105" spans="2:9" ht="15.6" x14ac:dyDescent="0.3">
      <c r="B105" s="242"/>
      <c r="C105" s="24"/>
      <c r="D105" s="24"/>
      <c r="E105" s="24"/>
      <c r="F105" s="24"/>
      <c r="G105" s="24"/>
      <c r="H105" s="24"/>
      <c r="I105" s="24"/>
    </row>
    <row r="106" spans="2:9" ht="15.6" x14ac:dyDescent="0.3">
      <c r="B106" s="24"/>
      <c r="C106" s="24"/>
      <c r="D106" s="243"/>
      <c r="E106" s="243"/>
      <c r="F106" s="248"/>
      <c r="G106" s="248"/>
      <c r="H106" s="248"/>
      <c r="I106" s="248"/>
    </row>
    <row r="107" spans="2:9" x14ac:dyDescent="0.3">
      <c r="B107" s="103"/>
      <c r="C107" s="103"/>
      <c r="D107" s="103"/>
      <c r="E107" s="103"/>
      <c r="F107" s="103"/>
      <c r="G107" s="103"/>
      <c r="H107" s="103"/>
      <c r="I107" s="103"/>
    </row>
    <row r="108" spans="2:9" x14ac:dyDescent="0.3">
      <c r="B108" s="103"/>
      <c r="C108" s="103"/>
      <c r="D108" s="103"/>
      <c r="E108" s="103"/>
      <c r="F108" s="103"/>
      <c r="G108" s="103"/>
      <c r="H108" s="103"/>
      <c r="I108" s="103"/>
    </row>
    <row r="109" spans="2:9" x14ac:dyDescent="0.3">
      <c r="B109" s="103"/>
      <c r="C109" s="103"/>
      <c r="D109" s="244"/>
      <c r="E109" s="103"/>
      <c r="F109" s="103"/>
      <c r="G109" s="103"/>
      <c r="H109" s="103"/>
      <c r="I109" s="103"/>
    </row>
    <row r="110" spans="2:9" x14ac:dyDescent="0.3">
      <c r="B110" s="103"/>
      <c r="C110" s="103"/>
      <c r="D110" s="103"/>
      <c r="E110" s="245"/>
      <c r="F110" s="103"/>
      <c r="G110" s="103"/>
      <c r="H110" s="103"/>
      <c r="I110" s="103"/>
    </row>
  </sheetData>
  <sortState xmlns:xlrd2="http://schemas.microsoft.com/office/spreadsheetml/2017/richdata2" ref="B63:F82">
    <sortCondition ref="F63:F82"/>
  </sortState>
  <mergeCells count="3">
    <mergeCell ref="F12:I12"/>
    <mergeCell ref="P12:S12"/>
    <mergeCell ref="F106:I10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185A-13E0-4577-B9AB-877A137DC13B}">
  <sheetPr>
    <tabColor theme="2" tint="-0.499984740745262"/>
  </sheetPr>
  <dimension ref="A1:Q1259"/>
  <sheetViews>
    <sheetView workbookViewId="0">
      <selection activeCell="G6" sqref="G6"/>
    </sheetView>
  </sheetViews>
  <sheetFormatPr defaultRowHeight="14.4" x14ac:dyDescent="0.3"/>
  <cols>
    <col min="1" max="1" width="10.5546875" bestFit="1" customWidth="1"/>
    <col min="2" max="2" width="20.21875" bestFit="1" customWidth="1"/>
    <col min="3" max="3" width="13.44140625" bestFit="1" customWidth="1"/>
    <col min="5" max="5" width="12.77734375" bestFit="1" customWidth="1"/>
    <col min="6" max="6" width="12.6640625" bestFit="1" customWidth="1"/>
    <col min="9" max="9" width="17.44140625" bestFit="1" customWidth="1"/>
  </cols>
  <sheetData>
    <row r="1" spans="1:14" x14ac:dyDescent="0.3">
      <c r="A1" t="s">
        <v>78</v>
      </c>
      <c r="B1" t="s">
        <v>115</v>
      </c>
      <c r="C1" t="s">
        <v>116</v>
      </c>
      <c r="E1" t="s">
        <v>195</v>
      </c>
      <c r="F1" t="s">
        <v>196</v>
      </c>
    </row>
    <row r="2" spans="1:14" x14ac:dyDescent="0.3">
      <c r="A2" s="105">
        <v>44561</v>
      </c>
      <c r="B2" s="110">
        <v>4766.18</v>
      </c>
      <c r="C2">
        <v>27.257643000000002</v>
      </c>
    </row>
    <row r="3" spans="1:14" x14ac:dyDescent="0.3">
      <c r="A3" s="105">
        <v>44560</v>
      </c>
      <c r="B3" s="110">
        <v>4778.7299999999996</v>
      </c>
      <c r="C3">
        <v>27.227132999999998</v>
      </c>
      <c r="E3">
        <f>B3/B2-1</f>
        <v>2.633135970525613E-3</v>
      </c>
      <c r="F3">
        <f>C3/C2-1</f>
        <v>-1.1193190841923828E-3</v>
      </c>
    </row>
    <row r="4" spans="1:14" x14ac:dyDescent="0.3">
      <c r="A4" s="105">
        <v>44559</v>
      </c>
      <c r="B4" s="110">
        <v>4793.0600000000004</v>
      </c>
      <c r="C4">
        <v>27.365590999999998</v>
      </c>
      <c r="E4">
        <f t="shared" ref="E4:E67" si="0">B4/B3-1</f>
        <v>2.9987046767656622E-3</v>
      </c>
      <c r="F4">
        <f t="shared" ref="F4:F67" si="1">C4/C3-1</f>
        <v>5.085294878458102E-3</v>
      </c>
    </row>
    <row r="5" spans="1:14" x14ac:dyDescent="0.3">
      <c r="A5" s="105">
        <v>44558</v>
      </c>
      <c r="B5" s="110">
        <v>4786.3500000000004</v>
      </c>
      <c r="C5">
        <v>27.670674999999999</v>
      </c>
      <c r="E5">
        <f t="shared" si="0"/>
        <v>-1.3999407476643633E-3</v>
      </c>
      <c r="F5">
        <f t="shared" si="1"/>
        <v>1.1148452814339072E-2</v>
      </c>
    </row>
    <row r="6" spans="1:14" x14ac:dyDescent="0.3">
      <c r="A6" s="105">
        <v>44557</v>
      </c>
      <c r="B6" s="110">
        <v>4791.1899999999996</v>
      </c>
      <c r="C6">
        <v>27.924126000000001</v>
      </c>
      <c r="E6">
        <f t="shared" si="0"/>
        <v>1.011208958809684E-3</v>
      </c>
      <c r="F6">
        <f t="shared" si="1"/>
        <v>9.1595524865224487E-3</v>
      </c>
      <c r="I6" t="s">
        <v>90</v>
      </c>
    </row>
    <row r="7" spans="1:14" ht="15" thickBot="1" x14ac:dyDescent="0.35">
      <c r="A7" s="105">
        <v>44553</v>
      </c>
      <c r="B7" s="110">
        <v>4725.79</v>
      </c>
      <c r="C7">
        <v>27.952283999999999</v>
      </c>
      <c r="E7">
        <f t="shared" si="0"/>
        <v>-1.365005353576032E-2</v>
      </c>
      <c r="F7">
        <f t="shared" si="1"/>
        <v>1.0083753382288396E-3</v>
      </c>
    </row>
    <row r="8" spans="1:14" x14ac:dyDescent="0.3">
      <c r="A8" s="105">
        <v>44552</v>
      </c>
      <c r="B8" s="110">
        <v>4696.5600000000004</v>
      </c>
      <c r="C8">
        <v>28.10248</v>
      </c>
      <c r="E8">
        <f t="shared" si="0"/>
        <v>-6.1852092454381946E-3</v>
      </c>
      <c r="F8">
        <f t="shared" si="1"/>
        <v>5.3732997274928973E-3</v>
      </c>
      <c r="I8" s="109" t="s">
        <v>91</v>
      </c>
      <c r="J8" s="109"/>
    </row>
    <row r="9" spans="1:14" x14ac:dyDescent="0.3">
      <c r="A9" s="105">
        <v>44551</v>
      </c>
      <c r="B9" s="110">
        <v>4649.2299999999996</v>
      </c>
      <c r="C9">
        <v>27.985142</v>
      </c>
      <c r="E9">
        <f t="shared" si="0"/>
        <v>-1.0077588703221285E-2</v>
      </c>
      <c r="F9">
        <f t="shared" si="1"/>
        <v>-4.175361035752001E-3</v>
      </c>
      <c r="I9" s="106" t="s">
        <v>92</v>
      </c>
      <c r="J9" s="106">
        <v>0.20315648675258677</v>
      </c>
    </row>
    <row r="10" spans="1:14" x14ac:dyDescent="0.3">
      <c r="A10" s="105">
        <v>44550</v>
      </c>
      <c r="B10" s="110">
        <v>4568.0200000000004</v>
      </c>
      <c r="C10">
        <v>27.935858</v>
      </c>
      <c r="E10">
        <f t="shared" si="0"/>
        <v>-1.7467408581635868E-2</v>
      </c>
      <c r="F10">
        <f t="shared" si="1"/>
        <v>-1.7610773602649843E-3</v>
      </c>
      <c r="I10" s="106" t="s">
        <v>93</v>
      </c>
      <c r="J10" s="106">
        <v>4.1272558109653967E-2</v>
      </c>
    </row>
    <row r="11" spans="1:14" x14ac:dyDescent="0.3">
      <c r="A11" s="105">
        <v>44547</v>
      </c>
      <c r="B11" s="110">
        <v>4620.6400000000003</v>
      </c>
      <c r="C11">
        <v>28.161145999999999</v>
      </c>
      <c r="E11">
        <f t="shared" si="0"/>
        <v>1.1519214013949064E-2</v>
      </c>
      <c r="F11">
        <f t="shared" si="1"/>
        <v>8.0644739817907762E-3</v>
      </c>
      <c r="I11" s="106" t="s">
        <v>94</v>
      </c>
      <c r="J11" s="106">
        <v>3.1489625029140239E-2</v>
      </c>
    </row>
    <row r="12" spans="1:14" x14ac:dyDescent="0.3">
      <c r="A12" s="105">
        <v>44546</v>
      </c>
      <c r="B12" s="110">
        <v>4668.67</v>
      </c>
      <c r="C12">
        <v>28.158799999999999</v>
      </c>
      <c r="E12">
        <f t="shared" si="0"/>
        <v>1.0394663942657312E-2</v>
      </c>
      <c r="F12">
        <f t="shared" si="1"/>
        <v>-8.3306268857108456E-5</v>
      </c>
      <c r="I12" s="106" t="s">
        <v>95</v>
      </c>
      <c r="J12" s="106">
        <v>9.6435485922727465E-3</v>
      </c>
    </row>
    <row r="13" spans="1:14" ht="15" thickBot="1" x14ac:dyDescent="0.35">
      <c r="A13" s="105">
        <v>44545</v>
      </c>
      <c r="B13" s="110">
        <v>4709.8500000000004</v>
      </c>
      <c r="C13">
        <v>28.10952</v>
      </c>
      <c r="E13">
        <f t="shared" si="0"/>
        <v>8.820499199986287E-3</v>
      </c>
      <c r="F13">
        <f t="shared" si="1"/>
        <v>-1.7500745770415715E-3</v>
      </c>
      <c r="I13" s="107" t="s">
        <v>96</v>
      </c>
      <c r="J13" s="107">
        <v>100</v>
      </c>
    </row>
    <row r="14" spans="1:14" x14ac:dyDescent="0.3">
      <c r="A14" s="105">
        <v>44544</v>
      </c>
      <c r="B14" s="110">
        <v>4634.09</v>
      </c>
      <c r="C14">
        <v>28.161145999999999</v>
      </c>
      <c r="E14">
        <f t="shared" si="0"/>
        <v>-1.6085437965115745E-2</v>
      </c>
      <c r="F14">
        <f t="shared" si="1"/>
        <v>1.8366019768392139E-3</v>
      </c>
    </row>
    <row r="15" spans="1:14" ht="15" thickBot="1" x14ac:dyDescent="0.35">
      <c r="A15" s="105">
        <v>44543</v>
      </c>
      <c r="B15" s="110">
        <v>4668.97</v>
      </c>
      <c r="C15">
        <v>28.179922000000001</v>
      </c>
      <c r="E15">
        <f t="shared" si="0"/>
        <v>7.5268283524920765E-3</v>
      </c>
      <c r="F15">
        <f t="shared" si="1"/>
        <v>6.6673423020513489E-4</v>
      </c>
      <c r="I15" t="s">
        <v>97</v>
      </c>
    </row>
    <row r="16" spans="1:14" x14ac:dyDescent="0.3">
      <c r="A16" s="105">
        <v>44540</v>
      </c>
      <c r="B16" s="110">
        <v>4712.0200000000004</v>
      </c>
      <c r="C16">
        <v>28.154109999999999</v>
      </c>
      <c r="E16">
        <f t="shared" si="0"/>
        <v>9.220449049790469E-3</v>
      </c>
      <c r="F16">
        <f t="shared" si="1"/>
        <v>-9.1597130751464029E-4</v>
      </c>
      <c r="I16" s="108"/>
      <c r="J16" s="108" t="s">
        <v>102</v>
      </c>
      <c r="K16" s="108" t="s">
        <v>103</v>
      </c>
      <c r="L16" s="108" t="s">
        <v>104</v>
      </c>
      <c r="M16" s="108" t="s">
        <v>105</v>
      </c>
      <c r="N16" s="108" t="s">
        <v>106</v>
      </c>
    </row>
    <row r="17" spans="1:17" x14ac:dyDescent="0.3">
      <c r="A17" s="105">
        <v>44539</v>
      </c>
      <c r="B17" s="110">
        <v>4667.45</v>
      </c>
      <c r="C17">
        <v>28.602336999999999</v>
      </c>
      <c r="E17">
        <f t="shared" si="0"/>
        <v>-9.4587883752617063E-3</v>
      </c>
      <c r="F17">
        <f t="shared" si="1"/>
        <v>1.5920481947395926E-2</v>
      </c>
      <c r="I17" s="106" t="s">
        <v>98</v>
      </c>
      <c r="J17" s="106">
        <v>1</v>
      </c>
      <c r="K17" s="106">
        <v>3.9234312889931816E-4</v>
      </c>
      <c r="L17" s="106">
        <v>3.9234312889931816E-4</v>
      </c>
      <c r="M17" s="106">
        <v>4.2188327130503689</v>
      </c>
      <c r="N17" s="106">
        <v>4.2640384971373645E-2</v>
      </c>
    </row>
    <row r="18" spans="1:17" x14ac:dyDescent="0.3">
      <c r="A18" s="105">
        <v>44538</v>
      </c>
      <c r="B18" s="110">
        <v>4701.21</v>
      </c>
      <c r="C18">
        <v>28.616419</v>
      </c>
      <c r="E18">
        <f t="shared" si="0"/>
        <v>7.2330715915542854E-3</v>
      </c>
      <c r="F18">
        <f t="shared" si="1"/>
        <v>4.9233739187126702E-4</v>
      </c>
      <c r="I18" s="106" t="s">
        <v>99</v>
      </c>
      <c r="J18" s="106">
        <v>98</v>
      </c>
      <c r="K18" s="106">
        <v>9.1138068862495151E-3</v>
      </c>
      <c r="L18" s="106">
        <v>9.299802945152567E-5</v>
      </c>
      <c r="M18" s="106"/>
      <c r="N18" s="106"/>
    </row>
    <row r="19" spans="1:17" ht="15" thickBot="1" x14ac:dyDescent="0.35">
      <c r="A19" s="105">
        <v>44537</v>
      </c>
      <c r="B19" s="110">
        <v>4686.75</v>
      </c>
      <c r="C19">
        <v>28.618765</v>
      </c>
      <c r="E19">
        <f t="shared" si="0"/>
        <v>-3.0758038887860328E-3</v>
      </c>
      <c r="F19">
        <f t="shared" si="1"/>
        <v>8.1980907534306979E-5</v>
      </c>
      <c r="I19" s="107" t="s">
        <v>100</v>
      </c>
      <c r="J19" s="107">
        <v>99</v>
      </c>
      <c r="K19" s="107">
        <v>9.5061500151488332E-3</v>
      </c>
      <c r="L19" s="107"/>
      <c r="M19" s="107"/>
      <c r="N19" s="107"/>
    </row>
    <row r="20" spans="1:17" ht="15" thickBot="1" x14ac:dyDescent="0.35">
      <c r="A20" s="105">
        <v>44536</v>
      </c>
      <c r="B20" s="110">
        <v>4591.67</v>
      </c>
      <c r="C20">
        <v>28.543671</v>
      </c>
      <c r="E20">
        <f t="shared" si="0"/>
        <v>-2.0286979250013326E-2</v>
      </c>
      <c r="F20">
        <f t="shared" si="1"/>
        <v>-2.6239427173044838E-3</v>
      </c>
    </row>
    <row r="21" spans="1:17" x14ac:dyDescent="0.3">
      <c r="A21" s="105">
        <v>44533</v>
      </c>
      <c r="B21" s="110">
        <v>4538.43</v>
      </c>
      <c r="C21">
        <v>28.477961000000001</v>
      </c>
      <c r="E21">
        <f t="shared" si="0"/>
        <v>-1.1594909912950979E-2</v>
      </c>
      <c r="F21">
        <f t="shared" si="1"/>
        <v>-2.3020865115772615E-3</v>
      </c>
      <c r="I21" s="108"/>
      <c r="J21" s="108" t="s">
        <v>107</v>
      </c>
      <c r="K21" s="108" t="s">
        <v>95</v>
      </c>
      <c r="L21" s="108" t="s">
        <v>108</v>
      </c>
      <c r="M21" s="108" t="s">
        <v>109</v>
      </c>
      <c r="N21" s="108" t="s">
        <v>110</v>
      </c>
      <c r="O21" s="108" t="s">
        <v>111</v>
      </c>
      <c r="P21" s="108" t="s">
        <v>112</v>
      </c>
      <c r="Q21" s="108" t="s">
        <v>113</v>
      </c>
    </row>
    <row r="22" spans="1:17" x14ac:dyDescent="0.3">
      <c r="A22" s="105">
        <v>44532</v>
      </c>
      <c r="B22" s="110">
        <v>4577.1000000000004</v>
      </c>
      <c r="C22">
        <v>30.214559999999999</v>
      </c>
      <c r="E22">
        <f t="shared" si="0"/>
        <v>8.5205676853008505E-3</v>
      </c>
      <c r="F22">
        <f t="shared" si="1"/>
        <v>6.0980454323959377E-2</v>
      </c>
      <c r="I22" s="106" t="s">
        <v>101</v>
      </c>
      <c r="J22" s="106">
        <v>3.0943747757465946E-3</v>
      </c>
      <c r="K22" s="106">
        <v>9.6763820728322438E-4</v>
      </c>
      <c r="L22" s="106">
        <v>3.1978633671715713</v>
      </c>
      <c r="M22" s="106">
        <v>1.8647583143796274E-3</v>
      </c>
      <c r="N22" s="106">
        <v>1.1741282456541064E-3</v>
      </c>
      <c r="O22" s="106">
        <v>5.0146213058390827E-3</v>
      </c>
      <c r="P22" s="106">
        <v>1.1741282456541064E-3</v>
      </c>
      <c r="Q22" s="106">
        <v>5.0146213058390827E-3</v>
      </c>
    </row>
    <row r="23" spans="1:17" ht="15" thickBot="1" x14ac:dyDescent="0.35">
      <c r="A23" s="105">
        <v>44531</v>
      </c>
      <c r="B23" s="110">
        <v>4513.04</v>
      </c>
      <c r="C23">
        <v>30.162939000000001</v>
      </c>
      <c r="E23">
        <f t="shared" si="0"/>
        <v>-1.3995761508378779E-2</v>
      </c>
      <c r="F23">
        <f t="shared" si="1"/>
        <v>-1.708480944286328E-3</v>
      </c>
      <c r="I23" s="107" t="s">
        <v>114</v>
      </c>
      <c r="J23" s="107">
        <v>0.23989556385247748</v>
      </c>
      <c r="K23" s="107">
        <v>0.11679548773830564</v>
      </c>
      <c r="L23" s="107">
        <v>2.0539797255694707</v>
      </c>
      <c r="M23" s="107">
        <v>4.2640384971371931E-2</v>
      </c>
      <c r="N23" s="107">
        <v>8.1187196023658204E-3</v>
      </c>
      <c r="O23" s="107">
        <v>0.47167240810258915</v>
      </c>
      <c r="P23" s="107">
        <v>8.1187196023658204E-3</v>
      </c>
      <c r="Q23" s="107">
        <v>0.47167240810258915</v>
      </c>
    </row>
    <row r="24" spans="1:17" x14ac:dyDescent="0.3">
      <c r="A24" s="105">
        <v>44530</v>
      </c>
      <c r="B24" s="110">
        <v>4567</v>
      </c>
      <c r="C24">
        <v>30.292006000000001</v>
      </c>
      <c r="E24">
        <f t="shared" si="0"/>
        <v>1.1956463935617778E-2</v>
      </c>
      <c r="F24">
        <f t="shared" si="1"/>
        <v>4.2789928395239318E-3</v>
      </c>
    </row>
    <row r="25" spans="1:17" x14ac:dyDescent="0.3">
      <c r="A25" s="105">
        <v>44529</v>
      </c>
      <c r="B25" s="110">
        <v>4655.2700000000004</v>
      </c>
      <c r="C25">
        <v>30.575958</v>
      </c>
      <c r="E25">
        <f t="shared" si="0"/>
        <v>1.9327786292971494E-2</v>
      </c>
      <c r="F25">
        <f t="shared" si="1"/>
        <v>9.3738262167253339E-3</v>
      </c>
    </row>
    <row r="26" spans="1:17" ht="15.6" x14ac:dyDescent="0.3">
      <c r="A26" s="105">
        <v>44526</v>
      </c>
      <c r="B26" s="110">
        <v>4594.62</v>
      </c>
      <c r="C26">
        <v>30.866963999999999</v>
      </c>
      <c r="E26">
        <f t="shared" si="0"/>
        <v>-1.3028245407892713E-2</v>
      </c>
      <c r="F26">
        <f t="shared" si="1"/>
        <v>9.5174777516373599E-3</v>
      </c>
      <c r="I26" s="135" t="s">
        <v>194</v>
      </c>
      <c r="J26" s="135"/>
    </row>
    <row r="27" spans="1:17" ht="15.6" x14ac:dyDescent="0.3">
      <c r="A27" s="105">
        <v>44524</v>
      </c>
      <c r="B27" s="110">
        <v>4701.46</v>
      </c>
      <c r="C27">
        <v>30.986654000000001</v>
      </c>
      <c r="E27">
        <f t="shared" si="0"/>
        <v>2.3253283187728346E-2</v>
      </c>
      <c r="F27">
        <f t="shared" si="1"/>
        <v>3.8776084359966045E-3</v>
      </c>
      <c r="I27" s="135" t="s">
        <v>117</v>
      </c>
      <c r="J27" s="135">
        <f>SLOPE(F3:F254,E3:E254)</f>
        <v>0.10999797952790322</v>
      </c>
    </row>
    <row r="28" spans="1:17" ht="15.6" x14ac:dyDescent="0.3">
      <c r="A28" s="105">
        <v>44523</v>
      </c>
      <c r="B28" s="110">
        <v>4690.7</v>
      </c>
      <c r="C28">
        <v>31.210550000000001</v>
      </c>
      <c r="E28">
        <f t="shared" si="0"/>
        <v>-2.2886507595513139E-3</v>
      </c>
      <c r="F28">
        <f t="shared" si="1"/>
        <v>7.2255623340293784E-3</v>
      </c>
      <c r="I28" s="135" t="s">
        <v>118</v>
      </c>
      <c r="J28" s="135">
        <f>_xlfn.COVARIANCE.P(F3:F254,E3:E254)/_xlfn.VAR.P(E3:E254)</f>
        <v>0.10999797952790329</v>
      </c>
    </row>
    <row r="29" spans="1:17" x14ac:dyDescent="0.3">
      <c r="A29" s="105">
        <v>44522</v>
      </c>
      <c r="B29" s="110">
        <v>4682.9399999999996</v>
      </c>
      <c r="C29">
        <v>31.139849000000002</v>
      </c>
      <c r="E29">
        <f t="shared" si="0"/>
        <v>-1.6543373057326116E-3</v>
      </c>
      <c r="F29">
        <f t="shared" si="1"/>
        <v>-2.2652917042473852E-3</v>
      </c>
    </row>
    <row r="30" spans="1:17" x14ac:dyDescent="0.3">
      <c r="A30" s="105">
        <v>44519</v>
      </c>
      <c r="B30" s="110">
        <v>4697.96</v>
      </c>
      <c r="C30">
        <v>31.415610999999998</v>
      </c>
      <c r="E30">
        <f t="shared" si="0"/>
        <v>3.2073868125579441E-3</v>
      </c>
      <c r="F30">
        <f t="shared" si="1"/>
        <v>8.855598496961159E-3</v>
      </c>
    </row>
    <row r="31" spans="1:17" x14ac:dyDescent="0.3">
      <c r="A31" s="105">
        <v>44518</v>
      </c>
      <c r="B31" s="110">
        <v>4704.54</v>
      </c>
      <c r="C31">
        <v>31.823366</v>
      </c>
      <c r="E31">
        <f t="shared" si="0"/>
        <v>1.4006079234389901E-3</v>
      </c>
      <c r="F31">
        <f t="shared" si="1"/>
        <v>1.2979375126589199E-2</v>
      </c>
    </row>
    <row r="32" spans="1:17" x14ac:dyDescent="0.3">
      <c r="A32" s="105">
        <v>44517</v>
      </c>
      <c r="B32" s="110">
        <v>4688.67</v>
      </c>
      <c r="C32">
        <v>31.938849999999999</v>
      </c>
      <c r="E32">
        <f t="shared" si="0"/>
        <v>-3.3733372444489929E-3</v>
      </c>
      <c r="F32">
        <f t="shared" si="1"/>
        <v>3.628905880037836E-3</v>
      </c>
    </row>
    <row r="33" spans="1:6" x14ac:dyDescent="0.3">
      <c r="A33" s="105">
        <v>44516</v>
      </c>
      <c r="B33" s="110">
        <v>4700.8999999999996</v>
      </c>
      <c r="C33">
        <v>31.901138</v>
      </c>
      <c r="E33">
        <f t="shared" si="0"/>
        <v>2.6084156061312314E-3</v>
      </c>
      <c r="F33">
        <f t="shared" si="1"/>
        <v>-1.1807563515905395E-3</v>
      </c>
    </row>
    <row r="34" spans="1:6" x14ac:dyDescent="0.3">
      <c r="A34" s="105">
        <v>44515</v>
      </c>
      <c r="B34" s="110">
        <v>4682.8</v>
      </c>
      <c r="C34">
        <v>31.988354000000001</v>
      </c>
      <c r="E34">
        <f t="shared" si="0"/>
        <v>-3.8503265332169301E-3</v>
      </c>
      <c r="F34">
        <f t="shared" si="1"/>
        <v>2.733946356396455E-3</v>
      </c>
    </row>
    <row r="35" spans="1:6" x14ac:dyDescent="0.3">
      <c r="A35" s="105">
        <v>44512</v>
      </c>
      <c r="B35" s="110">
        <v>4682.8500000000004</v>
      </c>
      <c r="C35">
        <v>32.219329999999999</v>
      </c>
      <c r="E35">
        <f t="shared" si="0"/>
        <v>1.0677372512146732E-5</v>
      </c>
      <c r="F35">
        <f t="shared" si="1"/>
        <v>7.2206278572506388E-3</v>
      </c>
    </row>
    <row r="36" spans="1:6" x14ac:dyDescent="0.3">
      <c r="A36" s="105">
        <v>44511</v>
      </c>
      <c r="B36" s="110">
        <v>4649.2700000000004</v>
      </c>
      <c r="C36">
        <v>32.315959999999997</v>
      </c>
      <c r="E36">
        <f t="shared" si="0"/>
        <v>-7.1708468133722114E-3</v>
      </c>
      <c r="F36">
        <f t="shared" si="1"/>
        <v>2.9991312668511405E-3</v>
      </c>
    </row>
    <row r="37" spans="1:6" x14ac:dyDescent="0.3">
      <c r="A37" s="105">
        <v>44510</v>
      </c>
      <c r="B37" s="110">
        <v>4646.71</v>
      </c>
      <c r="C37">
        <v>32.179259999999999</v>
      </c>
      <c r="E37">
        <f t="shared" si="0"/>
        <v>-5.5062407646799816E-4</v>
      </c>
      <c r="F37">
        <f t="shared" si="1"/>
        <v>-4.2301079714170964E-3</v>
      </c>
    </row>
    <row r="38" spans="1:6" x14ac:dyDescent="0.3">
      <c r="A38" s="105">
        <v>44509</v>
      </c>
      <c r="B38" s="110">
        <v>4685.25</v>
      </c>
      <c r="C38">
        <v>32.209904000000002</v>
      </c>
      <c r="E38">
        <f t="shared" si="0"/>
        <v>8.294040299480665E-3</v>
      </c>
      <c r="F38">
        <f t="shared" si="1"/>
        <v>9.5229038828126278E-4</v>
      </c>
    </row>
    <row r="39" spans="1:6" x14ac:dyDescent="0.3">
      <c r="A39" s="105">
        <v>44508</v>
      </c>
      <c r="B39" s="110">
        <v>4701.7</v>
      </c>
      <c r="C39">
        <v>32.273544000000001</v>
      </c>
      <c r="E39">
        <f t="shared" si="0"/>
        <v>3.5110186222719886E-3</v>
      </c>
      <c r="F39">
        <f t="shared" si="1"/>
        <v>1.9757898067624957E-3</v>
      </c>
    </row>
    <row r="40" spans="1:6" x14ac:dyDescent="0.3">
      <c r="A40" s="105">
        <v>44505</v>
      </c>
      <c r="B40" s="110">
        <v>4697.53</v>
      </c>
      <c r="C40">
        <v>32.287674000000003</v>
      </c>
      <c r="E40">
        <f t="shared" si="0"/>
        <v>-8.8691324414580386E-4</v>
      </c>
      <c r="F40">
        <f t="shared" si="1"/>
        <v>4.3781990598867893E-4</v>
      </c>
    </row>
    <row r="41" spans="1:6" x14ac:dyDescent="0.3">
      <c r="A41" s="105">
        <v>44504</v>
      </c>
      <c r="B41" s="110">
        <v>4680.0600000000004</v>
      </c>
      <c r="C41">
        <v>32.947612999999997</v>
      </c>
      <c r="E41">
        <f t="shared" si="0"/>
        <v>-3.7189757170256188E-3</v>
      </c>
      <c r="F41">
        <f t="shared" si="1"/>
        <v>2.0439347845248701E-2</v>
      </c>
    </row>
    <row r="42" spans="1:6" x14ac:dyDescent="0.3">
      <c r="A42" s="105">
        <v>44503</v>
      </c>
      <c r="B42" s="110">
        <v>4660.57</v>
      </c>
      <c r="C42">
        <v>32.751998999999998</v>
      </c>
      <c r="E42">
        <f t="shared" si="0"/>
        <v>-4.1644765238053605E-3</v>
      </c>
      <c r="F42">
        <f t="shared" si="1"/>
        <v>-5.9371220610123787E-3</v>
      </c>
    </row>
    <row r="43" spans="1:6" x14ac:dyDescent="0.3">
      <c r="A43" s="105">
        <v>44502</v>
      </c>
      <c r="B43" s="110">
        <v>4630.6499999999996</v>
      </c>
      <c r="C43">
        <v>32.945267000000001</v>
      </c>
      <c r="E43">
        <f t="shared" si="0"/>
        <v>-6.4198156019542596E-3</v>
      </c>
      <c r="F43">
        <f t="shared" si="1"/>
        <v>5.9009527937516904E-3</v>
      </c>
    </row>
    <row r="44" spans="1:6" x14ac:dyDescent="0.3">
      <c r="A44" s="105">
        <v>44501</v>
      </c>
      <c r="B44" s="110">
        <v>4613.67</v>
      </c>
      <c r="C44">
        <v>32.841557000000002</v>
      </c>
      <c r="E44">
        <f t="shared" si="0"/>
        <v>-3.6668718214504237E-3</v>
      </c>
      <c r="F44">
        <f t="shared" si="1"/>
        <v>-3.1479483836024391E-3</v>
      </c>
    </row>
    <row r="45" spans="1:6" x14ac:dyDescent="0.3">
      <c r="A45" s="105">
        <v>44498</v>
      </c>
      <c r="B45" s="110">
        <v>4605.38</v>
      </c>
      <c r="C45">
        <v>32.883983999999998</v>
      </c>
      <c r="E45">
        <f t="shared" si="0"/>
        <v>-1.7968341905684193E-3</v>
      </c>
      <c r="F45">
        <f t="shared" si="1"/>
        <v>1.2918693227605971E-3</v>
      </c>
    </row>
    <row r="46" spans="1:6" x14ac:dyDescent="0.3">
      <c r="A46" s="105">
        <v>44497</v>
      </c>
      <c r="B46" s="110">
        <v>4596.42</v>
      </c>
      <c r="C46">
        <v>32.761425000000003</v>
      </c>
      <c r="E46">
        <f t="shared" si="0"/>
        <v>-1.9455506386009125E-3</v>
      </c>
      <c r="F46">
        <f t="shared" si="1"/>
        <v>-3.7270119095057508E-3</v>
      </c>
    </row>
    <row r="47" spans="1:6" x14ac:dyDescent="0.3">
      <c r="A47" s="105">
        <v>44496</v>
      </c>
      <c r="B47" s="110">
        <v>4551.68</v>
      </c>
      <c r="C47">
        <v>32.685988999999999</v>
      </c>
      <c r="E47">
        <f t="shared" si="0"/>
        <v>-9.7336622849956145E-3</v>
      </c>
      <c r="F47">
        <f t="shared" si="1"/>
        <v>-2.3025860444105817E-3</v>
      </c>
    </row>
    <row r="48" spans="1:6" x14ac:dyDescent="0.3">
      <c r="A48" s="105">
        <v>44495</v>
      </c>
      <c r="B48" s="110">
        <v>4574.79</v>
      </c>
      <c r="C48">
        <v>32.794421999999997</v>
      </c>
      <c r="E48">
        <f t="shared" si="0"/>
        <v>5.0772462035995058E-3</v>
      </c>
      <c r="F48">
        <f t="shared" si="1"/>
        <v>3.3174152998705075E-3</v>
      </c>
    </row>
    <row r="49" spans="1:6" x14ac:dyDescent="0.3">
      <c r="A49" s="105">
        <v>44494</v>
      </c>
      <c r="B49" s="110">
        <v>4566.4799999999996</v>
      </c>
      <c r="C49">
        <v>32.808556000000003</v>
      </c>
      <c r="E49">
        <f t="shared" si="0"/>
        <v>-1.8164768218870142E-3</v>
      </c>
      <c r="F49">
        <f t="shared" si="1"/>
        <v>4.3098792837414912E-4</v>
      </c>
    </row>
    <row r="50" spans="1:6" x14ac:dyDescent="0.3">
      <c r="A50" s="105">
        <v>44491</v>
      </c>
      <c r="B50" s="110">
        <v>4544.8999999999996</v>
      </c>
      <c r="C50">
        <v>32.759056000000001</v>
      </c>
      <c r="E50">
        <f t="shared" si="0"/>
        <v>-4.7257406142148239E-3</v>
      </c>
      <c r="F50">
        <f t="shared" si="1"/>
        <v>-1.508752777781508E-3</v>
      </c>
    </row>
    <row r="51" spans="1:6" x14ac:dyDescent="0.3">
      <c r="A51" s="105">
        <v>44490</v>
      </c>
      <c r="B51" s="110">
        <v>4549.78</v>
      </c>
      <c r="C51">
        <v>33.105536999999998</v>
      </c>
      <c r="E51">
        <f t="shared" si="0"/>
        <v>1.0737309951813767E-3</v>
      </c>
      <c r="F51">
        <f t="shared" si="1"/>
        <v>1.0576647874102285E-2</v>
      </c>
    </row>
    <row r="52" spans="1:6" x14ac:dyDescent="0.3">
      <c r="A52" s="105">
        <v>44489</v>
      </c>
      <c r="B52" s="110">
        <v>4536.1899999999996</v>
      </c>
      <c r="C52">
        <v>33.159744000000003</v>
      </c>
      <c r="E52">
        <f t="shared" si="0"/>
        <v>-2.9869576111373197E-3</v>
      </c>
      <c r="F52">
        <f t="shared" si="1"/>
        <v>1.6373998101890663E-3</v>
      </c>
    </row>
    <row r="53" spans="1:6" x14ac:dyDescent="0.3">
      <c r="A53" s="105">
        <v>44488</v>
      </c>
      <c r="B53" s="110">
        <v>4519.63</v>
      </c>
      <c r="C53">
        <v>32.994759000000002</v>
      </c>
      <c r="E53">
        <f t="shared" si="0"/>
        <v>-3.6506407359478965E-3</v>
      </c>
      <c r="F53">
        <f t="shared" si="1"/>
        <v>-4.9754606066922946E-3</v>
      </c>
    </row>
    <row r="54" spans="1:6" x14ac:dyDescent="0.3">
      <c r="A54" s="105">
        <v>44487</v>
      </c>
      <c r="B54" s="110">
        <v>4486.46</v>
      </c>
      <c r="C54">
        <v>33.341231999999998</v>
      </c>
      <c r="E54">
        <f t="shared" si="0"/>
        <v>-7.3390963419571742E-3</v>
      </c>
      <c r="F54">
        <f t="shared" si="1"/>
        <v>1.0500849544013757E-2</v>
      </c>
    </row>
    <row r="55" spans="1:6" x14ac:dyDescent="0.3">
      <c r="A55" s="105">
        <v>44484</v>
      </c>
      <c r="B55" s="110">
        <v>4471.37</v>
      </c>
      <c r="C55">
        <v>32.959408000000003</v>
      </c>
      <c r="E55">
        <f t="shared" si="0"/>
        <v>-3.3634535914730535E-3</v>
      </c>
      <c r="F55">
        <f t="shared" si="1"/>
        <v>-1.1452006332579256E-2</v>
      </c>
    </row>
    <row r="56" spans="1:6" x14ac:dyDescent="0.3">
      <c r="A56" s="105">
        <v>44483</v>
      </c>
      <c r="B56" s="110">
        <v>4438.26</v>
      </c>
      <c r="C56">
        <v>33.331806</v>
      </c>
      <c r="E56">
        <f t="shared" si="0"/>
        <v>-7.4048893292211204E-3</v>
      </c>
      <c r="F56">
        <f t="shared" si="1"/>
        <v>1.1298685947271681E-2</v>
      </c>
    </row>
    <row r="57" spans="1:6" x14ac:dyDescent="0.3">
      <c r="A57" s="105">
        <v>44482</v>
      </c>
      <c r="B57" s="110">
        <v>4363.8</v>
      </c>
      <c r="C57">
        <v>33.213951000000002</v>
      </c>
      <c r="E57">
        <f t="shared" si="0"/>
        <v>-1.6776844979789374E-2</v>
      </c>
      <c r="F57">
        <f t="shared" si="1"/>
        <v>-3.5358120109062474E-3</v>
      </c>
    </row>
    <row r="58" spans="1:6" x14ac:dyDescent="0.3">
      <c r="A58" s="105">
        <v>44481</v>
      </c>
      <c r="B58" s="110">
        <v>4350.6499999999996</v>
      </c>
      <c r="C58">
        <v>33.147964000000002</v>
      </c>
      <c r="E58">
        <f t="shared" si="0"/>
        <v>-3.0134286630919549E-3</v>
      </c>
      <c r="F58">
        <f t="shared" si="1"/>
        <v>-1.9867253974090726E-3</v>
      </c>
    </row>
    <row r="59" spans="1:6" x14ac:dyDescent="0.3">
      <c r="A59" s="105">
        <v>44480</v>
      </c>
      <c r="B59" s="110">
        <v>4361.1899999999996</v>
      </c>
      <c r="C59">
        <v>33.204524999999997</v>
      </c>
      <c r="E59">
        <f t="shared" si="0"/>
        <v>2.4226265040856454E-3</v>
      </c>
      <c r="F59">
        <f t="shared" si="1"/>
        <v>1.7063189763326658E-3</v>
      </c>
    </row>
    <row r="60" spans="1:6" x14ac:dyDescent="0.3">
      <c r="A60" s="105">
        <v>44477</v>
      </c>
      <c r="B60" s="110">
        <v>4391.34</v>
      </c>
      <c r="C60">
        <v>33.892749999999999</v>
      </c>
      <c r="E60">
        <f t="shared" si="0"/>
        <v>6.9132507411968636E-3</v>
      </c>
      <c r="F60">
        <f t="shared" si="1"/>
        <v>2.0726843705790143E-2</v>
      </c>
    </row>
    <row r="61" spans="1:6" x14ac:dyDescent="0.3">
      <c r="A61" s="105">
        <v>44476</v>
      </c>
      <c r="B61" s="110">
        <v>4399.76</v>
      </c>
      <c r="C61">
        <v>33.968165999999997</v>
      </c>
      <c r="E61">
        <f t="shared" si="0"/>
        <v>1.9174101754817485E-3</v>
      </c>
      <c r="F61">
        <f t="shared" si="1"/>
        <v>2.2251366442676002E-3</v>
      </c>
    </row>
    <row r="62" spans="1:6" x14ac:dyDescent="0.3">
      <c r="A62" s="105">
        <v>44475</v>
      </c>
      <c r="B62" s="110">
        <v>4363.55</v>
      </c>
      <c r="C62">
        <v>33.923381999999997</v>
      </c>
      <c r="E62">
        <f t="shared" si="0"/>
        <v>-8.2299943633289407E-3</v>
      </c>
      <c r="F62">
        <f t="shared" si="1"/>
        <v>-1.3184108909500836E-3</v>
      </c>
    </row>
    <row r="63" spans="1:6" x14ac:dyDescent="0.3">
      <c r="A63" s="105">
        <v>44474</v>
      </c>
      <c r="B63" s="110">
        <v>4345.72</v>
      </c>
      <c r="C63">
        <v>33.859749000000001</v>
      </c>
      <c r="E63">
        <f t="shared" si="0"/>
        <v>-4.0861225378419075E-3</v>
      </c>
      <c r="F63">
        <f t="shared" si="1"/>
        <v>-1.8757858517760573E-3</v>
      </c>
    </row>
    <row r="64" spans="1:6" x14ac:dyDescent="0.3">
      <c r="A64" s="105">
        <v>44473</v>
      </c>
      <c r="B64" s="110">
        <v>4300.46</v>
      </c>
      <c r="C64">
        <v>33.869183</v>
      </c>
      <c r="E64">
        <f t="shared" si="0"/>
        <v>-1.0414844950894286E-2</v>
      </c>
      <c r="F64">
        <f t="shared" si="1"/>
        <v>2.7861990353206245E-4</v>
      </c>
    </row>
    <row r="65" spans="1:6" x14ac:dyDescent="0.3">
      <c r="A65" s="105">
        <v>44470</v>
      </c>
      <c r="B65" s="110">
        <v>4357.04</v>
      </c>
      <c r="C65">
        <v>34.121372000000001</v>
      </c>
      <c r="E65">
        <f t="shared" si="0"/>
        <v>1.3156732070522592E-2</v>
      </c>
      <c r="F65">
        <f t="shared" si="1"/>
        <v>7.4459723460114091E-3</v>
      </c>
    </row>
    <row r="66" spans="1:6" x14ac:dyDescent="0.3">
      <c r="A66" s="105">
        <v>44469</v>
      </c>
      <c r="B66" s="110">
        <v>4307.54</v>
      </c>
      <c r="C66">
        <v>33.944603000000001</v>
      </c>
      <c r="E66">
        <f t="shared" si="0"/>
        <v>-1.1360923930007538E-2</v>
      </c>
      <c r="F66">
        <f t="shared" si="1"/>
        <v>-5.1805947310676892E-3</v>
      </c>
    </row>
    <row r="67" spans="1:6" x14ac:dyDescent="0.3">
      <c r="A67" s="105">
        <v>44468</v>
      </c>
      <c r="B67" s="110">
        <v>4359.46</v>
      </c>
      <c r="C67">
        <v>33.859749000000001</v>
      </c>
      <c r="E67">
        <f t="shared" si="0"/>
        <v>1.2053283312517094E-2</v>
      </c>
      <c r="F67">
        <f t="shared" si="1"/>
        <v>-2.4997788308203095E-3</v>
      </c>
    </row>
    <row r="68" spans="1:6" x14ac:dyDescent="0.3">
      <c r="A68" s="105">
        <v>44467</v>
      </c>
      <c r="B68" s="110">
        <v>4352.63</v>
      </c>
      <c r="C68">
        <v>33.784328000000002</v>
      </c>
      <c r="E68">
        <f t="shared" ref="E68:E131" si="2">B68/B67-1</f>
        <v>-1.5667078032600701E-3</v>
      </c>
      <c r="F68">
        <f t="shared" ref="F68:F131" si="3">C68/C67-1</f>
        <v>-2.2274530150828697E-3</v>
      </c>
    </row>
    <row r="69" spans="1:6" x14ac:dyDescent="0.3">
      <c r="A69" s="105">
        <v>44466</v>
      </c>
      <c r="B69" s="110">
        <v>4443.1099999999997</v>
      </c>
      <c r="C69">
        <v>33.744255000000003</v>
      </c>
      <c r="E69">
        <f t="shared" si="2"/>
        <v>2.07874319664203E-2</v>
      </c>
      <c r="F69">
        <f t="shared" si="3"/>
        <v>-1.18614169268072E-3</v>
      </c>
    </row>
    <row r="70" spans="1:6" x14ac:dyDescent="0.3">
      <c r="A70" s="105">
        <v>44463</v>
      </c>
      <c r="B70" s="110">
        <v>4455.4799999999996</v>
      </c>
      <c r="C70">
        <v>33.381293999999997</v>
      </c>
      <c r="E70">
        <f t="shared" si="2"/>
        <v>2.7840859217980185E-3</v>
      </c>
      <c r="F70">
        <f t="shared" si="3"/>
        <v>-1.075623094953515E-2</v>
      </c>
    </row>
    <row r="71" spans="1:6" x14ac:dyDescent="0.3">
      <c r="A71" s="105">
        <v>44462</v>
      </c>
      <c r="B71" s="110">
        <v>4448.9799999999996</v>
      </c>
      <c r="C71">
        <v>33.421371000000001</v>
      </c>
      <c r="E71">
        <f t="shared" si="2"/>
        <v>-1.4588776069021092E-3</v>
      </c>
      <c r="F71">
        <f t="shared" si="3"/>
        <v>1.2005825777756662E-3</v>
      </c>
    </row>
    <row r="72" spans="1:6" x14ac:dyDescent="0.3">
      <c r="A72" s="105">
        <v>44461</v>
      </c>
      <c r="B72" s="110">
        <v>4395.6400000000003</v>
      </c>
      <c r="C72">
        <v>33.244602</v>
      </c>
      <c r="E72">
        <f t="shared" si="2"/>
        <v>-1.1989264955113099E-2</v>
      </c>
      <c r="F72">
        <f t="shared" si="3"/>
        <v>-5.2891007972114545E-3</v>
      </c>
    </row>
    <row r="73" spans="1:6" x14ac:dyDescent="0.3">
      <c r="A73" s="105">
        <v>44460</v>
      </c>
      <c r="B73" s="110">
        <v>4354.1899999999996</v>
      </c>
      <c r="C73">
        <v>33.428424999999997</v>
      </c>
      <c r="E73">
        <f t="shared" si="2"/>
        <v>-9.4297986186313576E-3</v>
      </c>
      <c r="F73">
        <f t="shared" si="3"/>
        <v>5.5294089548731939E-3</v>
      </c>
    </row>
    <row r="74" spans="1:6" x14ac:dyDescent="0.3">
      <c r="A74" s="105">
        <v>44459</v>
      </c>
      <c r="B74" s="110">
        <v>4357.7299999999996</v>
      </c>
      <c r="C74">
        <v>33.279944999999998</v>
      </c>
      <c r="E74">
        <f t="shared" si="2"/>
        <v>8.1300999726696688E-4</v>
      </c>
      <c r="F74">
        <f t="shared" si="3"/>
        <v>-4.4417288580003156E-3</v>
      </c>
    </row>
    <row r="75" spans="1:6" x14ac:dyDescent="0.3">
      <c r="A75" s="105">
        <v>44456</v>
      </c>
      <c r="B75" s="110">
        <v>4432.99</v>
      </c>
      <c r="C75">
        <v>33.157378999999999</v>
      </c>
      <c r="E75">
        <f t="shared" si="2"/>
        <v>1.7270459620031486E-2</v>
      </c>
      <c r="F75">
        <f t="shared" si="3"/>
        <v>-3.6828786826420545E-3</v>
      </c>
    </row>
    <row r="76" spans="1:6" x14ac:dyDescent="0.3">
      <c r="A76" s="105">
        <v>44455</v>
      </c>
      <c r="B76" s="110">
        <v>4473.75</v>
      </c>
      <c r="C76">
        <v>33.572208000000003</v>
      </c>
      <c r="E76">
        <f t="shared" si="2"/>
        <v>9.1946970329281896E-3</v>
      </c>
      <c r="F76">
        <f t="shared" si="3"/>
        <v>1.2510910467320224E-2</v>
      </c>
    </row>
    <row r="77" spans="1:6" x14ac:dyDescent="0.3">
      <c r="A77" s="105">
        <v>44454</v>
      </c>
      <c r="B77" s="110">
        <v>4480.7</v>
      </c>
      <c r="C77">
        <v>33.532142999999998</v>
      </c>
      <c r="E77">
        <f t="shared" si="2"/>
        <v>1.5535065660798875E-3</v>
      </c>
      <c r="F77">
        <f t="shared" si="3"/>
        <v>-1.1933978247723465E-3</v>
      </c>
    </row>
    <row r="78" spans="1:6" x14ac:dyDescent="0.3">
      <c r="A78" s="105">
        <v>44453</v>
      </c>
      <c r="B78" s="110">
        <v>4443.05</v>
      </c>
      <c r="C78">
        <v>33.855041999999997</v>
      </c>
      <c r="E78">
        <f t="shared" si="2"/>
        <v>-8.4027049344967963E-3</v>
      </c>
      <c r="F78">
        <f t="shared" si="3"/>
        <v>9.6295366508487579E-3</v>
      </c>
    </row>
    <row r="79" spans="1:6" x14ac:dyDescent="0.3">
      <c r="A79" s="105">
        <v>44452</v>
      </c>
      <c r="B79" s="110">
        <v>4468.7299999999996</v>
      </c>
      <c r="C79">
        <v>34.064796000000001</v>
      </c>
      <c r="E79">
        <f t="shared" si="2"/>
        <v>5.7798134164592785E-3</v>
      </c>
      <c r="F79">
        <f t="shared" si="3"/>
        <v>6.1956502668052416E-3</v>
      </c>
    </row>
    <row r="80" spans="1:6" x14ac:dyDescent="0.3">
      <c r="A80" s="105">
        <v>44449</v>
      </c>
      <c r="B80" s="110">
        <v>4458.58</v>
      </c>
      <c r="C80">
        <v>33.864468000000002</v>
      </c>
      <c r="E80">
        <f t="shared" si="2"/>
        <v>-2.2713388367611165E-3</v>
      </c>
      <c r="F80">
        <f t="shared" si="3"/>
        <v>-5.8807925930335347E-3</v>
      </c>
    </row>
    <row r="81" spans="1:6" x14ac:dyDescent="0.3">
      <c r="A81" s="105">
        <v>44448</v>
      </c>
      <c r="B81" s="110">
        <v>4493.28</v>
      </c>
      <c r="C81">
        <v>33.890391999999999</v>
      </c>
      <c r="E81">
        <f t="shared" si="2"/>
        <v>7.7827469732514309E-3</v>
      </c>
      <c r="F81">
        <f t="shared" si="3"/>
        <v>7.6552213960656701E-4</v>
      </c>
    </row>
    <row r="82" spans="1:6" x14ac:dyDescent="0.3">
      <c r="A82" s="105">
        <v>44447</v>
      </c>
      <c r="B82" s="110">
        <v>4514.07</v>
      </c>
      <c r="C82">
        <v>33.857391</v>
      </c>
      <c r="E82">
        <f t="shared" si="2"/>
        <v>4.6269095182138731E-3</v>
      </c>
      <c r="F82">
        <f t="shared" si="3"/>
        <v>-9.7375680989464364E-4</v>
      </c>
    </row>
    <row r="83" spans="1:6" x14ac:dyDescent="0.3">
      <c r="A83" s="105">
        <v>44446</v>
      </c>
      <c r="B83" s="110">
        <v>4520.03</v>
      </c>
      <c r="C83">
        <v>34.547977000000003</v>
      </c>
      <c r="E83">
        <f t="shared" si="2"/>
        <v>1.3203162556185699E-3</v>
      </c>
      <c r="F83">
        <f t="shared" si="3"/>
        <v>2.0396905361077744E-2</v>
      </c>
    </row>
    <row r="84" spans="1:6" x14ac:dyDescent="0.3">
      <c r="A84" s="105">
        <v>44442</v>
      </c>
      <c r="B84" s="110">
        <v>4535.43</v>
      </c>
      <c r="C84">
        <v>34.767178000000001</v>
      </c>
      <c r="E84">
        <f t="shared" si="2"/>
        <v>3.4070570328075256E-3</v>
      </c>
      <c r="F84">
        <f t="shared" si="3"/>
        <v>6.344828815881165E-3</v>
      </c>
    </row>
    <row r="85" spans="1:6" x14ac:dyDescent="0.3">
      <c r="A85" s="105">
        <v>44441</v>
      </c>
      <c r="B85" s="110">
        <v>4536.95</v>
      </c>
      <c r="C85">
        <v>34.661118000000002</v>
      </c>
      <c r="E85">
        <f t="shared" si="2"/>
        <v>3.3513911580596023E-4</v>
      </c>
      <c r="F85">
        <f t="shared" si="3"/>
        <v>-3.0505783356934435E-3</v>
      </c>
    </row>
    <row r="86" spans="1:6" x14ac:dyDescent="0.3">
      <c r="A86" s="105">
        <v>44440</v>
      </c>
      <c r="B86" s="110">
        <v>4524.09</v>
      </c>
      <c r="C86">
        <v>34.536200999999998</v>
      </c>
      <c r="E86">
        <f t="shared" si="2"/>
        <v>-2.834503355778617E-3</v>
      </c>
      <c r="F86">
        <f t="shared" si="3"/>
        <v>-3.6039518402147808E-3</v>
      </c>
    </row>
    <row r="87" spans="1:6" x14ac:dyDescent="0.3">
      <c r="A87" s="105">
        <v>44439</v>
      </c>
      <c r="B87" s="110">
        <v>4522.68</v>
      </c>
      <c r="C87">
        <v>35.108932000000003</v>
      </c>
      <c r="E87">
        <f t="shared" si="2"/>
        <v>-3.1166488730327568E-4</v>
      </c>
      <c r="F87">
        <f t="shared" si="3"/>
        <v>1.6583497414785375E-2</v>
      </c>
    </row>
    <row r="88" spans="1:6" x14ac:dyDescent="0.3">
      <c r="A88" s="105">
        <v>44438</v>
      </c>
      <c r="B88" s="110">
        <v>4528.79</v>
      </c>
      <c r="C88">
        <v>36.063496000000001</v>
      </c>
      <c r="E88">
        <f t="shared" si="2"/>
        <v>1.3509688945492204E-3</v>
      </c>
      <c r="F88">
        <f t="shared" si="3"/>
        <v>2.7188636783368914E-2</v>
      </c>
    </row>
    <row r="89" spans="1:6" x14ac:dyDescent="0.3">
      <c r="A89" s="105">
        <v>44435</v>
      </c>
      <c r="B89" s="110">
        <v>4509.37</v>
      </c>
      <c r="C89">
        <v>36.294476000000003</v>
      </c>
      <c r="E89">
        <f t="shared" si="2"/>
        <v>-4.2881211096120753E-3</v>
      </c>
      <c r="F89">
        <f t="shared" si="3"/>
        <v>6.404814441728135E-3</v>
      </c>
    </row>
    <row r="90" spans="1:6" x14ac:dyDescent="0.3">
      <c r="A90" s="105">
        <v>44434</v>
      </c>
      <c r="B90" s="110">
        <v>4470</v>
      </c>
      <c r="C90">
        <v>36.122397999999997</v>
      </c>
      <c r="E90">
        <f t="shared" si="2"/>
        <v>-8.7307096113203864E-3</v>
      </c>
      <c r="F90">
        <f t="shared" si="3"/>
        <v>-4.7411622639215167E-3</v>
      </c>
    </row>
    <row r="91" spans="1:6" x14ac:dyDescent="0.3">
      <c r="A91" s="105">
        <v>44433</v>
      </c>
      <c r="B91" s="110">
        <v>4496.1899999999996</v>
      </c>
      <c r="C91">
        <v>36.434798999999998</v>
      </c>
      <c r="E91">
        <f t="shared" si="2"/>
        <v>5.8590604026844684E-3</v>
      </c>
      <c r="F91">
        <f t="shared" si="3"/>
        <v>8.6484014710208612E-3</v>
      </c>
    </row>
    <row r="92" spans="1:6" x14ac:dyDescent="0.3">
      <c r="A92" s="105">
        <v>44432</v>
      </c>
      <c r="B92" s="110">
        <v>4486.2299999999996</v>
      </c>
      <c r="C92">
        <v>36.943641999999997</v>
      </c>
      <c r="E92">
        <f t="shared" si="2"/>
        <v>-2.2152088768491174E-3</v>
      </c>
      <c r="F92">
        <f t="shared" si="3"/>
        <v>1.3965851712260058E-2</v>
      </c>
    </row>
    <row r="93" spans="1:6" x14ac:dyDescent="0.3">
      <c r="A93" s="105">
        <v>44431</v>
      </c>
      <c r="B93" s="110">
        <v>4479.53</v>
      </c>
      <c r="C93">
        <v>36.848984000000002</v>
      </c>
      <c r="E93">
        <f t="shared" si="2"/>
        <v>-1.4934588730403098E-3</v>
      </c>
      <c r="F93">
        <f t="shared" si="3"/>
        <v>-2.5622270809141368E-3</v>
      </c>
    </row>
    <row r="94" spans="1:6" x14ac:dyDescent="0.3">
      <c r="A94" s="105">
        <v>44428</v>
      </c>
      <c r="B94" s="110">
        <v>4441.67</v>
      </c>
      <c r="C94">
        <v>36.794547999999999</v>
      </c>
      <c r="E94">
        <f t="shared" si="2"/>
        <v>-8.4517795393712625E-3</v>
      </c>
      <c r="F94">
        <f t="shared" si="3"/>
        <v>-1.4772727519435369E-3</v>
      </c>
    </row>
    <row r="95" spans="1:6" x14ac:dyDescent="0.3">
      <c r="A95" s="105">
        <v>44427</v>
      </c>
      <c r="B95" s="110">
        <v>4405.8</v>
      </c>
      <c r="C95">
        <v>35.559147000000003</v>
      </c>
      <c r="E95">
        <f t="shared" si="2"/>
        <v>-8.0757913127269543E-3</v>
      </c>
      <c r="F95">
        <f t="shared" si="3"/>
        <v>-3.3575653653905357E-2</v>
      </c>
    </row>
    <row r="96" spans="1:6" x14ac:dyDescent="0.3">
      <c r="A96" s="105">
        <v>44426</v>
      </c>
      <c r="B96" s="110">
        <v>4400.2700000000004</v>
      </c>
      <c r="C96">
        <v>36.101109000000001</v>
      </c>
      <c r="E96">
        <f t="shared" si="2"/>
        <v>-1.2551636479185557E-3</v>
      </c>
      <c r="F96">
        <f t="shared" si="3"/>
        <v>1.5241141751797249E-2</v>
      </c>
    </row>
    <row r="97" spans="1:6" x14ac:dyDescent="0.3">
      <c r="A97" s="105">
        <v>44425</v>
      </c>
      <c r="B97" s="110">
        <v>4448.08</v>
      </c>
      <c r="C97">
        <v>36.224178000000002</v>
      </c>
      <c r="E97">
        <f t="shared" si="2"/>
        <v>1.0865242360127869E-2</v>
      </c>
      <c r="F97">
        <f t="shared" si="3"/>
        <v>3.4090088478999636E-3</v>
      </c>
    </row>
    <row r="98" spans="1:6" x14ac:dyDescent="0.3">
      <c r="A98" s="105">
        <v>44424</v>
      </c>
      <c r="B98" s="110">
        <v>4479.71</v>
      </c>
      <c r="C98">
        <v>36.444279000000002</v>
      </c>
      <c r="E98">
        <f t="shared" si="2"/>
        <v>7.1109332565961747E-3</v>
      </c>
      <c r="F98">
        <f t="shared" si="3"/>
        <v>6.0760799044219382E-3</v>
      </c>
    </row>
    <row r="99" spans="1:6" x14ac:dyDescent="0.3">
      <c r="A99" s="105">
        <v>44421</v>
      </c>
      <c r="B99" s="110">
        <v>4468</v>
      </c>
      <c r="C99">
        <v>36.399310999999997</v>
      </c>
      <c r="E99">
        <f t="shared" si="2"/>
        <v>-2.614008496085729E-3</v>
      </c>
      <c r="F99">
        <f t="shared" si="3"/>
        <v>-1.2338836501609718E-3</v>
      </c>
    </row>
    <row r="100" spans="1:6" x14ac:dyDescent="0.3">
      <c r="A100" s="105">
        <v>44420</v>
      </c>
      <c r="B100" s="110">
        <v>4460.83</v>
      </c>
      <c r="C100">
        <v>36.290447</v>
      </c>
      <c r="E100">
        <f t="shared" si="2"/>
        <v>-1.6047448522829022E-3</v>
      </c>
      <c r="F100">
        <f t="shared" si="3"/>
        <v>-2.9908258428297252E-3</v>
      </c>
    </row>
    <row r="101" spans="1:6" x14ac:dyDescent="0.3">
      <c r="A101" s="105">
        <v>44419</v>
      </c>
      <c r="B101" s="110">
        <v>4447.7</v>
      </c>
      <c r="C101">
        <v>36.415889999999997</v>
      </c>
      <c r="E101">
        <f t="shared" si="2"/>
        <v>-2.9433984258535606E-3</v>
      </c>
      <c r="F101">
        <f t="shared" si="3"/>
        <v>3.4566397046582598E-3</v>
      </c>
    </row>
    <row r="102" spans="1:6" x14ac:dyDescent="0.3">
      <c r="A102" s="105">
        <v>44418</v>
      </c>
      <c r="B102" s="110">
        <v>4436.75</v>
      </c>
      <c r="C102">
        <v>36.354340000000001</v>
      </c>
      <c r="E102">
        <f t="shared" si="2"/>
        <v>-2.4619466240978216E-3</v>
      </c>
      <c r="F102">
        <f t="shared" si="3"/>
        <v>-1.6901962302718898E-3</v>
      </c>
    </row>
    <row r="103" spans="1:6" x14ac:dyDescent="0.3">
      <c r="A103" s="105">
        <v>44417</v>
      </c>
      <c r="B103" s="110">
        <v>4432.3500000000004</v>
      </c>
      <c r="C103">
        <v>36.368546000000002</v>
      </c>
      <c r="E103">
        <f t="shared" si="2"/>
        <v>-9.9171690990018657E-4</v>
      </c>
      <c r="F103">
        <f t="shared" si="3"/>
        <v>3.907648990464363E-4</v>
      </c>
    </row>
    <row r="104" spans="1:6" x14ac:dyDescent="0.3">
      <c r="A104" s="105">
        <v>44414</v>
      </c>
      <c r="B104" s="110">
        <v>4436.5200000000004</v>
      </c>
      <c r="C104">
        <v>36.153179000000002</v>
      </c>
      <c r="E104">
        <f t="shared" si="2"/>
        <v>9.4081017970149006E-4</v>
      </c>
      <c r="F104">
        <f t="shared" si="3"/>
        <v>-5.9217929691223192E-3</v>
      </c>
    </row>
    <row r="105" spans="1:6" x14ac:dyDescent="0.3">
      <c r="A105" s="105">
        <v>44413</v>
      </c>
      <c r="B105" s="110">
        <v>4429.1000000000004</v>
      </c>
      <c r="C105">
        <v>36.252578999999997</v>
      </c>
      <c r="E105">
        <f t="shared" si="2"/>
        <v>-1.6724820354692138E-3</v>
      </c>
      <c r="F105">
        <f t="shared" si="3"/>
        <v>2.7494124375617712E-3</v>
      </c>
    </row>
    <row r="106" spans="1:6" x14ac:dyDescent="0.3">
      <c r="A106" s="105">
        <v>44412</v>
      </c>
      <c r="B106" s="110">
        <v>4402.66</v>
      </c>
      <c r="C106">
        <v>36.789805999999999</v>
      </c>
      <c r="E106">
        <f t="shared" si="2"/>
        <v>-5.9696100787971496E-3</v>
      </c>
      <c r="F106">
        <f t="shared" si="3"/>
        <v>1.4819000877151378E-2</v>
      </c>
    </row>
    <row r="107" spans="1:6" x14ac:dyDescent="0.3">
      <c r="A107" s="105">
        <v>44411</v>
      </c>
      <c r="B107" s="110">
        <v>4423.1499999999996</v>
      </c>
      <c r="C107">
        <v>36.430076999999997</v>
      </c>
      <c r="E107">
        <f t="shared" si="2"/>
        <v>4.6540046244769595E-3</v>
      </c>
      <c r="F107">
        <f t="shared" si="3"/>
        <v>-9.7779531645261208E-3</v>
      </c>
    </row>
    <row r="108" spans="1:6" x14ac:dyDescent="0.3">
      <c r="A108" s="105">
        <v>44410</v>
      </c>
      <c r="B108" s="110">
        <v>4387.16</v>
      </c>
      <c r="C108">
        <v>36.553150000000002</v>
      </c>
      <c r="E108">
        <f t="shared" si="2"/>
        <v>-8.1367351322021442E-3</v>
      </c>
      <c r="F108">
        <f t="shared" si="3"/>
        <v>3.3783348852105544E-3</v>
      </c>
    </row>
    <row r="109" spans="1:6" x14ac:dyDescent="0.3">
      <c r="A109" s="105">
        <v>44407</v>
      </c>
      <c r="B109" s="110">
        <v>4395.26</v>
      </c>
      <c r="C109">
        <v>36.770870000000002</v>
      </c>
      <c r="E109">
        <f t="shared" si="2"/>
        <v>1.8462969210151225E-3</v>
      </c>
      <c r="F109">
        <f t="shared" si="3"/>
        <v>5.9562582157761668E-3</v>
      </c>
    </row>
    <row r="110" spans="1:6" x14ac:dyDescent="0.3">
      <c r="A110" s="105">
        <v>44406</v>
      </c>
      <c r="B110" s="110">
        <v>4419.1499999999996</v>
      </c>
      <c r="C110">
        <v>36.680945999999999</v>
      </c>
      <c r="E110">
        <f t="shared" si="2"/>
        <v>5.435400863657458E-3</v>
      </c>
      <c r="F110">
        <f t="shared" si="3"/>
        <v>-2.4455227738697793E-3</v>
      </c>
    </row>
    <row r="111" spans="1:6" x14ac:dyDescent="0.3">
      <c r="A111" s="105">
        <v>44405</v>
      </c>
      <c r="B111" s="110">
        <v>4400.6400000000003</v>
      </c>
      <c r="C111">
        <v>35.258586999999999</v>
      </c>
      <c r="E111">
        <f t="shared" si="2"/>
        <v>-4.1885883031803628E-3</v>
      </c>
      <c r="F111">
        <f t="shared" si="3"/>
        <v>-3.8776508108596786E-2</v>
      </c>
    </row>
    <row r="112" spans="1:6" x14ac:dyDescent="0.3">
      <c r="A112" s="105">
        <v>44404</v>
      </c>
      <c r="B112" s="110">
        <v>4401.46</v>
      </c>
      <c r="C112">
        <v>34.416041999999997</v>
      </c>
      <c r="E112">
        <f t="shared" si="2"/>
        <v>1.863365328678146E-4</v>
      </c>
      <c r="F112">
        <f t="shared" si="3"/>
        <v>-2.3896164642105533E-2</v>
      </c>
    </row>
    <row r="113" spans="1:6" x14ac:dyDescent="0.3">
      <c r="A113" s="105">
        <v>44403</v>
      </c>
      <c r="B113" s="110">
        <v>4422.3</v>
      </c>
      <c r="C113">
        <v>34.69294</v>
      </c>
      <c r="E113">
        <f t="shared" si="2"/>
        <v>4.7347925461096452E-3</v>
      </c>
      <c r="F113">
        <f t="shared" si="3"/>
        <v>8.0456084985021104E-3</v>
      </c>
    </row>
    <row r="114" spans="1:6" x14ac:dyDescent="0.3">
      <c r="A114" s="105">
        <v>44400</v>
      </c>
      <c r="B114" s="110">
        <v>4411.79</v>
      </c>
      <c r="C114">
        <v>34.354511000000002</v>
      </c>
      <c r="E114">
        <f t="shared" si="2"/>
        <v>-2.3765913664836047E-3</v>
      </c>
      <c r="F114">
        <f t="shared" si="3"/>
        <v>-9.7549818493329887E-3</v>
      </c>
    </row>
    <row r="115" spans="1:6" x14ac:dyDescent="0.3">
      <c r="A115" s="105">
        <v>44399</v>
      </c>
      <c r="B115" s="110">
        <v>4367.4799999999996</v>
      </c>
      <c r="C115">
        <v>34.148609</v>
      </c>
      <c r="E115">
        <f t="shared" si="2"/>
        <v>-1.0043542417023543E-2</v>
      </c>
      <c r="F115">
        <f t="shared" si="3"/>
        <v>-5.9934487206062537E-3</v>
      </c>
    </row>
    <row r="116" spans="1:6" x14ac:dyDescent="0.3">
      <c r="A116" s="105">
        <v>44398</v>
      </c>
      <c r="B116" s="110">
        <v>4358.6899999999996</v>
      </c>
      <c r="C116">
        <v>33.670558999999997</v>
      </c>
      <c r="E116">
        <f t="shared" si="2"/>
        <v>-2.0126022328665893E-3</v>
      </c>
      <c r="F116">
        <f t="shared" si="3"/>
        <v>-1.3999106083647628E-2</v>
      </c>
    </row>
    <row r="117" spans="1:6" x14ac:dyDescent="0.3">
      <c r="A117" s="105">
        <v>44397</v>
      </c>
      <c r="B117" s="110">
        <v>4323.0600000000004</v>
      </c>
      <c r="C117">
        <v>34.633780999999999</v>
      </c>
      <c r="E117">
        <f t="shared" si="2"/>
        <v>-8.1744744407148406E-3</v>
      </c>
      <c r="F117">
        <f t="shared" si="3"/>
        <v>2.8607247061149144E-2</v>
      </c>
    </row>
    <row r="118" spans="1:6" x14ac:dyDescent="0.3">
      <c r="A118" s="105">
        <v>44396</v>
      </c>
      <c r="B118" s="110">
        <v>4258.49</v>
      </c>
      <c r="C118">
        <v>34.319015999999998</v>
      </c>
      <c r="E118">
        <f t="shared" si="2"/>
        <v>-1.4936179465471322E-2</v>
      </c>
      <c r="F118">
        <f t="shared" si="3"/>
        <v>-9.0883810808874976E-3</v>
      </c>
    </row>
    <row r="119" spans="1:6" x14ac:dyDescent="0.3">
      <c r="A119" s="105">
        <v>44393</v>
      </c>
      <c r="B119" s="110">
        <v>4327.16</v>
      </c>
      <c r="C119">
        <v>34.522540999999997</v>
      </c>
      <c r="E119">
        <f t="shared" si="2"/>
        <v>1.6125434132755911E-2</v>
      </c>
      <c r="F119">
        <f t="shared" si="3"/>
        <v>5.9303856497516794E-3</v>
      </c>
    </row>
    <row r="120" spans="1:6" x14ac:dyDescent="0.3">
      <c r="A120" s="105">
        <v>44392</v>
      </c>
      <c r="B120" s="110">
        <v>4360.03</v>
      </c>
      <c r="C120">
        <v>34.465755000000001</v>
      </c>
      <c r="E120">
        <f t="shared" si="2"/>
        <v>7.5962062877268366E-3</v>
      </c>
      <c r="F120">
        <f t="shared" si="3"/>
        <v>-1.6448963012309914E-3</v>
      </c>
    </row>
    <row r="121" spans="1:6" x14ac:dyDescent="0.3">
      <c r="A121" s="105">
        <v>44391</v>
      </c>
      <c r="B121" s="110">
        <v>4374.3</v>
      </c>
      <c r="C121">
        <v>34.619571999999998</v>
      </c>
      <c r="E121">
        <f t="shared" si="2"/>
        <v>3.272913259771304E-3</v>
      </c>
      <c r="F121">
        <f t="shared" si="3"/>
        <v>4.4628936751855974E-3</v>
      </c>
    </row>
    <row r="122" spans="1:6" x14ac:dyDescent="0.3">
      <c r="A122" s="105">
        <v>44390</v>
      </c>
      <c r="B122" s="110">
        <v>4369.21</v>
      </c>
      <c r="C122">
        <v>34.510714999999998</v>
      </c>
      <c r="E122">
        <f t="shared" si="2"/>
        <v>-1.1636147497885441E-3</v>
      </c>
      <c r="F122">
        <f t="shared" si="3"/>
        <v>-3.1443774059367602E-3</v>
      </c>
    </row>
    <row r="123" spans="1:6" x14ac:dyDescent="0.3">
      <c r="A123" s="105">
        <v>44389</v>
      </c>
      <c r="B123" s="110">
        <v>4384.63</v>
      </c>
      <c r="C123">
        <v>34.016083000000002</v>
      </c>
      <c r="E123">
        <f t="shared" si="2"/>
        <v>3.5292421284396358E-3</v>
      </c>
      <c r="F123">
        <f t="shared" si="3"/>
        <v>-1.4332707972002146E-2</v>
      </c>
    </row>
    <row r="124" spans="1:6" x14ac:dyDescent="0.3">
      <c r="A124" s="105">
        <v>44386</v>
      </c>
      <c r="B124" s="110">
        <v>4369.55</v>
      </c>
      <c r="C124">
        <v>34.513083999999999</v>
      </c>
      <c r="E124">
        <f t="shared" si="2"/>
        <v>-3.4392867813247685E-3</v>
      </c>
      <c r="F124">
        <f t="shared" si="3"/>
        <v>1.4610765148944216E-2</v>
      </c>
    </row>
    <row r="125" spans="1:6" x14ac:dyDescent="0.3">
      <c r="A125" s="105">
        <v>44385</v>
      </c>
      <c r="B125" s="110">
        <v>4320.82</v>
      </c>
      <c r="C125">
        <v>34.004249999999999</v>
      </c>
      <c r="E125">
        <f t="shared" si="2"/>
        <v>-1.1152178141914049E-2</v>
      </c>
      <c r="F125">
        <f t="shared" si="3"/>
        <v>-1.4743220281328684E-2</v>
      </c>
    </row>
    <row r="126" spans="1:6" x14ac:dyDescent="0.3">
      <c r="A126" s="105">
        <v>44384</v>
      </c>
      <c r="B126" s="110">
        <v>4358.13</v>
      </c>
      <c r="C126">
        <v>34.084713000000001</v>
      </c>
      <c r="E126">
        <f t="shared" si="2"/>
        <v>8.6349350354795185E-3</v>
      </c>
      <c r="F126">
        <f t="shared" si="3"/>
        <v>2.3662630406493523E-3</v>
      </c>
    </row>
    <row r="127" spans="1:6" x14ac:dyDescent="0.3">
      <c r="A127" s="105">
        <v>44383</v>
      </c>
      <c r="B127" s="110">
        <v>4343.54</v>
      </c>
      <c r="C127">
        <v>33.961651000000003</v>
      </c>
      <c r="E127">
        <f t="shared" si="2"/>
        <v>-3.3477661290507443E-3</v>
      </c>
      <c r="F127">
        <f t="shared" si="3"/>
        <v>-3.6104748776966122E-3</v>
      </c>
    </row>
    <row r="128" spans="1:6" x14ac:dyDescent="0.3">
      <c r="A128" s="105">
        <v>44379</v>
      </c>
      <c r="B128" s="110">
        <v>4352.34</v>
      </c>
      <c r="C128">
        <v>34.101269000000002</v>
      </c>
      <c r="E128">
        <f t="shared" si="2"/>
        <v>2.0259972280673999E-3</v>
      </c>
      <c r="F128">
        <f t="shared" si="3"/>
        <v>4.1110486648601174E-3</v>
      </c>
    </row>
    <row r="129" spans="1:6" x14ac:dyDescent="0.3">
      <c r="A129" s="105">
        <v>44378</v>
      </c>
      <c r="B129" s="110">
        <v>4319.9399999999996</v>
      </c>
      <c r="C129">
        <v>33.779411000000003</v>
      </c>
      <c r="E129">
        <f t="shared" si="2"/>
        <v>-7.4442713574768282E-3</v>
      </c>
      <c r="F129">
        <f t="shared" si="3"/>
        <v>-9.4382997887849651E-3</v>
      </c>
    </row>
    <row r="130" spans="1:6" x14ac:dyDescent="0.3">
      <c r="A130" s="105">
        <v>44377</v>
      </c>
      <c r="B130" s="110">
        <v>4297.5</v>
      </c>
      <c r="C130">
        <v>34.122580999999997</v>
      </c>
      <c r="E130">
        <f t="shared" si="2"/>
        <v>-5.1945165905080692E-3</v>
      </c>
      <c r="F130">
        <f t="shared" si="3"/>
        <v>1.0159146943088837E-2</v>
      </c>
    </row>
    <row r="131" spans="1:6" x14ac:dyDescent="0.3">
      <c r="A131" s="105">
        <v>44376</v>
      </c>
      <c r="B131" s="110">
        <v>4291.8</v>
      </c>
      <c r="C131">
        <v>34.330844999999997</v>
      </c>
      <c r="E131">
        <f t="shared" si="2"/>
        <v>-1.3263525305409196E-3</v>
      </c>
      <c r="F131">
        <f t="shared" si="3"/>
        <v>6.1034070078109792E-3</v>
      </c>
    </row>
    <row r="132" spans="1:6" x14ac:dyDescent="0.3">
      <c r="A132" s="105">
        <v>44375</v>
      </c>
      <c r="B132" s="110">
        <v>4290.6099999999997</v>
      </c>
      <c r="C132">
        <v>34.442081000000002</v>
      </c>
      <c r="E132">
        <f t="shared" ref="E132:E195" si="4">B132/B131-1</f>
        <v>-2.772729390932982E-4</v>
      </c>
      <c r="F132">
        <f t="shared" ref="F132:F195" si="5">C132/C131-1</f>
        <v>3.2401183250807541E-3</v>
      </c>
    </row>
    <row r="133" spans="1:6" x14ac:dyDescent="0.3">
      <c r="A133" s="105">
        <v>44372</v>
      </c>
      <c r="B133" s="110">
        <v>4280.7</v>
      </c>
      <c r="C133">
        <v>34.491779000000001</v>
      </c>
      <c r="E133">
        <f t="shared" si="4"/>
        <v>-2.3096948918684967E-3</v>
      </c>
      <c r="F133">
        <f t="shared" si="5"/>
        <v>1.4429441705336998E-3</v>
      </c>
    </row>
    <row r="134" spans="1:6" x14ac:dyDescent="0.3">
      <c r="A134" s="105">
        <v>44371</v>
      </c>
      <c r="B134" s="110">
        <v>4266.49</v>
      </c>
      <c r="C134">
        <v>34.972209999999997</v>
      </c>
      <c r="E134">
        <f t="shared" si="4"/>
        <v>-3.3195505407994652E-3</v>
      </c>
      <c r="F134">
        <f t="shared" si="5"/>
        <v>1.3928855336803547E-2</v>
      </c>
    </row>
    <row r="135" spans="1:6" x14ac:dyDescent="0.3">
      <c r="A135" s="105">
        <v>44370</v>
      </c>
      <c r="B135" s="110">
        <v>4241.84</v>
      </c>
      <c r="C135">
        <v>35.272778000000002</v>
      </c>
      <c r="E135">
        <f t="shared" si="4"/>
        <v>-5.7775829780450927E-3</v>
      </c>
      <c r="F135">
        <f t="shared" si="5"/>
        <v>8.5944811608991145E-3</v>
      </c>
    </row>
    <row r="136" spans="1:6" x14ac:dyDescent="0.3">
      <c r="A136" s="105">
        <v>44369</v>
      </c>
      <c r="B136" s="110">
        <v>4246.4399999999996</v>
      </c>
      <c r="C136">
        <v>35.395847000000003</v>
      </c>
      <c r="E136">
        <f t="shared" si="4"/>
        <v>1.0844350564847005E-3</v>
      </c>
      <c r="F136">
        <f t="shared" si="5"/>
        <v>3.4890645698504308E-3</v>
      </c>
    </row>
    <row r="137" spans="1:6" x14ac:dyDescent="0.3">
      <c r="A137" s="105">
        <v>44368</v>
      </c>
      <c r="B137" s="110">
        <v>4224.79</v>
      </c>
      <c r="C137">
        <v>35.518909000000001</v>
      </c>
      <c r="E137">
        <f t="shared" si="4"/>
        <v>-5.098388297020473E-3</v>
      </c>
      <c r="F137">
        <f t="shared" si="5"/>
        <v>3.4767355616605045E-3</v>
      </c>
    </row>
    <row r="138" spans="1:6" x14ac:dyDescent="0.3">
      <c r="A138" s="105">
        <v>44365</v>
      </c>
      <c r="B138" s="110">
        <v>4166.45</v>
      </c>
      <c r="C138">
        <v>35.741390000000003</v>
      </c>
      <c r="E138">
        <f t="shared" si="4"/>
        <v>-1.380897038669382E-2</v>
      </c>
      <c r="F138">
        <f t="shared" si="5"/>
        <v>6.2637340578226564E-3</v>
      </c>
    </row>
    <row r="139" spans="1:6" x14ac:dyDescent="0.3">
      <c r="A139" s="105">
        <v>44364</v>
      </c>
      <c r="B139" s="110">
        <v>4221.8599999999997</v>
      </c>
      <c r="C139">
        <v>35.580444</v>
      </c>
      <c r="E139">
        <f t="shared" si="4"/>
        <v>1.3299091552760656E-2</v>
      </c>
      <c r="F139">
        <f t="shared" si="5"/>
        <v>-4.5030705297136597E-3</v>
      </c>
    </row>
    <row r="140" spans="1:6" x14ac:dyDescent="0.3">
      <c r="A140" s="105">
        <v>44363</v>
      </c>
      <c r="B140" s="110">
        <v>4223.7</v>
      </c>
      <c r="C140">
        <v>35.563881000000002</v>
      </c>
      <c r="E140">
        <f t="shared" si="4"/>
        <v>4.3582686304133311E-4</v>
      </c>
      <c r="F140">
        <f t="shared" si="5"/>
        <v>-4.6550852485138794E-4</v>
      </c>
    </row>
    <row r="141" spans="1:6" x14ac:dyDescent="0.3">
      <c r="A141" s="105">
        <v>44362</v>
      </c>
      <c r="B141" s="110">
        <v>4246.59</v>
      </c>
      <c r="C141">
        <v>35.994605999999997</v>
      </c>
      <c r="E141">
        <f t="shared" si="4"/>
        <v>5.4194189928262748E-3</v>
      </c>
      <c r="F141">
        <f t="shared" si="5"/>
        <v>1.2111304725150651E-2</v>
      </c>
    </row>
    <row r="142" spans="1:6" x14ac:dyDescent="0.3">
      <c r="A142" s="105">
        <v>44361</v>
      </c>
      <c r="B142" s="110">
        <v>4255.1499999999996</v>
      </c>
      <c r="C142">
        <v>36.148453000000003</v>
      </c>
      <c r="E142">
        <f t="shared" si="4"/>
        <v>2.0157349779468259E-3</v>
      </c>
      <c r="F142">
        <f t="shared" si="5"/>
        <v>4.2741681906450779E-3</v>
      </c>
    </row>
    <row r="143" spans="1:6" x14ac:dyDescent="0.3">
      <c r="A143" s="105">
        <v>44358</v>
      </c>
      <c r="B143" s="110">
        <v>4247.4399999999996</v>
      </c>
      <c r="C143">
        <v>36.318851000000002</v>
      </c>
      <c r="E143">
        <f t="shared" si="4"/>
        <v>-1.8119220239004585E-3</v>
      </c>
      <c r="F143">
        <f t="shared" si="5"/>
        <v>4.7138393446601867E-3</v>
      </c>
    </row>
    <row r="144" spans="1:6" x14ac:dyDescent="0.3">
      <c r="A144" s="105">
        <v>44357</v>
      </c>
      <c r="B144" s="110">
        <v>4239.18</v>
      </c>
      <c r="C144">
        <v>35.632514999999998</v>
      </c>
      <c r="E144">
        <f t="shared" si="4"/>
        <v>-1.9447008080160089E-3</v>
      </c>
      <c r="F144">
        <f t="shared" si="5"/>
        <v>-1.8897514131160253E-2</v>
      </c>
    </row>
    <row r="145" spans="1:6" x14ac:dyDescent="0.3">
      <c r="A145" s="105">
        <v>44356</v>
      </c>
      <c r="B145" s="110">
        <v>4219.55</v>
      </c>
      <c r="C145">
        <v>35.381644999999999</v>
      </c>
      <c r="E145">
        <f t="shared" si="4"/>
        <v>-4.6306125241202256E-3</v>
      </c>
      <c r="F145">
        <f t="shared" si="5"/>
        <v>-7.0404797416067089E-3</v>
      </c>
    </row>
    <row r="146" spans="1:6" x14ac:dyDescent="0.3">
      <c r="A146" s="105">
        <v>44355</v>
      </c>
      <c r="B146" s="110">
        <v>4227.26</v>
      </c>
      <c r="C146">
        <v>35.199413</v>
      </c>
      <c r="E146">
        <f t="shared" si="4"/>
        <v>1.8272090625777171E-3</v>
      </c>
      <c r="F146">
        <f t="shared" si="5"/>
        <v>-5.1504671419319026E-3</v>
      </c>
    </row>
    <row r="147" spans="1:6" x14ac:dyDescent="0.3">
      <c r="A147" s="105">
        <v>44354</v>
      </c>
      <c r="B147" s="110">
        <v>4226.5200000000004</v>
      </c>
      <c r="C147">
        <v>35.511809999999997</v>
      </c>
      <c r="E147">
        <f t="shared" si="4"/>
        <v>-1.7505429048603194E-4</v>
      </c>
      <c r="F147">
        <f t="shared" si="5"/>
        <v>8.8750627744842436E-3</v>
      </c>
    </row>
    <row r="148" spans="1:6" x14ac:dyDescent="0.3">
      <c r="A148" s="105">
        <v>44351</v>
      </c>
      <c r="B148" s="110">
        <v>4229.8900000000003</v>
      </c>
      <c r="C148">
        <v>37.189774</v>
      </c>
      <c r="E148">
        <f t="shared" si="4"/>
        <v>7.9734628015470932E-4</v>
      </c>
      <c r="F148">
        <f t="shared" si="5"/>
        <v>4.7250872315435455E-2</v>
      </c>
    </row>
    <row r="149" spans="1:6" x14ac:dyDescent="0.3">
      <c r="A149" s="105">
        <v>44350</v>
      </c>
      <c r="B149" s="110">
        <v>4192.8500000000004</v>
      </c>
      <c r="C149">
        <v>36.818213999999998</v>
      </c>
      <c r="E149">
        <f t="shared" si="4"/>
        <v>-8.7567288983874114E-3</v>
      </c>
      <c r="F149">
        <f t="shared" si="5"/>
        <v>-9.9909184712980714E-3</v>
      </c>
    </row>
    <row r="150" spans="1:6" x14ac:dyDescent="0.3">
      <c r="A150" s="105">
        <v>44349</v>
      </c>
      <c r="B150" s="110">
        <v>4208.12</v>
      </c>
      <c r="C150">
        <v>37.012279999999997</v>
      </c>
      <c r="E150">
        <f t="shared" si="4"/>
        <v>3.6419142110972746E-3</v>
      </c>
      <c r="F150">
        <f t="shared" si="5"/>
        <v>5.2709237878838522E-3</v>
      </c>
    </row>
    <row r="151" spans="1:6" x14ac:dyDescent="0.3">
      <c r="A151" s="105">
        <v>44348</v>
      </c>
      <c r="B151" s="110">
        <v>4202.04</v>
      </c>
      <c r="C151">
        <v>37.585017999999998</v>
      </c>
      <c r="E151">
        <f t="shared" si="4"/>
        <v>-1.4448257178977242E-3</v>
      </c>
      <c r="F151">
        <f t="shared" si="5"/>
        <v>1.5474269620785241E-2</v>
      </c>
    </row>
    <row r="152" spans="1:6" x14ac:dyDescent="0.3">
      <c r="A152" s="105">
        <v>44344</v>
      </c>
      <c r="B152" s="110">
        <v>4204.1099999999997</v>
      </c>
      <c r="C152">
        <v>37.885578000000002</v>
      </c>
      <c r="E152">
        <f t="shared" si="4"/>
        <v>4.9261787131960055E-4</v>
      </c>
      <c r="F152">
        <f t="shared" si="5"/>
        <v>7.9968034071449257E-3</v>
      </c>
    </row>
    <row r="153" spans="1:6" x14ac:dyDescent="0.3">
      <c r="A153" s="105">
        <v>44343</v>
      </c>
      <c r="B153" s="110">
        <v>4200.88</v>
      </c>
      <c r="C153">
        <v>38.117508000000001</v>
      </c>
      <c r="E153">
        <f t="shared" si="4"/>
        <v>-7.6829578674186827E-4</v>
      </c>
      <c r="F153">
        <f t="shared" si="5"/>
        <v>6.1218546012415942E-3</v>
      </c>
    </row>
    <row r="154" spans="1:6" x14ac:dyDescent="0.3">
      <c r="A154" s="105">
        <v>44342</v>
      </c>
      <c r="B154" s="110">
        <v>4195.99</v>
      </c>
      <c r="C154">
        <v>36.903399999999998</v>
      </c>
      <c r="E154">
        <f t="shared" si="4"/>
        <v>-1.1640418198092251E-3</v>
      </c>
      <c r="F154">
        <f t="shared" si="5"/>
        <v>-3.1851714965207112E-2</v>
      </c>
    </row>
    <row r="155" spans="1:6" x14ac:dyDescent="0.3">
      <c r="A155" s="105">
        <v>44341</v>
      </c>
      <c r="B155" s="110">
        <v>4188.13</v>
      </c>
      <c r="C155">
        <v>37.416603000000002</v>
      </c>
      <c r="E155">
        <f t="shared" si="4"/>
        <v>-1.8732170477050447E-3</v>
      </c>
      <c r="F155">
        <f t="shared" si="5"/>
        <v>1.3906659007029365E-2</v>
      </c>
    </row>
    <row r="156" spans="1:6" x14ac:dyDescent="0.3">
      <c r="A156" s="105">
        <v>44340</v>
      </c>
      <c r="B156" s="110">
        <v>4197.05</v>
      </c>
      <c r="C156">
        <v>37.979712999999997</v>
      </c>
      <c r="E156">
        <f t="shared" si="4"/>
        <v>2.1298288257527442E-3</v>
      </c>
      <c r="F156">
        <f t="shared" si="5"/>
        <v>1.5049736075720022E-2</v>
      </c>
    </row>
    <row r="157" spans="1:6" x14ac:dyDescent="0.3">
      <c r="A157" s="105">
        <v>44337</v>
      </c>
      <c r="B157" s="110">
        <v>4155.8599999999997</v>
      </c>
      <c r="C157">
        <v>38.395496000000001</v>
      </c>
      <c r="E157">
        <f t="shared" si="4"/>
        <v>-9.8140360491298928E-3</v>
      </c>
      <c r="F157">
        <f t="shared" si="5"/>
        <v>1.0947502420568744E-2</v>
      </c>
    </row>
    <row r="158" spans="1:6" x14ac:dyDescent="0.3">
      <c r="A158" s="105">
        <v>44336</v>
      </c>
      <c r="B158" s="110">
        <v>4159.12</v>
      </c>
      <c r="C158">
        <v>38.241058000000002</v>
      </c>
      <c r="E158">
        <f t="shared" si="4"/>
        <v>7.8443450934351233E-4</v>
      </c>
      <c r="F158">
        <f t="shared" si="5"/>
        <v>-4.0222946983156094E-3</v>
      </c>
    </row>
    <row r="159" spans="1:6" x14ac:dyDescent="0.3">
      <c r="A159" s="105">
        <v>44335</v>
      </c>
      <c r="B159" s="110">
        <v>4115.68</v>
      </c>
      <c r="C159">
        <v>37.506886000000002</v>
      </c>
      <c r="E159">
        <f t="shared" si="4"/>
        <v>-1.0444517109388429E-2</v>
      </c>
      <c r="F159">
        <f t="shared" si="5"/>
        <v>-1.919852740475958E-2</v>
      </c>
    </row>
    <row r="160" spans="1:6" x14ac:dyDescent="0.3">
      <c r="A160" s="105">
        <v>44334</v>
      </c>
      <c r="B160" s="110">
        <v>4127.83</v>
      </c>
      <c r="C160">
        <v>37.42136</v>
      </c>
      <c r="E160">
        <f t="shared" si="4"/>
        <v>2.9521245577885935E-3</v>
      </c>
      <c r="F160">
        <f t="shared" si="5"/>
        <v>-2.2802746141068475E-3</v>
      </c>
    </row>
    <row r="161" spans="1:6" x14ac:dyDescent="0.3">
      <c r="A161" s="105">
        <v>44333</v>
      </c>
      <c r="B161" s="110">
        <v>4163.29</v>
      </c>
      <c r="C161">
        <v>37.352459000000003</v>
      </c>
      <c r="E161">
        <f t="shared" si="4"/>
        <v>8.5904700532726253E-3</v>
      </c>
      <c r="F161">
        <f t="shared" si="5"/>
        <v>-1.8412211635279174E-3</v>
      </c>
    </row>
    <row r="162" spans="1:6" x14ac:dyDescent="0.3">
      <c r="A162" s="105">
        <v>44330</v>
      </c>
      <c r="B162" s="110">
        <v>4173.8500000000004</v>
      </c>
      <c r="C162">
        <v>37.963078000000003</v>
      </c>
      <c r="E162">
        <f t="shared" si="4"/>
        <v>2.5364555435725133E-3</v>
      </c>
      <c r="F162">
        <f t="shared" si="5"/>
        <v>1.6347491339191444E-2</v>
      </c>
    </row>
    <row r="163" spans="1:6" x14ac:dyDescent="0.3">
      <c r="A163" s="105">
        <v>44329</v>
      </c>
      <c r="B163" s="110">
        <v>4112.5</v>
      </c>
      <c r="C163">
        <v>38.010593</v>
      </c>
      <c r="E163">
        <f t="shared" si="4"/>
        <v>-1.4698659511003132E-2</v>
      </c>
      <c r="F163">
        <f t="shared" si="5"/>
        <v>1.2516108414601934E-3</v>
      </c>
    </row>
    <row r="164" spans="1:6" x14ac:dyDescent="0.3">
      <c r="A164" s="105">
        <v>44328</v>
      </c>
      <c r="B164" s="110">
        <v>4063.04</v>
      </c>
      <c r="C164">
        <v>37.841892000000001</v>
      </c>
      <c r="E164">
        <f t="shared" si="4"/>
        <v>-1.2026747720364717E-2</v>
      </c>
      <c r="F164">
        <f t="shared" si="5"/>
        <v>-4.4382627758530191E-3</v>
      </c>
    </row>
    <row r="165" spans="1:6" x14ac:dyDescent="0.3">
      <c r="A165" s="105">
        <v>44327</v>
      </c>
      <c r="B165" s="110">
        <v>4152.1000000000004</v>
      </c>
      <c r="C165">
        <v>37.982081999999998</v>
      </c>
      <c r="E165">
        <f t="shared" si="4"/>
        <v>2.1919547924706739E-2</v>
      </c>
      <c r="F165">
        <f t="shared" si="5"/>
        <v>3.704624493933828E-3</v>
      </c>
    </row>
    <row r="166" spans="1:6" x14ac:dyDescent="0.3">
      <c r="A166" s="105">
        <v>44326</v>
      </c>
      <c r="B166" s="110">
        <v>4188.43</v>
      </c>
      <c r="C166">
        <v>38.364609000000002</v>
      </c>
      <c r="E166">
        <f t="shared" si="4"/>
        <v>8.7497892632644181E-3</v>
      </c>
      <c r="F166">
        <f t="shared" si="5"/>
        <v>1.0071248858869897E-2</v>
      </c>
    </row>
    <row r="167" spans="1:6" x14ac:dyDescent="0.3">
      <c r="A167" s="105">
        <v>44323</v>
      </c>
      <c r="B167" s="110">
        <v>4232.6000000000004</v>
      </c>
      <c r="C167">
        <v>38.706741000000001</v>
      </c>
      <c r="E167">
        <f t="shared" si="4"/>
        <v>1.0545717607790994E-2</v>
      </c>
      <c r="F167">
        <f t="shared" si="5"/>
        <v>8.917906605017123E-3</v>
      </c>
    </row>
    <row r="168" spans="1:6" x14ac:dyDescent="0.3">
      <c r="A168" s="105">
        <v>44322</v>
      </c>
      <c r="B168" s="110">
        <v>4201.62</v>
      </c>
      <c r="C168">
        <v>38.811295000000001</v>
      </c>
      <c r="E168">
        <f t="shared" si="4"/>
        <v>-7.3193781599962815E-3</v>
      </c>
      <c r="F168">
        <f t="shared" si="5"/>
        <v>2.7011832383407874E-3</v>
      </c>
    </row>
    <row r="169" spans="1:6" x14ac:dyDescent="0.3">
      <c r="A169" s="105">
        <v>44321</v>
      </c>
      <c r="B169" s="110">
        <v>4167.59</v>
      </c>
      <c r="C169">
        <v>38.965736</v>
      </c>
      <c r="E169">
        <f t="shared" si="4"/>
        <v>-8.0992569532702952E-3</v>
      </c>
      <c r="F169">
        <f t="shared" si="5"/>
        <v>3.9792797431779103E-3</v>
      </c>
    </row>
    <row r="170" spans="1:6" x14ac:dyDescent="0.3">
      <c r="A170" s="105">
        <v>44320</v>
      </c>
      <c r="B170" s="110">
        <v>4164.66</v>
      </c>
      <c r="C170">
        <v>38.977607999999996</v>
      </c>
      <c r="E170">
        <f t="shared" si="4"/>
        <v>-7.0304420540412416E-4</v>
      </c>
      <c r="F170">
        <f t="shared" si="5"/>
        <v>3.0467793550714717E-4</v>
      </c>
    </row>
    <row r="171" spans="1:6" x14ac:dyDescent="0.3">
      <c r="A171" s="105">
        <v>44319</v>
      </c>
      <c r="B171" s="110">
        <v>4192.66</v>
      </c>
      <c r="C171">
        <v>38.509551999999999</v>
      </c>
      <c r="E171">
        <f t="shared" si="4"/>
        <v>6.7232379113781882E-3</v>
      </c>
      <c r="F171">
        <f t="shared" si="5"/>
        <v>-1.2008330526593558E-2</v>
      </c>
    </row>
    <row r="172" spans="1:6" x14ac:dyDescent="0.3">
      <c r="A172" s="105">
        <v>44316</v>
      </c>
      <c r="B172" s="110">
        <v>4181.17</v>
      </c>
      <c r="C172">
        <v>38.469150999999997</v>
      </c>
      <c r="E172">
        <f t="shared" si="4"/>
        <v>-2.7405036420792284E-3</v>
      </c>
      <c r="F172">
        <f t="shared" si="5"/>
        <v>-1.0491163335268894E-3</v>
      </c>
    </row>
    <row r="173" spans="1:6" x14ac:dyDescent="0.3">
      <c r="A173" s="105">
        <v>44315</v>
      </c>
      <c r="B173" s="110">
        <v>4211.47</v>
      </c>
      <c r="C173">
        <v>38.314709000000001</v>
      </c>
      <c r="E173">
        <f t="shared" si="4"/>
        <v>7.2467754241039017E-3</v>
      </c>
      <c r="F173">
        <f t="shared" si="5"/>
        <v>-4.0146973870048841E-3</v>
      </c>
    </row>
    <row r="174" spans="1:6" x14ac:dyDescent="0.3">
      <c r="A174" s="105">
        <v>44314</v>
      </c>
      <c r="B174" s="110">
        <v>4183.18</v>
      </c>
      <c r="C174">
        <v>37.689841999999999</v>
      </c>
      <c r="E174">
        <f t="shared" si="4"/>
        <v>-6.7173694695675801E-3</v>
      </c>
      <c r="F174">
        <f t="shared" si="5"/>
        <v>-1.6308801927740091E-2</v>
      </c>
    </row>
    <row r="175" spans="1:6" x14ac:dyDescent="0.3">
      <c r="A175" s="105">
        <v>44313</v>
      </c>
      <c r="B175" s="110">
        <v>4186.72</v>
      </c>
      <c r="C175">
        <v>38.371741999999998</v>
      </c>
      <c r="E175">
        <f t="shared" si="4"/>
        <v>8.4624615722961316E-4</v>
      </c>
      <c r="F175">
        <f t="shared" si="5"/>
        <v>1.8092408028667295E-2</v>
      </c>
    </row>
    <row r="176" spans="1:6" x14ac:dyDescent="0.3">
      <c r="A176" s="105">
        <v>44312</v>
      </c>
      <c r="B176" s="110">
        <v>4187.62</v>
      </c>
      <c r="C176">
        <v>38.219684999999998</v>
      </c>
      <c r="E176">
        <f t="shared" si="4"/>
        <v>2.1496541445320538E-4</v>
      </c>
      <c r="F176">
        <f t="shared" si="5"/>
        <v>-3.9627338263662493E-3</v>
      </c>
    </row>
    <row r="177" spans="1:6" x14ac:dyDescent="0.3">
      <c r="A177" s="105">
        <v>44309</v>
      </c>
      <c r="B177" s="110">
        <v>4180.17</v>
      </c>
      <c r="C177">
        <v>37.932178</v>
      </c>
      <c r="E177">
        <f t="shared" si="4"/>
        <v>-1.7790534957803361E-3</v>
      </c>
      <c r="F177">
        <f t="shared" si="5"/>
        <v>-7.5224848137811495E-3</v>
      </c>
    </row>
    <row r="178" spans="1:6" x14ac:dyDescent="0.3">
      <c r="A178" s="105">
        <v>44308</v>
      </c>
      <c r="B178" s="110">
        <v>4134.9799999999996</v>
      </c>
      <c r="C178">
        <v>37.606686000000003</v>
      </c>
      <c r="E178">
        <f t="shared" si="4"/>
        <v>-1.0810565120557447E-2</v>
      </c>
      <c r="F178">
        <f t="shared" si="5"/>
        <v>-8.5808940367199105E-3</v>
      </c>
    </row>
    <row r="179" spans="1:6" x14ac:dyDescent="0.3">
      <c r="A179" s="105">
        <v>44307</v>
      </c>
      <c r="B179" s="110">
        <v>4173.42</v>
      </c>
      <c r="C179">
        <v>37.986843</v>
      </c>
      <c r="E179">
        <f t="shared" si="4"/>
        <v>9.2962964754366162E-3</v>
      </c>
      <c r="F179">
        <f t="shared" si="5"/>
        <v>1.0108760979363973E-2</v>
      </c>
    </row>
    <row r="180" spans="1:6" x14ac:dyDescent="0.3">
      <c r="A180" s="105">
        <v>44306</v>
      </c>
      <c r="B180" s="110">
        <v>4134.9399999999996</v>
      </c>
      <c r="C180">
        <v>37.699345000000001</v>
      </c>
      <c r="E180">
        <f t="shared" si="4"/>
        <v>-9.2202558093842368E-3</v>
      </c>
      <c r="F180">
        <f t="shared" si="5"/>
        <v>-7.5683572862319526E-3</v>
      </c>
    </row>
    <row r="181" spans="1:6" x14ac:dyDescent="0.3">
      <c r="A181" s="105">
        <v>44305</v>
      </c>
      <c r="B181" s="110">
        <v>4163.26</v>
      </c>
      <c r="C181">
        <v>37.7136</v>
      </c>
      <c r="E181">
        <f t="shared" si="4"/>
        <v>6.848950649828156E-3</v>
      </c>
      <c r="F181">
        <f t="shared" si="5"/>
        <v>3.7812328039121823E-4</v>
      </c>
    </row>
    <row r="182" spans="1:6" x14ac:dyDescent="0.3">
      <c r="A182" s="105">
        <v>44302</v>
      </c>
      <c r="B182" s="110">
        <v>4185.47</v>
      </c>
      <c r="C182">
        <v>37.081595999999998</v>
      </c>
      <c r="E182">
        <f t="shared" si="4"/>
        <v>5.334761701166979E-3</v>
      </c>
      <c r="F182">
        <f t="shared" si="5"/>
        <v>-1.6757986508845635E-2</v>
      </c>
    </row>
    <row r="183" spans="1:6" x14ac:dyDescent="0.3">
      <c r="A183" s="105">
        <v>44301</v>
      </c>
      <c r="B183" s="110">
        <v>4170.42</v>
      </c>
      <c r="C183">
        <v>36.444836000000002</v>
      </c>
      <c r="E183">
        <f t="shared" si="4"/>
        <v>-3.5957729956254125E-3</v>
      </c>
      <c r="F183">
        <f t="shared" si="5"/>
        <v>-1.7171860671800543E-2</v>
      </c>
    </row>
    <row r="184" spans="1:6" x14ac:dyDescent="0.3">
      <c r="A184" s="105">
        <v>44300</v>
      </c>
      <c r="B184" s="110">
        <v>4124.66</v>
      </c>
      <c r="C184">
        <v>36.088450999999999</v>
      </c>
      <c r="E184">
        <f t="shared" si="4"/>
        <v>-1.0972515957625384E-2</v>
      </c>
      <c r="F184">
        <f t="shared" si="5"/>
        <v>-9.7787516453634593E-3</v>
      </c>
    </row>
    <row r="185" spans="1:6" x14ac:dyDescent="0.3">
      <c r="A185" s="105">
        <v>44299</v>
      </c>
      <c r="B185" s="110">
        <v>4141.59</v>
      </c>
      <c r="C185">
        <v>35.770057999999999</v>
      </c>
      <c r="E185">
        <f t="shared" si="4"/>
        <v>4.1045807412005697E-3</v>
      </c>
      <c r="F185">
        <f t="shared" si="5"/>
        <v>-8.8225731827614728E-3</v>
      </c>
    </row>
    <row r="186" spans="1:6" x14ac:dyDescent="0.3">
      <c r="A186" s="105">
        <v>44298</v>
      </c>
      <c r="B186" s="110">
        <v>4127.99</v>
      </c>
      <c r="C186">
        <v>36.385447999999997</v>
      </c>
      <c r="E186">
        <f t="shared" si="4"/>
        <v>-3.2837629992347184E-3</v>
      </c>
      <c r="F186">
        <f t="shared" si="5"/>
        <v>1.7204053736787239E-2</v>
      </c>
    </row>
    <row r="187" spans="1:6" x14ac:dyDescent="0.3">
      <c r="A187" s="105">
        <v>44295</v>
      </c>
      <c r="B187" s="110">
        <v>4128.8</v>
      </c>
      <c r="C187">
        <v>36.644421000000001</v>
      </c>
      <c r="E187">
        <f t="shared" si="4"/>
        <v>1.96221405575292E-4</v>
      </c>
      <c r="F187">
        <f t="shared" si="5"/>
        <v>7.1174882881750445E-3</v>
      </c>
    </row>
    <row r="188" spans="1:6" x14ac:dyDescent="0.3">
      <c r="A188" s="105">
        <v>44294</v>
      </c>
      <c r="B188" s="110">
        <v>4097.17</v>
      </c>
      <c r="C188">
        <v>36.418705000000003</v>
      </c>
      <c r="E188">
        <f t="shared" si="4"/>
        <v>-7.6608215462119489E-3</v>
      </c>
      <c r="F188">
        <f t="shared" si="5"/>
        <v>-6.159627955371394E-3</v>
      </c>
    </row>
    <row r="189" spans="1:6" x14ac:dyDescent="0.3">
      <c r="A189" s="105">
        <v>44293</v>
      </c>
      <c r="B189" s="110">
        <v>4079.95</v>
      </c>
      <c r="C189">
        <v>36.618279000000001</v>
      </c>
      <c r="E189">
        <f t="shared" si="4"/>
        <v>-4.2029010268063161E-3</v>
      </c>
      <c r="F189">
        <f t="shared" si="5"/>
        <v>5.4799861774326164E-3</v>
      </c>
    </row>
    <row r="190" spans="1:6" x14ac:dyDescent="0.3">
      <c r="A190" s="105">
        <v>44292</v>
      </c>
      <c r="B190" s="110">
        <v>4073.94</v>
      </c>
      <c r="C190">
        <v>36.544628000000003</v>
      </c>
      <c r="E190">
        <f t="shared" si="4"/>
        <v>-1.473057267858624E-3</v>
      </c>
      <c r="F190">
        <f t="shared" si="5"/>
        <v>-2.0113178994566328E-3</v>
      </c>
    </row>
    <row r="191" spans="1:6" x14ac:dyDescent="0.3">
      <c r="A191" s="105">
        <v>44291</v>
      </c>
      <c r="B191" s="110">
        <v>4077.91</v>
      </c>
      <c r="C191">
        <v>36.703814999999999</v>
      </c>
      <c r="E191">
        <f t="shared" si="4"/>
        <v>9.7448661492305355E-4</v>
      </c>
      <c r="F191">
        <f t="shared" si="5"/>
        <v>4.3559617024968578E-3</v>
      </c>
    </row>
    <row r="192" spans="1:6" x14ac:dyDescent="0.3">
      <c r="A192" s="105">
        <v>44287</v>
      </c>
      <c r="B192" s="110">
        <v>4019.87</v>
      </c>
      <c r="C192">
        <v>36.466217</v>
      </c>
      <c r="E192">
        <f t="shared" si="4"/>
        <v>-1.4232781007918249E-2</v>
      </c>
      <c r="F192">
        <f t="shared" si="5"/>
        <v>-6.473387030748623E-3</v>
      </c>
    </row>
    <row r="193" spans="1:6" x14ac:dyDescent="0.3">
      <c r="A193" s="105">
        <v>44286</v>
      </c>
      <c r="B193" s="110">
        <v>3972.89</v>
      </c>
      <c r="C193">
        <v>36.920029</v>
      </c>
      <c r="E193">
        <f t="shared" si="4"/>
        <v>-1.168694510021473E-2</v>
      </c>
      <c r="F193">
        <f t="shared" si="5"/>
        <v>1.2444723838505034E-2</v>
      </c>
    </row>
    <row r="194" spans="1:6" x14ac:dyDescent="0.3">
      <c r="A194" s="105">
        <v>44285</v>
      </c>
      <c r="B194" s="110">
        <v>3958.55</v>
      </c>
      <c r="C194">
        <v>36.89864</v>
      </c>
      <c r="E194">
        <f t="shared" si="4"/>
        <v>-3.6094631364069762E-3</v>
      </c>
      <c r="F194">
        <f t="shared" si="5"/>
        <v>-5.7933323941861126E-4</v>
      </c>
    </row>
    <row r="195" spans="1:6" x14ac:dyDescent="0.3">
      <c r="A195" s="105">
        <v>44284</v>
      </c>
      <c r="B195" s="110">
        <v>3971.09</v>
      </c>
      <c r="C195">
        <v>37.026943000000003</v>
      </c>
      <c r="E195">
        <f t="shared" si="4"/>
        <v>3.1678266031753832E-3</v>
      </c>
      <c r="F195">
        <f t="shared" si="5"/>
        <v>3.4771742264756433E-3</v>
      </c>
    </row>
    <row r="196" spans="1:6" x14ac:dyDescent="0.3">
      <c r="A196" s="105">
        <v>44281</v>
      </c>
      <c r="B196" s="110">
        <v>3974.54</v>
      </c>
      <c r="C196">
        <v>37.041198999999999</v>
      </c>
      <c r="E196">
        <f t="shared" ref="E196:E254" si="6">B196/B195-1</f>
        <v>8.6877910095206623E-4</v>
      </c>
      <c r="F196">
        <f t="shared" ref="F196:F254" si="7">C196/C195-1</f>
        <v>3.8501693212955601E-4</v>
      </c>
    </row>
    <row r="197" spans="1:6" x14ac:dyDescent="0.3">
      <c r="A197" s="105">
        <v>44280</v>
      </c>
      <c r="B197" s="110">
        <v>3909.52</v>
      </c>
      <c r="C197">
        <v>37.195641000000002</v>
      </c>
      <c r="E197">
        <f t="shared" si="6"/>
        <v>-1.6359125835945787E-2</v>
      </c>
      <c r="F197">
        <f t="shared" si="7"/>
        <v>4.1694654646573515E-3</v>
      </c>
    </row>
    <row r="198" spans="1:6" x14ac:dyDescent="0.3">
      <c r="A198" s="105">
        <v>44279</v>
      </c>
      <c r="B198" s="110">
        <v>3889.14</v>
      </c>
      <c r="C198">
        <v>37.064964000000003</v>
      </c>
      <c r="E198">
        <f t="shared" si="6"/>
        <v>-5.212916163621184E-3</v>
      </c>
      <c r="F198">
        <f t="shared" si="7"/>
        <v>-3.5132342523683802E-3</v>
      </c>
    </row>
    <row r="199" spans="1:6" x14ac:dyDescent="0.3">
      <c r="A199" s="105">
        <v>44278</v>
      </c>
      <c r="B199" s="110">
        <v>3910.52</v>
      </c>
      <c r="C199">
        <v>37.300185999999997</v>
      </c>
      <c r="E199">
        <f t="shared" si="6"/>
        <v>5.4973593133700316E-3</v>
      </c>
      <c r="F199">
        <f t="shared" si="7"/>
        <v>6.3462087808852097E-3</v>
      </c>
    </row>
    <row r="200" spans="1:6" x14ac:dyDescent="0.3">
      <c r="A200" s="105">
        <v>44277</v>
      </c>
      <c r="B200" s="110">
        <v>3940.59</v>
      </c>
      <c r="C200">
        <v>37.986843</v>
      </c>
      <c r="E200">
        <f t="shared" si="6"/>
        <v>7.689514437977607E-3</v>
      </c>
      <c r="F200">
        <f t="shared" si="7"/>
        <v>1.8408943054600391E-2</v>
      </c>
    </row>
    <row r="201" spans="1:6" x14ac:dyDescent="0.3">
      <c r="A201" s="105">
        <v>44274</v>
      </c>
      <c r="B201" s="110">
        <v>3913.1</v>
      </c>
      <c r="C201">
        <v>38.127014000000003</v>
      </c>
      <c r="E201">
        <f t="shared" si="6"/>
        <v>-6.9761127140860468E-3</v>
      </c>
      <c r="F201">
        <f t="shared" si="7"/>
        <v>3.6899881361556197E-3</v>
      </c>
    </row>
    <row r="202" spans="1:6" x14ac:dyDescent="0.3">
      <c r="A202" s="105">
        <v>44273</v>
      </c>
      <c r="B202" s="110">
        <v>3915.46</v>
      </c>
      <c r="C202">
        <v>37.958320999999998</v>
      </c>
      <c r="E202">
        <f t="shared" si="6"/>
        <v>6.0310239963201617E-4</v>
      </c>
      <c r="F202">
        <f t="shared" si="7"/>
        <v>-4.4245006965403233E-3</v>
      </c>
    </row>
    <row r="203" spans="1:6" x14ac:dyDescent="0.3">
      <c r="A203" s="105">
        <v>44272</v>
      </c>
      <c r="B203" s="110">
        <v>3974.12</v>
      </c>
      <c r="C203">
        <v>37.060206999999998</v>
      </c>
      <c r="E203">
        <f t="shared" si="6"/>
        <v>1.4981636895792461E-2</v>
      </c>
      <c r="F203">
        <f t="shared" si="7"/>
        <v>-2.3660530190468654E-2</v>
      </c>
    </row>
    <row r="204" spans="1:6" x14ac:dyDescent="0.3">
      <c r="A204" s="105">
        <v>44271</v>
      </c>
      <c r="B204" s="110">
        <v>3962.71</v>
      </c>
      <c r="C204">
        <v>37.124355000000001</v>
      </c>
      <c r="E204">
        <f t="shared" si="6"/>
        <v>-2.871075860819472E-3</v>
      </c>
      <c r="F204">
        <f t="shared" si="7"/>
        <v>1.7309131597673666E-3</v>
      </c>
    </row>
    <row r="205" spans="1:6" x14ac:dyDescent="0.3">
      <c r="A205" s="105">
        <v>44270</v>
      </c>
      <c r="B205" s="110">
        <v>3968.94</v>
      </c>
      <c r="C205">
        <v>37.105350000000001</v>
      </c>
      <c r="E205">
        <f t="shared" si="6"/>
        <v>1.5721564283028844E-3</v>
      </c>
      <c r="F205">
        <f t="shared" si="7"/>
        <v>-5.1192808602329443E-4</v>
      </c>
    </row>
    <row r="206" spans="1:6" x14ac:dyDescent="0.3">
      <c r="A206" s="105">
        <v>44267</v>
      </c>
      <c r="B206" s="110">
        <v>3943.34</v>
      </c>
      <c r="C206">
        <v>37.326321</v>
      </c>
      <c r="E206">
        <f t="shared" si="6"/>
        <v>-6.4500849093208634E-3</v>
      </c>
      <c r="F206">
        <f t="shared" si="7"/>
        <v>5.9552328707315194E-3</v>
      </c>
    </row>
    <row r="207" spans="1:6" x14ac:dyDescent="0.3">
      <c r="A207" s="105">
        <v>44266</v>
      </c>
      <c r="B207" s="110">
        <v>3939.34</v>
      </c>
      <c r="C207">
        <v>37.162373000000002</v>
      </c>
      <c r="E207">
        <f t="shared" si="6"/>
        <v>-1.0143685302307359E-3</v>
      </c>
      <c r="F207">
        <f t="shared" si="7"/>
        <v>-4.3922892909804556E-3</v>
      </c>
    </row>
    <row r="208" spans="1:6" x14ac:dyDescent="0.3">
      <c r="A208" s="105">
        <v>44265</v>
      </c>
      <c r="B208" s="110">
        <v>3898.81</v>
      </c>
      <c r="C208">
        <v>37.399974999999998</v>
      </c>
      <c r="E208">
        <f t="shared" si="6"/>
        <v>-1.0288525489041356E-2</v>
      </c>
      <c r="F208">
        <f t="shared" si="7"/>
        <v>6.3936175442831367E-3</v>
      </c>
    </row>
    <row r="209" spans="1:6" x14ac:dyDescent="0.3">
      <c r="A209" s="105">
        <v>44264</v>
      </c>
      <c r="B209" s="110">
        <v>3875.44</v>
      </c>
      <c r="C209">
        <v>38.740012999999998</v>
      </c>
      <c r="E209">
        <f t="shared" si="6"/>
        <v>-5.9941366724718392E-3</v>
      </c>
      <c r="F209">
        <f t="shared" si="7"/>
        <v>3.5829916998607603E-2</v>
      </c>
    </row>
    <row r="210" spans="1:6" x14ac:dyDescent="0.3">
      <c r="A210" s="105">
        <v>44263</v>
      </c>
      <c r="B210" s="110">
        <v>3821.35</v>
      </c>
      <c r="C210">
        <v>39.611987999999997</v>
      </c>
      <c r="E210">
        <f t="shared" si="6"/>
        <v>-1.395712486840206E-2</v>
      </c>
      <c r="F210">
        <f t="shared" si="7"/>
        <v>2.2508381708596703E-2</v>
      </c>
    </row>
    <row r="211" spans="1:6" x14ac:dyDescent="0.3">
      <c r="A211" s="105">
        <v>44260</v>
      </c>
      <c r="B211" s="110">
        <v>3841.94</v>
      </c>
      <c r="C211">
        <v>40.163218999999998</v>
      </c>
      <c r="E211">
        <f t="shared" si="6"/>
        <v>5.3881481675324139E-3</v>
      </c>
      <c r="F211">
        <f t="shared" si="7"/>
        <v>1.3915762066776471E-2</v>
      </c>
    </row>
    <row r="212" spans="1:6" x14ac:dyDescent="0.3">
      <c r="A212" s="105">
        <v>44259</v>
      </c>
      <c r="B212" s="110">
        <v>3768.47</v>
      </c>
      <c r="C212">
        <v>39.652377999999999</v>
      </c>
      <c r="E212">
        <f t="shared" si="6"/>
        <v>-1.9123151324591303E-2</v>
      </c>
      <c r="F212">
        <f t="shared" si="7"/>
        <v>-1.2719124928706527E-2</v>
      </c>
    </row>
    <row r="213" spans="1:6" x14ac:dyDescent="0.3">
      <c r="A213" s="105">
        <v>44258</v>
      </c>
      <c r="B213" s="110">
        <v>3819.72</v>
      </c>
      <c r="C213">
        <v>39.942245</v>
      </c>
      <c r="E213">
        <f t="shared" si="6"/>
        <v>1.3599683691259301E-2</v>
      </c>
      <c r="F213">
        <f t="shared" si="7"/>
        <v>7.3102046994508729E-3</v>
      </c>
    </row>
    <row r="214" spans="1:6" x14ac:dyDescent="0.3">
      <c r="A214" s="105">
        <v>44257</v>
      </c>
      <c r="B214" s="110">
        <v>3870.29</v>
      </c>
      <c r="C214">
        <v>40.985298</v>
      </c>
      <c r="E214">
        <f t="shared" si="6"/>
        <v>1.3239190307142934E-2</v>
      </c>
      <c r="F214">
        <f t="shared" si="7"/>
        <v>2.6114030395637533E-2</v>
      </c>
    </row>
    <row r="215" spans="1:6" x14ac:dyDescent="0.3">
      <c r="A215" s="105">
        <v>44256</v>
      </c>
      <c r="B215" s="110">
        <v>3901.82</v>
      </c>
      <c r="C215">
        <v>41.401080999999998</v>
      </c>
      <c r="E215">
        <f t="shared" si="6"/>
        <v>8.1466763472504145E-3</v>
      </c>
      <c r="F215">
        <f t="shared" si="7"/>
        <v>1.014468651661371E-2</v>
      </c>
    </row>
    <row r="216" spans="1:6" x14ac:dyDescent="0.3">
      <c r="A216" s="105">
        <v>44253</v>
      </c>
      <c r="B216" s="110">
        <v>3811.15</v>
      </c>
      <c r="C216">
        <v>41.534142000000003</v>
      </c>
      <c r="E216">
        <f t="shared" si="6"/>
        <v>-2.3237873607701021E-2</v>
      </c>
      <c r="F216">
        <f t="shared" si="7"/>
        <v>3.2139498966223812E-3</v>
      </c>
    </row>
    <row r="217" spans="1:6" x14ac:dyDescent="0.3">
      <c r="A217" s="105">
        <v>44252</v>
      </c>
      <c r="B217" s="110">
        <v>3829.34</v>
      </c>
      <c r="C217">
        <v>41.873905000000001</v>
      </c>
      <c r="E217">
        <f t="shared" si="6"/>
        <v>4.7728375949516177E-3</v>
      </c>
      <c r="F217">
        <f t="shared" si="7"/>
        <v>8.1803302930874011E-3</v>
      </c>
    </row>
    <row r="218" spans="1:6" x14ac:dyDescent="0.3">
      <c r="A218" s="105">
        <v>44251</v>
      </c>
      <c r="B218" s="110">
        <v>3925.43</v>
      </c>
      <c r="C218">
        <v>41.788367999999998</v>
      </c>
      <c r="E218">
        <f t="shared" si="6"/>
        <v>2.5093096982769847E-2</v>
      </c>
      <c r="F218">
        <f t="shared" si="7"/>
        <v>-2.0427280426795758E-3</v>
      </c>
    </row>
    <row r="219" spans="1:6" x14ac:dyDescent="0.3">
      <c r="A219" s="105">
        <v>44250</v>
      </c>
      <c r="B219" s="110">
        <v>3881.37</v>
      </c>
      <c r="C219">
        <v>41.650069999999999</v>
      </c>
      <c r="E219">
        <f t="shared" si="6"/>
        <v>-1.1224248044163332E-2</v>
      </c>
      <c r="F219">
        <f t="shared" si="7"/>
        <v>-3.3094855487058039E-3</v>
      </c>
    </row>
    <row r="220" spans="1:6" x14ac:dyDescent="0.3">
      <c r="A220" s="105">
        <v>44249</v>
      </c>
      <c r="B220" s="110">
        <v>3876.5</v>
      </c>
      <c r="C220">
        <v>41.483153999999999</v>
      </c>
      <c r="E220">
        <f t="shared" si="6"/>
        <v>-1.2547116095604771E-3</v>
      </c>
      <c r="F220">
        <f t="shared" si="7"/>
        <v>-4.0075802993848608E-3</v>
      </c>
    </row>
    <row r="221" spans="1:6" x14ac:dyDescent="0.3">
      <c r="A221" s="105">
        <v>44246</v>
      </c>
      <c r="B221" s="110">
        <v>3906.71</v>
      </c>
      <c r="C221">
        <v>40.856026</v>
      </c>
      <c r="E221">
        <f t="shared" si="6"/>
        <v>7.7931123436090211E-3</v>
      </c>
      <c r="F221">
        <f t="shared" si="7"/>
        <v>-1.5117654747274001E-2</v>
      </c>
    </row>
    <row r="222" spans="1:6" x14ac:dyDescent="0.3">
      <c r="A222" s="105">
        <v>44245</v>
      </c>
      <c r="B222" s="110">
        <v>3913.97</v>
      </c>
      <c r="C222">
        <v>40.317135</v>
      </c>
      <c r="E222">
        <f t="shared" si="6"/>
        <v>1.8583411617447698E-3</v>
      </c>
      <c r="F222">
        <f t="shared" si="7"/>
        <v>-1.3190000417563796E-2</v>
      </c>
    </row>
    <row r="223" spans="1:6" x14ac:dyDescent="0.3">
      <c r="A223" s="105">
        <v>44244</v>
      </c>
      <c r="B223" s="110">
        <v>3931.33</v>
      </c>
      <c r="C223">
        <v>40.798813000000003</v>
      </c>
      <c r="E223">
        <f t="shared" si="6"/>
        <v>4.4353942416524017E-3</v>
      </c>
      <c r="F223">
        <f t="shared" si="7"/>
        <v>1.1947227897022072E-2</v>
      </c>
    </row>
    <row r="224" spans="1:6" x14ac:dyDescent="0.3">
      <c r="A224" s="105">
        <v>44243</v>
      </c>
      <c r="B224" s="110">
        <v>3932.59</v>
      </c>
      <c r="C224">
        <v>40.572268999999999</v>
      </c>
      <c r="E224">
        <f t="shared" si="6"/>
        <v>3.2050222189439204E-4</v>
      </c>
      <c r="F224">
        <f t="shared" si="7"/>
        <v>-5.552710565378538E-3</v>
      </c>
    </row>
    <row r="225" spans="1:6" x14ac:dyDescent="0.3">
      <c r="A225" s="105">
        <v>44239</v>
      </c>
      <c r="B225" s="110">
        <v>3934.83</v>
      </c>
      <c r="C225">
        <v>40.531734</v>
      </c>
      <c r="E225">
        <f t="shared" si="6"/>
        <v>5.6959917001253579E-4</v>
      </c>
      <c r="F225">
        <f t="shared" si="7"/>
        <v>-9.9908141691551489E-4</v>
      </c>
    </row>
    <row r="226" spans="1:6" x14ac:dyDescent="0.3">
      <c r="A226" s="105">
        <v>44238</v>
      </c>
      <c r="B226" s="110">
        <v>3916.38</v>
      </c>
      <c r="C226">
        <v>41.285240000000002</v>
      </c>
      <c r="E226">
        <f t="shared" si="6"/>
        <v>-4.6888938022734417E-3</v>
      </c>
      <c r="F226">
        <f t="shared" si="7"/>
        <v>1.8590519714750009E-2</v>
      </c>
    </row>
    <row r="227" spans="1:6" x14ac:dyDescent="0.3">
      <c r="A227" s="105">
        <v>44237</v>
      </c>
      <c r="B227" s="110">
        <v>3909.88</v>
      </c>
      <c r="C227">
        <v>41.719219000000002</v>
      </c>
      <c r="E227">
        <f t="shared" si="6"/>
        <v>-1.6596959437030767E-3</v>
      </c>
      <c r="F227">
        <f t="shared" si="7"/>
        <v>1.0511722833632664E-2</v>
      </c>
    </row>
    <row r="228" spans="1:6" x14ac:dyDescent="0.3">
      <c r="A228" s="105">
        <v>44236</v>
      </c>
      <c r="B228" s="110">
        <v>3911.23</v>
      </c>
      <c r="C228">
        <v>41.721606999999999</v>
      </c>
      <c r="E228">
        <f t="shared" si="6"/>
        <v>3.4527913900173068E-4</v>
      </c>
      <c r="F228">
        <f t="shared" si="7"/>
        <v>5.7239805951292411E-5</v>
      </c>
    </row>
    <row r="229" spans="1:6" x14ac:dyDescent="0.3">
      <c r="A229" s="105">
        <v>44235</v>
      </c>
      <c r="B229" s="110">
        <v>3915.59</v>
      </c>
      <c r="C229">
        <v>41.511764999999997</v>
      </c>
      <c r="E229">
        <f t="shared" si="6"/>
        <v>1.1147388417453996E-3</v>
      </c>
      <c r="F229">
        <f t="shared" si="7"/>
        <v>-5.0295761618195378E-3</v>
      </c>
    </row>
    <row r="230" spans="1:6" x14ac:dyDescent="0.3">
      <c r="A230" s="105">
        <v>44232</v>
      </c>
      <c r="B230" s="110">
        <v>3886.83</v>
      </c>
      <c r="C230">
        <v>41.268551000000002</v>
      </c>
      <c r="E230">
        <f t="shared" si="6"/>
        <v>-7.3449978164210616E-3</v>
      </c>
      <c r="F230">
        <f t="shared" si="7"/>
        <v>-5.8589173454801635E-3</v>
      </c>
    </row>
    <row r="231" spans="1:6" x14ac:dyDescent="0.3">
      <c r="A231" s="105">
        <v>44231</v>
      </c>
      <c r="B231" s="110">
        <v>3871.74</v>
      </c>
      <c r="C231">
        <v>40.412514000000002</v>
      </c>
      <c r="E231">
        <f t="shared" si="6"/>
        <v>-3.8823411366074589E-3</v>
      </c>
      <c r="F231">
        <f t="shared" si="7"/>
        <v>-2.0743083516549965E-2</v>
      </c>
    </row>
    <row r="232" spans="1:6" x14ac:dyDescent="0.3">
      <c r="A232" s="105">
        <v>44230</v>
      </c>
      <c r="B232" s="110">
        <v>3830.17</v>
      </c>
      <c r="C232">
        <v>40.977642000000003</v>
      </c>
      <c r="E232">
        <f t="shared" si="6"/>
        <v>-1.0736774680117911E-2</v>
      </c>
      <c r="F232">
        <f t="shared" si="7"/>
        <v>1.3983985257635778E-2</v>
      </c>
    </row>
    <row r="233" spans="1:6" x14ac:dyDescent="0.3">
      <c r="A233" s="105">
        <v>44229</v>
      </c>
      <c r="B233" s="110">
        <v>3826.31</v>
      </c>
      <c r="C233">
        <v>40.786873</v>
      </c>
      <c r="E233">
        <f t="shared" si="6"/>
        <v>-1.0077881660605081E-3</v>
      </c>
      <c r="F233">
        <f t="shared" si="7"/>
        <v>-4.6554411305560484E-3</v>
      </c>
    </row>
    <row r="234" spans="1:6" x14ac:dyDescent="0.3">
      <c r="A234" s="105">
        <v>44228</v>
      </c>
      <c r="B234" s="110">
        <v>3773.86</v>
      </c>
      <c r="C234">
        <v>40.488810999999998</v>
      </c>
      <c r="E234">
        <f t="shared" si="6"/>
        <v>-1.3707723629292956E-2</v>
      </c>
      <c r="F234">
        <f t="shared" si="7"/>
        <v>-7.3077923870261685E-3</v>
      </c>
    </row>
    <row r="235" spans="1:6" x14ac:dyDescent="0.3">
      <c r="A235" s="105">
        <v>44225</v>
      </c>
      <c r="B235" s="110">
        <v>3714.24</v>
      </c>
      <c r="C235">
        <v>40.450668</v>
      </c>
      <c r="E235">
        <f t="shared" si="6"/>
        <v>-1.5798148314987936E-2</v>
      </c>
      <c r="F235">
        <f t="shared" si="7"/>
        <v>-9.4206273431929333E-4</v>
      </c>
    </row>
    <row r="236" spans="1:6" x14ac:dyDescent="0.3">
      <c r="A236" s="105">
        <v>44224</v>
      </c>
      <c r="B236" s="110">
        <v>3787.38</v>
      </c>
      <c r="C236">
        <v>40.300446000000001</v>
      </c>
      <c r="E236">
        <f t="shared" si="6"/>
        <v>1.9691780821917915E-2</v>
      </c>
      <c r="F236">
        <f t="shared" si="7"/>
        <v>-3.7137087575414007E-3</v>
      </c>
    </row>
    <row r="237" spans="1:6" x14ac:dyDescent="0.3">
      <c r="A237" s="105">
        <v>44223</v>
      </c>
      <c r="B237" s="110">
        <v>3750.77</v>
      </c>
      <c r="C237">
        <v>40.374374000000003</v>
      </c>
      <c r="E237">
        <f t="shared" si="6"/>
        <v>-9.6663128600774639E-3</v>
      </c>
      <c r="F237">
        <f t="shared" si="7"/>
        <v>1.8344213858081382E-3</v>
      </c>
    </row>
    <row r="238" spans="1:6" x14ac:dyDescent="0.3">
      <c r="A238" s="105">
        <v>44222</v>
      </c>
      <c r="B238" s="110">
        <v>3849.62</v>
      </c>
      <c r="C238">
        <v>40.386284000000003</v>
      </c>
      <c r="E238">
        <f t="shared" si="6"/>
        <v>2.6354588524489575E-2</v>
      </c>
      <c r="F238">
        <f t="shared" si="7"/>
        <v>2.94989093824638E-4</v>
      </c>
    </row>
    <row r="239" spans="1:6" x14ac:dyDescent="0.3">
      <c r="A239" s="105">
        <v>44221</v>
      </c>
      <c r="B239" s="110">
        <v>3855.36</v>
      </c>
      <c r="C239">
        <v>41.173172000000001</v>
      </c>
      <c r="E239">
        <f t="shared" si="6"/>
        <v>1.4910562600984889E-3</v>
      </c>
      <c r="F239">
        <f t="shared" si="7"/>
        <v>1.9484040670837643E-2</v>
      </c>
    </row>
    <row r="240" spans="1:6" x14ac:dyDescent="0.3">
      <c r="A240" s="105">
        <v>44218</v>
      </c>
      <c r="B240" s="110">
        <v>3841.47</v>
      </c>
      <c r="C240">
        <v>40.941871999999996</v>
      </c>
      <c r="E240">
        <f t="shared" si="6"/>
        <v>-3.6027763944224134E-3</v>
      </c>
      <c r="F240">
        <f t="shared" si="7"/>
        <v>-5.6177357430708952E-3</v>
      </c>
    </row>
    <row r="241" spans="1:6" x14ac:dyDescent="0.3">
      <c r="A241" s="105">
        <v>44217</v>
      </c>
      <c r="B241" s="110">
        <v>3853.07</v>
      </c>
      <c r="C241">
        <v>41.077789000000003</v>
      </c>
      <c r="E241">
        <f t="shared" si="6"/>
        <v>3.019677363092832E-3</v>
      </c>
      <c r="F241">
        <f t="shared" si="7"/>
        <v>3.3197553839259264E-3</v>
      </c>
    </row>
    <row r="242" spans="1:6" x14ac:dyDescent="0.3">
      <c r="A242" s="105">
        <v>44216</v>
      </c>
      <c r="B242" s="110">
        <v>3851.85</v>
      </c>
      <c r="C242">
        <v>41.065860999999998</v>
      </c>
      <c r="E242">
        <f t="shared" si="6"/>
        <v>-3.1663063479259179E-4</v>
      </c>
      <c r="F242">
        <f t="shared" si="7"/>
        <v>-2.9037590119573853E-4</v>
      </c>
    </row>
    <row r="243" spans="1:6" x14ac:dyDescent="0.3">
      <c r="A243" s="105">
        <v>44215</v>
      </c>
      <c r="B243" s="110">
        <v>3798.91</v>
      </c>
      <c r="C243">
        <v>41.483153999999999</v>
      </c>
      <c r="E243">
        <f t="shared" si="6"/>
        <v>-1.374404506925242E-2</v>
      </c>
      <c r="F243">
        <f t="shared" si="7"/>
        <v>1.0161554874010825E-2</v>
      </c>
    </row>
    <row r="244" spans="1:6" x14ac:dyDescent="0.3">
      <c r="A244" s="105">
        <v>44211</v>
      </c>
      <c r="B244" s="110">
        <v>3768.25</v>
      </c>
      <c r="C244">
        <v>42.067348000000003</v>
      </c>
      <c r="E244">
        <f t="shared" si="6"/>
        <v>-8.0707360795596594E-3</v>
      </c>
      <c r="F244">
        <f t="shared" si="7"/>
        <v>1.4082680405641312E-2</v>
      </c>
    </row>
    <row r="245" spans="1:6" x14ac:dyDescent="0.3">
      <c r="A245" s="105">
        <v>44210</v>
      </c>
      <c r="B245" s="110">
        <v>3795.54</v>
      </c>
      <c r="C245">
        <v>41.619067999999999</v>
      </c>
      <c r="E245">
        <f t="shared" si="6"/>
        <v>7.2420885026205362E-3</v>
      </c>
      <c r="F245">
        <f t="shared" si="7"/>
        <v>-1.0656245789489871E-2</v>
      </c>
    </row>
    <row r="246" spans="1:6" x14ac:dyDescent="0.3">
      <c r="A246" s="105">
        <v>44209</v>
      </c>
      <c r="B246" s="110">
        <v>3809.84</v>
      </c>
      <c r="C246">
        <v>41.573753000000004</v>
      </c>
      <c r="E246">
        <f t="shared" si="6"/>
        <v>3.7675798437113439E-3</v>
      </c>
      <c r="F246">
        <f t="shared" si="7"/>
        <v>-1.0888038146360524E-3</v>
      </c>
    </row>
    <row r="247" spans="1:6" x14ac:dyDescent="0.3">
      <c r="A247" s="105">
        <v>44208</v>
      </c>
      <c r="B247" s="110">
        <v>3801.19</v>
      </c>
      <c r="C247">
        <v>41.731135999999999</v>
      </c>
      <c r="E247">
        <f t="shared" si="6"/>
        <v>-2.2704365537660198E-3</v>
      </c>
      <c r="F247">
        <f t="shared" si="7"/>
        <v>3.7856336905641719E-3</v>
      </c>
    </row>
    <row r="248" spans="1:6" x14ac:dyDescent="0.3">
      <c r="A248" s="105">
        <v>44207</v>
      </c>
      <c r="B248" s="110">
        <v>3799.61</v>
      </c>
      <c r="C248">
        <v>41.731135999999999</v>
      </c>
      <c r="E248">
        <f t="shared" si="6"/>
        <v>-4.1565930669074103E-4</v>
      </c>
      <c r="F248">
        <f t="shared" si="7"/>
        <v>0</v>
      </c>
    </row>
    <row r="249" spans="1:6" x14ac:dyDescent="0.3">
      <c r="A249" s="105">
        <v>44204</v>
      </c>
      <c r="B249" s="110">
        <v>3824.68</v>
      </c>
      <c r="C249">
        <v>40.672421</v>
      </c>
      <c r="E249">
        <f t="shared" si="6"/>
        <v>6.598045588889212E-3</v>
      </c>
      <c r="F249">
        <f t="shared" si="7"/>
        <v>-2.536990605767353E-2</v>
      </c>
    </row>
    <row r="250" spans="1:6" x14ac:dyDescent="0.3">
      <c r="A250" s="105">
        <v>44203</v>
      </c>
      <c r="B250" s="110">
        <v>3803.79</v>
      </c>
      <c r="C250">
        <v>40.679580999999999</v>
      </c>
      <c r="E250">
        <f t="shared" si="6"/>
        <v>-5.4618948513339705E-3</v>
      </c>
      <c r="F250">
        <f t="shared" si="7"/>
        <v>1.7604066401655238E-4</v>
      </c>
    </row>
    <row r="251" spans="1:6" x14ac:dyDescent="0.3">
      <c r="A251" s="105">
        <v>44202</v>
      </c>
      <c r="B251" s="110">
        <v>3748.14</v>
      </c>
      <c r="C251">
        <v>40.794041</v>
      </c>
      <c r="E251">
        <f t="shared" si="6"/>
        <v>-1.4630145197290112E-2</v>
      </c>
      <c r="F251">
        <f t="shared" si="7"/>
        <v>2.8136966307494848E-3</v>
      </c>
    </row>
    <row r="252" spans="1:6" x14ac:dyDescent="0.3">
      <c r="A252" s="105">
        <v>44201</v>
      </c>
      <c r="B252" s="110">
        <v>3726.86</v>
      </c>
      <c r="C252">
        <v>40.352893999999999</v>
      </c>
      <c r="E252">
        <f t="shared" si="6"/>
        <v>-5.6774826980848792E-3</v>
      </c>
      <c r="F252">
        <f t="shared" si="7"/>
        <v>-1.0814005898557633E-2</v>
      </c>
    </row>
    <row r="253" spans="1:6" x14ac:dyDescent="0.3">
      <c r="A253" s="105">
        <v>44200</v>
      </c>
      <c r="B253" s="110">
        <v>3700.65</v>
      </c>
      <c r="C253">
        <v>41.075400999999999</v>
      </c>
      <c r="E253">
        <f t="shared" si="6"/>
        <v>-7.032729965708362E-3</v>
      </c>
      <c r="F253">
        <f t="shared" si="7"/>
        <v>1.7904713352157708E-2</v>
      </c>
    </row>
    <row r="254" spans="1:6" x14ac:dyDescent="0.3">
      <c r="A254" s="105">
        <v>44196</v>
      </c>
      <c r="B254" s="110">
        <v>3756.07</v>
      </c>
      <c r="C254">
        <v>41.068244999999997</v>
      </c>
      <c r="E254">
        <f t="shared" si="6"/>
        <v>1.4975747503816805E-2</v>
      </c>
      <c r="F254">
        <f t="shared" si="7"/>
        <v>-1.7421619328805704E-4</v>
      </c>
    </row>
    <row r="255" spans="1:6" x14ac:dyDescent="0.3">
      <c r="C255">
        <v>41.259003</v>
      </c>
    </row>
    <row r="256" spans="1:6" x14ac:dyDescent="0.3">
      <c r="C256">
        <v>41.728760000000001</v>
      </c>
    </row>
    <row r="257" spans="3:3" x14ac:dyDescent="0.3">
      <c r="C257">
        <v>41.573753000000004</v>
      </c>
    </row>
    <row r="258" spans="3:3" x14ac:dyDescent="0.3">
      <c r="C258">
        <v>41.568995999999999</v>
      </c>
    </row>
    <row r="259" spans="3:3" x14ac:dyDescent="0.3">
      <c r="C259">
        <v>41.559455999999997</v>
      </c>
    </row>
    <row r="260" spans="3:3" x14ac:dyDescent="0.3">
      <c r="C260">
        <v>41.795524999999998</v>
      </c>
    </row>
    <row r="261" spans="3:3" x14ac:dyDescent="0.3">
      <c r="C261">
        <v>42.227127000000003</v>
      </c>
    </row>
    <row r="262" spans="3:3" x14ac:dyDescent="0.3">
      <c r="C262">
        <v>42.012520000000002</v>
      </c>
    </row>
    <row r="263" spans="3:3" x14ac:dyDescent="0.3">
      <c r="C263">
        <v>42.706401999999997</v>
      </c>
    </row>
    <row r="264" spans="3:3" x14ac:dyDescent="0.3">
      <c r="C264">
        <v>42.744548999999999</v>
      </c>
    </row>
    <row r="265" spans="3:3" x14ac:dyDescent="0.3">
      <c r="C265">
        <v>42.553790999999997</v>
      </c>
    </row>
    <row r="266" spans="3:3" x14ac:dyDescent="0.3">
      <c r="C266">
        <v>42.205646999999999</v>
      </c>
    </row>
    <row r="267" spans="3:3" x14ac:dyDescent="0.3">
      <c r="C267">
        <v>42.215190999999997</v>
      </c>
    </row>
    <row r="268" spans="3:3" x14ac:dyDescent="0.3">
      <c r="C268">
        <v>41.542763000000001</v>
      </c>
    </row>
    <row r="269" spans="3:3" x14ac:dyDescent="0.3">
      <c r="C269">
        <v>40.801178</v>
      </c>
    </row>
    <row r="270" spans="3:3" x14ac:dyDescent="0.3">
      <c r="C270">
        <v>40.896563999999998</v>
      </c>
    </row>
    <row r="271" spans="3:3" x14ac:dyDescent="0.3">
      <c r="C271">
        <v>40.050075999999997</v>
      </c>
    </row>
    <row r="272" spans="3:3" x14ac:dyDescent="0.3">
      <c r="C272">
        <v>39.814003</v>
      </c>
    </row>
    <row r="273" spans="3:3" x14ac:dyDescent="0.3">
      <c r="C273">
        <v>39.923687000000001</v>
      </c>
    </row>
    <row r="274" spans="3:3" x14ac:dyDescent="0.3">
      <c r="C274">
        <v>40.007137</v>
      </c>
    </row>
    <row r="275" spans="3:3" x14ac:dyDescent="0.3">
      <c r="C275">
        <v>38.271236000000002</v>
      </c>
    </row>
    <row r="276" spans="3:3" x14ac:dyDescent="0.3">
      <c r="C276">
        <v>37.315047999999997</v>
      </c>
    </row>
    <row r="277" spans="3:3" x14ac:dyDescent="0.3">
      <c r="C277">
        <v>38.874516</v>
      </c>
    </row>
    <row r="278" spans="3:3" x14ac:dyDescent="0.3">
      <c r="C278">
        <v>38.042316</v>
      </c>
    </row>
    <row r="279" spans="3:3" x14ac:dyDescent="0.3">
      <c r="C279">
        <v>36.995517999999997</v>
      </c>
    </row>
    <row r="280" spans="3:3" x14ac:dyDescent="0.3">
      <c r="C280">
        <v>37.448028999999998</v>
      </c>
    </row>
    <row r="281" spans="3:3" x14ac:dyDescent="0.3">
      <c r="C281">
        <v>38.956394000000003</v>
      </c>
    </row>
    <row r="282" spans="3:3" x14ac:dyDescent="0.3">
      <c r="C282">
        <v>39.346645000000002</v>
      </c>
    </row>
    <row r="283" spans="3:3" x14ac:dyDescent="0.3">
      <c r="C283">
        <v>40.072097999999997</v>
      </c>
    </row>
    <row r="284" spans="3:3" x14ac:dyDescent="0.3">
      <c r="C284">
        <v>41.417648</v>
      </c>
    </row>
    <row r="285" spans="3:3" x14ac:dyDescent="0.3">
      <c r="C285">
        <v>41.283569</v>
      </c>
    </row>
    <row r="286" spans="3:3" x14ac:dyDescent="0.3">
      <c r="C286">
        <v>41.144714</v>
      </c>
    </row>
    <row r="287" spans="3:3" x14ac:dyDescent="0.3">
      <c r="C287">
        <v>40.957954000000001</v>
      </c>
    </row>
    <row r="288" spans="3:3" x14ac:dyDescent="0.3">
      <c r="C288">
        <v>41.300334999999997</v>
      </c>
    </row>
    <row r="289" spans="3:3" x14ac:dyDescent="0.3">
      <c r="C289">
        <v>42.018604000000003</v>
      </c>
    </row>
    <row r="290" spans="3:3" x14ac:dyDescent="0.3">
      <c r="C290">
        <v>42.849392000000002</v>
      </c>
    </row>
    <row r="291" spans="3:3" x14ac:dyDescent="0.3">
      <c r="C291">
        <v>42.710532999999998</v>
      </c>
    </row>
    <row r="292" spans="3:3" x14ac:dyDescent="0.3">
      <c r="C292">
        <v>42.645885</v>
      </c>
    </row>
    <row r="293" spans="3:3" x14ac:dyDescent="0.3">
      <c r="C293">
        <v>41.898890999999999</v>
      </c>
    </row>
    <row r="294" spans="3:3" x14ac:dyDescent="0.3">
      <c r="C294">
        <v>42.188599000000004</v>
      </c>
    </row>
    <row r="295" spans="3:3" x14ac:dyDescent="0.3">
      <c r="C295">
        <v>42.334643999999997</v>
      </c>
    </row>
    <row r="296" spans="3:3" x14ac:dyDescent="0.3">
      <c r="C296">
        <v>42.298729000000002</v>
      </c>
    </row>
    <row r="297" spans="3:3" x14ac:dyDescent="0.3">
      <c r="C297">
        <v>41.906067</v>
      </c>
    </row>
    <row r="298" spans="3:3" x14ac:dyDescent="0.3">
      <c r="C298">
        <v>42.363377</v>
      </c>
    </row>
    <row r="299" spans="3:3" x14ac:dyDescent="0.3">
      <c r="C299">
        <v>43.091206</v>
      </c>
    </row>
    <row r="300" spans="3:3" x14ac:dyDescent="0.3">
      <c r="C300">
        <v>43.507809000000002</v>
      </c>
    </row>
    <row r="301" spans="3:3" x14ac:dyDescent="0.3">
      <c r="C301">
        <v>43.088825</v>
      </c>
    </row>
    <row r="302" spans="3:3" x14ac:dyDescent="0.3">
      <c r="C302">
        <v>42.722496</v>
      </c>
    </row>
    <row r="303" spans="3:3" x14ac:dyDescent="0.3">
      <c r="C303">
        <v>42.772784999999999</v>
      </c>
    </row>
    <row r="304" spans="3:3" x14ac:dyDescent="0.3">
      <c r="C304">
        <v>42.621952</v>
      </c>
    </row>
    <row r="305" spans="3:3" x14ac:dyDescent="0.3">
      <c r="C305">
        <v>41.970725999999999</v>
      </c>
    </row>
    <row r="306" spans="3:3" x14ac:dyDescent="0.3">
      <c r="C306">
        <v>41.956344999999999</v>
      </c>
    </row>
    <row r="307" spans="3:3" x14ac:dyDescent="0.3">
      <c r="C307">
        <v>41.005851999999997</v>
      </c>
    </row>
    <row r="308" spans="3:3" x14ac:dyDescent="0.3">
      <c r="C308">
        <v>40.426440999999997</v>
      </c>
    </row>
    <row r="309" spans="3:3" x14ac:dyDescent="0.3">
      <c r="C309">
        <v>39.490302999999997</v>
      </c>
    </row>
    <row r="310" spans="3:3" x14ac:dyDescent="0.3">
      <c r="C310">
        <v>41.364978999999998</v>
      </c>
    </row>
    <row r="311" spans="3:3" x14ac:dyDescent="0.3">
      <c r="C311">
        <v>40.304336999999997</v>
      </c>
    </row>
    <row r="312" spans="3:3" x14ac:dyDescent="0.3">
      <c r="C312">
        <v>39.859009</v>
      </c>
    </row>
    <row r="313" spans="3:3" x14ac:dyDescent="0.3">
      <c r="C313">
        <v>40.170254</v>
      </c>
    </row>
    <row r="314" spans="3:3" x14ac:dyDescent="0.3">
      <c r="C314">
        <v>39.906902000000002</v>
      </c>
    </row>
    <row r="315" spans="3:3" x14ac:dyDescent="0.3">
      <c r="C315">
        <v>40.316310999999999</v>
      </c>
    </row>
    <row r="316" spans="3:3" x14ac:dyDescent="0.3">
      <c r="C316">
        <v>41.087249999999997</v>
      </c>
    </row>
    <row r="317" spans="3:3" x14ac:dyDescent="0.3">
      <c r="C317">
        <v>41.372154000000002</v>
      </c>
    </row>
    <row r="318" spans="3:3" x14ac:dyDescent="0.3">
      <c r="C318">
        <v>40.313910999999997</v>
      </c>
    </row>
    <row r="319" spans="3:3" x14ac:dyDescent="0.3">
      <c r="C319">
        <v>40.713749</v>
      </c>
    </row>
    <row r="320" spans="3:3" x14ac:dyDescent="0.3">
      <c r="C320">
        <v>41.479903999999998</v>
      </c>
    </row>
    <row r="321" spans="3:3" x14ac:dyDescent="0.3">
      <c r="C321">
        <v>41.285969000000001</v>
      </c>
    </row>
    <row r="322" spans="3:3" x14ac:dyDescent="0.3">
      <c r="C322">
        <v>41.692985999999998</v>
      </c>
    </row>
    <row r="323" spans="3:3" x14ac:dyDescent="0.3">
      <c r="C323">
        <v>41.834243999999998</v>
      </c>
    </row>
    <row r="324" spans="3:3" x14ac:dyDescent="0.3">
      <c r="C324">
        <v>42.095222</v>
      </c>
    </row>
    <row r="325" spans="3:3" x14ac:dyDescent="0.3">
      <c r="C325">
        <v>42.674613999999998</v>
      </c>
    </row>
    <row r="326" spans="3:3" x14ac:dyDescent="0.3">
      <c r="C326">
        <v>42.578850000000003</v>
      </c>
    </row>
    <row r="327" spans="3:3" x14ac:dyDescent="0.3">
      <c r="C327">
        <v>41.372154000000002</v>
      </c>
    </row>
    <row r="328" spans="3:3" x14ac:dyDescent="0.3">
      <c r="C328">
        <v>39.677047999999999</v>
      </c>
    </row>
    <row r="329" spans="3:3" x14ac:dyDescent="0.3">
      <c r="C329">
        <v>39.562137999999997</v>
      </c>
    </row>
    <row r="330" spans="3:3" x14ac:dyDescent="0.3">
      <c r="C330">
        <v>39.011459000000002</v>
      </c>
    </row>
    <row r="331" spans="3:3" x14ac:dyDescent="0.3">
      <c r="C331">
        <v>39.181449999999998</v>
      </c>
    </row>
    <row r="332" spans="3:3" x14ac:dyDescent="0.3">
      <c r="C332">
        <v>39.317920999999998</v>
      </c>
    </row>
    <row r="333" spans="3:3" x14ac:dyDescent="0.3">
      <c r="C333">
        <v>38.863017999999997</v>
      </c>
    </row>
    <row r="334" spans="3:3" x14ac:dyDescent="0.3">
      <c r="C334">
        <v>39.566921000000001</v>
      </c>
    </row>
    <row r="335" spans="3:3" x14ac:dyDescent="0.3">
      <c r="C335">
        <v>40.486297999999998</v>
      </c>
    </row>
    <row r="336" spans="3:3" x14ac:dyDescent="0.3">
      <c r="C336">
        <v>42.274788000000001</v>
      </c>
    </row>
    <row r="337" spans="3:3" x14ac:dyDescent="0.3">
      <c r="C337">
        <v>42.351402</v>
      </c>
    </row>
    <row r="338" spans="3:3" x14ac:dyDescent="0.3">
      <c r="C338">
        <v>44.012981000000003</v>
      </c>
    </row>
    <row r="339" spans="3:3" x14ac:dyDescent="0.3">
      <c r="C339">
        <v>44.331420999999999</v>
      </c>
    </row>
    <row r="340" spans="3:3" x14ac:dyDescent="0.3">
      <c r="C340">
        <v>44.544497999999997</v>
      </c>
    </row>
    <row r="341" spans="3:3" x14ac:dyDescent="0.3">
      <c r="C341">
        <v>44.858147000000002</v>
      </c>
    </row>
    <row r="342" spans="3:3" x14ac:dyDescent="0.3">
      <c r="C342">
        <v>45.499794000000001</v>
      </c>
    </row>
    <row r="343" spans="3:3" x14ac:dyDescent="0.3">
      <c r="C343">
        <v>45.326740000000001</v>
      </c>
    </row>
    <row r="344" spans="3:3" x14ac:dyDescent="0.3">
      <c r="C344">
        <v>45.220993</v>
      </c>
    </row>
    <row r="345" spans="3:3" x14ac:dyDescent="0.3">
      <c r="C345">
        <v>44.810004999999997</v>
      </c>
    </row>
    <row r="346" spans="3:3" x14ac:dyDescent="0.3">
      <c r="C346">
        <v>45.228203000000001</v>
      </c>
    </row>
    <row r="347" spans="3:3" x14ac:dyDescent="0.3">
      <c r="C347">
        <v>44.942196000000003</v>
      </c>
    </row>
    <row r="348" spans="3:3" x14ac:dyDescent="0.3">
      <c r="C348">
        <v>44.778767000000002</v>
      </c>
    </row>
    <row r="349" spans="3:3" x14ac:dyDescent="0.3">
      <c r="C349">
        <v>45.096015999999999</v>
      </c>
    </row>
    <row r="350" spans="3:3" x14ac:dyDescent="0.3">
      <c r="C350">
        <v>44.983063000000001</v>
      </c>
    </row>
    <row r="351" spans="3:3" x14ac:dyDescent="0.3">
      <c r="C351">
        <v>45.271473</v>
      </c>
    </row>
    <row r="352" spans="3:3" x14ac:dyDescent="0.3">
      <c r="C352">
        <v>45.220993</v>
      </c>
    </row>
    <row r="353" spans="3:3" x14ac:dyDescent="0.3">
      <c r="C353">
        <v>45.324348000000001</v>
      </c>
    </row>
    <row r="354" spans="3:3" x14ac:dyDescent="0.3">
      <c r="C354">
        <v>45.160912000000003</v>
      </c>
    </row>
    <row r="355" spans="3:3" x14ac:dyDescent="0.3">
      <c r="C355">
        <v>45.064774</v>
      </c>
    </row>
    <row r="356" spans="3:3" x14ac:dyDescent="0.3">
      <c r="C356">
        <v>44.913348999999997</v>
      </c>
    </row>
    <row r="357" spans="3:3" x14ac:dyDescent="0.3">
      <c r="C357">
        <v>45.723320000000001</v>
      </c>
    </row>
    <row r="358" spans="3:3" x14ac:dyDescent="0.3">
      <c r="C358">
        <v>46.105473000000003</v>
      </c>
    </row>
    <row r="359" spans="3:3" x14ac:dyDescent="0.3">
      <c r="C359">
        <v>46.461182000000001</v>
      </c>
    </row>
    <row r="360" spans="3:3" x14ac:dyDescent="0.3">
      <c r="C360">
        <v>46.622211</v>
      </c>
    </row>
    <row r="361" spans="3:3" x14ac:dyDescent="0.3">
      <c r="C361">
        <v>46.497233999999999</v>
      </c>
    </row>
    <row r="362" spans="3:3" x14ac:dyDescent="0.3">
      <c r="C362">
        <v>46.074218999999999</v>
      </c>
    </row>
    <row r="363" spans="3:3" x14ac:dyDescent="0.3">
      <c r="C363">
        <v>45.961261999999998</v>
      </c>
    </row>
    <row r="364" spans="3:3" x14ac:dyDescent="0.3">
      <c r="C364">
        <v>46.213627000000002</v>
      </c>
    </row>
    <row r="365" spans="3:3" x14ac:dyDescent="0.3">
      <c r="C365">
        <v>45.833880999999998</v>
      </c>
    </row>
    <row r="366" spans="3:3" x14ac:dyDescent="0.3">
      <c r="C366">
        <v>45.857914000000001</v>
      </c>
    </row>
    <row r="367" spans="3:3" x14ac:dyDescent="0.3">
      <c r="C367">
        <v>45.386833000000003</v>
      </c>
    </row>
    <row r="368" spans="3:3" x14ac:dyDescent="0.3">
      <c r="C368">
        <v>45.362808000000001</v>
      </c>
    </row>
    <row r="369" spans="3:3" x14ac:dyDescent="0.3">
      <c r="C369">
        <v>44.629756999999998</v>
      </c>
    </row>
    <row r="370" spans="3:3" x14ac:dyDescent="0.3">
      <c r="C370">
        <v>44.824424999999998</v>
      </c>
    </row>
    <row r="371" spans="3:3" x14ac:dyDescent="0.3">
      <c r="C371">
        <v>44.574471000000003</v>
      </c>
    </row>
    <row r="372" spans="3:3" x14ac:dyDescent="0.3">
      <c r="C372">
        <v>44.444679000000001</v>
      </c>
    </row>
    <row r="373" spans="3:3" x14ac:dyDescent="0.3">
      <c r="C373">
        <v>43.783732999999998</v>
      </c>
    </row>
    <row r="374" spans="3:3" x14ac:dyDescent="0.3">
      <c r="C374">
        <v>44.326915999999997</v>
      </c>
    </row>
    <row r="375" spans="3:3" x14ac:dyDescent="0.3">
      <c r="C375">
        <v>44.262023999999997</v>
      </c>
    </row>
    <row r="376" spans="3:3" x14ac:dyDescent="0.3">
      <c r="C376">
        <v>44.58408</v>
      </c>
    </row>
    <row r="377" spans="3:3" x14ac:dyDescent="0.3">
      <c r="C377">
        <v>44.490341000000001</v>
      </c>
    </row>
    <row r="378" spans="3:3" x14ac:dyDescent="0.3">
      <c r="C378">
        <v>44.987864999999999</v>
      </c>
    </row>
    <row r="379" spans="3:3" x14ac:dyDescent="0.3">
      <c r="C379">
        <v>44.204338</v>
      </c>
    </row>
    <row r="380" spans="3:3" x14ac:dyDescent="0.3">
      <c r="C380">
        <v>44.560051000000001</v>
      </c>
    </row>
    <row r="381" spans="3:3" x14ac:dyDescent="0.3">
      <c r="C381">
        <v>45.177742000000002</v>
      </c>
    </row>
    <row r="382" spans="3:3" x14ac:dyDescent="0.3">
      <c r="C382">
        <v>45.805045999999997</v>
      </c>
    </row>
    <row r="383" spans="3:3" x14ac:dyDescent="0.3">
      <c r="C383">
        <v>45.749763000000002</v>
      </c>
    </row>
    <row r="384" spans="3:3" x14ac:dyDescent="0.3">
      <c r="C384">
        <v>45.156112999999998</v>
      </c>
    </row>
    <row r="385" spans="3:3" x14ac:dyDescent="0.3">
      <c r="C385">
        <v>45.913189000000003</v>
      </c>
    </row>
    <row r="386" spans="3:3" x14ac:dyDescent="0.3">
      <c r="C386">
        <v>45.985290999999997</v>
      </c>
    </row>
    <row r="387" spans="3:3" x14ac:dyDescent="0.3">
      <c r="C387">
        <v>45.884360999999998</v>
      </c>
    </row>
    <row r="388" spans="3:3" x14ac:dyDescent="0.3">
      <c r="C388">
        <v>46.014136999999998</v>
      </c>
    </row>
    <row r="389" spans="3:3" x14ac:dyDescent="0.3">
      <c r="C389">
        <v>45.761772000000001</v>
      </c>
    </row>
    <row r="390" spans="3:3" x14ac:dyDescent="0.3">
      <c r="C390">
        <v>46.117485000000002</v>
      </c>
    </row>
    <row r="391" spans="3:3" x14ac:dyDescent="0.3">
      <c r="C391">
        <v>46.011741999999998</v>
      </c>
    </row>
    <row r="392" spans="3:3" x14ac:dyDescent="0.3">
      <c r="C392">
        <v>46.052593000000002</v>
      </c>
    </row>
    <row r="393" spans="3:3" x14ac:dyDescent="0.3">
      <c r="C393">
        <v>46.386668999999998</v>
      </c>
    </row>
    <row r="394" spans="3:3" x14ac:dyDescent="0.3">
      <c r="C394">
        <v>46.824108000000003</v>
      </c>
    </row>
    <row r="395" spans="3:3" x14ac:dyDescent="0.3">
      <c r="C395">
        <v>46.677489999999999</v>
      </c>
    </row>
    <row r="396" spans="3:3" x14ac:dyDescent="0.3">
      <c r="C396">
        <v>45.901176</v>
      </c>
    </row>
    <row r="397" spans="3:3" x14ac:dyDescent="0.3">
      <c r="C397">
        <v>45.644008999999997</v>
      </c>
    </row>
    <row r="398" spans="3:3" x14ac:dyDescent="0.3">
      <c r="C398">
        <v>45.735340000000001</v>
      </c>
    </row>
    <row r="399" spans="3:3" x14ac:dyDescent="0.3">
      <c r="C399">
        <v>48.429611000000001</v>
      </c>
    </row>
    <row r="400" spans="3:3" x14ac:dyDescent="0.3">
      <c r="C400">
        <v>49.845249000000003</v>
      </c>
    </row>
    <row r="401" spans="3:3" x14ac:dyDescent="0.3">
      <c r="C401">
        <v>49.989455999999997</v>
      </c>
    </row>
    <row r="402" spans="3:3" x14ac:dyDescent="0.3">
      <c r="C402">
        <v>50.249020000000002</v>
      </c>
    </row>
    <row r="403" spans="3:3" x14ac:dyDescent="0.3">
      <c r="C403">
        <v>49.777949999999997</v>
      </c>
    </row>
    <row r="404" spans="3:3" x14ac:dyDescent="0.3">
      <c r="C404">
        <v>49.811599999999999</v>
      </c>
    </row>
    <row r="405" spans="3:3" x14ac:dyDescent="0.3">
      <c r="C405">
        <v>50.203361999999998</v>
      </c>
    </row>
    <row r="406" spans="3:3" x14ac:dyDescent="0.3">
      <c r="C406">
        <v>50.053825000000003</v>
      </c>
    </row>
    <row r="407" spans="3:3" x14ac:dyDescent="0.3">
      <c r="C407">
        <v>50.377009999999999</v>
      </c>
    </row>
    <row r="408" spans="3:3" x14ac:dyDescent="0.3">
      <c r="C408">
        <v>50.589272000000001</v>
      </c>
    </row>
    <row r="409" spans="3:3" x14ac:dyDescent="0.3">
      <c r="C409">
        <v>50.707436000000001</v>
      </c>
    </row>
    <row r="410" spans="3:3" x14ac:dyDescent="0.3">
      <c r="C410">
        <v>51.450305999999998</v>
      </c>
    </row>
    <row r="411" spans="3:3" x14ac:dyDescent="0.3">
      <c r="C411">
        <v>52.477778999999998</v>
      </c>
    </row>
    <row r="412" spans="3:3" x14ac:dyDescent="0.3">
      <c r="C412">
        <v>51.966453999999999</v>
      </c>
    </row>
    <row r="413" spans="3:3" x14ac:dyDescent="0.3">
      <c r="C413">
        <v>51.865143000000003</v>
      </c>
    </row>
    <row r="414" spans="3:3" x14ac:dyDescent="0.3">
      <c r="C414">
        <v>51.867564999999999</v>
      </c>
    </row>
    <row r="415" spans="3:3" x14ac:dyDescent="0.3">
      <c r="C415">
        <v>51.973678999999997</v>
      </c>
    </row>
    <row r="416" spans="3:3" x14ac:dyDescent="0.3">
      <c r="C416">
        <v>52.135283999999999</v>
      </c>
    </row>
    <row r="417" spans="3:3" x14ac:dyDescent="0.3">
      <c r="C417">
        <v>52.564605999999998</v>
      </c>
    </row>
    <row r="418" spans="3:3" x14ac:dyDescent="0.3">
      <c r="C418">
        <v>52.989094000000001</v>
      </c>
    </row>
    <row r="419" spans="3:3" x14ac:dyDescent="0.3">
      <c r="C419">
        <v>53.780182000000003</v>
      </c>
    </row>
    <row r="420" spans="3:3" x14ac:dyDescent="0.3">
      <c r="C420">
        <v>54.274628</v>
      </c>
    </row>
    <row r="421" spans="3:3" x14ac:dyDescent="0.3">
      <c r="C421">
        <v>54.901713999999998</v>
      </c>
    </row>
    <row r="422" spans="3:3" x14ac:dyDescent="0.3">
      <c r="C422">
        <v>55.077784999999999</v>
      </c>
    </row>
    <row r="423" spans="3:3" x14ac:dyDescent="0.3">
      <c r="C423">
        <v>54.718406999999999</v>
      </c>
    </row>
    <row r="424" spans="3:3" x14ac:dyDescent="0.3">
      <c r="C424">
        <v>53.809128000000001</v>
      </c>
    </row>
    <row r="425" spans="3:3" x14ac:dyDescent="0.3">
      <c r="C425">
        <v>53.374985000000002</v>
      </c>
    </row>
    <row r="426" spans="3:3" x14ac:dyDescent="0.3">
      <c r="C426">
        <v>52.658669000000003</v>
      </c>
    </row>
    <row r="427" spans="3:3" x14ac:dyDescent="0.3">
      <c r="C427">
        <v>53.990028000000002</v>
      </c>
    </row>
    <row r="428" spans="3:3" x14ac:dyDescent="0.3">
      <c r="C428">
        <v>53.319515000000003</v>
      </c>
    </row>
    <row r="429" spans="3:3" x14ac:dyDescent="0.3">
      <c r="C429">
        <v>54.607467999999997</v>
      </c>
    </row>
    <row r="430" spans="3:3" x14ac:dyDescent="0.3">
      <c r="C430">
        <v>53.987614000000001</v>
      </c>
    </row>
    <row r="431" spans="3:3" x14ac:dyDescent="0.3">
      <c r="C431">
        <v>52.550117</v>
      </c>
    </row>
    <row r="432" spans="3:3" x14ac:dyDescent="0.3">
      <c r="C432">
        <v>52.636955</v>
      </c>
    </row>
    <row r="433" spans="3:3" x14ac:dyDescent="0.3">
      <c r="C433">
        <v>52.668308000000003</v>
      </c>
    </row>
    <row r="434" spans="3:3" x14ac:dyDescent="0.3">
      <c r="C434">
        <v>53.068680000000001</v>
      </c>
    </row>
    <row r="435" spans="3:3" x14ac:dyDescent="0.3">
      <c r="C435">
        <v>52.497059</v>
      </c>
    </row>
    <row r="436" spans="3:3" x14ac:dyDescent="0.3">
      <c r="C436">
        <v>53.251984</v>
      </c>
    </row>
    <row r="437" spans="3:3" x14ac:dyDescent="0.3">
      <c r="C437">
        <v>53.589649000000001</v>
      </c>
    </row>
    <row r="438" spans="3:3" x14ac:dyDescent="0.3">
      <c r="C438">
        <v>53.162742999999999</v>
      </c>
    </row>
    <row r="439" spans="3:3" x14ac:dyDescent="0.3">
      <c r="C439">
        <v>54.255322</v>
      </c>
    </row>
    <row r="440" spans="3:3" x14ac:dyDescent="0.3">
      <c r="C440">
        <v>54.445861999999998</v>
      </c>
    </row>
    <row r="441" spans="3:3" x14ac:dyDescent="0.3">
      <c r="C441">
        <v>54.812469</v>
      </c>
    </row>
    <row r="442" spans="3:3" x14ac:dyDescent="0.3">
      <c r="C442">
        <v>55.299675000000001</v>
      </c>
    </row>
    <row r="443" spans="3:3" x14ac:dyDescent="0.3">
      <c r="C443">
        <v>55.972594999999998</v>
      </c>
    </row>
    <row r="444" spans="3:3" x14ac:dyDescent="0.3">
      <c r="C444">
        <v>54.988540999999998</v>
      </c>
    </row>
    <row r="445" spans="3:3" x14ac:dyDescent="0.3">
      <c r="C445">
        <v>54.096142</v>
      </c>
    </row>
    <row r="446" spans="3:3" x14ac:dyDescent="0.3">
      <c r="C446">
        <v>53.970734</v>
      </c>
    </row>
    <row r="447" spans="3:3" x14ac:dyDescent="0.3">
      <c r="C447">
        <v>54.718406999999999</v>
      </c>
    </row>
    <row r="448" spans="3:3" x14ac:dyDescent="0.3">
      <c r="C448">
        <v>52.183525000000003</v>
      </c>
    </row>
    <row r="449" spans="3:3" x14ac:dyDescent="0.3">
      <c r="C449">
        <v>51.722847000000002</v>
      </c>
    </row>
    <row r="450" spans="3:3" x14ac:dyDescent="0.3">
      <c r="C450">
        <v>53.570354000000002</v>
      </c>
    </row>
    <row r="451" spans="3:3" x14ac:dyDescent="0.3">
      <c r="C451">
        <v>52.424712999999997</v>
      </c>
    </row>
    <row r="452" spans="3:3" x14ac:dyDescent="0.3">
      <c r="C452">
        <v>53.580005999999997</v>
      </c>
    </row>
    <row r="453" spans="3:3" x14ac:dyDescent="0.3">
      <c r="C453">
        <v>53.348461</v>
      </c>
    </row>
    <row r="454" spans="3:3" x14ac:dyDescent="0.3">
      <c r="C454">
        <v>52.101512999999997</v>
      </c>
    </row>
    <row r="455" spans="3:3" x14ac:dyDescent="0.3">
      <c r="C455">
        <v>52.895023000000002</v>
      </c>
    </row>
    <row r="456" spans="3:3" x14ac:dyDescent="0.3">
      <c r="C456">
        <v>53.218220000000002</v>
      </c>
    </row>
    <row r="457" spans="3:3" x14ac:dyDescent="0.3">
      <c r="C457">
        <v>53.719887</v>
      </c>
    </row>
    <row r="458" spans="3:3" x14ac:dyDescent="0.3">
      <c r="C458">
        <v>51.877212999999998</v>
      </c>
    </row>
    <row r="459" spans="3:3" x14ac:dyDescent="0.3">
      <c r="C459">
        <v>53.013202999999997</v>
      </c>
    </row>
    <row r="460" spans="3:3" x14ac:dyDescent="0.3">
      <c r="C460">
        <v>52.169044</v>
      </c>
    </row>
    <row r="461" spans="3:3" x14ac:dyDescent="0.3">
      <c r="C461">
        <v>51.189822999999997</v>
      </c>
    </row>
    <row r="462" spans="3:3" x14ac:dyDescent="0.3">
      <c r="C462">
        <v>51.445484</v>
      </c>
    </row>
    <row r="463" spans="3:3" x14ac:dyDescent="0.3">
      <c r="C463">
        <v>52.786487999999999</v>
      </c>
    </row>
    <row r="464" spans="3:3" x14ac:dyDescent="0.3">
      <c r="C464">
        <v>53.596885999999998</v>
      </c>
    </row>
    <row r="465" spans="3:3" x14ac:dyDescent="0.3">
      <c r="C465">
        <v>50.041770999999997</v>
      </c>
    </row>
    <row r="466" spans="3:3" x14ac:dyDescent="0.3">
      <c r="C466">
        <v>48.621161999999998</v>
      </c>
    </row>
    <row r="467" spans="3:3" x14ac:dyDescent="0.3">
      <c r="C467">
        <v>49.146949999999997</v>
      </c>
    </row>
    <row r="468" spans="3:3" x14ac:dyDescent="0.3">
      <c r="C468">
        <v>50.637504999999997</v>
      </c>
    </row>
    <row r="469" spans="3:3" x14ac:dyDescent="0.3">
      <c r="C469">
        <v>50.460827000000002</v>
      </c>
    </row>
    <row r="470" spans="3:3" x14ac:dyDescent="0.3">
      <c r="C470">
        <v>49.487862</v>
      </c>
    </row>
    <row r="471" spans="3:3" x14ac:dyDescent="0.3">
      <c r="C471">
        <v>46.994945999999999</v>
      </c>
    </row>
    <row r="472" spans="3:3" x14ac:dyDescent="0.3">
      <c r="C472">
        <v>46.525416999999997</v>
      </c>
    </row>
    <row r="473" spans="3:3" x14ac:dyDescent="0.3">
      <c r="C473">
        <v>45.211193000000002</v>
      </c>
    </row>
    <row r="474" spans="3:3" x14ac:dyDescent="0.3">
      <c r="C474">
        <v>46.326946</v>
      </c>
    </row>
    <row r="475" spans="3:3" x14ac:dyDescent="0.3">
      <c r="C475">
        <v>46.840049999999998</v>
      </c>
    </row>
    <row r="476" spans="3:3" x14ac:dyDescent="0.3">
      <c r="C476">
        <v>44.983677</v>
      </c>
    </row>
    <row r="477" spans="3:3" x14ac:dyDescent="0.3">
      <c r="C477">
        <v>42.834454000000001</v>
      </c>
    </row>
    <row r="478" spans="3:3" x14ac:dyDescent="0.3">
      <c r="C478">
        <v>42.786048999999998</v>
      </c>
    </row>
    <row r="479" spans="3:3" x14ac:dyDescent="0.3">
      <c r="C479">
        <v>41.699337</v>
      </c>
    </row>
    <row r="480" spans="3:3" x14ac:dyDescent="0.3">
      <c r="C480">
        <v>42.263263999999999</v>
      </c>
    </row>
    <row r="481" spans="3:3" x14ac:dyDescent="0.3">
      <c r="C481">
        <v>42.171295000000001</v>
      </c>
    </row>
    <row r="482" spans="3:3" x14ac:dyDescent="0.3">
      <c r="C482">
        <v>43.792892000000002</v>
      </c>
    </row>
    <row r="483" spans="3:3" x14ac:dyDescent="0.3">
      <c r="C483">
        <v>43.456470000000003</v>
      </c>
    </row>
    <row r="484" spans="3:3" x14ac:dyDescent="0.3">
      <c r="C484">
        <v>43.221705999999998</v>
      </c>
    </row>
    <row r="485" spans="3:3" x14ac:dyDescent="0.3">
      <c r="C485">
        <v>44.731976000000003</v>
      </c>
    </row>
    <row r="486" spans="3:3" x14ac:dyDescent="0.3">
      <c r="C486">
        <v>42.764271000000001</v>
      </c>
    </row>
    <row r="487" spans="3:3" x14ac:dyDescent="0.3">
      <c r="C487">
        <v>42.287475999999998</v>
      </c>
    </row>
    <row r="488" spans="3:3" x14ac:dyDescent="0.3">
      <c r="C488">
        <v>40.779625000000003</v>
      </c>
    </row>
    <row r="489" spans="3:3" x14ac:dyDescent="0.3">
      <c r="C489">
        <v>41.048279000000001</v>
      </c>
    </row>
    <row r="490" spans="3:3" x14ac:dyDescent="0.3">
      <c r="C490">
        <v>40.813510999999998</v>
      </c>
    </row>
    <row r="491" spans="3:3" x14ac:dyDescent="0.3">
      <c r="C491">
        <v>40.927264999999998</v>
      </c>
    </row>
    <row r="492" spans="3:3" x14ac:dyDescent="0.3">
      <c r="C492">
        <v>41.375014999999998</v>
      </c>
    </row>
    <row r="493" spans="3:3" x14ac:dyDescent="0.3">
      <c r="C493">
        <v>40.051113000000001</v>
      </c>
    </row>
    <row r="494" spans="3:3" x14ac:dyDescent="0.3">
      <c r="C494">
        <v>39.678387000000001</v>
      </c>
    </row>
    <row r="495" spans="3:3" x14ac:dyDescent="0.3">
      <c r="C495">
        <v>40.193913000000002</v>
      </c>
    </row>
    <row r="496" spans="3:3" x14ac:dyDescent="0.3">
      <c r="C496">
        <v>38.940193000000001</v>
      </c>
    </row>
    <row r="497" spans="3:3" x14ac:dyDescent="0.3">
      <c r="C497">
        <v>37.957557999999999</v>
      </c>
    </row>
    <row r="498" spans="3:3" x14ac:dyDescent="0.3">
      <c r="C498">
        <v>36.481158999999998</v>
      </c>
    </row>
    <row r="499" spans="3:3" x14ac:dyDescent="0.3">
      <c r="C499">
        <v>35.537250999999998</v>
      </c>
    </row>
    <row r="500" spans="3:3" x14ac:dyDescent="0.3">
      <c r="C500">
        <v>38.039841000000003</v>
      </c>
    </row>
    <row r="501" spans="3:3" x14ac:dyDescent="0.3">
      <c r="C501">
        <v>37.792973000000003</v>
      </c>
    </row>
    <row r="502" spans="3:3" x14ac:dyDescent="0.3">
      <c r="C502">
        <v>37.812328000000001</v>
      </c>
    </row>
    <row r="503" spans="3:3" x14ac:dyDescent="0.3">
      <c r="C503">
        <v>38.177795000000003</v>
      </c>
    </row>
    <row r="504" spans="3:3" x14ac:dyDescent="0.3">
      <c r="C504">
        <v>38.221362999999997</v>
      </c>
    </row>
    <row r="505" spans="3:3" x14ac:dyDescent="0.3">
      <c r="C505">
        <v>34.414237999999997</v>
      </c>
    </row>
    <row r="506" spans="3:3" x14ac:dyDescent="0.3">
      <c r="C506">
        <v>35.883361999999998</v>
      </c>
    </row>
    <row r="507" spans="3:3" x14ac:dyDescent="0.3">
      <c r="C507">
        <v>35.803485999999999</v>
      </c>
    </row>
    <row r="508" spans="3:3" x14ac:dyDescent="0.3">
      <c r="C508">
        <v>36.486015000000002</v>
      </c>
    </row>
    <row r="509" spans="3:3" x14ac:dyDescent="0.3">
      <c r="C509">
        <v>37.105601999999998</v>
      </c>
    </row>
    <row r="510" spans="3:3" x14ac:dyDescent="0.3">
      <c r="C510">
        <v>37.224201000000001</v>
      </c>
    </row>
    <row r="511" spans="3:3" x14ac:dyDescent="0.3">
      <c r="C511">
        <v>36.858738000000002</v>
      </c>
    </row>
    <row r="512" spans="3:3" x14ac:dyDescent="0.3">
      <c r="C512">
        <v>36.304488999999997</v>
      </c>
    </row>
    <row r="513" spans="3:3" x14ac:dyDescent="0.3">
      <c r="C513">
        <v>37.047527000000002</v>
      </c>
    </row>
    <row r="514" spans="3:3" x14ac:dyDescent="0.3">
      <c r="C514">
        <v>37.500121999999998</v>
      </c>
    </row>
    <row r="515" spans="3:3" x14ac:dyDescent="0.3">
      <c r="C515">
        <v>37.722782000000002</v>
      </c>
    </row>
    <row r="516" spans="3:3" x14ac:dyDescent="0.3">
      <c r="C516">
        <v>37.955143</v>
      </c>
    </row>
    <row r="517" spans="3:3" x14ac:dyDescent="0.3">
      <c r="C517">
        <v>37.103188000000003</v>
      </c>
    </row>
    <row r="518" spans="3:3" x14ac:dyDescent="0.3">
      <c r="C518">
        <v>37.253239000000001</v>
      </c>
    </row>
    <row r="519" spans="3:3" x14ac:dyDescent="0.3">
      <c r="C519">
        <v>36.957965999999999</v>
      </c>
    </row>
    <row r="520" spans="3:3" x14ac:dyDescent="0.3">
      <c r="C520">
        <v>38.182636000000002</v>
      </c>
    </row>
    <row r="521" spans="3:3" x14ac:dyDescent="0.3">
      <c r="C521">
        <v>37.829276999999998</v>
      </c>
    </row>
    <row r="522" spans="3:3" x14ac:dyDescent="0.3">
      <c r="C522">
        <v>37.437190999999999</v>
      </c>
    </row>
    <row r="523" spans="3:3" x14ac:dyDescent="0.3">
      <c r="C523">
        <v>39.995444999999997</v>
      </c>
    </row>
    <row r="524" spans="3:3" x14ac:dyDescent="0.3">
      <c r="C524">
        <v>40.283465999999997</v>
      </c>
    </row>
    <row r="525" spans="3:3" x14ac:dyDescent="0.3">
      <c r="C525">
        <v>40.30283</v>
      </c>
    </row>
    <row r="526" spans="3:3" x14ac:dyDescent="0.3">
      <c r="C526">
        <v>41.447620000000001</v>
      </c>
    </row>
    <row r="527" spans="3:3" x14ac:dyDescent="0.3">
      <c r="C527">
        <v>42.156776000000001</v>
      </c>
    </row>
    <row r="528" spans="3:3" x14ac:dyDescent="0.3">
      <c r="C528">
        <v>42.171295000000001</v>
      </c>
    </row>
    <row r="529" spans="3:3" x14ac:dyDescent="0.3">
      <c r="C529">
        <v>41.372596999999999</v>
      </c>
    </row>
    <row r="530" spans="3:3" x14ac:dyDescent="0.3">
      <c r="C530">
        <v>41.421211</v>
      </c>
    </row>
    <row r="531" spans="3:3" x14ac:dyDescent="0.3">
      <c r="C531">
        <v>41.182999000000002</v>
      </c>
    </row>
    <row r="532" spans="3:3" x14ac:dyDescent="0.3">
      <c r="C532">
        <v>41.537880000000001</v>
      </c>
    </row>
    <row r="533" spans="3:3" x14ac:dyDescent="0.3">
      <c r="C533">
        <v>41.365302999999997</v>
      </c>
    </row>
    <row r="534" spans="3:3" x14ac:dyDescent="0.3">
      <c r="C534">
        <v>41.516013999999998</v>
      </c>
    </row>
    <row r="535" spans="3:3" x14ac:dyDescent="0.3">
      <c r="C535">
        <v>41.423634</v>
      </c>
    </row>
    <row r="536" spans="3:3" x14ac:dyDescent="0.3">
      <c r="C536">
        <v>41.547604</v>
      </c>
    </row>
    <row r="537" spans="3:3" x14ac:dyDescent="0.3">
      <c r="C537">
        <v>41.814976000000001</v>
      </c>
    </row>
    <row r="538" spans="3:3" x14ac:dyDescent="0.3">
      <c r="C538">
        <v>41.579200999999998</v>
      </c>
    </row>
    <row r="539" spans="3:3" x14ac:dyDescent="0.3">
      <c r="C539">
        <v>42.043464999999998</v>
      </c>
    </row>
    <row r="540" spans="3:3" x14ac:dyDescent="0.3">
      <c r="C540">
        <v>42.349730999999998</v>
      </c>
    </row>
    <row r="541" spans="3:3" x14ac:dyDescent="0.3">
      <c r="C541">
        <v>42.374034999999999</v>
      </c>
    </row>
    <row r="542" spans="3:3" x14ac:dyDescent="0.3">
      <c r="C542">
        <v>42.505287000000003</v>
      </c>
    </row>
    <row r="543" spans="3:3" x14ac:dyDescent="0.3">
      <c r="C543">
        <v>42.087215</v>
      </c>
    </row>
    <row r="544" spans="3:3" x14ac:dyDescent="0.3">
      <c r="C544">
        <v>42.529598</v>
      </c>
    </row>
    <row r="545" spans="3:3" x14ac:dyDescent="0.3">
      <c r="C545">
        <v>42.743504000000001</v>
      </c>
    </row>
    <row r="546" spans="3:3" x14ac:dyDescent="0.3">
      <c r="C546">
        <v>42.665717999999998</v>
      </c>
    </row>
    <row r="547" spans="3:3" x14ac:dyDescent="0.3">
      <c r="C547">
        <v>42.420223</v>
      </c>
    </row>
    <row r="548" spans="3:3" x14ac:dyDescent="0.3">
      <c r="C548">
        <v>41.929217999999999</v>
      </c>
    </row>
    <row r="549" spans="3:3" x14ac:dyDescent="0.3">
      <c r="C549">
        <v>42.028880999999998</v>
      </c>
    </row>
    <row r="550" spans="3:3" x14ac:dyDescent="0.3">
      <c r="C550">
        <v>43.484851999999997</v>
      </c>
    </row>
    <row r="551" spans="3:3" x14ac:dyDescent="0.3">
      <c r="C551">
        <v>43.973422999999997</v>
      </c>
    </row>
    <row r="552" spans="3:3" x14ac:dyDescent="0.3">
      <c r="C552">
        <v>44.167873</v>
      </c>
    </row>
    <row r="553" spans="3:3" x14ac:dyDescent="0.3">
      <c r="C553">
        <v>44.658867000000001</v>
      </c>
    </row>
    <row r="554" spans="3:3" x14ac:dyDescent="0.3">
      <c r="C554">
        <v>45.239803000000002</v>
      </c>
    </row>
    <row r="555" spans="3:3" x14ac:dyDescent="0.3">
      <c r="C555">
        <v>45.701636999999998</v>
      </c>
    </row>
    <row r="556" spans="3:3" x14ac:dyDescent="0.3">
      <c r="C556">
        <v>45.339461999999997</v>
      </c>
    </row>
    <row r="557" spans="3:3" x14ac:dyDescent="0.3">
      <c r="C557">
        <v>45.735664</v>
      </c>
    </row>
    <row r="558" spans="3:3" x14ac:dyDescent="0.3">
      <c r="C558">
        <v>47.420132000000002</v>
      </c>
    </row>
    <row r="559" spans="3:3" x14ac:dyDescent="0.3">
      <c r="C559">
        <v>46.438129000000004</v>
      </c>
    </row>
    <row r="560" spans="3:3" x14ac:dyDescent="0.3">
      <c r="C560">
        <v>45.876648000000003</v>
      </c>
    </row>
    <row r="561" spans="3:3" x14ac:dyDescent="0.3">
      <c r="C561">
        <v>45.402667999999998</v>
      </c>
    </row>
    <row r="562" spans="3:3" x14ac:dyDescent="0.3">
      <c r="C562">
        <v>45.811019999999999</v>
      </c>
    </row>
    <row r="563" spans="3:3" x14ac:dyDescent="0.3">
      <c r="C563">
        <v>45.871783999999998</v>
      </c>
    </row>
    <row r="564" spans="3:3" x14ac:dyDescent="0.3">
      <c r="C564">
        <v>46.170757000000002</v>
      </c>
    </row>
    <row r="565" spans="3:3" x14ac:dyDescent="0.3">
      <c r="C565">
        <v>46.484318000000002</v>
      </c>
    </row>
    <row r="566" spans="3:3" x14ac:dyDescent="0.3">
      <c r="C566">
        <v>47.160049000000001</v>
      </c>
    </row>
    <row r="567" spans="3:3" x14ac:dyDescent="0.3">
      <c r="C567">
        <v>47.483325999999998</v>
      </c>
    </row>
    <row r="568" spans="3:3" x14ac:dyDescent="0.3">
      <c r="C568">
        <v>47.565967999999998</v>
      </c>
    </row>
    <row r="569" spans="3:3" x14ac:dyDescent="0.3">
      <c r="C569">
        <v>47.88438</v>
      </c>
    </row>
    <row r="570" spans="3:3" x14ac:dyDescent="0.3">
      <c r="C570">
        <v>48.637900999999999</v>
      </c>
    </row>
    <row r="571" spans="3:3" x14ac:dyDescent="0.3">
      <c r="C571">
        <v>48.492058</v>
      </c>
    </row>
    <row r="572" spans="3:3" x14ac:dyDescent="0.3">
      <c r="C572">
        <v>48.764296999999999</v>
      </c>
    </row>
    <row r="573" spans="3:3" x14ac:dyDescent="0.3">
      <c r="C573">
        <v>48.358372000000003</v>
      </c>
    </row>
    <row r="574" spans="3:3" x14ac:dyDescent="0.3">
      <c r="C574">
        <v>48.338920999999999</v>
      </c>
    </row>
    <row r="575" spans="3:3" x14ac:dyDescent="0.3">
      <c r="C575">
        <v>48.426430000000003</v>
      </c>
    </row>
    <row r="576" spans="3:3" x14ac:dyDescent="0.3">
      <c r="C576">
        <v>48.431286</v>
      </c>
    </row>
    <row r="577" spans="3:3" x14ac:dyDescent="0.3">
      <c r="C577">
        <v>49.374389999999998</v>
      </c>
    </row>
    <row r="578" spans="3:3" x14ac:dyDescent="0.3">
      <c r="C578">
        <v>49.551833999999999</v>
      </c>
    </row>
    <row r="579" spans="3:3" x14ac:dyDescent="0.3">
      <c r="C579">
        <v>49.714683999999998</v>
      </c>
    </row>
    <row r="580" spans="3:3" x14ac:dyDescent="0.3">
      <c r="C580">
        <v>50.431744000000002</v>
      </c>
    </row>
    <row r="581" spans="3:3" x14ac:dyDescent="0.3">
      <c r="C581">
        <v>50.353957999999999</v>
      </c>
    </row>
    <row r="582" spans="3:3" x14ac:dyDescent="0.3">
      <c r="C582">
        <v>49.896991999999997</v>
      </c>
    </row>
    <row r="583" spans="3:3" x14ac:dyDescent="0.3">
      <c r="C583">
        <v>49.658779000000003</v>
      </c>
    </row>
    <row r="584" spans="3:3" x14ac:dyDescent="0.3">
      <c r="C584">
        <v>49.734135000000002</v>
      </c>
    </row>
    <row r="585" spans="3:3" x14ac:dyDescent="0.3">
      <c r="C585">
        <v>48.776443</v>
      </c>
    </row>
    <row r="586" spans="3:3" x14ac:dyDescent="0.3">
      <c r="C586">
        <v>51.170670000000001</v>
      </c>
    </row>
    <row r="587" spans="3:3" x14ac:dyDescent="0.3">
      <c r="C587">
        <v>50.837662000000002</v>
      </c>
    </row>
    <row r="588" spans="3:3" x14ac:dyDescent="0.3">
      <c r="C588">
        <v>51.469642999999998</v>
      </c>
    </row>
    <row r="589" spans="3:3" x14ac:dyDescent="0.3">
      <c r="C589">
        <v>50.674809000000003</v>
      </c>
    </row>
    <row r="590" spans="3:3" x14ac:dyDescent="0.3">
      <c r="C590">
        <v>49.308762000000002</v>
      </c>
    </row>
    <row r="591" spans="3:3" x14ac:dyDescent="0.3">
      <c r="C591">
        <v>49.318485000000003</v>
      </c>
    </row>
    <row r="592" spans="3:3" x14ac:dyDescent="0.3">
      <c r="C592">
        <v>48.788597000000003</v>
      </c>
    </row>
    <row r="593" spans="3:3" x14ac:dyDescent="0.3">
      <c r="C593">
        <v>48.112709000000002</v>
      </c>
    </row>
    <row r="594" spans="3:3" x14ac:dyDescent="0.3">
      <c r="C594">
        <v>45.316422000000003</v>
      </c>
    </row>
    <row r="595" spans="3:3" x14ac:dyDescent="0.3">
      <c r="C595">
        <v>46.033797999999997</v>
      </c>
    </row>
    <row r="596" spans="3:3" x14ac:dyDescent="0.3">
      <c r="C596">
        <v>46.585247000000003</v>
      </c>
    </row>
    <row r="597" spans="3:3" x14ac:dyDescent="0.3">
      <c r="C597">
        <v>46.380282999999999</v>
      </c>
    </row>
    <row r="598" spans="3:3" x14ac:dyDescent="0.3">
      <c r="C598">
        <v>46.116764000000003</v>
      </c>
    </row>
    <row r="599" spans="3:3" x14ac:dyDescent="0.3">
      <c r="C599">
        <v>44.674689999999998</v>
      </c>
    </row>
    <row r="600" spans="3:3" x14ac:dyDescent="0.3">
      <c r="C600">
        <v>45.531146999999997</v>
      </c>
    </row>
    <row r="601" spans="3:3" x14ac:dyDescent="0.3">
      <c r="C601">
        <v>44.599052</v>
      </c>
    </row>
    <row r="602" spans="3:3" x14ac:dyDescent="0.3">
      <c r="C602">
        <v>43.837761</v>
      </c>
    </row>
    <row r="603" spans="3:3" x14ac:dyDescent="0.3">
      <c r="C603">
        <v>43.669398999999999</v>
      </c>
    </row>
    <row r="604" spans="3:3" x14ac:dyDescent="0.3">
      <c r="C604">
        <v>43.488833999999997</v>
      </c>
    </row>
    <row r="605" spans="3:3" x14ac:dyDescent="0.3">
      <c r="C605">
        <v>43.281433</v>
      </c>
    </row>
    <row r="606" spans="3:3" x14ac:dyDescent="0.3">
      <c r="C606">
        <v>43.505920000000003</v>
      </c>
    </row>
    <row r="607" spans="3:3" x14ac:dyDescent="0.3">
      <c r="C607">
        <v>42.717789000000003</v>
      </c>
    </row>
    <row r="608" spans="3:3" x14ac:dyDescent="0.3">
      <c r="C608">
        <v>42.285891999999997</v>
      </c>
    </row>
    <row r="609" spans="3:3" x14ac:dyDescent="0.3">
      <c r="C609">
        <v>43.832878000000001</v>
      </c>
    </row>
    <row r="610" spans="3:3" x14ac:dyDescent="0.3">
      <c r="C610">
        <v>44.540489000000001</v>
      </c>
    </row>
    <row r="611" spans="3:3" x14ac:dyDescent="0.3">
      <c r="C611">
        <v>45.194423999999998</v>
      </c>
    </row>
    <row r="612" spans="3:3" x14ac:dyDescent="0.3">
      <c r="C612">
        <v>46.397357999999997</v>
      </c>
    </row>
    <row r="613" spans="3:3" x14ac:dyDescent="0.3">
      <c r="C613">
        <v>46.990291999999997</v>
      </c>
    </row>
    <row r="614" spans="3:3" x14ac:dyDescent="0.3">
      <c r="C614">
        <v>47.534424000000001</v>
      </c>
    </row>
    <row r="615" spans="3:3" x14ac:dyDescent="0.3">
      <c r="C615">
        <v>47.383133000000001</v>
      </c>
    </row>
    <row r="616" spans="3:3" x14ac:dyDescent="0.3">
      <c r="C616">
        <v>47.373370999999999</v>
      </c>
    </row>
    <row r="617" spans="3:3" x14ac:dyDescent="0.3">
      <c r="C617">
        <v>47.029339</v>
      </c>
    </row>
    <row r="618" spans="3:3" x14ac:dyDescent="0.3">
      <c r="C618">
        <v>47.309933000000001</v>
      </c>
    </row>
    <row r="619" spans="3:3" x14ac:dyDescent="0.3">
      <c r="C619">
        <v>48.422592000000002</v>
      </c>
    </row>
    <row r="620" spans="3:3" x14ac:dyDescent="0.3">
      <c r="C620">
        <v>48.281070999999997</v>
      </c>
    </row>
    <row r="621" spans="3:3" x14ac:dyDescent="0.3">
      <c r="C621">
        <v>48.669041</v>
      </c>
    </row>
    <row r="622" spans="3:3" x14ac:dyDescent="0.3">
      <c r="C622">
        <v>48.503117000000003</v>
      </c>
    </row>
    <row r="623" spans="3:3" x14ac:dyDescent="0.3">
      <c r="C623">
        <v>48.454310999999997</v>
      </c>
    </row>
    <row r="624" spans="3:3" x14ac:dyDescent="0.3">
      <c r="C624">
        <v>47.719864000000001</v>
      </c>
    </row>
    <row r="625" spans="3:3" x14ac:dyDescent="0.3">
      <c r="C625">
        <v>48.752003000000002</v>
      </c>
    </row>
    <row r="626" spans="3:3" x14ac:dyDescent="0.3">
      <c r="C626">
        <v>48.737354000000003</v>
      </c>
    </row>
    <row r="627" spans="3:3" x14ac:dyDescent="0.3">
      <c r="C627">
        <v>48.293273999999997</v>
      </c>
    </row>
    <row r="628" spans="3:3" x14ac:dyDescent="0.3">
      <c r="C628">
        <v>49.179008000000003</v>
      </c>
    </row>
    <row r="629" spans="3:3" x14ac:dyDescent="0.3">
      <c r="C629">
        <v>49.466929999999998</v>
      </c>
    </row>
    <row r="630" spans="3:3" x14ac:dyDescent="0.3">
      <c r="C630">
        <v>49.876857999999999</v>
      </c>
    </row>
    <row r="631" spans="3:3" x14ac:dyDescent="0.3">
      <c r="C631">
        <v>49.832934999999999</v>
      </c>
    </row>
    <row r="632" spans="3:3" x14ac:dyDescent="0.3">
      <c r="C632">
        <v>48.805683000000002</v>
      </c>
    </row>
    <row r="633" spans="3:3" x14ac:dyDescent="0.3">
      <c r="C633">
        <v>49.103366999999999</v>
      </c>
    </row>
    <row r="634" spans="3:3" x14ac:dyDescent="0.3">
      <c r="C634">
        <v>49.588928000000003</v>
      </c>
    </row>
    <row r="635" spans="3:3" x14ac:dyDescent="0.3">
      <c r="C635">
        <v>49.227801999999997</v>
      </c>
    </row>
    <row r="636" spans="3:3" x14ac:dyDescent="0.3">
      <c r="C636">
        <v>49.606006999999998</v>
      </c>
    </row>
    <row r="637" spans="3:3" x14ac:dyDescent="0.3">
      <c r="C637">
        <v>50.072066999999997</v>
      </c>
    </row>
    <row r="638" spans="3:3" x14ac:dyDescent="0.3">
      <c r="C638">
        <v>49.898811000000002</v>
      </c>
    </row>
    <row r="639" spans="3:3" x14ac:dyDescent="0.3">
      <c r="C639">
        <v>49.618220999999998</v>
      </c>
    </row>
    <row r="640" spans="3:3" x14ac:dyDescent="0.3">
      <c r="C640">
        <v>50.181870000000004</v>
      </c>
    </row>
    <row r="641" spans="3:3" x14ac:dyDescent="0.3">
      <c r="C641">
        <v>49.432774000000002</v>
      </c>
    </row>
    <row r="642" spans="3:3" x14ac:dyDescent="0.3">
      <c r="C642">
        <v>50.562511000000001</v>
      </c>
    </row>
    <row r="643" spans="3:3" x14ac:dyDescent="0.3">
      <c r="C643">
        <v>50.957802000000001</v>
      </c>
    </row>
    <row r="644" spans="3:3" x14ac:dyDescent="0.3">
      <c r="C644">
        <v>50.916316999999999</v>
      </c>
    </row>
    <row r="645" spans="3:3" x14ac:dyDescent="0.3">
      <c r="C645">
        <v>50.513710000000003</v>
      </c>
    </row>
    <row r="646" spans="3:3" x14ac:dyDescent="0.3">
      <c r="C646">
        <v>50.689383999999997</v>
      </c>
    </row>
    <row r="647" spans="3:3" x14ac:dyDescent="0.3">
      <c r="C647">
        <v>51.162757999999997</v>
      </c>
    </row>
    <row r="648" spans="3:3" x14ac:dyDescent="0.3">
      <c r="C648">
        <v>50.943156999999999</v>
      </c>
    </row>
    <row r="649" spans="3:3" x14ac:dyDescent="0.3">
      <c r="C649">
        <v>51.982608999999997</v>
      </c>
    </row>
    <row r="650" spans="3:3" x14ac:dyDescent="0.3">
      <c r="C650">
        <v>50.857750000000003</v>
      </c>
    </row>
    <row r="651" spans="3:3" x14ac:dyDescent="0.3">
      <c r="C651">
        <v>49.781703999999998</v>
      </c>
    </row>
    <row r="652" spans="3:3" x14ac:dyDescent="0.3">
      <c r="C652">
        <v>47.175735000000003</v>
      </c>
    </row>
    <row r="653" spans="3:3" x14ac:dyDescent="0.3">
      <c r="C653">
        <v>48.068783000000003</v>
      </c>
    </row>
    <row r="654" spans="3:3" x14ac:dyDescent="0.3">
      <c r="C654">
        <v>48.566558999999998</v>
      </c>
    </row>
    <row r="655" spans="3:3" x14ac:dyDescent="0.3">
      <c r="C655">
        <v>49.637737000000001</v>
      </c>
    </row>
    <row r="656" spans="3:3" x14ac:dyDescent="0.3">
      <c r="C656">
        <v>49.228703000000003</v>
      </c>
    </row>
    <row r="657" spans="3:3" x14ac:dyDescent="0.3">
      <c r="C657">
        <v>49.103783</v>
      </c>
    </row>
    <row r="658" spans="3:3" x14ac:dyDescent="0.3">
      <c r="C658">
        <v>51.183250000000001</v>
      </c>
    </row>
    <row r="659" spans="3:3" x14ac:dyDescent="0.3">
      <c r="C659">
        <v>49.659775000000003</v>
      </c>
    </row>
    <row r="660" spans="3:3" x14ac:dyDescent="0.3">
      <c r="C660">
        <v>49.412391999999997</v>
      </c>
    </row>
    <row r="661" spans="3:3" x14ac:dyDescent="0.3">
      <c r="C661">
        <v>50.578270000000003</v>
      </c>
    </row>
    <row r="662" spans="3:3" x14ac:dyDescent="0.3">
      <c r="C662">
        <v>51.521254999999996</v>
      </c>
    </row>
    <row r="663" spans="3:3" x14ac:dyDescent="0.3">
      <c r="C663">
        <v>51.523701000000003</v>
      </c>
    </row>
    <row r="664" spans="3:3" x14ac:dyDescent="0.3">
      <c r="C664">
        <v>52.082141999999997</v>
      </c>
    </row>
    <row r="665" spans="3:3" x14ac:dyDescent="0.3">
      <c r="C665">
        <v>52.038055</v>
      </c>
    </row>
    <row r="666" spans="3:3" x14ac:dyDescent="0.3">
      <c r="C666">
        <v>49.632832000000001</v>
      </c>
    </row>
    <row r="667" spans="3:3" x14ac:dyDescent="0.3">
      <c r="C667">
        <v>50.575817000000001</v>
      </c>
    </row>
    <row r="668" spans="3:3" x14ac:dyDescent="0.3">
      <c r="C668">
        <v>50.005130999999999</v>
      </c>
    </row>
    <row r="669" spans="3:3" x14ac:dyDescent="0.3">
      <c r="C669">
        <v>50.340691</v>
      </c>
    </row>
    <row r="670" spans="3:3" x14ac:dyDescent="0.3">
      <c r="C670">
        <v>51.193053999999997</v>
      </c>
    </row>
    <row r="671" spans="3:3" x14ac:dyDescent="0.3">
      <c r="C671">
        <v>51.126914999999997</v>
      </c>
    </row>
    <row r="672" spans="3:3" x14ac:dyDescent="0.3">
      <c r="C672">
        <v>50.382317</v>
      </c>
    </row>
    <row r="673" spans="3:3" x14ac:dyDescent="0.3">
      <c r="C673">
        <v>51.237136999999997</v>
      </c>
    </row>
    <row r="674" spans="3:3" x14ac:dyDescent="0.3">
      <c r="C674">
        <v>52.238894999999999</v>
      </c>
    </row>
    <row r="675" spans="3:3" x14ac:dyDescent="0.3">
      <c r="C675">
        <v>52.234000999999999</v>
      </c>
    </row>
    <row r="676" spans="3:3" x14ac:dyDescent="0.3">
      <c r="C676">
        <v>52.456885999999997</v>
      </c>
    </row>
    <row r="677" spans="3:3" x14ac:dyDescent="0.3">
      <c r="C677">
        <v>53.076568999999999</v>
      </c>
    </row>
    <row r="678" spans="3:3" x14ac:dyDescent="0.3">
      <c r="C678">
        <v>54.764141000000002</v>
      </c>
    </row>
    <row r="679" spans="3:3" x14ac:dyDescent="0.3">
      <c r="C679">
        <v>54.641674000000002</v>
      </c>
    </row>
    <row r="680" spans="3:3" x14ac:dyDescent="0.3">
      <c r="C680">
        <v>53.578673999999999</v>
      </c>
    </row>
    <row r="681" spans="3:3" x14ac:dyDescent="0.3">
      <c r="C681">
        <v>53.860351999999999</v>
      </c>
    </row>
    <row r="682" spans="3:3" x14ac:dyDescent="0.3">
      <c r="C682">
        <v>54.056289999999997</v>
      </c>
    </row>
    <row r="683" spans="3:3" x14ac:dyDescent="0.3">
      <c r="C683">
        <v>54.563296999999999</v>
      </c>
    </row>
    <row r="684" spans="3:3" x14ac:dyDescent="0.3">
      <c r="C684">
        <v>54.119976000000001</v>
      </c>
    </row>
    <row r="685" spans="3:3" x14ac:dyDescent="0.3">
      <c r="C685">
        <v>53.328845999999999</v>
      </c>
    </row>
    <row r="686" spans="3:3" x14ac:dyDescent="0.3">
      <c r="C686">
        <v>53.571331000000001</v>
      </c>
    </row>
    <row r="687" spans="3:3" x14ac:dyDescent="0.3">
      <c r="C687">
        <v>53.316597000000002</v>
      </c>
    </row>
    <row r="688" spans="3:3" x14ac:dyDescent="0.3">
      <c r="C688">
        <v>54.137115000000001</v>
      </c>
    </row>
    <row r="689" spans="3:3" x14ac:dyDescent="0.3">
      <c r="C689">
        <v>53.857903</v>
      </c>
    </row>
    <row r="690" spans="3:3" x14ac:dyDescent="0.3">
      <c r="C690">
        <v>53.595829000000002</v>
      </c>
    </row>
    <row r="691" spans="3:3" x14ac:dyDescent="0.3">
      <c r="C691">
        <v>54.857211999999997</v>
      </c>
    </row>
    <row r="692" spans="3:3" x14ac:dyDescent="0.3">
      <c r="C692">
        <v>55.009070999999999</v>
      </c>
    </row>
    <row r="693" spans="3:3" x14ac:dyDescent="0.3">
      <c r="C693">
        <v>53.630111999999997</v>
      </c>
    </row>
    <row r="694" spans="3:3" x14ac:dyDescent="0.3">
      <c r="C694">
        <v>54.08569</v>
      </c>
    </row>
    <row r="695" spans="3:3" x14ac:dyDescent="0.3">
      <c r="C695">
        <v>55.601802999999997</v>
      </c>
    </row>
    <row r="696" spans="3:3" x14ac:dyDescent="0.3">
      <c r="C696">
        <v>55.614052000000001</v>
      </c>
    </row>
    <row r="697" spans="3:3" x14ac:dyDescent="0.3">
      <c r="C697">
        <v>54.962539999999997</v>
      </c>
    </row>
    <row r="698" spans="3:3" x14ac:dyDescent="0.3">
      <c r="C698">
        <v>55.606712000000002</v>
      </c>
    </row>
    <row r="699" spans="3:3" x14ac:dyDescent="0.3">
      <c r="C699">
        <v>56.356194000000002</v>
      </c>
    </row>
    <row r="700" spans="3:3" x14ac:dyDescent="0.3">
      <c r="C700">
        <v>57.855170999999999</v>
      </c>
    </row>
    <row r="701" spans="3:3" x14ac:dyDescent="0.3">
      <c r="C701">
        <v>57.771895999999998</v>
      </c>
    </row>
    <row r="702" spans="3:3" x14ac:dyDescent="0.3">
      <c r="C702">
        <v>57.637183999999998</v>
      </c>
    </row>
    <row r="703" spans="3:3" x14ac:dyDescent="0.3">
      <c r="C703">
        <v>57.404494999999997</v>
      </c>
    </row>
    <row r="704" spans="3:3" x14ac:dyDescent="0.3">
      <c r="C704">
        <v>57.627392</v>
      </c>
    </row>
    <row r="705" spans="3:3" x14ac:dyDescent="0.3">
      <c r="C705">
        <v>57.904156</v>
      </c>
    </row>
    <row r="706" spans="3:3" x14ac:dyDescent="0.3">
      <c r="C706">
        <v>58.908366999999998</v>
      </c>
    </row>
    <row r="707" spans="3:3" x14ac:dyDescent="0.3">
      <c r="C707">
        <v>58.773659000000002</v>
      </c>
    </row>
    <row r="708" spans="3:3" x14ac:dyDescent="0.3">
      <c r="C708">
        <v>59.562336000000002</v>
      </c>
    </row>
    <row r="709" spans="3:3" x14ac:dyDescent="0.3">
      <c r="C709">
        <v>59.660319999999999</v>
      </c>
    </row>
    <row r="710" spans="3:3" x14ac:dyDescent="0.3">
      <c r="C710">
        <v>60.395099999999999</v>
      </c>
    </row>
    <row r="711" spans="3:3" x14ac:dyDescent="0.3">
      <c r="C711">
        <v>61.000079999999997</v>
      </c>
    </row>
    <row r="712" spans="3:3" x14ac:dyDescent="0.3">
      <c r="C712">
        <v>59.589286999999999</v>
      </c>
    </row>
    <row r="713" spans="3:3" x14ac:dyDescent="0.3">
      <c r="C713">
        <v>59.581932000000002</v>
      </c>
    </row>
    <row r="714" spans="3:3" x14ac:dyDescent="0.3">
      <c r="C714">
        <v>60.929049999999997</v>
      </c>
    </row>
    <row r="715" spans="3:3" x14ac:dyDescent="0.3">
      <c r="C715">
        <v>62.658276000000001</v>
      </c>
    </row>
    <row r="716" spans="3:3" x14ac:dyDescent="0.3">
      <c r="C716">
        <v>63.069755999999998</v>
      </c>
    </row>
    <row r="717" spans="3:3" x14ac:dyDescent="0.3">
      <c r="C717">
        <v>62.979129999999998</v>
      </c>
    </row>
    <row r="718" spans="3:3" x14ac:dyDescent="0.3">
      <c r="C718">
        <v>63.006068999999997</v>
      </c>
    </row>
    <row r="719" spans="3:3" x14ac:dyDescent="0.3">
      <c r="C719">
        <v>63.733246000000001</v>
      </c>
    </row>
    <row r="720" spans="3:3" x14ac:dyDescent="0.3">
      <c r="C720">
        <v>63.907677</v>
      </c>
    </row>
    <row r="721" spans="3:3" x14ac:dyDescent="0.3">
      <c r="C721">
        <v>64.413749999999993</v>
      </c>
    </row>
    <row r="722" spans="3:3" x14ac:dyDescent="0.3">
      <c r="C722">
        <v>64.354766999999995</v>
      </c>
    </row>
    <row r="723" spans="3:3" x14ac:dyDescent="0.3">
      <c r="C723">
        <v>64.971405000000004</v>
      </c>
    </row>
    <row r="724" spans="3:3" x14ac:dyDescent="0.3">
      <c r="C724">
        <v>64.521843000000004</v>
      </c>
    </row>
    <row r="725" spans="3:3" x14ac:dyDescent="0.3">
      <c r="C725">
        <v>65.288321999999994</v>
      </c>
    </row>
    <row r="726" spans="3:3" x14ac:dyDescent="0.3">
      <c r="C726">
        <v>65.617500000000007</v>
      </c>
    </row>
    <row r="727" spans="3:3" x14ac:dyDescent="0.3">
      <c r="C727">
        <v>65.418518000000006</v>
      </c>
    </row>
    <row r="728" spans="3:3" x14ac:dyDescent="0.3">
      <c r="C728">
        <v>64.656959999999998</v>
      </c>
    </row>
    <row r="729" spans="3:3" x14ac:dyDescent="0.3">
      <c r="C729">
        <v>64.367064999999997</v>
      </c>
    </row>
    <row r="730" spans="3:3" x14ac:dyDescent="0.3">
      <c r="C730">
        <v>64.310554999999994</v>
      </c>
    </row>
    <row r="731" spans="3:3" x14ac:dyDescent="0.3">
      <c r="C731">
        <v>65.438164</v>
      </c>
    </row>
    <row r="732" spans="3:3" x14ac:dyDescent="0.3">
      <c r="C732">
        <v>64.927184999999994</v>
      </c>
    </row>
    <row r="733" spans="3:3" x14ac:dyDescent="0.3">
      <c r="C733">
        <v>65.799294000000003</v>
      </c>
    </row>
    <row r="734" spans="3:3" x14ac:dyDescent="0.3">
      <c r="C734">
        <v>65.654358000000002</v>
      </c>
    </row>
    <row r="735" spans="3:3" x14ac:dyDescent="0.3">
      <c r="C735">
        <v>64.895247999999995</v>
      </c>
    </row>
    <row r="736" spans="3:3" x14ac:dyDescent="0.3">
      <c r="C736">
        <v>63.738171000000001</v>
      </c>
    </row>
    <row r="737" spans="3:3" x14ac:dyDescent="0.3">
      <c r="C737">
        <v>64.300735000000003</v>
      </c>
    </row>
    <row r="738" spans="3:3" x14ac:dyDescent="0.3">
      <c r="C738">
        <v>65.244095000000002</v>
      </c>
    </row>
    <row r="739" spans="3:3" x14ac:dyDescent="0.3">
      <c r="C739">
        <v>66.504356000000001</v>
      </c>
    </row>
    <row r="740" spans="3:3" x14ac:dyDescent="0.3">
      <c r="C740">
        <v>65.573273</v>
      </c>
    </row>
    <row r="741" spans="3:3" x14ac:dyDescent="0.3">
      <c r="C741">
        <v>65.956535000000002</v>
      </c>
    </row>
    <row r="742" spans="3:3" x14ac:dyDescent="0.3">
      <c r="C742">
        <v>66.519096000000005</v>
      </c>
    </row>
    <row r="743" spans="3:3" x14ac:dyDescent="0.3">
      <c r="C743">
        <v>66.688605999999993</v>
      </c>
    </row>
    <row r="744" spans="3:3" x14ac:dyDescent="0.3">
      <c r="C744">
        <v>67.595123000000001</v>
      </c>
    </row>
    <row r="745" spans="3:3" x14ac:dyDescent="0.3">
      <c r="C745">
        <v>68.752196999999995</v>
      </c>
    </row>
    <row r="746" spans="3:3" x14ac:dyDescent="0.3">
      <c r="C746">
        <v>68.887328999999994</v>
      </c>
    </row>
    <row r="747" spans="3:3" x14ac:dyDescent="0.3">
      <c r="C747">
        <v>68.722724999999997</v>
      </c>
    </row>
    <row r="748" spans="3:3" x14ac:dyDescent="0.3">
      <c r="C748">
        <v>68.791511999999997</v>
      </c>
    </row>
    <row r="749" spans="3:3" x14ac:dyDescent="0.3">
      <c r="C749">
        <v>68.649033000000003</v>
      </c>
    </row>
    <row r="750" spans="3:3" x14ac:dyDescent="0.3">
      <c r="C750">
        <v>69.769264000000007</v>
      </c>
    </row>
    <row r="751" spans="3:3" x14ac:dyDescent="0.3">
      <c r="C751">
        <v>69.835594</v>
      </c>
    </row>
    <row r="752" spans="3:3" x14ac:dyDescent="0.3">
      <c r="C752">
        <v>71.221160999999995</v>
      </c>
    </row>
    <row r="753" spans="3:3" x14ac:dyDescent="0.3">
      <c r="C753">
        <v>71.194137999999995</v>
      </c>
    </row>
    <row r="754" spans="3:3" x14ac:dyDescent="0.3">
      <c r="C754">
        <v>71.616675999999998</v>
      </c>
    </row>
    <row r="755" spans="3:3" x14ac:dyDescent="0.3">
      <c r="C755">
        <v>72.139954000000003</v>
      </c>
    </row>
    <row r="756" spans="3:3" x14ac:dyDescent="0.3">
      <c r="C756">
        <v>73.785919000000007</v>
      </c>
    </row>
    <row r="757" spans="3:3" x14ac:dyDescent="0.3">
      <c r="C757">
        <v>73.068565000000007</v>
      </c>
    </row>
    <row r="758" spans="3:3" x14ac:dyDescent="0.3">
      <c r="C758">
        <v>73.650795000000002</v>
      </c>
    </row>
    <row r="759" spans="3:3" x14ac:dyDescent="0.3">
      <c r="C759">
        <v>73.304412999999997</v>
      </c>
    </row>
    <row r="760" spans="3:3" x14ac:dyDescent="0.3">
      <c r="C760">
        <v>74.483611999999994</v>
      </c>
    </row>
    <row r="761" spans="3:3" x14ac:dyDescent="0.3">
      <c r="C761">
        <v>76.065703999999997</v>
      </c>
    </row>
    <row r="762" spans="3:3" x14ac:dyDescent="0.3">
      <c r="C762">
        <v>76.237656000000001</v>
      </c>
    </row>
    <row r="763" spans="3:3" x14ac:dyDescent="0.3">
      <c r="C763">
        <v>77.866439999999997</v>
      </c>
    </row>
    <row r="764" spans="3:3" x14ac:dyDescent="0.3">
      <c r="C764">
        <v>76.814971999999997</v>
      </c>
    </row>
    <row r="765" spans="3:3" x14ac:dyDescent="0.3">
      <c r="C765">
        <v>76.485778999999994</v>
      </c>
    </row>
    <row r="766" spans="3:3" x14ac:dyDescent="0.3">
      <c r="C766">
        <v>77.443877999999998</v>
      </c>
    </row>
    <row r="767" spans="3:3" x14ac:dyDescent="0.3">
      <c r="C767">
        <v>78.301261999999994</v>
      </c>
    </row>
    <row r="768" spans="3:3" x14ac:dyDescent="0.3">
      <c r="C768">
        <v>77.770629999999997</v>
      </c>
    </row>
    <row r="769" spans="3:3" x14ac:dyDescent="0.3">
      <c r="C769">
        <v>78.048218000000006</v>
      </c>
    </row>
    <row r="770" spans="3:3" x14ac:dyDescent="0.3">
      <c r="C770">
        <v>78.424109999999999</v>
      </c>
    </row>
    <row r="771" spans="3:3" x14ac:dyDescent="0.3">
      <c r="C771">
        <v>78.198081999999999</v>
      </c>
    </row>
    <row r="772" spans="3:3" x14ac:dyDescent="0.3">
      <c r="C772">
        <v>75.898651000000001</v>
      </c>
    </row>
    <row r="773" spans="3:3" x14ac:dyDescent="0.3">
      <c r="C773">
        <v>78.045776000000004</v>
      </c>
    </row>
    <row r="774" spans="3:3" x14ac:dyDescent="0.3">
      <c r="C774">
        <v>79.679443000000006</v>
      </c>
    </row>
    <row r="775" spans="3:3" x14ac:dyDescent="0.3">
      <c r="C775">
        <v>79.563980000000001</v>
      </c>
    </row>
    <row r="776" spans="3:3" x14ac:dyDescent="0.3">
      <c r="C776">
        <v>76.036224000000004</v>
      </c>
    </row>
    <row r="777" spans="3:3" x14ac:dyDescent="0.3">
      <c r="C777">
        <v>75.827408000000005</v>
      </c>
    </row>
    <row r="778" spans="3:3" x14ac:dyDescent="0.3">
      <c r="C778">
        <v>78.330757000000006</v>
      </c>
    </row>
    <row r="779" spans="3:3" x14ac:dyDescent="0.3">
      <c r="C779">
        <v>78.969489999999993</v>
      </c>
    </row>
    <row r="780" spans="3:3" x14ac:dyDescent="0.3">
      <c r="C780">
        <v>79.893180999999998</v>
      </c>
    </row>
    <row r="781" spans="3:3" x14ac:dyDescent="0.3">
      <c r="C781">
        <v>78.807220000000001</v>
      </c>
    </row>
    <row r="782" spans="3:3" x14ac:dyDescent="0.3">
      <c r="C782">
        <v>79.181511</v>
      </c>
    </row>
    <row r="783" spans="3:3" x14ac:dyDescent="0.3">
      <c r="C783">
        <v>78.703789</v>
      </c>
    </row>
    <row r="784" spans="3:3" x14ac:dyDescent="0.3">
      <c r="C784">
        <v>80.572829999999996</v>
      </c>
    </row>
    <row r="785" spans="3:3" x14ac:dyDescent="0.3">
      <c r="C785">
        <v>79.999061999999995</v>
      </c>
    </row>
    <row r="786" spans="3:3" x14ac:dyDescent="0.3">
      <c r="C786">
        <v>80.018767999999994</v>
      </c>
    </row>
    <row r="787" spans="3:3" x14ac:dyDescent="0.3">
      <c r="C787">
        <v>78.553589000000002</v>
      </c>
    </row>
    <row r="788" spans="3:3" x14ac:dyDescent="0.3">
      <c r="C788">
        <v>79.691254000000001</v>
      </c>
    </row>
    <row r="789" spans="3:3" x14ac:dyDescent="0.3">
      <c r="C789">
        <v>78.873711</v>
      </c>
    </row>
    <row r="790" spans="3:3" x14ac:dyDescent="0.3">
      <c r="C790">
        <v>77.088402000000002</v>
      </c>
    </row>
    <row r="791" spans="3:3" x14ac:dyDescent="0.3">
      <c r="C791">
        <v>73.426665999999997</v>
      </c>
    </row>
    <row r="792" spans="3:3" x14ac:dyDescent="0.3">
      <c r="C792">
        <v>70.939544999999995</v>
      </c>
    </row>
    <row r="793" spans="3:3" x14ac:dyDescent="0.3">
      <c r="C793">
        <v>72.064910999999995</v>
      </c>
    </row>
    <row r="794" spans="3:3" x14ac:dyDescent="0.3">
      <c r="C794">
        <v>67.354156000000003</v>
      </c>
    </row>
    <row r="795" spans="3:3" x14ac:dyDescent="0.3">
      <c r="C795">
        <v>67.314757999999998</v>
      </c>
    </row>
    <row r="796" spans="3:3" x14ac:dyDescent="0.3">
      <c r="C796">
        <v>73.581801999999996</v>
      </c>
    </row>
    <row r="797" spans="3:3" x14ac:dyDescent="0.3">
      <c r="C797">
        <v>71.244904000000005</v>
      </c>
    </row>
    <row r="798" spans="3:3" x14ac:dyDescent="0.3">
      <c r="C798">
        <v>74.549567999999994</v>
      </c>
    </row>
    <row r="799" spans="3:3" x14ac:dyDescent="0.3">
      <c r="C799">
        <v>72.131400999999997</v>
      </c>
    </row>
    <row r="800" spans="3:3" x14ac:dyDescent="0.3">
      <c r="C800">
        <v>71.173484999999999</v>
      </c>
    </row>
    <row r="801" spans="3:3" x14ac:dyDescent="0.3">
      <c r="C801">
        <v>65.544228000000004</v>
      </c>
    </row>
    <row r="802" spans="3:3" x14ac:dyDescent="0.3">
      <c r="C802">
        <v>70.264831999999998</v>
      </c>
    </row>
    <row r="803" spans="3:3" x14ac:dyDescent="0.3">
      <c r="C803">
        <v>67.824485999999993</v>
      </c>
    </row>
    <row r="804" spans="3:3" x14ac:dyDescent="0.3">
      <c r="C804">
        <v>61.126506999999997</v>
      </c>
    </row>
    <row r="805" spans="3:3" x14ac:dyDescent="0.3">
      <c r="C805">
        <v>68.449982000000006</v>
      </c>
    </row>
    <row r="806" spans="3:3" x14ac:dyDescent="0.3">
      <c r="C806">
        <v>59.644084999999997</v>
      </c>
    </row>
    <row r="807" spans="3:3" x14ac:dyDescent="0.3">
      <c r="C807">
        <v>62.266640000000002</v>
      </c>
    </row>
    <row r="808" spans="3:3" x14ac:dyDescent="0.3">
      <c r="C808">
        <v>60.742362999999997</v>
      </c>
    </row>
    <row r="809" spans="3:3" x14ac:dyDescent="0.3">
      <c r="C809">
        <v>60.276943000000003</v>
      </c>
    </row>
    <row r="810" spans="3:3" x14ac:dyDescent="0.3">
      <c r="C810">
        <v>56.450232999999997</v>
      </c>
    </row>
    <row r="811" spans="3:3" x14ac:dyDescent="0.3">
      <c r="C811">
        <v>55.250996000000001</v>
      </c>
    </row>
    <row r="812" spans="3:3" x14ac:dyDescent="0.3">
      <c r="C812">
        <v>60.794071000000002</v>
      </c>
    </row>
    <row r="813" spans="3:3" x14ac:dyDescent="0.3">
      <c r="C813">
        <v>60.459175000000002</v>
      </c>
    </row>
    <row r="814" spans="3:3" x14ac:dyDescent="0.3">
      <c r="C814">
        <v>63.640717000000002</v>
      </c>
    </row>
    <row r="815" spans="3:3" x14ac:dyDescent="0.3">
      <c r="C815">
        <v>61.005844000000003</v>
      </c>
    </row>
    <row r="816" spans="3:3" x14ac:dyDescent="0.3">
      <c r="C816">
        <v>62.746830000000003</v>
      </c>
    </row>
    <row r="817" spans="3:3" x14ac:dyDescent="0.3">
      <c r="C817">
        <v>62.618774000000002</v>
      </c>
    </row>
    <row r="818" spans="3:3" x14ac:dyDescent="0.3">
      <c r="C818">
        <v>59.323967000000003</v>
      </c>
    </row>
    <row r="819" spans="3:3" x14ac:dyDescent="0.3">
      <c r="C819">
        <v>60.313876999999998</v>
      </c>
    </row>
    <row r="820" spans="3:3" x14ac:dyDescent="0.3">
      <c r="C820">
        <v>59.447085999999999</v>
      </c>
    </row>
    <row r="821" spans="3:3" x14ac:dyDescent="0.3">
      <c r="C821">
        <v>64.633094999999997</v>
      </c>
    </row>
    <row r="822" spans="3:3" x14ac:dyDescent="0.3">
      <c r="C822">
        <v>63.884501999999998</v>
      </c>
    </row>
    <row r="823" spans="3:3" x14ac:dyDescent="0.3">
      <c r="C823">
        <v>65.519592000000003</v>
      </c>
    </row>
    <row r="824" spans="3:3" x14ac:dyDescent="0.3">
      <c r="C824">
        <v>65.992385999999996</v>
      </c>
    </row>
    <row r="825" spans="3:3" x14ac:dyDescent="0.3">
      <c r="C825">
        <v>67.287659000000005</v>
      </c>
    </row>
    <row r="826" spans="3:3" x14ac:dyDescent="0.3">
      <c r="C826">
        <v>70.685905000000005</v>
      </c>
    </row>
    <row r="827" spans="3:3" x14ac:dyDescent="0.3">
      <c r="C827">
        <v>70.040749000000005</v>
      </c>
    </row>
    <row r="828" spans="3:3" x14ac:dyDescent="0.3">
      <c r="C828">
        <v>70.597260000000006</v>
      </c>
    </row>
    <row r="829" spans="3:3" x14ac:dyDescent="0.3">
      <c r="C829">
        <v>69.639351000000005</v>
      </c>
    </row>
    <row r="830" spans="3:3" x14ac:dyDescent="0.3">
      <c r="C830">
        <v>68.193862999999993</v>
      </c>
    </row>
    <row r="831" spans="3:3" x14ac:dyDescent="0.3">
      <c r="C831">
        <v>66.085967999999994</v>
      </c>
    </row>
    <row r="832" spans="3:3" x14ac:dyDescent="0.3">
      <c r="C832">
        <v>67.989470999999995</v>
      </c>
    </row>
    <row r="833" spans="3:3" x14ac:dyDescent="0.3">
      <c r="C833">
        <v>67.725998000000004</v>
      </c>
    </row>
    <row r="834" spans="3:3" x14ac:dyDescent="0.3">
      <c r="C834">
        <v>69.681213</v>
      </c>
    </row>
    <row r="835" spans="3:3" x14ac:dyDescent="0.3">
      <c r="C835">
        <v>69.730468999999999</v>
      </c>
    </row>
    <row r="836" spans="3:3" x14ac:dyDescent="0.3">
      <c r="C836">
        <v>68.600173999999996</v>
      </c>
    </row>
    <row r="837" spans="3:3" x14ac:dyDescent="0.3">
      <c r="C837">
        <v>70.853378000000006</v>
      </c>
    </row>
    <row r="838" spans="3:3" x14ac:dyDescent="0.3">
      <c r="C838">
        <v>72.348090999999997</v>
      </c>
    </row>
    <row r="839" spans="3:3" x14ac:dyDescent="0.3">
      <c r="C839">
        <v>71.183350000000004</v>
      </c>
    </row>
    <row r="840" spans="3:3" x14ac:dyDescent="0.3">
      <c r="C840">
        <v>72.190498000000005</v>
      </c>
    </row>
    <row r="841" spans="3:3" x14ac:dyDescent="0.3">
      <c r="C841">
        <v>73.274010000000004</v>
      </c>
    </row>
    <row r="842" spans="3:3" x14ac:dyDescent="0.3">
      <c r="C842">
        <v>74.029990999999995</v>
      </c>
    </row>
    <row r="843" spans="3:3" x14ac:dyDescent="0.3">
      <c r="C843">
        <v>74.795806999999996</v>
      </c>
    </row>
    <row r="844" spans="3:3" x14ac:dyDescent="0.3">
      <c r="C844">
        <v>76.576080000000005</v>
      </c>
    </row>
    <row r="845" spans="3:3" x14ac:dyDescent="0.3">
      <c r="C845">
        <v>77.781029000000004</v>
      </c>
    </row>
    <row r="846" spans="3:3" x14ac:dyDescent="0.3">
      <c r="C846">
        <v>76.892135999999994</v>
      </c>
    </row>
    <row r="847" spans="3:3" x14ac:dyDescent="0.3">
      <c r="C847">
        <v>75.963729999999998</v>
      </c>
    </row>
    <row r="848" spans="3:3" x14ac:dyDescent="0.3">
      <c r="C848">
        <v>76.430412000000004</v>
      </c>
    </row>
    <row r="849" spans="3:3" x14ac:dyDescent="0.3">
      <c r="C849">
        <v>75.978531000000004</v>
      </c>
    </row>
    <row r="850" spans="3:3" x14ac:dyDescent="0.3">
      <c r="C850">
        <v>77.768676999999997</v>
      </c>
    </row>
    <row r="851" spans="3:3" x14ac:dyDescent="0.3">
      <c r="C851">
        <v>77.319312999999994</v>
      </c>
    </row>
    <row r="852" spans="3:3" x14ac:dyDescent="0.3">
      <c r="C852">
        <v>78.823029000000005</v>
      </c>
    </row>
    <row r="853" spans="3:3" x14ac:dyDescent="0.3">
      <c r="C853">
        <v>78.235352000000006</v>
      </c>
    </row>
    <row r="854" spans="3:3" x14ac:dyDescent="0.3">
      <c r="C854">
        <v>78.739067000000006</v>
      </c>
    </row>
    <row r="855" spans="3:3" x14ac:dyDescent="0.3">
      <c r="C855">
        <v>78.205726999999996</v>
      </c>
    </row>
    <row r="856" spans="3:3" x14ac:dyDescent="0.3">
      <c r="C856">
        <v>78.546470999999997</v>
      </c>
    </row>
    <row r="857" spans="3:3" x14ac:dyDescent="0.3">
      <c r="C857">
        <v>78.581023999999999</v>
      </c>
    </row>
    <row r="858" spans="3:3" x14ac:dyDescent="0.3">
      <c r="C858">
        <v>78.504501000000005</v>
      </c>
    </row>
    <row r="859" spans="3:3" x14ac:dyDescent="0.3">
      <c r="C859">
        <v>79.469932999999997</v>
      </c>
    </row>
    <row r="860" spans="3:3" x14ac:dyDescent="0.3">
      <c r="C860">
        <v>79.837836999999993</v>
      </c>
    </row>
    <row r="861" spans="3:3" x14ac:dyDescent="0.3">
      <c r="C861">
        <v>80.277359000000004</v>
      </c>
    </row>
    <row r="862" spans="3:3" x14ac:dyDescent="0.3">
      <c r="C862">
        <v>79.585999000000001</v>
      </c>
    </row>
    <row r="863" spans="3:3" x14ac:dyDescent="0.3">
      <c r="C863">
        <v>81.852683999999996</v>
      </c>
    </row>
    <row r="864" spans="3:3" x14ac:dyDescent="0.3">
      <c r="C864">
        <v>82.336624</v>
      </c>
    </row>
    <row r="865" spans="3:3" x14ac:dyDescent="0.3">
      <c r="C865">
        <v>84.936645999999996</v>
      </c>
    </row>
    <row r="866" spans="3:3" x14ac:dyDescent="0.3">
      <c r="C866">
        <v>87.121857000000006</v>
      </c>
    </row>
    <row r="867" spans="3:3" x14ac:dyDescent="0.3">
      <c r="C867">
        <v>82.939102000000005</v>
      </c>
    </row>
    <row r="868" spans="3:3" x14ac:dyDescent="0.3">
      <c r="C868">
        <v>83.655158999999998</v>
      </c>
    </row>
    <row r="869" spans="3:3" x14ac:dyDescent="0.3">
      <c r="C869">
        <v>84.689743000000007</v>
      </c>
    </row>
    <row r="870" spans="3:3" x14ac:dyDescent="0.3">
      <c r="C870">
        <v>86.934203999999994</v>
      </c>
    </row>
    <row r="871" spans="3:3" x14ac:dyDescent="0.3">
      <c r="C871">
        <v>86.813231999999999</v>
      </c>
    </row>
    <row r="872" spans="3:3" x14ac:dyDescent="0.3">
      <c r="C872">
        <v>86.847793999999993</v>
      </c>
    </row>
    <row r="873" spans="3:3" x14ac:dyDescent="0.3">
      <c r="C873">
        <v>86.351478999999998</v>
      </c>
    </row>
    <row r="874" spans="3:3" x14ac:dyDescent="0.3">
      <c r="C874">
        <v>88.610771</v>
      </c>
    </row>
    <row r="875" spans="3:3" x14ac:dyDescent="0.3">
      <c r="C875">
        <v>90.502150999999998</v>
      </c>
    </row>
    <row r="876" spans="3:3" x14ac:dyDescent="0.3">
      <c r="C876">
        <v>88.904594000000003</v>
      </c>
    </row>
    <row r="877" spans="3:3" x14ac:dyDescent="0.3">
      <c r="C877">
        <v>90.084862000000001</v>
      </c>
    </row>
    <row r="878" spans="3:3" x14ac:dyDescent="0.3">
      <c r="C878">
        <v>87.316933000000006</v>
      </c>
    </row>
    <row r="879" spans="3:3" x14ac:dyDescent="0.3">
      <c r="C879">
        <v>89.329300000000003</v>
      </c>
    </row>
    <row r="880" spans="3:3" x14ac:dyDescent="0.3">
      <c r="C880">
        <v>90.074973999999997</v>
      </c>
    </row>
    <row r="881" spans="3:3" x14ac:dyDescent="0.3">
      <c r="C881">
        <v>89.904601999999997</v>
      </c>
    </row>
    <row r="882" spans="3:3" x14ac:dyDescent="0.3">
      <c r="C882">
        <v>89.904601999999997</v>
      </c>
    </row>
    <row r="883" spans="3:3" x14ac:dyDescent="0.3">
      <c r="C883">
        <v>92.309578000000002</v>
      </c>
    </row>
    <row r="884" spans="3:3" x14ac:dyDescent="0.3">
      <c r="C884">
        <v>92.023148000000006</v>
      </c>
    </row>
    <row r="885" spans="3:3" x14ac:dyDescent="0.3">
      <c r="C885">
        <v>94.166374000000005</v>
      </c>
    </row>
    <row r="886" spans="3:3" x14ac:dyDescent="0.3">
      <c r="C886">
        <v>94.571335000000005</v>
      </c>
    </row>
    <row r="887" spans="3:3" x14ac:dyDescent="0.3">
      <c r="C887">
        <v>94.736755000000002</v>
      </c>
    </row>
    <row r="888" spans="3:3" x14ac:dyDescent="0.3">
      <c r="C888">
        <v>94.299728000000002</v>
      </c>
    </row>
    <row r="889" spans="3:3" x14ac:dyDescent="0.3">
      <c r="C889">
        <v>95.860229000000004</v>
      </c>
    </row>
    <row r="890" spans="3:3" x14ac:dyDescent="0.3">
      <c r="C890">
        <v>96.519485000000003</v>
      </c>
    </row>
    <row r="891" spans="3:3" x14ac:dyDescent="0.3">
      <c r="C891">
        <v>95.331833000000003</v>
      </c>
    </row>
    <row r="892" spans="3:3" x14ac:dyDescent="0.3">
      <c r="C892">
        <v>95.139229</v>
      </c>
    </row>
    <row r="893" spans="3:3" x14ac:dyDescent="0.3">
      <c r="C893">
        <v>97.144188</v>
      </c>
    </row>
    <row r="894" spans="3:3" x14ac:dyDescent="0.3">
      <c r="C894">
        <v>95.803436000000005</v>
      </c>
    </row>
    <row r="895" spans="3:3" x14ac:dyDescent="0.3">
      <c r="C895">
        <v>96.072570999999996</v>
      </c>
    </row>
    <row r="896" spans="3:3" x14ac:dyDescent="0.3">
      <c r="C896">
        <v>91.699691999999999</v>
      </c>
    </row>
    <row r="897" spans="3:3" x14ac:dyDescent="0.3">
      <c r="C897">
        <v>91.472526999999999</v>
      </c>
    </row>
    <row r="898" spans="3:3" x14ac:dyDescent="0.3">
      <c r="C898">
        <v>93.640450000000001</v>
      </c>
    </row>
    <row r="899" spans="3:3" x14ac:dyDescent="0.3">
      <c r="C899">
        <v>92.102164999999999</v>
      </c>
    </row>
    <row r="900" spans="3:3" x14ac:dyDescent="0.3">
      <c r="C900">
        <v>93.867615000000001</v>
      </c>
    </row>
    <row r="901" spans="3:3" x14ac:dyDescent="0.3">
      <c r="C901">
        <v>95.003433000000001</v>
      </c>
    </row>
    <row r="902" spans="3:3" x14ac:dyDescent="0.3">
      <c r="C902">
        <v>104.94921100000001</v>
      </c>
    </row>
    <row r="903" spans="3:3" x14ac:dyDescent="0.3">
      <c r="C903">
        <v>107.59367399999999</v>
      </c>
    </row>
    <row r="904" spans="3:3" x14ac:dyDescent="0.3">
      <c r="C904">
        <v>108.312195</v>
      </c>
    </row>
    <row r="905" spans="3:3" x14ac:dyDescent="0.3">
      <c r="C905">
        <v>108.70478799999999</v>
      </c>
    </row>
    <row r="906" spans="3:3" x14ac:dyDescent="0.3">
      <c r="C906">
        <v>112.497429</v>
      </c>
    </row>
    <row r="907" spans="3:3" x14ac:dyDescent="0.3">
      <c r="C907">
        <v>109.939705</v>
      </c>
    </row>
    <row r="908" spans="3:3" x14ac:dyDescent="0.3">
      <c r="C908">
        <v>111.537666</v>
      </c>
    </row>
    <row r="909" spans="3:3" x14ac:dyDescent="0.3">
      <c r="C909">
        <v>108.220551</v>
      </c>
    </row>
    <row r="910" spans="3:3" x14ac:dyDescent="0.3">
      <c r="C910">
        <v>111.817177</v>
      </c>
    </row>
    <row r="911" spans="3:3" x14ac:dyDescent="0.3">
      <c r="C911">
        <v>113.796074</v>
      </c>
    </row>
    <row r="912" spans="3:3" x14ac:dyDescent="0.3">
      <c r="C912">
        <v>113.694664</v>
      </c>
    </row>
    <row r="913" spans="3:3" x14ac:dyDescent="0.3">
      <c r="C913">
        <v>113.39782</v>
      </c>
    </row>
    <row r="914" spans="3:3" x14ac:dyDescent="0.3">
      <c r="C914">
        <v>114.342743</v>
      </c>
    </row>
    <row r="915" spans="3:3" x14ac:dyDescent="0.3">
      <c r="C915">
        <v>114.486206</v>
      </c>
    </row>
    <row r="916" spans="3:3" x14ac:dyDescent="0.3">
      <c r="C916">
        <v>117.026611</v>
      </c>
    </row>
    <row r="917" spans="3:3" x14ac:dyDescent="0.3">
      <c r="C917">
        <v>123.05727400000001</v>
      </c>
    </row>
    <row r="918" spans="3:3" x14ac:dyDescent="0.3">
      <c r="C918">
        <v>124.529076</v>
      </c>
    </row>
    <row r="919" spans="3:3" x14ac:dyDescent="0.3">
      <c r="C919">
        <v>123.507469</v>
      </c>
    </row>
    <row r="920" spans="3:3" x14ac:dyDescent="0.3">
      <c r="C920">
        <v>125.187073</v>
      </c>
    </row>
    <row r="921" spans="3:3" x14ac:dyDescent="0.3">
      <c r="C921">
        <v>123.690529</v>
      </c>
    </row>
    <row r="922" spans="3:3" x14ac:dyDescent="0.3">
      <c r="C922">
        <v>123.490166</v>
      </c>
    </row>
    <row r="923" spans="3:3" x14ac:dyDescent="0.3">
      <c r="C923">
        <v>127.677994</v>
      </c>
    </row>
    <row r="924" spans="3:3" x14ac:dyDescent="0.3">
      <c r="C924">
        <v>132.763733</v>
      </c>
    </row>
    <row r="925" spans="3:3" x14ac:dyDescent="0.3">
      <c r="C925">
        <v>130.01307700000001</v>
      </c>
    </row>
    <row r="926" spans="3:3" x14ac:dyDescent="0.3">
      <c r="C926">
        <v>119.604111</v>
      </c>
    </row>
    <row r="927" spans="3:3" x14ac:dyDescent="0.3">
      <c r="C927">
        <v>119.683273</v>
      </c>
    </row>
    <row r="928" spans="3:3" x14ac:dyDescent="0.3">
      <c r="C928">
        <v>111.629189</v>
      </c>
    </row>
    <row r="929" spans="3:3" x14ac:dyDescent="0.3">
      <c r="C929">
        <v>116.081703</v>
      </c>
    </row>
    <row r="930" spans="3:3" x14ac:dyDescent="0.3">
      <c r="C930">
        <v>112.292114</v>
      </c>
    </row>
    <row r="931" spans="3:3" x14ac:dyDescent="0.3">
      <c r="C931">
        <v>110.817848</v>
      </c>
    </row>
    <row r="932" spans="3:3" x14ac:dyDescent="0.3">
      <c r="C932">
        <v>114.14238</v>
      </c>
    </row>
    <row r="933" spans="3:3" x14ac:dyDescent="0.3">
      <c r="C933">
        <v>114.320488</v>
      </c>
    </row>
    <row r="934" spans="3:3" x14ac:dyDescent="0.3">
      <c r="C934">
        <v>110.946472</v>
      </c>
    </row>
    <row r="935" spans="3:3" x14ac:dyDescent="0.3">
      <c r="C935">
        <v>109.175354</v>
      </c>
    </row>
    <row r="936" spans="3:3" x14ac:dyDescent="0.3">
      <c r="C936">
        <v>105.71230300000001</v>
      </c>
    </row>
    <row r="937" spans="3:3" x14ac:dyDescent="0.3">
      <c r="C937">
        <v>108.918114</v>
      </c>
    </row>
    <row r="938" spans="3:3" x14ac:dyDescent="0.3">
      <c r="C938">
        <v>110.629852</v>
      </c>
    </row>
    <row r="939" spans="3:3" x14ac:dyDescent="0.3">
      <c r="C939">
        <v>105.989349</v>
      </c>
    </row>
    <row r="940" spans="3:3" x14ac:dyDescent="0.3">
      <c r="C940">
        <v>107.077744</v>
      </c>
    </row>
    <row r="941" spans="3:3" x14ac:dyDescent="0.3">
      <c r="C941">
        <v>111.094887</v>
      </c>
    </row>
    <row r="942" spans="3:3" x14ac:dyDescent="0.3">
      <c r="C942">
        <v>113.74659699999999</v>
      </c>
    </row>
    <row r="943" spans="3:3" x14ac:dyDescent="0.3">
      <c r="C943">
        <v>112.88578800000001</v>
      </c>
    </row>
    <row r="944" spans="3:3" x14ac:dyDescent="0.3">
      <c r="C944">
        <v>114.58762400000001</v>
      </c>
    </row>
    <row r="945" spans="3:3" x14ac:dyDescent="0.3">
      <c r="C945">
        <v>115.557289</v>
      </c>
    </row>
    <row r="946" spans="3:3" x14ac:dyDescent="0.3">
      <c r="C946">
        <v>111.827072</v>
      </c>
    </row>
    <row r="947" spans="3:3" x14ac:dyDescent="0.3">
      <c r="C947">
        <v>115.270348</v>
      </c>
    </row>
    <row r="948" spans="3:3" x14ac:dyDescent="0.3">
      <c r="C948">
        <v>111.965599</v>
      </c>
    </row>
    <row r="949" spans="3:3" x14ac:dyDescent="0.3">
      <c r="C949">
        <v>113.865341</v>
      </c>
    </row>
    <row r="950" spans="3:3" x14ac:dyDescent="0.3">
      <c r="C950">
        <v>113.7565</v>
      </c>
    </row>
    <row r="951" spans="3:3" x14ac:dyDescent="0.3">
      <c r="C951">
        <v>115.73539</v>
      </c>
    </row>
    <row r="952" spans="3:3" x14ac:dyDescent="0.3">
      <c r="C952">
        <v>123.086967</v>
      </c>
    </row>
    <row r="953" spans="3:3" x14ac:dyDescent="0.3">
      <c r="C953">
        <v>119.821793</v>
      </c>
    </row>
    <row r="954" spans="3:3" x14ac:dyDescent="0.3">
      <c r="C954">
        <v>119.91085099999999</v>
      </c>
    </row>
    <row r="955" spans="3:3" x14ac:dyDescent="0.3">
      <c r="C955">
        <v>119.43590500000001</v>
      </c>
    </row>
    <row r="956" spans="3:3" x14ac:dyDescent="0.3">
      <c r="C956">
        <v>117.76374800000001</v>
      </c>
    </row>
    <row r="957" spans="3:3" x14ac:dyDescent="0.3">
      <c r="C957">
        <v>114.755836</v>
      </c>
    </row>
    <row r="958" spans="3:3" x14ac:dyDescent="0.3">
      <c r="C958">
        <v>116.269684</v>
      </c>
    </row>
    <row r="959" spans="3:3" x14ac:dyDescent="0.3">
      <c r="C959">
        <v>115.636444</v>
      </c>
    </row>
    <row r="960" spans="3:3" x14ac:dyDescent="0.3">
      <c r="C960">
        <v>114.52825900000001</v>
      </c>
    </row>
    <row r="961" spans="3:3" x14ac:dyDescent="0.3">
      <c r="C961">
        <v>113.82576</v>
      </c>
    </row>
    <row r="962" spans="3:3" x14ac:dyDescent="0.3">
      <c r="C962">
        <v>113.835655</v>
      </c>
    </row>
    <row r="963" spans="3:3" x14ac:dyDescent="0.3">
      <c r="C963">
        <v>115.369286</v>
      </c>
    </row>
    <row r="964" spans="3:3" x14ac:dyDescent="0.3">
      <c r="C964">
        <v>110.02628300000001</v>
      </c>
    </row>
    <row r="965" spans="3:3" x14ac:dyDescent="0.3">
      <c r="C965">
        <v>114.10279800000001</v>
      </c>
    </row>
    <row r="966" spans="3:3" x14ac:dyDescent="0.3">
      <c r="C966">
        <v>107.71099100000001</v>
      </c>
    </row>
    <row r="967" spans="3:3" x14ac:dyDescent="0.3">
      <c r="C967">
        <v>107.621933</v>
      </c>
    </row>
    <row r="968" spans="3:3" x14ac:dyDescent="0.3">
      <c r="C968">
        <v>109.274315</v>
      </c>
    </row>
    <row r="969" spans="3:3" x14ac:dyDescent="0.3">
      <c r="C969">
        <v>113.736694</v>
      </c>
    </row>
    <row r="970" spans="3:3" x14ac:dyDescent="0.3">
      <c r="C970">
        <v>117.77364300000001</v>
      </c>
    </row>
    <row r="971" spans="3:3" x14ac:dyDescent="0.3">
      <c r="C971">
        <v>117.63983899999999</v>
      </c>
    </row>
    <row r="972" spans="3:3" x14ac:dyDescent="0.3">
      <c r="C972">
        <v>115.290802</v>
      </c>
    </row>
    <row r="973" spans="3:3" x14ac:dyDescent="0.3">
      <c r="C973">
        <v>114.943901</v>
      </c>
    </row>
    <row r="974" spans="3:3" x14ac:dyDescent="0.3">
      <c r="C974">
        <v>118.432755</v>
      </c>
    </row>
    <row r="975" spans="3:3" x14ac:dyDescent="0.3">
      <c r="C975">
        <v>118.15525100000001</v>
      </c>
    </row>
    <row r="976" spans="3:3" x14ac:dyDescent="0.3">
      <c r="C976">
        <v>118.204803</v>
      </c>
    </row>
    <row r="977" spans="3:3" x14ac:dyDescent="0.3">
      <c r="C977">
        <v>119.235603</v>
      </c>
    </row>
    <row r="978" spans="3:3" x14ac:dyDescent="0.3">
      <c r="C978">
        <v>118.33364899999999</v>
      </c>
    </row>
    <row r="979" spans="3:3" x14ac:dyDescent="0.3">
      <c r="C979">
        <v>116.98568</v>
      </c>
    </row>
    <row r="980" spans="3:3" x14ac:dyDescent="0.3">
      <c r="C980">
        <v>117.59028600000001</v>
      </c>
    </row>
    <row r="981" spans="3:3" x14ac:dyDescent="0.3">
      <c r="C981">
        <v>116.30178100000001</v>
      </c>
    </row>
    <row r="982" spans="3:3" x14ac:dyDescent="0.3">
      <c r="C982">
        <v>112.84266700000001</v>
      </c>
    </row>
    <row r="983" spans="3:3" x14ac:dyDescent="0.3">
      <c r="C983">
        <v>114.150986</v>
      </c>
    </row>
    <row r="984" spans="3:3" x14ac:dyDescent="0.3">
      <c r="C984">
        <v>115.003372</v>
      </c>
    </row>
    <row r="985" spans="3:3" x14ac:dyDescent="0.3">
      <c r="C985">
        <v>115.558426</v>
      </c>
    </row>
    <row r="986" spans="3:3" x14ac:dyDescent="0.3">
      <c r="C986">
        <v>117.996658</v>
      </c>
    </row>
    <row r="987" spans="3:3" x14ac:dyDescent="0.3">
      <c r="C987">
        <v>121.634186</v>
      </c>
    </row>
    <row r="988" spans="3:3" x14ac:dyDescent="0.3">
      <c r="C988">
        <v>121.991005</v>
      </c>
    </row>
    <row r="989" spans="3:3" x14ac:dyDescent="0.3">
      <c r="C989">
        <v>121.852242</v>
      </c>
    </row>
    <row r="990" spans="3:3" x14ac:dyDescent="0.3">
      <c r="C990">
        <v>121.16834299999999</v>
      </c>
    </row>
    <row r="991" spans="3:3" x14ac:dyDescent="0.3">
      <c r="C991">
        <v>122.655075</v>
      </c>
    </row>
    <row r="992" spans="3:3" x14ac:dyDescent="0.3">
      <c r="C992">
        <v>123.279488</v>
      </c>
    </row>
    <row r="993" spans="3:3" x14ac:dyDescent="0.3">
      <c r="C993">
        <v>120.70249200000001</v>
      </c>
    </row>
    <row r="994" spans="3:3" x14ac:dyDescent="0.3">
      <c r="C994">
        <v>122.149574</v>
      </c>
    </row>
    <row r="995" spans="3:3" x14ac:dyDescent="0.3">
      <c r="C995">
        <v>121.326927</v>
      </c>
    </row>
    <row r="996" spans="3:3" x14ac:dyDescent="0.3">
      <c r="C996">
        <v>120.70249200000001</v>
      </c>
    </row>
    <row r="997" spans="3:3" x14ac:dyDescent="0.3">
      <c r="C997">
        <v>126.74852799999999</v>
      </c>
    </row>
    <row r="998" spans="3:3" x14ac:dyDescent="0.3">
      <c r="C998">
        <v>126.679146</v>
      </c>
    </row>
    <row r="999" spans="3:3" x14ac:dyDescent="0.3">
      <c r="C999">
        <v>127.561279</v>
      </c>
    </row>
    <row r="1000" spans="3:3" x14ac:dyDescent="0.3">
      <c r="C1000">
        <v>125.539322</v>
      </c>
    </row>
    <row r="1001" spans="3:3" x14ac:dyDescent="0.3">
      <c r="C1001">
        <v>127.095428</v>
      </c>
    </row>
    <row r="1002" spans="3:3" x14ac:dyDescent="0.3">
      <c r="C1002">
        <v>130.71315000000001</v>
      </c>
    </row>
    <row r="1003" spans="3:3" x14ac:dyDescent="0.3">
      <c r="C1003">
        <v>129.8013</v>
      </c>
    </row>
    <row r="1004" spans="3:3" x14ac:dyDescent="0.3">
      <c r="C1004">
        <v>130.80233799999999</v>
      </c>
    </row>
    <row r="1005" spans="3:3" x14ac:dyDescent="0.3">
      <c r="C1005">
        <v>135.48057600000001</v>
      </c>
    </row>
    <row r="1006" spans="3:3" x14ac:dyDescent="0.3">
      <c r="C1006">
        <v>133.676682</v>
      </c>
    </row>
    <row r="1007" spans="3:3" x14ac:dyDescent="0.3">
      <c r="C1007">
        <v>132.53684999999999</v>
      </c>
    </row>
    <row r="1008" spans="3:3" x14ac:dyDescent="0.3">
      <c r="C1008">
        <v>131.515961</v>
      </c>
    </row>
    <row r="1009" spans="3:3" x14ac:dyDescent="0.3">
      <c r="C1009">
        <v>128.26499899999999</v>
      </c>
    </row>
    <row r="1010" spans="3:3" x14ac:dyDescent="0.3">
      <c r="C1010">
        <v>129.85083</v>
      </c>
    </row>
    <row r="1011" spans="3:3" x14ac:dyDescent="0.3">
      <c r="C1011">
        <v>125.479843</v>
      </c>
    </row>
    <row r="1012" spans="3:3" x14ac:dyDescent="0.3">
      <c r="C1012">
        <v>129.761627</v>
      </c>
    </row>
    <row r="1013" spans="3:3" x14ac:dyDescent="0.3">
      <c r="C1013">
        <v>130.88163800000001</v>
      </c>
    </row>
    <row r="1014" spans="3:3" x14ac:dyDescent="0.3">
      <c r="C1014">
        <v>127.83879899999999</v>
      </c>
    </row>
    <row r="1015" spans="3:3" x14ac:dyDescent="0.3">
      <c r="C1015">
        <v>127.66038500000001</v>
      </c>
    </row>
    <row r="1016" spans="3:3" x14ac:dyDescent="0.3">
      <c r="C1016">
        <v>129.73190299999999</v>
      </c>
    </row>
    <row r="1017" spans="3:3" x14ac:dyDescent="0.3">
      <c r="C1017">
        <v>127.769424</v>
      </c>
    </row>
    <row r="1018" spans="3:3" x14ac:dyDescent="0.3">
      <c r="C1018">
        <v>126.015068</v>
      </c>
    </row>
    <row r="1019" spans="3:3" x14ac:dyDescent="0.3">
      <c r="C1019">
        <v>126.698975</v>
      </c>
    </row>
    <row r="1020" spans="3:3" x14ac:dyDescent="0.3">
      <c r="C1020">
        <v>130.861816</v>
      </c>
    </row>
    <row r="1021" spans="3:3" x14ac:dyDescent="0.3">
      <c r="C1021">
        <v>135.658997</v>
      </c>
    </row>
    <row r="1022" spans="3:3" x14ac:dyDescent="0.3">
      <c r="C1022">
        <v>137.839539</v>
      </c>
    </row>
    <row r="1023" spans="3:3" x14ac:dyDescent="0.3">
      <c r="C1023">
        <v>141.655441</v>
      </c>
    </row>
    <row r="1024" spans="3:3" x14ac:dyDescent="0.3">
      <c r="C1024">
        <v>141.89335600000001</v>
      </c>
    </row>
    <row r="1025" spans="3:3" x14ac:dyDescent="0.3">
      <c r="C1025">
        <v>140.80306999999999</v>
      </c>
    </row>
    <row r="1026" spans="3:3" x14ac:dyDescent="0.3">
      <c r="C1026">
        <v>135.87702899999999</v>
      </c>
    </row>
    <row r="1027" spans="3:3" x14ac:dyDescent="0.3">
      <c r="C1027">
        <v>130.79243500000001</v>
      </c>
    </row>
    <row r="1028" spans="3:3" x14ac:dyDescent="0.3">
      <c r="C1028">
        <v>132.953125</v>
      </c>
    </row>
    <row r="1029" spans="3:3" x14ac:dyDescent="0.3">
      <c r="C1029">
        <v>133.79563899999999</v>
      </c>
    </row>
    <row r="1030" spans="3:3" x14ac:dyDescent="0.3">
      <c r="C1030">
        <v>132.754898</v>
      </c>
    </row>
    <row r="1031" spans="3:3" x14ac:dyDescent="0.3">
      <c r="C1031">
        <v>136.17437699999999</v>
      </c>
    </row>
    <row r="1032" spans="3:3" x14ac:dyDescent="0.3">
      <c r="C1032">
        <v>135.75250199999999</v>
      </c>
    </row>
    <row r="1033" spans="3:3" x14ac:dyDescent="0.3">
      <c r="C1033">
        <v>135.90141299999999</v>
      </c>
    </row>
    <row r="1034" spans="3:3" x14ac:dyDescent="0.3">
      <c r="C1034">
        <v>135.008026</v>
      </c>
    </row>
    <row r="1035" spans="3:3" x14ac:dyDescent="0.3">
      <c r="C1035">
        <v>134.39259300000001</v>
      </c>
    </row>
    <row r="1036" spans="3:3" x14ac:dyDescent="0.3">
      <c r="C1036">
        <v>134.13450599999999</v>
      </c>
    </row>
    <row r="1037" spans="3:3" x14ac:dyDescent="0.3">
      <c r="C1037">
        <v>134.372726</v>
      </c>
    </row>
    <row r="1038" spans="3:3" x14ac:dyDescent="0.3">
      <c r="C1038">
        <v>132.20880099999999</v>
      </c>
    </row>
    <row r="1039" spans="3:3" x14ac:dyDescent="0.3">
      <c r="C1039">
        <v>129.87612899999999</v>
      </c>
    </row>
    <row r="1040" spans="3:3" x14ac:dyDescent="0.3">
      <c r="C1040">
        <v>128.754456</v>
      </c>
    </row>
    <row r="1041" spans="3:3" x14ac:dyDescent="0.3">
      <c r="C1041">
        <v>128.91326900000001</v>
      </c>
    </row>
    <row r="1042" spans="3:3" x14ac:dyDescent="0.3">
      <c r="C1042">
        <v>125.07178500000001</v>
      </c>
    </row>
    <row r="1043" spans="3:3" x14ac:dyDescent="0.3">
      <c r="C1043">
        <v>124.932823</v>
      </c>
    </row>
    <row r="1044" spans="3:3" x14ac:dyDescent="0.3">
      <c r="C1044">
        <v>124.42656700000001</v>
      </c>
    </row>
    <row r="1045" spans="3:3" x14ac:dyDescent="0.3">
      <c r="C1045">
        <v>120.098679</v>
      </c>
    </row>
    <row r="1046" spans="3:3" x14ac:dyDescent="0.3">
      <c r="C1046">
        <v>120.366699</v>
      </c>
    </row>
    <row r="1047" spans="3:3" x14ac:dyDescent="0.3">
      <c r="C1047">
        <v>126.848602</v>
      </c>
    </row>
    <row r="1048" spans="3:3" x14ac:dyDescent="0.3">
      <c r="C1048">
        <v>124.198273</v>
      </c>
    </row>
    <row r="1049" spans="3:3" x14ac:dyDescent="0.3">
      <c r="C1049">
        <v>121.160797</v>
      </c>
    </row>
    <row r="1050" spans="3:3" x14ac:dyDescent="0.3">
      <c r="C1050">
        <v>119.245018</v>
      </c>
    </row>
    <row r="1051" spans="3:3" x14ac:dyDescent="0.3">
      <c r="C1051">
        <v>120.525513</v>
      </c>
    </row>
    <row r="1052" spans="3:3" x14ac:dyDescent="0.3">
      <c r="C1052">
        <v>115.50279999999999</v>
      </c>
    </row>
    <row r="1053" spans="3:3" x14ac:dyDescent="0.3">
      <c r="C1053">
        <v>120.197952</v>
      </c>
    </row>
    <row r="1054" spans="3:3" x14ac:dyDescent="0.3">
      <c r="C1054">
        <v>119.096138</v>
      </c>
    </row>
    <row r="1055" spans="3:3" x14ac:dyDescent="0.3">
      <c r="C1055">
        <v>121.061531</v>
      </c>
    </row>
    <row r="1056" spans="3:3" x14ac:dyDescent="0.3">
      <c r="C1056">
        <v>120.138397</v>
      </c>
    </row>
    <row r="1057" spans="3:3" x14ac:dyDescent="0.3">
      <c r="C1057">
        <v>123.076576</v>
      </c>
    </row>
    <row r="1058" spans="3:3" x14ac:dyDescent="0.3">
      <c r="C1058">
        <v>124.644943</v>
      </c>
    </row>
    <row r="1059" spans="3:3" x14ac:dyDescent="0.3">
      <c r="C1059">
        <v>123.840912</v>
      </c>
    </row>
    <row r="1060" spans="3:3" x14ac:dyDescent="0.3">
      <c r="C1060">
        <v>119.64207500000001</v>
      </c>
    </row>
    <row r="1061" spans="3:3" x14ac:dyDescent="0.3">
      <c r="C1061">
        <v>119.106049</v>
      </c>
    </row>
    <row r="1062" spans="3:3" x14ac:dyDescent="0.3">
      <c r="C1062">
        <v>122.48101</v>
      </c>
    </row>
    <row r="1063" spans="3:3" x14ac:dyDescent="0.3">
      <c r="C1063">
        <v>121.637276</v>
      </c>
    </row>
    <row r="1064" spans="3:3" x14ac:dyDescent="0.3">
      <c r="C1064">
        <v>119.205315</v>
      </c>
    </row>
    <row r="1065" spans="3:3" x14ac:dyDescent="0.3">
      <c r="C1065">
        <v>119.70162999999999</v>
      </c>
    </row>
    <row r="1066" spans="3:3" x14ac:dyDescent="0.3">
      <c r="C1066">
        <v>120.31706200000001</v>
      </c>
    </row>
    <row r="1067" spans="3:3" x14ac:dyDescent="0.3">
      <c r="C1067">
        <v>120.495743</v>
      </c>
    </row>
    <row r="1068" spans="3:3" x14ac:dyDescent="0.3">
      <c r="C1068">
        <v>119.016716</v>
      </c>
    </row>
    <row r="1069" spans="3:3" x14ac:dyDescent="0.3">
      <c r="C1069">
        <v>121.250145</v>
      </c>
    </row>
    <row r="1070" spans="3:3" x14ac:dyDescent="0.3">
      <c r="C1070">
        <v>122.09388</v>
      </c>
    </row>
    <row r="1071" spans="3:3" x14ac:dyDescent="0.3">
      <c r="C1071">
        <v>124.97251900000001</v>
      </c>
    </row>
    <row r="1072" spans="3:3" x14ac:dyDescent="0.3">
      <c r="C1072">
        <v>125.280243</v>
      </c>
    </row>
    <row r="1073" spans="3:3" x14ac:dyDescent="0.3">
      <c r="C1073">
        <v>126.957787</v>
      </c>
    </row>
    <row r="1074" spans="3:3" x14ac:dyDescent="0.3">
      <c r="C1074">
        <v>129.39965799999999</v>
      </c>
    </row>
    <row r="1075" spans="3:3" x14ac:dyDescent="0.3">
      <c r="C1075">
        <v>132.020218</v>
      </c>
    </row>
    <row r="1076" spans="3:3" x14ac:dyDescent="0.3">
      <c r="C1076">
        <v>130.27316300000001</v>
      </c>
    </row>
    <row r="1077" spans="3:3" x14ac:dyDescent="0.3">
      <c r="C1077">
        <v>133.439682</v>
      </c>
    </row>
    <row r="1078" spans="3:3" x14ac:dyDescent="0.3">
      <c r="C1078">
        <v>131.05735799999999</v>
      </c>
    </row>
    <row r="1079" spans="3:3" x14ac:dyDescent="0.3">
      <c r="C1079">
        <v>133.50917100000001</v>
      </c>
    </row>
    <row r="1080" spans="3:3" x14ac:dyDescent="0.3">
      <c r="C1080">
        <v>133.171661</v>
      </c>
    </row>
    <row r="1081" spans="3:3" x14ac:dyDescent="0.3">
      <c r="C1081">
        <v>133.84664900000001</v>
      </c>
    </row>
    <row r="1082" spans="3:3" x14ac:dyDescent="0.3">
      <c r="C1082">
        <v>132.12941000000001</v>
      </c>
    </row>
    <row r="1083" spans="3:3" x14ac:dyDescent="0.3">
      <c r="C1083">
        <v>132.516525</v>
      </c>
    </row>
    <row r="1084" spans="3:3" x14ac:dyDescent="0.3">
      <c r="C1084">
        <v>130.968018</v>
      </c>
    </row>
    <row r="1085" spans="3:3" x14ac:dyDescent="0.3">
      <c r="C1085">
        <v>133.33049</v>
      </c>
    </row>
    <row r="1086" spans="3:3" x14ac:dyDescent="0.3">
      <c r="C1086">
        <v>133.72753900000001</v>
      </c>
    </row>
    <row r="1087" spans="3:3" x14ac:dyDescent="0.3">
      <c r="C1087">
        <v>133.39994799999999</v>
      </c>
    </row>
    <row r="1088" spans="3:3" x14ac:dyDescent="0.3">
      <c r="C1088">
        <v>132.595932</v>
      </c>
    </row>
    <row r="1089" spans="3:3" x14ac:dyDescent="0.3">
      <c r="C1089">
        <v>132.49667400000001</v>
      </c>
    </row>
    <row r="1090" spans="3:3" x14ac:dyDescent="0.3">
      <c r="C1090">
        <v>130.49156199999999</v>
      </c>
    </row>
    <row r="1091" spans="3:3" x14ac:dyDescent="0.3">
      <c r="C1091">
        <v>131.56359900000001</v>
      </c>
    </row>
    <row r="1092" spans="3:3" x14ac:dyDescent="0.3">
      <c r="C1092">
        <v>126.908142</v>
      </c>
    </row>
    <row r="1093" spans="3:3" x14ac:dyDescent="0.3">
      <c r="C1093">
        <v>127.156311</v>
      </c>
    </row>
    <row r="1094" spans="3:3" x14ac:dyDescent="0.3">
      <c r="C1094">
        <v>128.78424100000001</v>
      </c>
    </row>
    <row r="1095" spans="3:3" x14ac:dyDescent="0.3">
      <c r="C1095">
        <v>129.47030599999999</v>
      </c>
    </row>
    <row r="1096" spans="3:3" x14ac:dyDescent="0.3">
      <c r="C1096">
        <v>126.129402</v>
      </c>
    </row>
    <row r="1097" spans="3:3" x14ac:dyDescent="0.3">
      <c r="C1097">
        <v>125.194733</v>
      </c>
    </row>
    <row r="1098" spans="3:3" x14ac:dyDescent="0.3">
      <c r="C1098">
        <v>122.072563</v>
      </c>
    </row>
    <row r="1099" spans="3:3" x14ac:dyDescent="0.3">
      <c r="C1099">
        <v>124.26007799999999</v>
      </c>
    </row>
    <row r="1100" spans="3:3" x14ac:dyDescent="0.3">
      <c r="C1100">
        <v>126.725983</v>
      </c>
    </row>
    <row r="1101" spans="3:3" x14ac:dyDescent="0.3">
      <c r="C1101">
        <v>125.55268100000001</v>
      </c>
    </row>
    <row r="1102" spans="3:3" x14ac:dyDescent="0.3">
      <c r="C1102">
        <v>124.140755</v>
      </c>
    </row>
    <row r="1103" spans="3:3" x14ac:dyDescent="0.3">
      <c r="C1103">
        <v>123.981667</v>
      </c>
    </row>
    <row r="1104" spans="3:3" x14ac:dyDescent="0.3">
      <c r="C1104">
        <v>126.586777</v>
      </c>
    </row>
    <row r="1105" spans="3:3" x14ac:dyDescent="0.3">
      <c r="C1105">
        <v>124.717461</v>
      </c>
    </row>
    <row r="1106" spans="3:3" x14ac:dyDescent="0.3">
      <c r="C1106">
        <v>126.37797500000001</v>
      </c>
    </row>
    <row r="1107" spans="3:3" x14ac:dyDescent="0.3">
      <c r="C1107">
        <v>126.179108</v>
      </c>
    </row>
    <row r="1108" spans="3:3" x14ac:dyDescent="0.3">
      <c r="C1108">
        <v>126.129402</v>
      </c>
    </row>
    <row r="1109" spans="3:3" x14ac:dyDescent="0.3">
      <c r="C1109">
        <v>124.568314</v>
      </c>
    </row>
    <row r="1110" spans="3:3" x14ac:dyDescent="0.3">
      <c r="C1110">
        <v>123.90212200000001</v>
      </c>
    </row>
    <row r="1111" spans="3:3" x14ac:dyDescent="0.3">
      <c r="C1111">
        <v>123.57399700000001</v>
      </c>
    </row>
    <row r="1112" spans="3:3" x14ac:dyDescent="0.3">
      <c r="C1112">
        <v>124.34955600000001</v>
      </c>
    </row>
    <row r="1113" spans="3:3" x14ac:dyDescent="0.3">
      <c r="C1113">
        <v>122.838196</v>
      </c>
    </row>
    <row r="1114" spans="3:3" x14ac:dyDescent="0.3">
      <c r="C1114">
        <v>125.174843</v>
      </c>
    </row>
    <row r="1115" spans="3:3" x14ac:dyDescent="0.3">
      <c r="C1115">
        <v>125.184792</v>
      </c>
    </row>
    <row r="1116" spans="3:3" x14ac:dyDescent="0.3">
      <c r="C1116">
        <v>126.02002</v>
      </c>
    </row>
    <row r="1117" spans="3:3" x14ac:dyDescent="0.3">
      <c r="C1117">
        <v>126.407799</v>
      </c>
    </row>
    <row r="1118" spans="3:3" x14ac:dyDescent="0.3">
      <c r="C1118">
        <v>125.39360000000001</v>
      </c>
    </row>
    <row r="1119" spans="3:3" x14ac:dyDescent="0.3">
      <c r="C1119">
        <v>126.626549</v>
      </c>
    </row>
    <row r="1120" spans="3:3" x14ac:dyDescent="0.3">
      <c r="C1120">
        <v>129.73876999999999</v>
      </c>
    </row>
    <row r="1121" spans="3:3" x14ac:dyDescent="0.3">
      <c r="C1121">
        <v>128.90353400000001</v>
      </c>
    </row>
    <row r="1122" spans="3:3" x14ac:dyDescent="0.3">
      <c r="C1122">
        <v>129.41064499999999</v>
      </c>
    </row>
    <row r="1123" spans="3:3" x14ac:dyDescent="0.3">
      <c r="C1123">
        <v>131.04132100000001</v>
      </c>
    </row>
    <row r="1124" spans="3:3" x14ac:dyDescent="0.3">
      <c r="C1124">
        <v>129.71890300000001</v>
      </c>
    </row>
    <row r="1125" spans="3:3" x14ac:dyDescent="0.3">
      <c r="C1125">
        <v>131.54843099999999</v>
      </c>
    </row>
    <row r="1126" spans="3:3" x14ac:dyDescent="0.3">
      <c r="C1126">
        <v>133.218887</v>
      </c>
    </row>
    <row r="1127" spans="3:3" x14ac:dyDescent="0.3">
      <c r="C1127">
        <v>132.94049100000001</v>
      </c>
    </row>
    <row r="1128" spans="3:3" x14ac:dyDescent="0.3">
      <c r="C1128">
        <v>132.65213</v>
      </c>
    </row>
    <row r="1129" spans="3:3" x14ac:dyDescent="0.3">
      <c r="C1129">
        <v>132.35382100000001</v>
      </c>
    </row>
    <row r="1130" spans="3:3" x14ac:dyDescent="0.3">
      <c r="C1130">
        <v>134.01432800000001</v>
      </c>
    </row>
    <row r="1131" spans="3:3" x14ac:dyDescent="0.3">
      <c r="C1131">
        <v>135.555542</v>
      </c>
    </row>
    <row r="1132" spans="3:3" x14ac:dyDescent="0.3">
      <c r="C1132">
        <v>136.181961</v>
      </c>
    </row>
    <row r="1133" spans="3:3" x14ac:dyDescent="0.3">
      <c r="C1133">
        <v>136.49020400000001</v>
      </c>
    </row>
    <row r="1134" spans="3:3" x14ac:dyDescent="0.3">
      <c r="C1134">
        <v>139.16493199999999</v>
      </c>
    </row>
    <row r="1135" spans="3:3" x14ac:dyDescent="0.3">
      <c r="C1135">
        <v>141.213211</v>
      </c>
    </row>
    <row r="1136" spans="3:3" x14ac:dyDescent="0.3">
      <c r="C1136">
        <v>143.748718</v>
      </c>
    </row>
    <row r="1137" spans="3:3" x14ac:dyDescent="0.3">
      <c r="C1137">
        <v>142.42628500000001</v>
      </c>
    </row>
    <row r="1138" spans="3:3" x14ac:dyDescent="0.3">
      <c r="C1138">
        <v>144.285675</v>
      </c>
    </row>
    <row r="1139" spans="3:3" x14ac:dyDescent="0.3">
      <c r="C1139">
        <v>143.679123</v>
      </c>
    </row>
    <row r="1140" spans="3:3" x14ac:dyDescent="0.3">
      <c r="C1140">
        <v>144.812637</v>
      </c>
    </row>
    <row r="1141" spans="3:3" x14ac:dyDescent="0.3">
      <c r="C1141">
        <v>148.30270400000001</v>
      </c>
    </row>
    <row r="1142" spans="3:3" x14ac:dyDescent="0.3">
      <c r="C1142">
        <v>147.63651999999999</v>
      </c>
    </row>
    <row r="1143" spans="3:3" x14ac:dyDescent="0.3">
      <c r="C1143">
        <v>145.55839499999999</v>
      </c>
    </row>
    <row r="1144" spans="3:3" x14ac:dyDescent="0.3">
      <c r="C1144">
        <v>141.64077800000001</v>
      </c>
    </row>
    <row r="1145" spans="3:3" x14ac:dyDescent="0.3">
      <c r="C1145">
        <v>145.319748</v>
      </c>
    </row>
    <row r="1146" spans="3:3" x14ac:dyDescent="0.3">
      <c r="C1146">
        <v>144.57399000000001</v>
      </c>
    </row>
    <row r="1147" spans="3:3" x14ac:dyDescent="0.3">
      <c r="C1147">
        <v>145.96606399999999</v>
      </c>
    </row>
    <row r="1148" spans="3:3" x14ac:dyDescent="0.3">
      <c r="C1148">
        <v>147.71606399999999</v>
      </c>
    </row>
    <row r="1149" spans="3:3" x14ac:dyDescent="0.3">
      <c r="C1149">
        <v>148.143631</v>
      </c>
    </row>
    <row r="1150" spans="3:3" x14ac:dyDescent="0.3">
      <c r="C1150">
        <v>145.936249</v>
      </c>
    </row>
    <row r="1151" spans="3:3" x14ac:dyDescent="0.3">
      <c r="C1151">
        <v>144.156387</v>
      </c>
    </row>
    <row r="1152" spans="3:3" x14ac:dyDescent="0.3">
      <c r="C1152">
        <v>144.812637</v>
      </c>
    </row>
    <row r="1153" spans="3:3" x14ac:dyDescent="0.3">
      <c r="C1153">
        <v>145.031387</v>
      </c>
    </row>
    <row r="1154" spans="3:3" x14ac:dyDescent="0.3">
      <c r="C1154">
        <v>144.693344</v>
      </c>
    </row>
    <row r="1155" spans="3:3" x14ac:dyDescent="0.3">
      <c r="C1155">
        <v>146.522873</v>
      </c>
    </row>
    <row r="1156" spans="3:3" x14ac:dyDescent="0.3">
      <c r="C1156">
        <v>146.115219</v>
      </c>
    </row>
    <row r="1157" spans="3:3" x14ac:dyDescent="0.3">
      <c r="C1157">
        <v>146.22457900000001</v>
      </c>
    </row>
    <row r="1158" spans="3:3" x14ac:dyDescent="0.3">
      <c r="C1158">
        <v>145.527512</v>
      </c>
    </row>
    <row r="1159" spans="3:3" x14ac:dyDescent="0.3">
      <c r="C1159">
        <v>145.477722</v>
      </c>
    </row>
    <row r="1160" spans="3:3" x14ac:dyDescent="0.3">
      <c r="C1160">
        <v>144.98979199999999</v>
      </c>
    </row>
    <row r="1161" spans="3:3" x14ac:dyDescent="0.3">
      <c r="C1161">
        <v>145.24868799999999</v>
      </c>
    </row>
    <row r="1162" spans="3:3" x14ac:dyDescent="0.3">
      <c r="C1162">
        <v>148.26599100000001</v>
      </c>
    </row>
    <row r="1163" spans="3:3" x14ac:dyDescent="0.3">
      <c r="C1163">
        <v>148.47512800000001</v>
      </c>
    </row>
    <row r="1164" spans="3:3" x14ac:dyDescent="0.3">
      <c r="C1164">
        <v>150.486649</v>
      </c>
    </row>
    <row r="1165" spans="3:3" x14ac:dyDescent="0.3">
      <c r="C1165">
        <v>149.560562</v>
      </c>
    </row>
    <row r="1166" spans="3:3" x14ac:dyDescent="0.3">
      <c r="C1166">
        <v>145.74659700000001</v>
      </c>
    </row>
    <row r="1167" spans="3:3" x14ac:dyDescent="0.3">
      <c r="C1167">
        <v>146.08517499999999</v>
      </c>
    </row>
    <row r="1168" spans="3:3" x14ac:dyDescent="0.3">
      <c r="C1168">
        <v>147.568939</v>
      </c>
    </row>
    <row r="1169" spans="3:3" x14ac:dyDescent="0.3">
      <c r="C1169">
        <v>149.082581</v>
      </c>
    </row>
    <row r="1170" spans="3:3" x14ac:dyDescent="0.3">
      <c r="C1170">
        <v>148.99293499999999</v>
      </c>
    </row>
    <row r="1171" spans="3:3" x14ac:dyDescent="0.3">
      <c r="C1171">
        <v>147.73820499999999</v>
      </c>
    </row>
    <row r="1172" spans="3:3" x14ac:dyDescent="0.3">
      <c r="C1172">
        <v>146.921661</v>
      </c>
    </row>
    <row r="1173" spans="3:3" x14ac:dyDescent="0.3">
      <c r="C1173">
        <v>147.97721899999999</v>
      </c>
    </row>
    <row r="1174" spans="3:3" x14ac:dyDescent="0.3">
      <c r="C1174">
        <v>152.47827100000001</v>
      </c>
    </row>
    <row r="1175" spans="3:3" x14ac:dyDescent="0.3">
      <c r="C1175">
        <v>151.19368</v>
      </c>
    </row>
    <row r="1176" spans="3:3" x14ac:dyDescent="0.3">
      <c r="C1176">
        <v>151.87081900000001</v>
      </c>
    </row>
    <row r="1177" spans="3:3" x14ac:dyDescent="0.3">
      <c r="C1177">
        <v>153.00602699999999</v>
      </c>
    </row>
    <row r="1178" spans="3:3" x14ac:dyDescent="0.3">
      <c r="C1178">
        <v>153.65332000000001</v>
      </c>
    </row>
    <row r="1179" spans="3:3" x14ac:dyDescent="0.3">
      <c r="C1179">
        <v>156.03331</v>
      </c>
    </row>
    <row r="1180" spans="3:3" x14ac:dyDescent="0.3">
      <c r="C1180">
        <v>154.45993000000001</v>
      </c>
    </row>
    <row r="1181" spans="3:3" x14ac:dyDescent="0.3">
      <c r="C1181">
        <v>153.42430100000001</v>
      </c>
    </row>
    <row r="1182" spans="3:3" x14ac:dyDescent="0.3">
      <c r="C1182">
        <v>148.34567300000001</v>
      </c>
    </row>
    <row r="1183" spans="3:3" x14ac:dyDescent="0.3">
      <c r="C1183">
        <v>148.92323300000001</v>
      </c>
    </row>
    <row r="1184" spans="3:3" x14ac:dyDescent="0.3">
      <c r="C1184">
        <v>147.49920700000001</v>
      </c>
    </row>
    <row r="1185" spans="3:3" x14ac:dyDescent="0.3">
      <c r="C1185">
        <v>148.40541099999999</v>
      </c>
    </row>
    <row r="1186" spans="3:3" x14ac:dyDescent="0.3">
      <c r="C1186">
        <v>148.16641200000001</v>
      </c>
    </row>
    <row r="1187" spans="3:3" x14ac:dyDescent="0.3">
      <c r="C1187">
        <v>145.44786099999999</v>
      </c>
    </row>
    <row r="1188" spans="3:3" x14ac:dyDescent="0.3">
      <c r="C1188">
        <v>142.34094200000001</v>
      </c>
    </row>
    <row r="1189" spans="3:3" x14ac:dyDescent="0.3">
      <c r="C1189">
        <v>142.82887299999999</v>
      </c>
    </row>
    <row r="1190" spans="3:3" x14ac:dyDescent="0.3">
      <c r="C1190">
        <v>145.23873900000001</v>
      </c>
    </row>
    <row r="1191" spans="3:3" x14ac:dyDescent="0.3">
      <c r="C1191">
        <v>146.21464499999999</v>
      </c>
    </row>
    <row r="1192" spans="3:3" x14ac:dyDescent="0.3">
      <c r="C1192">
        <v>146.30424500000001</v>
      </c>
    </row>
    <row r="1193" spans="3:3" x14ac:dyDescent="0.3">
      <c r="C1193">
        <v>144.76074199999999</v>
      </c>
    </row>
    <row r="1194" spans="3:3" x14ac:dyDescent="0.3">
      <c r="C1194">
        <v>141.315247</v>
      </c>
    </row>
    <row r="1195" spans="3:3" x14ac:dyDescent="0.3">
      <c r="C1195">
        <v>142.23140000000001</v>
      </c>
    </row>
    <row r="1196" spans="3:3" x14ac:dyDescent="0.3">
      <c r="C1196">
        <v>140.906982</v>
      </c>
    </row>
    <row r="1197" spans="3:3" x14ac:dyDescent="0.3">
      <c r="C1197">
        <v>142.05213900000001</v>
      </c>
    </row>
    <row r="1198" spans="3:3" x14ac:dyDescent="0.3">
      <c r="C1198">
        <v>138.55685399999999</v>
      </c>
    </row>
    <row r="1199" spans="3:3" x14ac:dyDescent="0.3">
      <c r="C1199">
        <v>140.51859999999999</v>
      </c>
    </row>
    <row r="1200" spans="3:3" x14ac:dyDescent="0.3">
      <c r="C1200">
        <v>141.404877</v>
      </c>
    </row>
    <row r="1201" spans="3:3" x14ac:dyDescent="0.3">
      <c r="C1201">
        <v>142.68946800000001</v>
      </c>
    </row>
    <row r="1202" spans="3:3" x14ac:dyDescent="0.3">
      <c r="C1202">
        <v>142.301086</v>
      </c>
    </row>
    <row r="1203" spans="3:3" x14ac:dyDescent="0.3">
      <c r="C1203">
        <v>142.21148700000001</v>
      </c>
    </row>
    <row r="1204" spans="3:3" x14ac:dyDescent="0.3">
      <c r="C1204">
        <v>140.91693100000001</v>
      </c>
    </row>
    <row r="1205" spans="3:3" x14ac:dyDescent="0.3">
      <c r="C1205">
        <v>140.31944300000001</v>
      </c>
    </row>
    <row r="1206" spans="3:3" x14ac:dyDescent="0.3">
      <c r="C1206">
        <v>143.157501</v>
      </c>
    </row>
    <row r="1207" spans="3:3" x14ac:dyDescent="0.3">
      <c r="C1207">
        <v>144.23297099999999</v>
      </c>
    </row>
    <row r="1208" spans="3:3" x14ac:dyDescent="0.3">
      <c r="C1208">
        <v>145.93580600000001</v>
      </c>
    </row>
    <row r="1209" spans="3:3" x14ac:dyDescent="0.3">
      <c r="C1209">
        <v>148.13653600000001</v>
      </c>
    </row>
    <row r="1210" spans="3:3" x14ac:dyDescent="0.3">
      <c r="C1210">
        <v>148.634445</v>
      </c>
    </row>
    <row r="1211" spans="3:3" x14ac:dyDescent="0.3">
      <c r="C1211">
        <v>148.85351600000001</v>
      </c>
    </row>
    <row r="1212" spans="3:3" x14ac:dyDescent="0.3">
      <c r="C1212">
        <v>148.06684899999999</v>
      </c>
    </row>
    <row r="1213" spans="3:3" x14ac:dyDescent="0.3">
      <c r="C1213">
        <v>148.017044</v>
      </c>
    </row>
    <row r="1214" spans="3:3" x14ac:dyDescent="0.3">
      <c r="C1214">
        <v>148.694199</v>
      </c>
    </row>
    <row r="1215" spans="3:3" x14ac:dyDescent="0.3">
      <c r="C1215">
        <v>148.226181</v>
      </c>
    </row>
    <row r="1216" spans="3:3" x14ac:dyDescent="0.3">
      <c r="C1216">
        <v>151.93057300000001</v>
      </c>
    </row>
    <row r="1217" spans="3:3" x14ac:dyDescent="0.3">
      <c r="C1217">
        <v>149.17219499999999</v>
      </c>
    </row>
    <row r="1218" spans="3:3" x14ac:dyDescent="0.3">
      <c r="C1218">
        <v>148.33570900000001</v>
      </c>
    </row>
    <row r="1219" spans="3:3" x14ac:dyDescent="0.3">
      <c r="C1219">
        <v>149.391266</v>
      </c>
    </row>
    <row r="1220" spans="3:3" x14ac:dyDescent="0.3">
      <c r="C1220">
        <v>150.855118</v>
      </c>
    </row>
    <row r="1221" spans="3:3" x14ac:dyDescent="0.3">
      <c r="C1221">
        <v>150.32733200000001</v>
      </c>
    </row>
    <row r="1222" spans="3:3" x14ac:dyDescent="0.3">
      <c r="C1222">
        <v>150.86584500000001</v>
      </c>
    </row>
    <row r="1223" spans="3:3" x14ac:dyDescent="0.3">
      <c r="C1223">
        <v>150.02813699999999</v>
      </c>
    </row>
    <row r="1224" spans="3:3" x14ac:dyDescent="0.3">
      <c r="C1224">
        <v>150.39712499999999</v>
      </c>
    </row>
    <row r="1225" spans="3:3" x14ac:dyDescent="0.3">
      <c r="C1225">
        <v>147.51504499999999</v>
      </c>
    </row>
    <row r="1226" spans="3:3" x14ac:dyDescent="0.3">
      <c r="C1226">
        <v>147.46517900000001</v>
      </c>
    </row>
    <row r="1227" spans="3:3" x14ac:dyDescent="0.3">
      <c r="C1227">
        <v>149.57939099999999</v>
      </c>
    </row>
    <row r="1228" spans="3:3" x14ac:dyDescent="0.3">
      <c r="C1228">
        <v>149.58935500000001</v>
      </c>
    </row>
    <row r="1229" spans="3:3" x14ac:dyDescent="0.3">
      <c r="C1229">
        <v>150.58660900000001</v>
      </c>
    </row>
    <row r="1230" spans="3:3" x14ac:dyDescent="0.3">
      <c r="C1230">
        <v>153.069794</v>
      </c>
    </row>
    <row r="1231" spans="3:3" x14ac:dyDescent="0.3">
      <c r="C1231">
        <v>157.43779000000001</v>
      </c>
    </row>
    <row r="1232" spans="3:3" x14ac:dyDescent="0.3">
      <c r="C1232">
        <v>160.11045799999999</v>
      </c>
    </row>
    <row r="1233" spans="3:3" x14ac:dyDescent="0.3">
      <c r="C1233">
        <v>160.57917800000001</v>
      </c>
    </row>
    <row r="1234" spans="3:3" x14ac:dyDescent="0.3">
      <c r="C1234">
        <v>160.96812399999999</v>
      </c>
    </row>
    <row r="1235" spans="3:3" x14ac:dyDescent="0.3">
      <c r="C1235">
        <v>161.49667400000001</v>
      </c>
    </row>
    <row r="1236" spans="3:3" x14ac:dyDescent="0.3">
      <c r="C1236">
        <v>156.380707</v>
      </c>
    </row>
    <row r="1237" spans="3:3" x14ac:dyDescent="0.3">
      <c r="C1237">
        <v>159.80131499999999</v>
      </c>
    </row>
    <row r="1238" spans="3:3" x14ac:dyDescent="0.3">
      <c r="C1238">
        <v>164.84747300000001</v>
      </c>
    </row>
    <row r="1239" spans="3:3" x14ac:dyDescent="0.3">
      <c r="C1239">
        <v>164.31892400000001</v>
      </c>
    </row>
    <row r="1240" spans="3:3" x14ac:dyDescent="0.3">
      <c r="C1240">
        <v>163.31167600000001</v>
      </c>
    </row>
    <row r="1241" spans="3:3" x14ac:dyDescent="0.3">
      <c r="C1241">
        <v>161.39692700000001</v>
      </c>
    </row>
    <row r="1242" spans="3:3" x14ac:dyDescent="0.3">
      <c r="C1242">
        <v>164.86741599999999</v>
      </c>
    </row>
    <row r="1243" spans="3:3" x14ac:dyDescent="0.3">
      <c r="C1243">
        <v>170.71134900000001</v>
      </c>
    </row>
    <row r="1244" spans="3:3" x14ac:dyDescent="0.3">
      <c r="C1244">
        <v>174.60067699999999</v>
      </c>
    </row>
    <row r="1245" spans="3:3" x14ac:dyDescent="0.3">
      <c r="C1245">
        <v>174.08210800000001</v>
      </c>
    </row>
    <row r="1246" spans="3:3" x14ac:dyDescent="0.3">
      <c r="C1246">
        <v>178.95872499999999</v>
      </c>
    </row>
    <row r="1247" spans="3:3" x14ac:dyDescent="0.3">
      <c r="C1247">
        <v>175.258881</v>
      </c>
    </row>
    <row r="1248" spans="3:3" x14ac:dyDescent="0.3">
      <c r="C1248">
        <v>173.85273699999999</v>
      </c>
    </row>
    <row r="1249" spans="3:3" x14ac:dyDescent="0.3">
      <c r="C1249">
        <v>178.80914300000001</v>
      </c>
    </row>
    <row r="1250" spans="3:3" x14ac:dyDescent="0.3">
      <c r="C1250">
        <v>171.78839099999999</v>
      </c>
    </row>
    <row r="1251" spans="3:3" x14ac:dyDescent="0.3">
      <c r="C1251">
        <v>170.67146299999999</v>
      </c>
    </row>
    <row r="1252" spans="3:3" x14ac:dyDescent="0.3">
      <c r="C1252">
        <v>169.28527800000001</v>
      </c>
    </row>
    <row r="1253" spans="3:3" x14ac:dyDescent="0.3">
      <c r="C1253">
        <v>172.516403</v>
      </c>
    </row>
    <row r="1254" spans="3:3" x14ac:dyDescent="0.3">
      <c r="C1254">
        <v>175.15914900000001</v>
      </c>
    </row>
    <row r="1255" spans="3:3" x14ac:dyDescent="0.3">
      <c r="C1255">
        <v>175.797394</v>
      </c>
    </row>
    <row r="1256" spans="3:3" x14ac:dyDescent="0.3">
      <c r="C1256">
        <v>179.836319</v>
      </c>
    </row>
    <row r="1257" spans="3:3" x14ac:dyDescent="0.3">
      <c r="C1257">
        <v>178.79916399999999</v>
      </c>
    </row>
    <row r="1258" spans="3:3" x14ac:dyDescent="0.3">
      <c r="C1258">
        <v>178.88891599999999</v>
      </c>
    </row>
    <row r="1259" spans="3:3" x14ac:dyDescent="0.3">
      <c r="C1259">
        <v>177.712143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7523-6608-46EF-82A8-C878EB611E2F}">
  <dimension ref="A1"/>
  <sheetViews>
    <sheetView workbookViewId="0">
      <selection activeCell="F29" sqref="F2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B44E-57E8-4148-805D-D2CC7502FF62}">
  <dimension ref="A1:L43"/>
  <sheetViews>
    <sheetView zoomScale="85" zoomScaleNormal="85" workbookViewId="0">
      <selection activeCell="F7" sqref="F7"/>
    </sheetView>
  </sheetViews>
  <sheetFormatPr defaultRowHeight="14.4" x14ac:dyDescent="0.3"/>
  <cols>
    <col min="1" max="1" width="32.77734375" customWidth="1"/>
    <col min="2" max="2" width="18.6640625" customWidth="1"/>
    <col min="3" max="3" width="16.88671875" customWidth="1"/>
    <col min="4" max="4" width="17.33203125" customWidth="1"/>
    <col min="5" max="5" width="16.77734375" customWidth="1"/>
    <col min="6" max="6" width="17.77734375" bestFit="1" customWidth="1"/>
    <col min="7" max="7" width="16" customWidth="1"/>
    <col min="8" max="8" width="15" customWidth="1"/>
    <col min="9" max="9" width="14.77734375" customWidth="1"/>
    <col min="10" max="10" width="15.33203125" customWidth="1"/>
    <col min="11" max="11" width="14.6640625" bestFit="1" customWidth="1"/>
    <col min="12" max="12" width="14.33203125" customWidth="1"/>
  </cols>
  <sheetData>
    <row r="1" spans="1:12" ht="17.399999999999999" x14ac:dyDescent="0.3">
      <c r="A1" s="253" t="s">
        <v>192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</row>
    <row r="4" spans="1:12" x14ac:dyDescent="0.3">
      <c r="B4" s="56" t="s">
        <v>44</v>
      </c>
      <c r="C4" s="116">
        <f>'Financial Data'!F98</f>
        <v>6.1579954089707803E-2</v>
      </c>
    </row>
    <row r="5" spans="1:12" x14ac:dyDescent="0.3">
      <c r="B5" s="57" t="s">
        <v>45</v>
      </c>
      <c r="C5" s="117">
        <v>2.3699999999999999E-2</v>
      </c>
    </row>
    <row r="8" spans="1:12" ht="18" x14ac:dyDescent="0.3">
      <c r="A8" s="250" t="s">
        <v>38</v>
      </c>
      <c r="B8" s="249" t="s">
        <v>40</v>
      </c>
      <c r="C8" s="250"/>
      <c r="D8" s="250"/>
      <c r="E8" s="250"/>
      <c r="F8" s="34" t="s">
        <v>1</v>
      </c>
      <c r="G8" s="252" t="s">
        <v>2</v>
      </c>
      <c r="H8" s="252"/>
      <c r="I8" s="252"/>
      <c r="J8" s="252"/>
      <c r="K8" s="252"/>
    </row>
    <row r="9" spans="1:12" ht="15.6" x14ac:dyDescent="0.3">
      <c r="A9" s="250"/>
      <c r="B9" s="51">
        <v>2017</v>
      </c>
      <c r="C9" s="51">
        <v>2018</v>
      </c>
      <c r="D9" s="51">
        <v>2019</v>
      </c>
      <c r="E9" s="51">
        <v>2020</v>
      </c>
      <c r="F9" s="52">
        <v>2021</v>
      </c>
      <c r="G9" s="52">
        <v>2022</v>
      </c>
      <c r="H9" s="52">
        <v>2023</v>
      </c>
      <c r="I9" s="52">
        <v>2024</v>
      </c>
      <c r="J9" s="52">
        <v>2025</v>
      </c>
      <c r="K9" s="52">
        <v>2026</v>
      </c>
      <c r="L9" s="52">
        <v>2027</v>
      </c>
    </row>
    <row r="10" spans="1:12" ht="15.6" x14ac:dyDescent="0.3">
      <c r="A10" s="58" t="s">
        <v>33</v>
      </c>
      <c r="B10" s="122">
        <f>'Financial Data'!I18</f>
        <v>61344</v>
      </c>
      <c r="C10" s="122">
        <f>'Financial Data'!H18</f>
        <v>70868</v>
      </c>
      <c r="D10" s="122">
        <f>'Financial Data'!G18</f>
        <v>63930</v>
      </c>
      <c r="E10" s="122">
        <f>'Financial Data'!F18</f>
        <v>66288</v>
      </c>
      <c r="F10" s="123">
        <f>'Financial Data'!D18</f>
        <v>108949</v>
      </c>
      <c r="G10" s="115"/>
      <c r="H10" s="115"/>
      <c r="I10" s="115"/>
      <c r="J10" s="115"/>
      <c r="K10" s="54"/>
    </row>
    <row r="11" spans="1:12" ht="15.6" x14ac:dyDescent="0.3">
      <c r="A11" s="59" t="s">
        <v>34</v>
      </c>
      <c r="B11" s="124">
        <f>B10*0.133</f>
        <v>8158.7520000000004</v>
      </c>
      <c r="C11" s="124">
        <f t="shared" ref="C11:F11" si="0">C10*0.133</f>
        <v>9425.4440000000013</v>
      </c>
      <c r="D11" s="124">
        <f t="shared" si="0"/>
        <v>8502.69</v>
      </c>
      <c r="E11" s="124">
        <f t="shared" si="0"/>
        <v>8816.3040000000001</v>
      </c>
      <c r="F11" s="124">
        <f t="shared" si="0"/>
        <v>14490.217000000001</v>
      </c>
      <c r="G11" s="115"/>
      <c r="H11" s="115"/>
      <c r="I11" s="115"/>
      <c r="J11" s="115"/>
      <c r="K11" s="54"/>
    </row>
    <row r="12" spans="1:12" ht="15.6" x14ac:dyDescent="0.3">
      <c r="A12" s="59"/>
      <c r="B12" s="124"/>
      <c r="C12" s="124"/>
      <c r="D12" s="124"/>
      <c r="E12" s="124"/>
      <c r="F12" s="79"/>
      <c r="G12" s="115"/>
      <c r="H12" s="115"/>
      <c r="I12" s="115"/>
      <c r="J12" s="115"/>
      <c r="K12" s="54"/>
    </row>
    <row r="13" spans="1:12" ht="15.6" x14ac:dyDescent="0.3">
      <c r="A13" s="59" t="s">
        <v>35</v>
      </c>
      <c r="B13" s="124">
        <f>B10-B11</f>
        <v>53185.248</v>
      </c>
      <c r="C13" s="124">
        <f t="shared" ref="C13:F13" si="1">C10-C11</f>
        <v>61442.555999999997</v>
      </c>
      <c r="D13" s="124">
        <f t="shared" si="1"/>
        <v>55427.31</v>
      </c>
      <c r="E13" s="124">
        <f t="shared" si="1"/>
        <v>57471.695999999996</v>
      </c>
      <c r="F13" s="124">
        <f t="shared" si="1"/>
        <v>94458.782999999996</v>
      </c>
      <c r="G13" s="115"/>
      <c r="H13" s="115"/>
      <c r="I13" s="115"/>
      <c r="J13" s="115"/>
      <c r="K13" s="54"/>
    </row>
    <row r="14" spans="1:12" ht="15.6" x14ac:dyDescent="0.3">
      <c r="A14" s="59"/>
      <c r="B14" s="124"/>
      <c r="C14" s="124"/>
      <c r="D14" s="124"/>
      <c r="E14" s="124"/>
      <c r="F14" s="79"/>
      <c r="G14" s="115"/>
      <c r="H14" s="115"/>
      <c r="I14" s="115"/>
      <c r="J14" s="115"/>
      <c r="K14" s="55"/>
    </row>
    <row r="15" spans="1:12" ht="15.6" x14ac:dyDescent="0.3">
      <c r="A15" s="60" t="s">
        <v>36</v>
      </c>
      <c r="B15" s="114">
        <f>'Financial Data'!S18</f>
        <v>128645</v>
      </c>
      <c r="C15" s="114">
        <f>'Financial Data'!R20</f>
        <v>193082</v>
      </c>
      <c r="D15" s="114">
        <f>'Financial Data'!Q18</f>
        <v>162819</v>
      </c>
      <c r="E15" s="114">
        <f>'Financial Data'!P18</f>
        <v>143713</v>
      </c>
      <c r="F15" s="79">
        <f>'Financial Data'!O18</f>
        <v>134836</v>
      </c>
      <c r="G15" s="115"/>
      <c r="H15" s="115"/>
      <c r="I15" s="115"/>
      <c r="J15" s="115"/>
      <c r="K15" s="54"/>
    </row>
    <row r="16" spans="1:12" ht="15.6" x14ac:dyDescent="0.3">
      <c r="A16" s="60" t="s">
        <v>37</v>
      </c>
      <c r="B16" s="114">
        <f>'Financial Data'!S29</f>
        <v>94318</v>
      </c>
      <c r="C16" s="114">
        <f>'Financial Data'!R29</f>
        <v>108082</v>
      </c>
      <c r="D16" s="114">
        <f>'Financial Data'!Q29</f>
        <v>105718</v>
      </c>
      <c r="E16" s="114">
        <f>'Financial Data'!P29</f>
        <v>105392</v>
      </c>
      <c r="F16" s="79">
        <f>'Financial Data'!O29</f>
        <v>125481</v>
      </c>
      <c r="G16" s="115"/>
      <c r="H16" s="115"/>
      <c r="I16" s="115"/>
      <c r="J16" s="115"/>
      <c r="K16" s="54"/>
    </row>
    <row r="17" spans="1:12" ht="15.6" x14ac:dyDescent="0.3">
      <c r="A17" s="60" t="s">
        <v>39</v>
      </c>
      <c r="B17" s="114">
        <f>B15-B16</f>
        <v>34327</v>
      </c>
      <c r="C17" s="114">
        <f>C15-C16</f>
        <v>85000</v>
      </c>
      <c r="D17" s="114">
        <f t="shared" ref="D17:E17" si="2">D15-D16</f>
        <v>57101</v>
      </c>
      <c r="E17" s="114">
        <f t="shared" si="2"/>
        <v>38321</v>
      </c>
      <c r="F17" s="114">
        <f>F15-F16</f>
        <v>9355</v>
      </c>
      <c r="G17" s="115"/>
      <c r="H17" s="115"/>
      <c r="I17" s="115"/>
      <c r="J17" s="115"/>
      <c r="K17" s="54"/>
    </row>
    <row r="18" spans="1:12" ht="15.6" x14ac:dyDescent="0.3">
      <c r="A18" s="60" t="s">
        <v>160</v>
      </c>
      <c r="B18" s="114">
        <f>'Financial Data'!S19</f>
        <v>33783</v>
      </c>
      <c r="C18" s="114">
        <f>'Financial Data'!R19</f>
        <v>41304</v>
      </c>
      <c r="D18" s="114">
        <f>'Financial Data'!Q19</f>
        <v>37378</v>
      </c>
      <c r="E18" s="114">
        <f>'Financial Data'!P19</f>
        <v>36766</v>
      </c>
      <c r="F18" s="79">
        <f>'Financial Data'!O19</f>
        <v>39440</v>
      </c>
      <c r="G18" s="115"/>
      <c r="H18" s="115"/>
      <c r="I18" s="115"/>
      <c r="J18" s="115"/>
      <c r="K18" s="54"/>
    </row>
    <row r="19" spans="1:12" ht="15.6" x14ac:dyDescent="0.3">
      <c r="A19" s="60" t="s">
        <v>43</v>
      </c>
      <c r="B19" s="114">
        <f>B17+B18</f>
        <v>68110</v>
      </c>
      <c r="C19" s="114">
        <f>C17+C18</f>
        <v>126304</v>
      </c>
      <c r="D19" s="114">
        <f t="shared" ref="D19:E19" si="3">D17+D18</f>
        <v>94479</v>
      </c>
      <c r="E19" s="114">
        <f t="shared" si="3"/>
        <v>75087</v>
      </c>
      <c r="F19" s="114">
        <f>F17+F18</f>
        <v>48795</v>
      </c>
      <c r="G19" s="115"/>
      <c r="H19" s="115"/>
      <c r="I19" s="115"/>
      <c r="J19" s="115"/>
      <c r="K19" s="54"/>
    </row>
    <row r="20" spans="1:12" ht="15.6" x14ac:dyDescent="0.3">
      <c r="A20" s="60" t="s">
        <v>42</v>
      </c>
      <c r="B20" s="114"/>
      <c r="C20" s="114">
        <f>C19-B19</f>
        <v>58194</v>
      </c>
      <c r="D20" s="114">
        <f>D19-C19</f>
        <v>-31825</v>
      </c>
      <c r="E20" s="114">
        <f>E19-D19</f>
        <v>-19392</v>
      </c>
      <c r="F20" s="114">
        <f>F19-E19</f>
        <v>-26292</v>
      </c>
      <c r="G20" s="115"/>
      <c r="H20" s="115"/>
      <c r="I20" s="115"/>
      <c r="J20" s="115"/>
      <c r="K20" s="54"/>
    </row>
    <row r="21" spans="1:12" ht="15.6" x14ac:dyDescent="0.3">
      <c r="A21" s="61"/>
      <c r="B21" s="125"/>
      <c r="C21" s="125"/>
      <c r="D21" s="125"/>
      <c r="E21" s="125"/>
      <c r="F21" s="79"/>
      <c r="G21" s="115"/>
      <c r="H21" s="115"/>
      <c r="I21" s="115"/>
      <c r="J21" s="115"/>
      <c r="K21" s="55"/>
      <c r="L21" s="59"/>
    </row>
    <row r="22" spans="1:12" ht="15.6" x14ac:dyDescent="0.3">
      <c r="A22" s="60" t="s">
        <v>41</v>
      </c>
      <c r="B22" s="114"/>
      <c r="C22" s="114">
        <f>C13-C20</f>
        <v>3248.5559999999969</v>
      </c>
      <c r="D22" s="114">
        <f>D13-D20</f>
        <v>87252.31</v>
      </c>
      <c r="E22" s="114">
        <f>E13-E20</f>
        <v>76863.695999999996</v>
      </c>
      <c r="F22" s="114">
        <f>F13-F20</f>
        <v>120750.783</v>
      </c>
      <c r="G22" s="115">
        <f>F22*(1+$C$5)</f>
        <v>123612.57655710001</v>
      </c>
      <c r="H22" s="115">
        <f t="shared" ref="H22:I22" si="4">G22*(1+$C$5)</f>
        <v>126542.19462150328</v>
      </c>
      <c r="I22" s="115">
        <f t="shared" si="4"/>
        <v>129541.24463403292</v>
      </c>
      <c r="J22" s="115">
        <f>I22*(1+$C$5)</f>
        <v>132611.37213185951</v>
      </c>
      <c r="K22" s="115">
        <f>J22*(1+$C$5)</f>
        <v>135754.26165138459</v>
      </c>
      <c r="L22" s="115">
        <f>K22*(1+$C$5)</f>
        <v>138971.63765252242</v>
      </c>
    </row>
    <row r="23" spans="1:12" ht="15.6" x14ac:dyDescent="0.3">
      <c r="A23" s="60" t="s">
        <v>46</v>
      </c>
      <c r="B23" s="79"/>
      <c r="C23" s="79"/>
      <c r="D23" s="79"/>
      <c r="E23" s="79"/>
      <c r="F23" s="79"/>
      <c r="G23" s="79"/>
      <c r="H23" s="79"/>
      <c r="I23" s="79"/>
      <c r="J23" s="79"/>
      <c r="K23" s="119">
        <f>L22/(C4-C5)</f>
        <v>3668738.2810287457</v>
      </c>
      <c r="L23" s="119"/>
    </row>
    <row r="24" spans="1:12" ht="15.6" x14ac:dyDescent="0.3">
      <c r="A24" s="62" t="s">
        <v>47</v>
      </c>
      <c r="B24" s="123"/>
      <c r="C24" s="123"/>
      <c r="D24" s="123"/>
      <c r="E24" s="123"/>
      <c r="F24" s="123">
        <f>F22</f>
        <v>120750.783</v>
      </c>
      <c r="G24" s="123">
        <f t="shared" ref="G24:J24" si="5">G22</f>
        <v>123612.57655710001</v>
      </c>
      <c r="H24" s="123">
        <f t="shared" si="5"/>
        <v>126542.19462150328</v>
      </c>
      <c r="I24" s="123">
        <f t="shared" si="5"/>
        <v>129541.24463403292</v>
      </c>
      <c r="J24" s="123">
        <f t="shared" si="5"/>
        <v>132611.37213185951</v>
      </c>
      <c r="K24" s="32">
        <f>K22+K23</f>
        <v>3804492.5426801303</v>
      </c>
    </row>
    <row r="25" spans="1:12" x14ac:dyDescent="0.3">
      <c r="B25" s="79"/>
      <c r="C25" s="79"/>
      <c r="D25" s="79"/>
      <c r="E25" s="79"/>
      <c r="F25" s="79"/>
      <c r="G25" s="79"/>
      <c r="H25" s="79"/>
      <c r="I25" s="79"/>
      <c r="J25" s="79"/>
    </row>
    <row r="26" spans="1:12" ht="15.6" x14ac:dyDescent="0.3">
      <c r="A26" s="36" t="s">
        <v>48</v>
      </c>
      <c r="B26" s="126"/>
      <c r="C26" s="126"/>
      <c r="D26" s="126"/>
      <c r="E26" s="126"/>
      <c r="F26" s="126">
        <f>F24</f>
        <v>120750.783</v>
      </c>
      <c r="G26" s="127">
        <f>G24/(1+$C$4)</f>
        <v>116442.07869683855</v>
      </c>
      <c r="H26" s="127">
        <f>H24/((1+$C$4)^2)</f>
        <v>112287.12025197172</v>
      </c>
      <c r="I26" s="127">
        <f>I24/((1+$C$4)^3)</f>
        <v>108280.4216103631</v>
      </c>
      <c r="J26" s="127">
        <f>J24/((1+$C$4)^4)</f>
        <v>104416.69247379339</v>
      </c>
      <c r="K26" s="120">
        <f>K24/((1+$C$4)^5)</f>
        <v>2821845.2385734357</v>
      </c>
    </row>
    <row r="27" spans="1:12" ht="15.6" x14ac:dyDescent="0.3">
      <c r="A27" s="36"/>
      <c r="B27" s="126"/>
      <c r="C27" s="126"/>
      <c r="D27" s="126"/>
      <c r="E27" s="126"/>
      <c r="F27" s="126"/>
      <c r="G27" s="127"/>
      <c r="H27" s="127"/>
      <c r="I27" s="127"/>
      <c r="J27" s="127"/>
      <c r="K27" s="63"/>
    </row>
    <row r="28" spans="1:12" ht="15.6" x14ac:dyDescent="0.3">
      <c r="A28" s="68" t="s">
        <v>56</v>
      </c>
      <c r="B28" s="128"/>
      <c r="C28" s="128"/>
      <c r="D28" s="128"/>
      <c r="E28" s="128"/>
      <c r="F28" s="121">
        <f>SUM(F26:K26)</f>
        <v>3384022.3346064026</v>
      </c>
      <c r="G28" s="127"/>
      <c r="H28" s="127"/>
      <c r="I28" s="127"/>
      <c r="J28" s="127"/>
      <c r="K28" s="41"/>
    </row>
    <row r="29" spans="1:12" ht="15.6" x14ac:dyDescent="0.3">
      <c r="A29" s="42"/>
      <c r="B29" s="42"/>
      <c r="C29" s="42"/>
      <c r="D29" s="42"/>
      <c r="E29" s="42"/>
      <c r="F29" s="36"/>
      <c r="G29" s="41"/>
      <c r="H29" s="41"/>
      <c r="I29" s="41"/>
      <c r="J29" s="41"/>
      <c r="K29" s="41"/>
    </row>
    <row r="30" spans="1:12" ht="15.6" x14ac:dyDescent="0.3">
      <c r="A30" s="64" t="s">
        <v>49</v>
      </c>
      <c r="B30" s="64"/>
      <c r="C30" s="64"/>
      <c r="D30" s="64"/>
      <c r="E30" s="64"/>
      <c r="F30" s="118">
        <f>'Financial Data'!C96</f>
        <v>109106</v>
      </c>
      <c r="G30" s="43"/>
      <c r="H30" s="43"/>
      <c r="I30" s="43"/>
      <c r="J30" s="43"/>
      <c r="K30" s="43"/>
    </row>
    <row r="31" spans="1:12" ht="15.6" x14ac:dyDescent="0.3">
      <c r="A31" s="64"/>
      <c r="B31" s="64"/>
      <c r="C31" s="64"/>
      <c r="D31" s="64"/>
      <c r="E31" s="64"/>
      <c r="F31" s="64"/>
      <c r="G31" s="43"/>
      <c r="H31" s="43"/>
      <c r="I31" s="43"/>
      <c r="J31" s="43"/>
      <c r="K31" s="43"/>
    </row>
    <row r="32" spans="1:12" ht="17.399999999999999" x14ac:dyDescent="0.45">
      <c r="A32" s="298" t="s">
        <v>50</v>
      </c>
      <c r="B32" s="298"/>
      <c r="C32" s="298"/>
      <c r="D32" s="298"/>
      <c r="E32" s="298"/>
      <c r="F32" s="299">
        <f>F28-F30</f>
        <v>3274916.3346064026</v>
      </c>
      <c r="G32" s="38"/>
      <c r="H32" s="45"/>
      <c r="I32" s="45"/>
      <c r="J32" s="45"/>
      <c r="K32" s="45"/>
    </row>
    <row r="33" spans="1:11" ht="17.399999999999999" x14ac:dyDescent="0.45">
      <c r="A33" s="37"/>
      <c r="B33" s="37"/>
      <c r="C33" s="37"/>
      <c r="D33" s="37"/>
      <c r="E33" s="37"/>
      <c r="F33" s="37"/>
      <c r="G33" s="38"/>
      <c r="H33" s="45"/>
      <c r="I33" s="45"/>
      <c r="J33" s="45"/>
      <c r="K33" s="45"/>
    </row>
    <row r="34" spans="1:11" ht="15.6" x14ac:dyDescent="0.3">
      <c r="A34" s="64"/>
      <c r="B34" s="64"/>
      <c r="C34" s="64"/>
      <c r="D34" s="64"/>
      <c r="E34" s="64"/>
      <c r="F34" s="64"/>
      <c r="G34" s="43"/>
      <c r="H34" s="43"/>
      <c r="I34" s="38"/>
      <c r="J34" s="38"/>
      <c r="K34" s="38"/>
    </row>
    <row r="35" spans="1:11" ht="19.2" x14ac:dyDescent="0.6">
      <c r="A35" s="64" t="s">
        <v>50</v>
      </c>
      <c r="B35" s="118">
        <f>F32</f>
        <v>3274916.3346064026</v>
      </c>
      <c r="C35" s="64"/>
      <c r="D35" s="64"/>
      <c r="E35" s="64"/>
      <c r="F35" s="64"/>
      <c r="G35" s="38"/>
      <c r="H35" s="44"/>
      <c r="I35" s="44"/>
      <c r="J35" s="44"/>
      <c r="K35" s="44"/>
    </row>
    <row r="36" spans="1:11" ht="17.399999999999999" x14ac:dyDescent="0.45">
      <c r="A36" s="64" t="s">
        <v>51</v>
      </c>
      <c r="B36" s="129">
        <f>'Financial Data'!D27</f>
        <v>16701</v>
      </c>
      <c r="C36" s="64"/>
      <c r="D36" s="64"/>
      <c r="E36" s="64"/>
      <c r="F36" s="64"/>
      <c r="G36" s="38"/>
      <c r="H36" s="45"/>
      <c r="I36" s="45"/>
      <c r="J36" s="45"/>
      <c r="K36" s="45"/>
    </row>
    <row r="37" spans="1:11" ht="17.399999999999999" x14ac:dyDescent="0.45">
      <c r="A37" s="67" t="s">
        <v>52</v>
      </c>
      <c r="B37" s="134">
        <f>B35/B36</f>
        <v>196.09103254933254</v>
      </c>
      <c r="C37" s="132"/>
      <c r="D37" s="37"/>
      <c r="E37" s="37"/>
      <c r="F37" s="37"/>
      <c r="G37" s="39"/>
      <c r="H37" s="46"/>
      <c r="I37" s="46"/>
      <c r="J37" s="46"/>
      <c r="K37" s="46"/>
    </row>
    <row r="38" spans="1:11" ht="15.6" x14ac:dyDescent="0.3">
      <c r="A38" s="42"/>
      <c r="B38" s="42"/>
      <c r="C38" s="42"/>
      <c r="D38" s="42"/>
      <c r="E38" s="42"/>
      <c r="F38" s="36"/>
      <c r="G38" s="41"/>
      <c r="H38" s="251"/>
      <c r="I38" s="251"/>
      <c r="J38" s="251"/>
      <c r="K38" s="251"/>
    </row>
    <row r="39" spans="1:11" ht="15.6" x14ac:dyDescent="0.3">
      <c r="A39" s="47"/>
      <c r="B39" s="47"/>
      <c r="C39" s="47"/>
      <c r="D39" s="47"/>
      <c r="E39" s="47"/>
      <c r="F39" s="36"/>
      <c r="G39" s="41"/>
      <c r="H39" s="41"/>
      <c r="I39" s="41"/>
      <c r="J39" s="41"/>
      <c r="K39" s="41"/>
    </row>
    <row r="40" spans="1:11" ht="15.6" x14ac:dyDescent="0.3">
      <c r="A40" s="66" t="s">
        <v>53</v>
      </c>
      <c r="B40" s="297">
        <f>F28</f>
        <v>3384022.3346064026</v>
      </c>
      <c r="C40" s="64"/>
      <c r="D40" s="64"/>
      <c r="E40" s="64"/>
      <c r="F40" s="64"/>
      <c r="G40" s="48"/>
      <c r="H40" s="49"/>
      <c r="I40" s="49"/>
      <c r="J40" s="49"/>
      <c r="K40" s="49"/>
    </row>
    <row r="41" spans="1:11" ht="15.6" x14ac:dyDescent="0.3">
      <c r="A41" s="66" t="s">
        <v>54</v>
      </c>
      <c r="B41" s="130">
        <f>F30</f>
        <v>109106</v>
      </c>
      <c r="C41" s="64"/>
      <c r="D41" s="64"/>
      <c r="E41" s="64"/>
      <c r="F41" s="64"/>
      <c r="G41" s="50"/>
      <c r="H41" s="40"/>
      <c r="I41" s="40"/>
      <c r="J41" s="40"/>
      <c r="K41" s="40"/>
    </row>
    <row r="42" spans="1:11" ht="15.6" x14ac:dyDescent="0.3">
      <c r="A42" s="66" t="s">
        <v>55</v>
      </c>
      <c r="B42" s="130">
        <f>'Financial Data'!O38</f>
        <v>63090</v>
      </c>
    </row>
    <row r="43" spans="1:11" ht="15.6" x14ac:dyDescent="0.3">
      <c r="A43" s="65" t="s">
        <v>57</v>
      </c>
      <c r="B43" s="131">
        <f>B40-B41-B42</f>
        <v>3211826.3346064026</v>
      </c>
    </row>
  </sheetData>
  <mergeCells count="5">
    <mergeCell ref="B8:E8"/>
    <mergeCell ref="H38:K38"/>
    <mergeCell ref="A8:A9"/>
    <mergeCell ref="G8:K8"/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C4B1-F2FE-453B-A88E-DE4A6742B662}">
  <sheetPr>
    <tabColor theme="0"/>
  </sheetPr>
  <dimension ref="C1:N12"/>
  <sheetViews>
    <sheetView zoomScale="115" zoomScaleNormal="115" workbookViewId="0">
      <selection activeCell="P5" sqref="P5"/>
    </sheetView>
  </sheetViews>
  <sheetFormatPr defaultRowHeight="14.4" x14ac:dyDescent="0.3"/>
  <cols>
    <col min="3" max="3" width="23.5546875" bestFit="1" customWidth="1"/>
    <col min="4" max="4" width="9" bestFit="1" customWidth="1"/>
    <col min="5" max="5" width="15.21875" customWidth="1"/>
    <col min="6" max="7" width="9" bestFit="1" customWidth="1"/>
    <col min="8" max="8" width="9.5546875" bestFit="1" customWidth="1"/>
    <col min="9" max="12" width="9" bestFit="1" customWidth="1"/>
    <col min="13" max="13" width="9.5546875" bestFit="1" customWidth="1"/>
    <col min="14" max="14" width="9" bestFit="1" customWidth="1"/>
  </cols>
  <sheetData>
    <row r="1" spans="3:14" ht="17.399999999999999" x14ac:dyDescent="0.3">
      <c r="C1" s="254" t="s">
        <v>193</v>
      </c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3:14" ht="15" thickBot="1" x14ac:dyDescent="0.35"/>
    <row r="3" spans="3:14" ht="24.6" customHeight="1" x14ac:dyDescent="0.3">
      <c r="C3" s="80"/>
      <c r="D3" s="80"/>
      <c r="E3" s="291" t="s">
        <v>77</v>
      </c>
      <c r="F3" s="292">
        <f>'Financial Data'!C49</f>
        <v>9.4879999999999992E-2</v>
      </c>
      <c r="G3" s="80"/>
      <c r="H3" s="80"/>
      <c r="I3" s="80"/>
      <c r="J3" s="80"/>
      <c r="K3" s="80"/>
      <c r="L3" s="80"/>
      <c r="M3" s="80"/>
      <c r="N3" s="80"/>
    </row>
    <row r="4" spans="3:14" ht="16.2" thickBot="1" x14ac:dyDescent="0.35">
      <c r="C4" s="80"/>
      <c r="D4" s="80"/>
      <c r="E4" s="280" t="s">
        <v>221</v>
      </c>
      <c r="F4" s="293">
        <f>(G8/E8)^0.5 -1</f>
        <v>8.1257451199734598E-2</v>
      </c>
      <c r="G4" s="80"/>
      <c r="H4" s="80"/>
      <c r="I4" s="80"/>
      <c r="J4" s="80"/>
      <c r="K4" s="80"/>
      <c r="L4" s="80"/>
      <c r="M4" s="80"/>
      <c r="N4" s="80"/>
    </row>
    <row r="5" spans="3:14" ht="15.6" x14ac:dyDescent="0.3"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</row>
    <row r="6" spans="3:14" ht="15.6" x14ac:dyDescent="0.3">
      <c r="C6" s="249" t="s">
        <v>38</v>
      </c>
      <c r="D6" s="294" t="s">
        <v>40</v>
      </c>
      <c r="E6" s="257"/>
      <c r="F6" s="257"/>
      <c r="G6" s="256"/>
      <c r="H6" s="34" t="s">
        <v>1</v>
      </c>
      <c r="I6" s="260" t="s">
        <v>2</v>
      </c>
      <c r="J6" s="261"/>
      <c r="K6" s="261"/>
      <c r="L6" s="261"/>
      <c r="M6" s="262"/>
      <c r="N6" s="80"/>
    </row>
    <row r="7" spans="3:14" ht="15.6" x14ac:dyDescent="0.3">
      <c r="C7" s="249"/>
      <c r="D7" s="51">
        <v>2017</v>
      </c>
      <c r="E7" s="51">
        <v>2018</v>
      </c>
      <c r="F7" s="51">
        <v>2019</v>
      </c>
      <c r="G7" s="51">
        <v>2020</v>
      </c>
      <c r="H7" s="52">
        <v>2021</v>
      </c>
      <c r="I7" s="52">
        <v>2022</v>
      </c>
      <c r="J7" s="52">
        <v>2023</v>
      </c>
      <c r="K7" s="52">
        <v>2024</v>
      </c>
      <c r="L7" s="52">
        <v>2025</v>
      </c>
      <c r="M7" s="52">
        <v>2026</v>
      </c>
      <c r="N7" s="52">
        <v>2027</v>
      </c>
    </row>
    <row r="8" spans="3:14" ht="15.6" x14ac:dyDescent="0.3">
      <c r="C8" s="59" t="s">
        <v>151</v>
      </c>
      <c r="D8" s="138">
        <f>'Financial Data'!I28</f>
        <v>0.59999988295425788</v>
      </c>
      <c r="E8" s="138">
        <f>'Financial Data'!H28</f>
        <v>0.68000000420677487</v>
      </c>
      <c r="F8" s="138">
        <f>'Financial Data'!G28</f>
        <v>0.75</v>
      </c>
      <c r="G8" s="138">
        <f>'Financial Data'!F28</f>
        <v>0.79500002444517848</v>
      </c>
      <c r="H8" s="138">
        <v>0</v>
      </c>
      <c r="I8" s="138">
        <f>G8*(1+F4)</f>
        <v>0.85959970013532039</v>
      </c>
      <c r="J8" s="138">
        <f>I8*(1+$F$4)</f>
        <v>0.92944858082037263</v>
      </c>
      <c r="K8" s="138">
        <f t="shared" ref="K8:N8" si="0">J8*(1+$F$4)</f>
        <v>1.0049732035190466</v>
      </c>
      <c r="L8" s="138">
        <f t="shared" si="0"/>
        <v>1.0866347645610366</v>
      </c>
      <c r="M8" s="138">
        <f t="shared" si="0"/>
        <v>1.17493193591429</v>
      </c>
      <c r="N8" s="138">
        <f t="shared" si="0"/>
        <v>1.2704039103598552</v>
      </c>
    </row>
    <row r="9" spans="3:14" ht="15.6" x14ac:dyDescent="0.3">
      <c r="C9" s="59" t="s">
        <v>46</v>
      </c>
      <c r="D9" s="138"/>
      <c r="E9" s="138"/>
      <c r="F9" s="138"/>
      <c r="G9" s="138"/>
      <c r="H9" s="138"/>
      <c r="I9" s="138"/>
      <c r="J9" s="138"/>
      <c r="K9" s="138"/>
      <c r="L9" s="138"/>
      <c r="M9" s="138">
        <f>N8/(F3-F4)</f>
        <v>93.25743140924591</v>
      </c>
      <c r="N9" s="138"/>
    </row>
    <row r="10" spans="3:14" ht="15.6" x14ac:dyDescent="0.3">
      <c r="C10" s="163" t="s">
        <v>152</v>
      </c>
      <c r="D10" s="172"/>
      <c r="E10" s="172"/>
      <c r="F10" s="172"/>
      <c r="G10" s="172"/>
      <c r="H10" s="172">
        <f>H8</f>
        <v>0</v>
      </c>
      <c r="I10" s="172">
        <f>I8</f>
        <v>0.85959970013532039</v>
      </c>
      <c r="J10" s="172">
        <f t="shared" ref="J10:L10" si="1">J8</f>
        <v>0.92944858082037263</v>
      </c>
      <c r="K10" s="172">
        <f t="shared" si="1"/>
        <v>1.0049732035190466</v>
      </c>
      <c r="L10" s="172">
        <f t="shared" si="1"/>
        <v>1.0866347645610366</v>
      </c>
      <c r="M10" s="172">
        <f>M8+M9</f>
        <v>94.432363345160198</v>
      </c>
      <c r="N10" s="138"/>
    </row>
    <row r="11" spans="3:14" ht="15.6" x14ac:dyDescent="0.3">
      <c r="C11" s="59" t="s">
        <v>153</v>
      </c>
      <c r="D11" s="138"/>
      <c r="E11" s="138"/>
      <c r="F11" s="138"/>
      <c r="G11" s="138"/>
      <c r="H11" s="138"/>
      <c r="I11" s="138">
        <f>I10/(1+F3)</f>
        <v>0.7851085964994523</v>
      </c>
      <c r="J11" s="138">
        <f>J10/(1+$F$3)^2</f>
        <v>0.77534023816856512</v>
      </c>
      <c r="K11" s="138">
        <f>K10/(1+$F$3)^3</f>
        <v>0.76569341821454207</v>
      </c>
      <c r="L11" s="138">
        <f>L10/(1+$F$3)^4</f>
        <v>0.7561666244511438</v>
      </c>
      <c r="M11" s="138">
        <f>M10/(1+$F$3)^5</f>
        <v>60.018929572153326</v>
      </c>
      <c r="N11" s="138"/>
    </row>
    <row r="12" spans="3:14" ht="15.6" x14ac:dyDescent="0.3">
      <c r="C12" s="65" t="s">
        <v>154</v>
      </c>
      <c r="D12" s="171"/>
      <c r="E12" s="171"/>
      <c r="F12" s="171"/>
      <c r="G12" s="171"/>
      <c r="H12" s="171">
        <f>SUM(I11:M11)</f>
        <v>63.101238449487028</v>
      </c>
      <c r="I12" s="80"/>
      <c r="J12" s="80"/>
      <c r="K12" s="80"/>
      <c r="L12" s="80"/>
      <c r="M12" s="80"/>
      <c r="N12" s="80"/>
    </row>
  </sheetData>
  <mergeCells count="4">
    <mergeCell ref="C6:C7"/>
    <mergeCell ref="D6:G6"/>
    <mergeCell ref="I6:M6"/>
    <mergeCell ref="C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2F6E-015F-4416-A383-F4E400DE7B3F}">
  <dimension ref="A1:L22"/>
  <sheetViews>
    <sheetView zoomScaleNormal="100" workbookViewId="0">
      <selection activeCell="H4" sqref="H4"/>
    </sheetView>
  </sheetViews>
  <sheetFormatPr defaultRowHeight="14.4" x14ac:dyDescent="0.3"/>
  <cols>
    <col min="1" max="1" width="31.6640625" bestFit="1" customWidth="1"/>
    <col min="2" max="2" width="12.6640625" bestFit="1" customWidth="1"/>
    <col min="3" max="3" width="12.5546875" bestFit="1" customWidth="1"/>
    <col min="4" max="5" width="13.44140625" bestFit="1" customWidth="1"/>
    <col min="6" max="6" width="16.44140625" bestFit="1" customWidth="1"/>
    <col min="7" max="10" width="12.6640625" bestFit="1" customWidth="1"/>
    <col min="11" max="11" width="16.44140625" bestFit="1" customWidth="1"/>
    <col min="12" max="12" width="12.5546875" bestFit="1" customWidth="1"/>
  </cols>
  <sheetData>
    <row r="1" spans="1:12" ht="17.399999999999999" x14ac:dyDescent="0.3">
      <c r="A1" s="254" t="s">
        <v>191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</row>
    <row r="3" spans="1:12" x14ac:dyDescent="0.3">
      <c r="B3" s="166" t="s">
        <v>70</v>
      </c>
      <c r="C3" s="116">
        <f>'Financial Data'!C49</f>
        <v>9.4879999999999992E-2</v>
      </c>
    </row>
    <row r="4" spans="1:12" x14ac:dyDescent="0.3">
      <c r="B4" s="167" t="s">
        <v>45</v>
      </c>
      <c r="C4" s="117">
        <f>(E16/D16)-1</f>
        <v>1.3333433509253423E-2</v>
      </c>
      <c r="D4" s="111"/>
    </row>
    <row r="5" spans="1:12" x14ac:dyDescent="0.3">
      <c r="D5" s="147"/>
    </row>
    <row r="7" spans="1:12" ht="18" x14ac:dyDescent="0.3">
      <c r="A7" s="256" t="s">
        <v>38</v>
      </c>
      <c r="B7" s="257" t="s">
        <v>40</v>
      </c>
      <c r="C7" s="258"/>
      <c r="D7" s="258"/>
      <c r="E7" s="259"/>
      <c r="F7" s="35" t="s">
        <v>1</v>
      </c>
      <c r="G7" s="260" t="s">
        <v>2</v>
      </c>
      <c r="H7" s="261"/>
      <c r="I7" s="261"/>
      <c r="J7" s="261"/>
      <c r="K7" s="262"/>
    </row>
    <row r="8" spans="1:12" ht="15.6" x14ac:dyDescent="0.3">
      <c r="A8" s="256"/>
      <c r="B8" s="51">
        <v>2017</v>
      </c>
      <c r="C8" s="51">
        <v>2018</v>
      </c>
      <c r="D8" s="51">
        <v>2019</v>
      </c>
      <c r="E8" s="51">
        <v>2020</v>
      </c>
      <c r="F8" s="52">
        <v>2021</v>
      </c>
      <c r="G8" s="52">
        <v>2022</v>
      </c>
      <c r="H8" s="52">
        <v>2023</v>
      </c>
      <c r="I8" s="52">
        <v>2024</v>
      </c>
      <c r="J8" s="52">
        <v>2025</v>
      </c>
      <c r="K8" s="52">
        <v>2026</v>
      </c>
      <c r="L8" s="52">
        <v>2027</v>
      </c>
    </row>
    <row r="9" spans="1:12" ht="15.6" x14ac:dyDescent="0.3">
      <c r="A9" s="59" t="s">
        <v>155</v>
      </c>
      <c r="B9" s="80">
        <f>'Financial Data'!I23</f>
        <v>53347.294200000004</v>
      </c>
      <c r="C9" s="80">
        <f>'Financial Data'!H23</f>
        <v>60142.022100000002</v>
      </c>
      <c r="D9" s="80">
        <f>'Financial Data'!G23</f>
        <v>53688.455699999999</v>
      </c>
      <c r="E9" s="80">
        <f>'Financial Data'!F23</f>
        <v>55465.086600000002</v>
      </c>
      <c r="F9" s="80">
        <f>'Financial Data'!D23</f>
        <v>92037.599400000006</v>
      </c>
      <c r="G9" s="55"/>
      <c r="H9" s="55"/>
      <c r="I9" s="55"/>
      <c r="J9" s="55"/>
      <c r="K9" s="55"/>
    </row>
    <row r="10" spans="1:12" ht="15.6" x14ac:dyDescent="0.3">
      <c r="A10" s="59" t="s">
        <v>160</v>
      </c>
      <c r="B10" s="80">
        <v>33783</v>
      </c>
      <c r="C10" s="80">
        <v>41304</v>
      </c>
      <c r="D10" s="80">
        <v>37378</v>
      </c>
      <c r="E10" s="80">
        <v>36766</v>
      </c>
      <c r="F10" s="80">
        <v>39440</v>
      </c>
      <c r="G10" s="55"/>
      <c r="H10" s="55"/>
      <c r="I10" s="55"/>
      <c r="J10" s="55"/>
      <c r="K10" s="55"/>
    </row>
    <row r="11" spans="1:12" ht="15.6" x14ac:dyDescent="0.3">
      <c r="A11" s="60" t="s">
        <v>39</v>
      </c>
      <c r="B11" s="156">
        <v>34327</v>
      </c>
      <c r="C11" s="156">
        <v>85000</v>
      </c>
      <c r="D11" s="156">
        <v>57101</v>
      </c>
      <c r="E11" s="156">
        <v>38321</v>
      </c>
      <c r="F11" s="156">
        <v>9355</v>
      </c>
      <c r="G11" s="55"/>
      <c r="H11" s="55"/>
      <c r="I11" s="55"/>
      <c r="J11" s="55"/>
      <c r="K11" s="55"/>
    </row>
    <row r="12" spans="1:12" ht="15.6" x14ac:dyDescent="0.3">
      <c r="A12" s="59" t="s">
        <v>156</v>
      </c>
      <c r="B12" s="80"/>
      <c r="C12" s="157">
        <f>C11-B11</f>
        <v>50673</v>
      </c>
      <c r="D12" s="157">
        <f>D11-C11</f>
        <v>-27899</v>
      </c>
      <c r="E12" s="157">
        <f t="shared" ref="E12:F12" si="0">E11-D11</f>
        <v>-18780</v>
      </c>
      <c r="F12" s="157">
        <f t="shared" si="0"/>
        <v>-28966</v>
      </c>
      <c r="G12" s="55"/>
      <c r="H12" s="55"/>
      <c r="I12" s="55"/>
      <c r="J12" s="55"/>
      <c r="K12" s="55"/>
    </row>
    <row r="13" spans="1:12" ht="15.6" x14ac:dyDescent="0.3">
      <c r="A13" s="59" t="s">
        <v>157</v>
      </c>
      <c r="B13" s="148">
        <f>'Financial Data'!S32/'Financial Data'!S39</f>
        <v>0.63373835682688184</v>
      </c>
      <c r="C13" s="148">
        <f>'Financial Data'!R32/'Financial Data'!R39</f>
        <v>0.69744793078521727</v>
      </c>
      <c r="D13" s="148">
        <f>'Financial Data'!Q32/'Financial Data'!Q39</f>
        <v>0.73269210317976108</v>
      </c>
      <c r="E13" s="148">
        <f>'Financial Data'!P32/'Financial Data'!P39</f>
        <v>0.79826668477992391</v>
      </c>
      <c r="F13" s="148">
        <f>'Financial Data'!O32/'Financial Data'!O39</f>
        <v>0.82025743443057308</v>
      </c>
      <c r="G13" s="55"/>
      <c r="H13" s="55"/>
      <c r="I13" s="55"/>
      <c r="J13" s="55"/>
      <c r="K13" s="55"/>
    </row>
    <row r="14" spans="1:12" ht="15.6" x14ac:dyDescent="0.3">
      <c r="A14" s="59" t="s">
        <v>159</v>
      </c>
      <c r="B14" s="148">
        <f>1-B13</f>
        <v>0.36626164317311816</v>
      </c>
      <c r="C14" s="148">
        <f t="shared" ref="C14:F14" si="1">1-C13</f>
        <v>0.30255206921478273</v>
      </c>
      <c r="D14" s="148">
        <f t="shared" si="1"/>
        <v>0.26730789682023892</v>
      </c>
      <c r="E14" s="148">
        <f t="shared" si="1"/>
        <v>0.20173331522007609</v>
      </c>
      <c r="F14" s="148">
        <f t="shared" si="1"/>
        <v>0.17974256556942692</v>
      </c>
      <c r="G14" s="55"/>
      <c r="H14" s="55"/>
      <c r="I14" s="55"/>
      <c r="J14" s="55"/>
      <c r="K14" s="55"/>
    </row>
    <row r="15" spans="1:12" ht="15.6" x14ac:dyDescent="0.3">
      <c r="A15" s="59"/>
      <c r="B15" s="80"/>
      <c r="C15" s="80"/>
      <c r="D15" s="80"/>
      <c r="E15" s="80"/>
      <c r="F15" s="80"/>
    </row>
    <row r="16" spans="1:12" ht="15.6" x14ac:dyDescent="0.3">
      <c r="A16" s="163" t="s">
        <v>158</v>
      </c>
      <c r="B16" s="158"/>
      <c r="C16" s="159">
        <f>C9-C10*C14-C12*C14</f>
        <v>32314.190429831928</v>
      </c>
      <c r="D16" s="159">
        <f t="shared" ref="D16:F16" si="2">D9-D10*D14-D12*D14</f>
        <v>51154.644146040955</v>
      </c>
      <c r="E16" s="159">
        <f t="shared" si="2"/>
        <v>51836.711192451716</v>
      </c>
      <c r="F16" s="159">
        <f t="shared" si="2"/>
        <v>90154.975768225821</v>
      </c>
      <c r="G16" s="159">
        <f>F16*(1+$C$4)</f>
        <v>91357.051143159813</v>
      </c>
      <c r="H16" s="159">
        <f t="shared" ref="H16:K16" si="3">G16*(1+$C$4)</f>
        <v>92575.154310178594</v>
      </c>
      <c r="I16" s="159">
        <f t="shared" si="3"/>
        <v>93809.49897478224</v>
      </c>
      <c r="J16" s="159">
        <f t="shared" si="3"/>
        <v>95060.301691898872</v>
      </c>
      <c r="K16" s="159">
        <f t="shared" si="3"/>
        <v>96327.781903877374</v>
      </c>
      <c r="L16" s="159">
        <f>K16*(1+C4)</f>
        <v>97612.161978986594</v>
      </c>
    </row>
    <row r="17" spans="1:12" ht="15.6" x14ac:dyDescent="0.3">
      <c r="A17" s="59" t="s">
        <v>46</v>
      </c>
      <c r="B17" s="80"/>
      <c r="C17" s="80"/>
      <c r="D17" s="80"/>
      <c r="E17" s="80"/>
      <c r="F17" s="80"/>
      <c r="G17" s="80"/>
      <c r="H17" s="80"/>
      <c r="I17" s="80"/>
      <c r="J17" s="80"/>
      <c r="K17" s="157">
        <f>L16/(C3-C4)</f>
        <v>1197011.3050690254</v>
      </c>
      <c r="L17" s="80"/>
    </row>
    <row r="18" spans="1:12" ht="15.6" x14ac:dyDescent="0.3">
      <c r="A18" s="59" t="s">
        <v>161</v>
      </c>
      <c r="B18" s="80"/>
      <c r="C18" s="80"/>
      <c r="D18" s="80"/>
      <c r="E18" s="80"/>
      <c r="F18" s="157">
        <f>F16</f>
        <v>90154.975768225821</v>
      </c>
      <c r="G18" s="157">
        <f>G16/(1+$C$3)</f>
        <v>83440.24107040024</v>
      </c>
      <c r="H18" s="157">
        <f>H16/(1+$C$3)^2</f>
        <v>77225.619224671638</v>
      </c>
      <c r="I18" s="157">
        <f>I16/(1+$C$3)^3</f>
        <v>71473.861869624729</v>
      </c>
      <c r="J18" s="157">
        <f>J16/((1+$C$3)^4)</f>
        <v>66150.494898539502</v>
      </c>
      <c r="K18" s="157">
        <f>(K16+K17)/(1+$C$3)^5</f>
        <v>822015.08915129921</v>
      </c>
      <c r="L18" s="80"/>
    </row>
    <row r="19" spans="1:12" ht="15.6" x14ac:dyDescent="0.3">
      <c r="A19" s="168" t="s">
        <v>162</v>
      </c>
      <c r="B19" s="158"/>
      <c r="C19" s="158"/>
      <c r="D19" s="158"/>
      <c r="E19" s="158"/>
      <c r="F19" s="159">
        <f>SUM(F18:K18)</f>
        <v>1210460.2819827611</v>
      </c>
      <c r="G19" s="119"/>
    </row>
    <row r="20" spans="1:12" ht="15.6" x14ac:dyDescent="0.3">
      <c r="A20" s="59" t="s">
        <v>163</v>
      </c>
      <c r="B20" s="80"/>
      <c r="C20" s="80"/>
      <c r="D20" s="80"/>
      <c r="E20" s="80"/>
      <c r="F20" s="160">
        <f>'Financial Data'!D27</f>
        <v>16701</v>
      </c>
    </row>
    <row r="21" spans="1:12" ht="15.6" x14ac:dyDescent="0.3">
      <c r="A21" s="59"/>
      <c r="B21" s="80"/>
      <c r="C21" s="80"/>
      <c r="D21" s="80"/>
      <c r="E21" s="80"/>
      <c r="F21" s="80"/>
    </row>
    <row r="22" spans="1:12" ht="15.6" x14ac:dyDescent="0.3">
      <c r="A22" s="65" t="s">
        <v>154</v>
      </c>
      <c r="B22" s="161"/>
      <c r="C22" s="161"/>
      <c r="D22" s="161"/>
      <c r="E22" s="161"/>
      <c r="F22" s="162">
        <f>F19/F20</f>
        <v>72.478311597075688</v>
      </c>
    </row>
  </sheetData>
  <mergeCells count="4">
    <mergeCell ref="A7:A8"/>
    <mergeCell ref="B7:E7"/>
    <mergeCell ref="G7:K7"/>
    <mergeCell ref="A1: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ECD7-7B77-407D-AC68-C4ECC41A284E}">
  <dimension ref="A1:L34"/>
  <sheetViews>
    <sheetView workbookViewId="0">
      <selection activeCell="G5" sqref="G5"/>
    </sheetView>
  </sheetViews>
  <sheetFormatPr defaultRowHeight="14.4" x14ac:dyDescent="0.3"/>
  <cols>
    <col min="1" max="1" width="23.33203125" customWidth="1"/>
    <col min="2" max="2" width="19.44140625" bestFit="1" customWidth="1"/>
    <col min="3" max="3" width="24.88671875" bestFit="1" customWidth="1"/>
    <col min="4" max="4" width="14.109375" bestFit="1" customWidth="1"/>
    <col min="5" max="5" width="12.5546875" bestFit="1" customWidth="1"/>
    <col min="6" max="6" width="13.5546875" bestFit="1" customWidth="1"/>
    <col min="7" max="7" width="16.109375" customWidth="1"/>
    <col min="8" max="8" width="12.5546875" bestFit="1" customWidth="1"/>
  </cols>
  <sheetData>
    <row r="1" spans="1:12" ht="18" x14ac:dyDescent="0.35">
      <c r="A1" s="254" t="s">
        <v>199</v>
      </c>
      <c r="B1" s="264"/>
      <c r="C1" s="264"/>
      <c r="D1" s="264"/>
      <c r="E1" s="264"/>
      <c r="F1" s="264"/>
      <c r="G1" s="264"/>
      <c r="H1" s="264"/>
    </row>
    <row r="2" spans="1:12" ht="15.6" x14ac:dyDescent="0.3">
      <c r="A2" s="80"/>
      <c r="B2" s="80"/>
      <c r="C2" s="80"/>
      <c r="D2" s="80"/>
      <c r="E2" s="80"/>
    </row>
    <row r="3" spans="1:12" ht="15.6" x14ac:dyDescent="0.3">
      <c r="A3" s="80"/>
      <c r="B3" s="263" t="s">
        <v>198</v>
      </c>
      <c r="C3" s="263"/>
      <c r="D3" s="263"/>
      <c r="E3" s="263"/>
    </row>
    <row r="4" spans="1:12" ht="15.6" x14ac:dyDescent="0.3">
      <c r="A4" s="80"/>
      <c r="B4" s="187" t="s">
        <v>80</v>
      </c>
      <c r="C4" s="188" t="s">
        <v>81</v>
      </c>
      <c r="D4" s="189" t="s">
        <v>120</v>
      </c>
      <c r="E4" s="152" t="s">
        <v>69</v>
      </c>
    </row>
    <row r="5" spans="1:12" ht="15.6" x14ac:dyDescent="0.3">
      <c r="A5" s="184" t="s">
        <v>61</v>
      </c>
      <c r="B5" s="178"/>
      <c r="C5" s="179"/>
      <c r="D5" s="180"/>
      <c r="E5" s="152"/>
    </row>
    <row r="6" spans="1:12" ht="15.6" x14ac:dyDescent="0.3">
      <c r="A6" s="185" t="s">
        <v>59</v>
      </c>
      <c r="B6" s="178">
        <v>7.1</v>
      </c>
      <c r="C6" s="179">
        <v>23.19</v>
      </c>
      <c r="D6" s="180">
        <v>32.53</v>
      </c>
      <c r="E6" s="152">
        <f>AVERAGE(B6:D6)</f>
        <v>20.94</v>
      </c>
    </row>
    <row r="7" spans="1:12" ht="15.6" x14ac:dyDescent="0.3">
      <c r="A7" s="185" t="s">
        <v>58</v>
      </c>
      <c r="B7" s="178">
        <v>1.1100000000000001</v>
      </c>
      <c r="C7" s="179">
        <v>2.15</v>
      </c>
      <c r="D7" s="180">
        <v>0.68</v>
      </c>
      <c r="E7" s="152">
        <f t="shared" ref="E7" si="0">AVERAGE(B7:D7)</f>
        <v>1.3133333333333332</v>
      </c>
    </row>
    <row r="8" spans="1:12" ht="15.6" x14ac:dyDescent="0.3">
      <c r="A8" s="186" t="s">
        <v>60</v>
      </c>
      <c r="B8" s="181">
        <v>4.25</v>
      </c>
      <c r="C8" s="182">
        <v>15.93</v>
      </c>
      <c r="D8" s="183">
        <v>3.75</v>
      </c>
      <c r="E8" s="152">
        <f>AVERAGE(B8:D8)</f>
        <v>7.9766666666666666</v>
      </c>
    </row>
    <row r="11" spans="1:12" ht="18" x14ac:dyDescent="0.3">
      <c r="A11" s="250" t="s">
        <v>38</v>
      </c>
      <c r="B11" s="249" t="s">
        <v>40</v>
      </c>
      <c r="C11" s="250"/>
      <c r="D11" s="250"/>
      <c r="E11" s="250"/>
      <c r="F11" s="34" t="s">
        <v>1</v>
      </c>
      <c r="G11" s="34"/>
      <c r="H11" s="72" t="s">
        <v>2</v>
      </c>
      <c r="I11" s="73"/>
      <c r="J11" s="73"/>
      <c r="K11" s="73"/>
      <c r="L11" s="73"/>
    </row>
    <row r="12" spans="1:12" ht="15.6" x14ac:dyDescent="0.3">
      <c r="A12" s="250"/>
      <c r="B12" s="51">
        <v>2017</v>
      </c>
      <c r="C12" s="51">
        <v>2018</v>
      </c>
      <c r="D12" s="51">
        <v>2019</v>
      </c>
      <c r="E12" s="51">
        <v>2020</v>
      </c>
      <c r="F12" s="52">
        <v>2021</v>
      </c>
      <c r="G12" s="52" t="s">
        <v>64</v>
      </c>
      <c r="H12" s="52">
        <v>2022</v>
      </c>
      <c r="I12" s="52"/>
      <c r="J12" s="52"/>
      <c r="K12" s="52"/>
      <c r="L12" s="52"/>
    </row>
    <row r="13" spans="1:12" ht="15.6" x14ac:dyDescent="0.3">
      <c r="A13" s="173" t="s">
        <v>148</v>
      </c>
      <c r="B13" s="144">
        <v>2.3180000000000001</v>
      </c>
      <c r="C13" s="144">
        <v>3.0030000000000001</v>
      </c>
      <c r="D13" s="144">
        <v>2.9929999999999999</v>
      </c>
      <c r="E13" s="144">
        <v>3.31</v>
      </c>
      <c r="F13" s="145">
        <v>5.61</v>
      </c>
      <c r="G13" s="141">
        <f>(F13/B13)^(1/4)-1</f>
        <v>0.24727540162151507</v>
      </c>
      <c r="H13" s="143">
        <f>F13*(1+G13)</f>
        <v>6.9972150030966995</v>
      </c>
      <c r="I13" s="52"/>
      <c r="J13" s="52"/>
      <c r="K13" s="52"/>
      <c r="L13" s="52"/>
    </row>
    <row r="14" spans="1:12" ht="15.6" x14ac:dyDescent="0.3">
      <c r="A14" s="173" t="s">
        <v>149</v>
      </c>
      <c r="B14" s="144">
        <v>6.49</v>
      </c>
      <c r="C14" s="144">
        <v>5.64</v>
      </c>
      <c r="D14" s="144">
        <v>5.09</v>
      </c>
      <c r="E14" s="144">
        <v>3.84</v>
      </c>
      <c r="F14" s="145">
        <v>3.85</v>
      </c>
      <c r="G14" s="141">
        <f>(F14/B14)^(1/4)-1</f>
        <v>-0.12238505924442711</v>
      </c>
      <c r="H14" s="143">
        <f>F14*(1+G14)</f>
        <v>3.3788175219089558</v>
      </c>
      <c r="I14" s="52"/>
      <c r="J14" s="52"/>
      <c r="K14" s="52"/>
      <c r="L14" s="52"/>
    </row>
    <row r="15" spans="1:12" ht="18" x14ac:dyDescent="0.3">
      <c r="A15" s="174"/>
      <c r="B15" s="51"/>
      <c r="C15" s="51"/>
      <c r="D15" s="51"/>
      <c r="E15" s="51"/>
      <c r="F15" s="52"/>
      <c r="G15" s="141"/>
      <c r="H15" s="52"/>
      <c r="I15" s="52"/>
      <c r="J15" s="52"/>
      <c r="K15" s="52"/>
      <c r="L15" s="52"/>
    </row>
    <row r="16" spans="1:12" ht="15.6" x14ac:dyDescent="0.3">
      <c r="A16" s="71" t="s">
        <v>33</v>
      </c>
      <c r="B16" s="136">
        <f>'Financial Data'!I18</f>
        <v>61344</v>
      </c>
      <c r="C16" s="136">
        <f>'DCF Valuation Model_FCF'!C10</f>
        <v>70868</v>
      </c>
      <c r="D16" s="136">
        <f>'DCF Valuation Model_FCF'!D10</f>
        <v>63930</v>
      </c>
      <c r="E16" s="136">
        <f>'DCF Valuation Model_FCF'!E10</f>
        <v>66288</v>
      </c>
      <c r="F16" s="137">
        <f>'DCF Valuation Model_FCF'!F10</f>
        <v>108949</v>
      </c>
      <c r="G16" s="141"/>
      <c r="H16" s="52"/>
      <c r="I16" s="69"/>
      <c r="J16" s="69"/>
      <c r="K16" s="69"/>
      <c r="L16" s="69"/>
    </row>
    <row r="17" spans="1:12" ht="15.6" x14ac:dyDescent="0.3">
      <c r="A17" s="71" t="s">
        <v>34</v>
      </c>
      <c r="B17" s="138">
        <f>B16*0.1363</f>
        <v>8361.1872000000003</v>
      </c>
      <c r="C17" s="138">
        <f t="shared" ref="C17:F17" si="1">C16*0.1363</f>
        <v>9659.3083999999999</v>
      </c>
      <c r="D17" s="138">
        <f t="shared" si="1"/>
        <v>8713.6589999999997</v>
      </c>
      <c r="E17" s="138">
        <f t="shared" si="1"/>
        <v>9035.0544000000009</v>
      </c>
      <c r="F17" s="138">
        <f t="shared" si="1"/>
        <v>14849.7487</v>
      </c>
      <c r="G17" s="141"/>
      <c r="H17" s="52"/>
      <c r="I17" s="69"/>
      <c r="J17" s="69"/>
      <c r="K17" s="69"/>
      <c r="L17" s="69"/>
    </row>
    <row r="18" spans="1:12" ht="15.6" x14ac:dyDescent="0.3">
      <c r="A18" s="71" t="s">
        <v>62</v>
      </c>
      <c r="B18" s="138">
        <f>'Financial Data'!I16</f>
        <v>10157</v>
      </c>
      <c r="C18" s="138">
        <f>'Financial Data'!H16</f>
        <v>10903</v>
      </c>
      <c r="D18" s="138">
        <f>'Financial Data'!G16</f>
        <v>12547</v>
      </c>
      <c r="E18" s="138">
        <f>'Financial Data'!F16</f>
        <v>11056</v>
      </c>
      <c r="F18" s="139">
        <f>'Financial Data'!D16</f>
        <v>11284</v>
      </c>
      <c r="G18" s="141"/>
      <c r="H18" s="52"/>
      <c r="I18" s="69"/>
      <c r="J18" s="69"/>
      <c r="K18" s="69"/>
      <c r="L18" s="69"/>
    </row>
    <row r="19" spans="1:12" ht="15.6" x14ac:dyDescent="0.3">
      <c r="A19" s="58" t="s">
        <v>65</v>
      </c>
      <c r="B19" s="140">
        <f>B16-B17-B18</f>
        <v>42825.8128</v>
      </c>
      <c r="C19" s="140">
        <f t="shared" ref="C19:F19" si="2">C16-C17-C18</f>
        <v>50305.691599999998</v>
      </c>
      <c r="D19" s="140">
        <f t="shared" si="2"/>
        <v>42669.341</v>
      </c>
      <c r="E19" s="140">
        <f t="shared" si="2"/>
        <v>46196.945599999999</v>
      </c>
      <c r="F19" s="140">
        <f t="shared" si="2"/>
        <v>82815.251300000004</v>
      </c>
      <c r="G19" s="141">
        <f>(F19/B19)^(1/4)-1</f>
        <v>0.17923721775014134</v>
      </c>
      <c r="H19" s="142">
        <f>F19*(1+G19)</f>
        <v>97658.826530290782</v>
      </c>
      <c r="I19" s="69"/>
      <c r="J19" s="69"/>
      <c r="K19" s="69"/>
      <c r="L19" s="69"/>
    </row>
    <row r="20" spans="1:12" ht="15.6" x14ac:dyDescent="0.3">
      <c r="A20" s="59"/>
      <c r="B20" s="26"/>
      <c r="C20" s="26"/>
      <c r="D20" s="26"/>
      <c r="E20" s="26"/>
      <c r="H20" s="69"/>
      <c r="I20" s="70"/>
      <c r="J20" s="70"/>
      <c r="K20" s="70"/>
      <c r="L20" s="70"/>
    </row>
    <row r="21" spans="1:12" ht="15.6" x14ac:dyDescent="0.3">
      <c r="A21" s="59"/>
      <c r="B21" s="26"/>
      <c r="C21" s="26"/>
      <c r="D21" s="26"/>
      <c r="E21" s="26"/>
      <c r="H21" s="69"/>
      <c r="I21" s="70"/>
      <c r="J21" s="70"/>
      <c r="K21" s="70"/>
      <c r="L21" s="70"/>
    </row>
    <row r="22" spans="1:12" ht="15.6" x14ac:dyDescent="0.3">
      <c r="A22" s="176" t="s">
        <v>70</v>
      </c>
      <c r="B22" s="175">
        <f>'Financial Data'!C49</f>
        <v>9.4879999999999992E-2</v>
      </c>
      <c r="C22" s="26"/>
      <c r="D22" s="26"/>
      <c r="E22" s="26"/>
      <c r="H22" s="69"/>
      <c r="I22" s="70"/>
      <c r="J22" s="70"/>
      <c r="K22" s="70"/>
      <c r="L22" s="70"/>
    </row>
    <row r="23" spans="1:12" ht="15.6" x14ac:dyDescent="0.3">
      <c r="A23" s="177" t="s">
        <v>147</v>
      </c>
      <c r="B23" s="190">
        <f>'Financial Data'!D27</f>
        <v>16701</v>
      </c>
      <c r="C23" s="26"/>
      <c r="D23" s="26"/>
      <c r="E23" s="26"/>
      <c r="H23" s="69"/>
      <c r="I23" s="70"/>
      <c r="J23" s="70"/>
      <c r="K23" s="70"/>
      <c r="L23" s="70"/>
    </row>
    <row r="24" spans="1:12" ht="15.6" x14ac:dyDescent="0.3">
      <c r="A24" s="60"/>
      <c r="B24" s="33"/>
      <c r="C24" s="33"/>
      <c r="D24" s="33"/>
      <c r="E24" s="33"/>
      <c r="F24" s="30"/>
      <c r="G24" s="30"/>
      <c r="H24" s="69"/>
      <c r="I24" s="69"/>
      <c r="J24" s="69"/>
      <c r="K24" s="69"/>
      <c r="L24" s="69"/>
    </row>
    <row r="25" spans="1:12" ht="15.6" x14ac:dyDescent="0.3">
      <c r="A25" s="60"/>
      <c r="B25" s="74" t="s">
        <v>1</v>
      </c>
      <c r="C25" s="74" t="s">
        <v>2</v>
      </c>
      <c r="D25" s="33"/>
      <c r="E25" s="33"/>
      <c r="F25" s="30"/>
      <c r="G25" s="30"/>
      <c r="H25" s="69"/>
      <c r="I25" s="69"/>
      <c r="J25" s="69"/>
      <c r="K25" s="69"/>
      <c r="L25" s="69"/>
    </row>
    <row r="26" spans="1:12" ht="15.6" x14ac:dyDescent="0.3">
      <c r="A26" s="60"/>
      <c r="B26" s="33">
        <v>2021</v>
      </c>
      <c r="C26" s="33">
        <v>2022</v>
      </c>
      <c r="D26" s="33"/>
      <c r="E26" s="33"/>
      <c r="F26" s="33"/>
      <c r="G26" s="33"/>
      <c r="H26" s="69"/>
      <c r="I26" s="69"/>
      <c r="J26" s="69"/>
      <c r="K26" s="69"/>
      <c r="L26" s="69"/>
    </row>
    <row r="27" spans="1:12" ht="15.6" x14ac:dyDescent="0.3">
      <c r="A27" s="60" t="s">
        <v>197</v>
      </c>
      <c r="B27" s="33"/>
      <c r="C27" s="146"/>
      <c r="D27" s="33"/>
      <c r="E27" s="33"/>
      <c r="F27" s="30"/>
      <c r="G27" s="30"/>
      <c r="H27" s="69"/>
      <c r="I27" s="69"/>
      <c r="J27" s="69"/>
      <c r="K27" s="69"/>
      <c r="L27" s="69"/>
    </row>
    <row r="28" spans="1:12" ht="15.6" x14ac:dyDescent="0.3">
      <c r="A28" s="60" t="s">
        <v>66</v>
      </c>
      <c r="B28" s="146">
        <f>C28/(1+B22)</f>
        <v>133.82442109166746</v>
      </c>
      <c r="C28" s="146">
        <f>H13*E6</f>
        <v>146.52168216484489</v>
      </c>
      <c r="D28" s="33"/>
      <c r="E28" s="33"/>
      <c r="F28" s="33"/>
      <c r="G28" s="33"/>
      <c r="H28" s="69"/>
      <c r="I28" s="69"/>
      <c r="J28" s="69"/>
      <c r="K28" s="69"/>
      <c r="L28" s="69"/>
    </row>
    <row r="29" spans="1:12" ht="15.6" x14ac:dyDescent="0.3">
      <c r="A29" s="60" t="s">
        <v>67</v>
      </c>
      <c r="B29" s="146">
        <f>C29/(1+B22)</f>
        <v>4.0529680684401592</v>
      </c>
      <c r="C29" s="146">
        <f>H14*E7</f>
        <v>4.4375136787737617</v>
      </c>
      <c r="D29" s="33"/>
      <c r="E29" s="33"/>
      <c r="H29" s="69"/>
      <c r="I29" s="69"/>
      <c r="J29" s="69"/>
      <c r="K29" s="69"/>
      <c r="L29" s="69"/>
    </row>
    <row r="30" spans="1:12" ht="15.6" x14ac:dyDescent="0.3">
      <c r="A30" s="60" t="s">
        <v>68</v>
      </c>
      <c r="B30" s="146">
        <f>C30/(1+B22)</f>
        <v>42.601407381479859</v>
      </c>
      <c r="C30" s="119">
        <f>H19*E8/B23</f>
        <v>46.643428913834668</v>
      </c>
    </row>
    <row r="31" spans="1:12" ht="15.6" x14ac:dyDescent="0.3">
      <c r="A31" s="65" t="s">
        <v>150</v>
      </c>
      <c r="B31" s="155">
        <f>AVERAGE(B28:B30)</f>
        <v>60.159598847195831</v>
      </c>
    </row>
    <row r="32" spans="1:12" ht="15.6" x14ac:dyDescent="0.3">
      <c r="A32" s="60"/>
    </row>
    <row r="33" spans="1:1" ht="15.6" x14ac:dyDescent="0.3">
      <c r="A33" s="60"/>
    </row>
    <row r="34" spans="1:1" ht="15.6" x14ac:dyDescent="0.3">
      <c r="A34" s="60"/>
    </row>
  </sheetData>
  <mergeCells count="4">
    <mergeCell ref="B3:E3"/>
    <mergeCell ref="A11:A12"/>
    <mergeCell ref="B11:E11"/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0B2C-7116-4DF5-84A7-057FE11C99AD}">
  <dimension ref="A1:R46"/>
  <sheetViews>
    <sheetView workbookViewId="0">
      <selection activeCell="L3" sqref="L3"/>
    </sheetView>
  </sheetViews>
  <sheetFormatPr defaultRowHeight="14.4" x14ac:dyDescent="0.3"/>
  <cols>
    <col min="2" max="2" width="20.109375" bestFit="1" customWidth="1"/>
    <col min="3" max="3" width="13.77734375" bestFit="1" customWidth="1"/>
    <col min="6" max="6" width="10.77734375" customWidth="1"/>
    <col min="8" max="8" width="10.5546875" bestFit="1" customWidth="1"/>
    <col min="15" max="15" width="9.109375" bestFit="1" customWidth="1"/>
    <col min="16" max="16" width="12.6640625" bestFit="1" customWidth="1"/>
  </cols>
  <sheetData>
    <row r="1" spans="2:18" x14ac:dyDescent="0.3">
      <c r="B1" s="267" t="s">
        <v>177</v>
      </c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</row>
    <row r="2" spans="2:18" x14ac:dyDescent="0.3"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</row>
    <row r="3" spans="2:18" ht="17.399999999999999" customHeight="1" x14ac:dyDescent="0.3"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</row>
    <row r="4" spans="2:18" ht="18" x14ac:dyDescent="0.35">
      <c r="B4" s="265" t="s">
        <v>164</v>
      </c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</row>
    <row r="6" spans="2:18" ht="15.6" x14ac:dyDescent="0.3">
      <c r="B6" s="149" t="s">
        <v>171</v>
      </c>
      <c r="C6" s="150" t="s">
        <v>172</v>
      </c>
      <c r="D6" s="80"/>
      <c r="E6" s="80"/>
      <c r="F6" s="151" t="s">
        <v>165</v>
      </c>
      <c r="G6" s="151"/>
      <c r="H6" s="151"/>
      <c r="I6" s="80"/>
      <c r="J6" s="80"/>
      <c r="K6" s="80"/>
      <c r="L6" s="80"/>
      <c r="M6" s="80"/>
      <c r="N6" s="151" t="s">
        <v>168</v>
      </c>
      <c r="O6" s="151"/>
      <c r="P6" s="151"/>
      <c r="Q6" s="80"/>
      <c r="R6" s="80"/>
    </row>
    <row r="7" spans="2:18" ht="15.6" x14ac:dyDescent="0.3">
      <c r="B7" s="287" t="s">
        <v>173</v>
      </c>
      <c r="C7" s="289">
        <f>'Financial Data'!D14</f>
        <v>365817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</row>
    <row r="8" spans="2:18" ht="15.6" x14ac:dyDescent="0.3">
      <c r="B8" s="287" t="s">
        <v>174</v>
      </c>
      <c r="C8" s="289">
        <v>212981</v>
      </c>
      <c r="D8" s="80"/>
      <c r="E8" s="80"/>
      <c r="F8" s="80" t="s">
        <v>166</v>
      </c>
      <c r="G8" s="80"/>
      <c r="H8" s="80"/>
      <c r="I8" s="80"/>
      <c r="J8" s="80"/>
      <c r="K8" s="80"/>
      <c r="L8" s="80"/>
      <c r="M8" s="80"/>
      <c r="N8" s="80" t="s">
        <v>169</v>
      </c>
      <c r="O8" s="80"/>
      <c r="P8" s="80"/>
      <c r="Q8" s="80"/>
      <c r="R8" s="80"/>
    </row>
    <row r="9" spans="2:18" ht="15.6" x14ac:dyDescent="0.3">
      <c r="B9" s="287" t="s">
        <v>33</v>
      </c>
      <c r="C9" s="289">
        <f>'Financial Data'!D18</f>
        <v>108949</v>
      </c>
      <c r="D9" s="80"/>
      <c r="E9" s="80"/>
      <c r="F9" s="161" t="s">
        <v>178</v>
      </c>
      <c r="G9" s="161"/>
      <c r="H9" s="234">
        <f>(C7-C8)/C7</f>
        <v>0.41779359625167778</v>
      </c>
      <c r="I9" s="80"/>
      <c r="J9" s="80"/>
      <c r="K9" s="80"/>
      <c r="L9" s="80"/>
      <c r="M9" s="80"/>
      <c r="N9" s="161" t="s">
        <v>181</v>
      </c>
      <c r="O9" s="234"/>
      <c r="P9" s="234">
        <f>C10/C11</f>
        <v>0.26221388880975038</v>
      </c>
      <c r="Q9" s="80"/>
      <c r="R9" s="80"/>
    </row>
    <row r="10" spans="2:18" ht="15.6" x14ac:dyDescent="0.3">
      <c r="B10" s="287" t="s">
        <v>155</v>
      </c>
      <c r="C10" s="289">
        <f>'Financial Data'!D23</f>
        <v>92037.599400000006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</row>
    <row r="11" spans="2:18" ht="15.6" x14ac:dyDescent="0.3">
      <c r="B11" s="287" t="s">
        <v>17</v>
      </c>
      <c r="C11" s="289">
        <f>'Financial Data'!O21</f>
        <v>351002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</row>
    <row r="12" spans="2:18" ht="15.6" x14ac:dyDescent="0.3">
      <c r="B12" s="287" t="s">
        <v>63</v>
      </c>
      <c r="C12" s="289">
        <f>'Financial Data'!O38</f>
        <v>63090</v>
      </c>
      <c r="D12" s="80"/>
      <c r="E12" s="80"/>
      <c r="F12" s="80" t="s">
        <v>167</v>
      </c>
      <c r="G12" s="80"/>
      <c r="H12" s="80"/>
      <c r="I12" s="80"/>
      <c r="J12" s="80"/>
      <c r="K12" s="80"/>
      <c r="L12" s="80"/>
      <c r="M12" s="80"/>
      <c r="N12" s="80" t="s">
        <v>170</v>
      </c>
      <c r="O12" s="80"/>
      <c r="P12" s="80"/>
      <c r="Q12" s="80"/>
      <c r="R12" s="80"/>
    </row>
    <row r="13" spans="2:18" ht="15.6" x14ac:dyDescent="0.3">
      <c r="B13" s="288" t="s">
        <v>176</v>
      </c>
      <c r="C13" s="290">
        <f>'Financial Data'!O39</f>
        <v>351002</v>
      </c>
      <c r="D13" s="80"/>
      <c r="E13" s="80"/>
      <c r="F13" s="161" t="s">
        <v>179</v>
      </c>
      <c r="G13" s="161"/>
      <c r="H13" s="234">
        <f>C10/C7</f>
        <v>0.25159464814374399</v>
      </c>
      <c r="I13" s="80"/>
      <c r="J13" s="80"/>
      <c r="K13" s="80"/>
      <c r="L13" s="80"/>
      <c r="M13" s="80"/>
      <c r="N13" s="161" t="s">
        <v>182</v>
      </c>
      <c r="O13" s="234"/>
      <c r="P13" s="227">
        <f>C10/C12</f>
        <v>1.4588302330004757</v>
      </c>
      <c r="Q13" s="80"/>
      <c r="R13" s="80"/>
    </row>
    <row r="14" spans="2:18" ht="15.6" x14ac:dyDescent="0.3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</row>
    <row r="15" spans="2:18" ht="15.6" x14ac:dyDescent="0.3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</row>
    <row r="16" spans="2:18" ht="15.6" x14ac:dyDescent="0.3">
      <c r="B16" s="80"/>
      <c r="C16" s="80"/>
      <c r="D16" s="80"/>
      <c r="E16" s="80"/>
      <c r="F16" s="80" t="s">
        <v>175</v>
      </c>
      <c r="G16" s="80"/>
      <c r="H16" s="80"/>
      <c r="I16" s="80"/>
      <c r="J16" s="80"/>
      <c r="K16" s="80"/>
      <c r="L16" s="80"/>
      <c r="M16" s="80"/>
      <c r="N16" s="80" t="s">
        <v>183</v>
      </c>
      <c r="O16" s="80"/>
      <c r="P16" s="80"/>
      <c r="Q16" s="80"/>
      <c r="R16" s="80"/>
    </row>
    <row r="17" spans="1:18" ht="15.6" x14ac:dyDescent="0.3">
      <c r="B17" s="80"/>
      <c r="C17" s="80"/>
      <c r="D17" s="80"/>
      <c r="E17" s="80"/>
      <c r="F17" s="161" t="s">
        <v>180</v>
      </c>
      <c r="G17" s="161"/>
      <c r="H17" s="234">
        <f>C9/C7</f>
        <v>0.29782377527561593</v>
      </c>
      <c r="I17" s="80"/>
      <c r="J17" s="80"/>
      <c r="K17" s="80"/>
      <c r="L17" s="80"/>
      <c r="M17" s="80"/>
      <c r="N17" s="161" t="s">
        <v>184</v>
      </c>
      <c r="O17" s="234"/>
      <c r="P17" s="234">
        <f>C10/C13</f>
        <v>0.26221388880975038</v>
      </c>
      <c r="Q17" s="80"/>
      <c r="R17" s="80"/>
    </row>
    <row r="18" spans="1:18" ht="15.6" x14ac:dyDescent="0.3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</row>
    <row r="20" spans="1:18" ht="18" x14ac:dyDescent="0.35">
      <c r="B20" s="265" t="s">
        <v>185</v>
      </c>
      <c r="C20" s="266"/>
      <c r="D20" s="266"/>
      <c r="E20" s="266"/>
      <c r="F20" s="266"/>
      <c r="G20" s="266"/>
      <c r="H20" s="266"/>
      <c r="I20" s="266"/>
      <c r="J20" s="266"/>
      <c r="K20" s="266"/>
      <c r="L20" s="266"/>
      <c r="M20" s="266"/>
      <c r="N20" s="266"/>
      <c r="O20" s="266"/>
      <c r="P20" s="266"/>
      <c r="Q20" s="266"/>
      <c r="R20" s="266"/>
    </row>
    <row r="21" spans="1:18" ht="16.2" thickBot="1" x14ac:dyDescent="0.3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</row>
    <row r="22" spans="1:18" ht="15.6" x14ac:dyDescent="0.3">
      <c r="A22" s="80"/>
      <c r="B22" s="275" t="s">
        <v>171</v>
      </c>
      <c r="C22" s="276" t="s">
        <v>172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</row>
    <row r="23" spans="1:18" ht="15.6" x14ac:dyDescent="0.3">
      <c r="A23" s="80"/>
      <c r="B23" s="279" t="s">
        <v>205</v>
      </c>
      <c r="C23" s="271">
        <f>'Financial Data'!O30</f>
        <v>109106</v>
      </c>
      <c r="D23" s="80"/>
      <c r="E23" s="80"/>
      <c r="F23" s="80" t="s">
        <v>186</v>
      </c>
      <c r="G23" s="80"/>
      <c r="H23" s="80"/>
      <c r="I23" s="80"/>
      <c r="J23" s="80"/>
      <c r="K23" s="80"/>
      <c r="L23" s="80"/>
      <c r="M23" s="80"/>
      <c r="N23" s="80" t="s">
        <v>187</v>
      </c>
      <c r="O23" s="80"/>
      <c r="P23" s="80"/>
      <c r="Q23" s="80"/>
      <c r="R23" s="80"/>
    </row>
    <row r="24" spans="1:18" ht="16.2" thickBot="1" x14ac:dyDescent="0.35">
      <c r="A24" s="80"/>
      <c r="B24" s="280" t="s">
        <v>206</v>
      </c>
      <c r="C24" s="272">
        <f>'Financial Data'!D19</f>
        <v>2645</v>
      </c>
      <c r="D24" s="80"/>
      <c r="E24" s="80"/>
      <c r="F24" s="161" t="s">
        <v>204</v>
      </c>
      <c r="G24" s="161"/>
      <c r="H24" s="227">
        <f>C23/C12</f>
        <v>1.729370740212395</v>
      </c>
      <c r="I24" s="80"/>
      <c r="J24" s="80"/>
      <c r="K24" s="80"/>
      <c r="L24" s="80"/>
      <c r="M24" s="80"/>
      <c r="N24" s="161" t="s">
        <v>207</v>
      </c>
      <c r="O24" s="161"/>
      <c r="P24" s="227">
        <f>C9/C24</f>
        <v>41.190548204158787</v>
      </c>
      <c r="Q24" s="80"/>
      <c r="R24" s="80"/>
    </row>
    <row r="25" spans="1:18" ht="15.6" x14ac:dyDescent="0.3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</row>
    <row r="26" spans="1:18" ht="15.6" x14ac:dyDescent="0.3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</row>
    <row r="27" spans="1:18" ht="18" x14ac:dyDescent="0.35">
      <c r="A27" s="80"/>
      <c r="B27" s="265" t="s">
        <v>188</v>
      </c>
      <c r="C27" s="265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5"/>
    </row>
    <row r="28" spans="1:18" ht="16.2" thickBot="1" x14ac:dyDescent="0.3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</row>
    <row r="29" spans="1:18" ht="30" customHeight="1" thickBot="1" x14ac:dyDescent="0.35">
      <c r="A29" s="80"/>
      <c r="B29" s="275" t="s">
        <v>171</v>
      </c>
      <c r="C29" s="276" t="s">
        <v>172</v>
      </c>
      <c r="D29" s="80"/>
      <c r="E29" s="80"/>
      <c r="F29" s="80" t="s">
        <v>209</v>
      </c>
      <c r="G29" s="80"/>
      <c r="H29" s="80"/>
      <c r="I29" s="80"/>
      <c r="J29" s="80"/>
      <c r="K29" s="80"/>
      <c r="L29" s="80"/>
      <c r="M29" s="80"/>
      <c r="N29" s="273" t="s">
        <v>189</v>
      </c>
      <c r="O29" s="273"/>
      <c r="P29" s="273"/>
      <c r="Q29" s="273"/>
      <c r="R29" s="273"/>
    </row>
    <row r="30" spans="1:18" ht="15.6" x14ac:dyDescent="0.3">
      <c r="A30" s="80"/>
      <c r="B30" s="281" t="s">
        <v>210</v>
      </c>
      <c r="C30" s="283">
        <f>'Financial Data'!O14</f>
        <v>34940</v>
      </c>
      <c r="D30" s="80"/>
      <c r="E30" s="80"/>
      <c r="F30" s="161" t="s">
        <v>208</v>
      </c>
      <c r="G30" s="161"/>
      <c r="H30" s="282">
        <f>C33/C34</f>
        <v>1.0745531195957954</v>
      </c>
      <c r="I30" s="80"/>
      <c r="J30" s="80"/>
      <c r="K30" s="80"/>
      <c r="L30" s="80"/>
      <c r="M30" s="80"/>
      <c r="N30" s="161" t="s">
        <v>212</v>
      </c>
      <c r="O30" s="161"/>
      <c r="P30" s="227">
        <f>SUM(C30:C32)/C34</f>
        <v>0.90965962974474224</v>
      </c>
      <c r="Q30" s="80"/>
      <c r="R30" s="80"/>
    </row>
    <row r="31" spans="1:18" ht="15.6" x14ac:dyDescent="0.3">
      <c r="A31" s="80"/>
      <c r="B31" s="279" t="s">
        <v>73</v>
      </c>
      <c r="C31" s="284">
        <f>'Financial Data'!O15</f>
        <v>27699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</row>
    <row r="32" spans="1:18" ht="15.6" x14ac:dyDescent="0.3">
      <c r="A32" s="80"/>
      <c r="B32" s="279" t="s">
        <v>211</v>
      </c>
      <c r="C32" s="284">
        <f>'Financial Data'!O16</f>
        <v>51506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</row>
    <row r="33" spans="1:18" ht="15.6" x14ac:dyDescent="0.3">
      <c r="A33" s="80"/>
      <c r="B33" s="279" t="s">
        <v>36</v>
      </c>
      <c r="C33" s="284">
        <f>'Financial Data'!O18</f>
        <v>134836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</row>
    <row r="34" spans="1:18" ht="16.2" thickBot="1" x14ac:dyDescent="0.35">
      <c r="A34" s="80"/>
      <c r="B34" s="280" t="s">
        <v>37</v>
      </c>
      <c r="C34" s="285">
        <f>'Financial Data'!O29</f>
        <v>125481</v>
      </c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</row>
    <row r="35" spans="1:18" ht="15.6" x14ac:dyDescent="0.3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</row>
    <row r="36" spans="1:18" ht="15.6" x14ac:dyDescent="0.3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</row>
    <row r="37" spans="1:18" ht="18" x14ac:dyDescent="0.35">
      <c r="A37" s="80"/>
      <c r="B37" s="265" t="s">
        <v>216</v>
      </c>
      <c r="C37" s="265"/>
      <c r="D37" s="265"/>
      <c r="E37" s="265"/>
      <c r="F37" s="265"/>
      <c r="G37" s="265"/>
      <c r="H37" s="265"/>
      <c r="I37" s="265"/>
      <c r="J37" s="265"/>
      <c r="K37" s="265"/>
      <c r="L37" s="265"/>
      <c r="M37" s="265"/>
      <c r="N37" s="265"/>
      <c r="O37" s="265"/>
      <c r="P37" s="265"/>
      <c r="Q37" s="265"/>
      <c r="R37" s="265"/>
    </row>
    <row r="38" spans="1:18" ht="16.2" thickBot="1" x14ac:dyDescent="0.3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</row>
    <row r="39" spans="1:18" s="268" customFormat="1" ht="26.4" customHeight="1" x14ac:dyDescent="0.3">
      <c r="A39" s="274"/>
      <c r="B39" s="277" t="s">
        <v>171</v>
      </c>
      <c r="C39" s="278" t="s">
        <v>172</v>
      </c>
      <c r="D39" s="274"/>
      <c r="E39" s="274"/>
      <c r="F39" s="274" t="s">
        <v>190</v>
      </c>
      <c r="G39" s="274"/>
      <c r="H39" s="274"/>
      <c r="I39" s="274"/>
      <c r="J39" s="274"/>
      <c r="K39" s="274"/>
      <c r="L39" s="274"/>
      <c r="M39" s="274"/>
      <c r="N39" s="286" t="s">
        <v>218</v>
      </c>
      <c r="O39" s="286"/>
      <c r="P39" s="286"/>
      <c r="Q39" s="286"/>
      <c r="R39" s="286"/>
    </row>
    <row r="40" spans="1:18" ht="15.6" x14ac:dyDescent="0.3">
      <c r="A40" s="80"/>
      <c r="B40" s="279" t="s">
        <v>214</v>
      </c>
      <c r="C40" s="284">
        <f>'Financial Data'!O19</f>
        <v>39440</v>
      </c>
      <c r="D40" s="80"/>
      <c r="E40" s="80"/>
      <c r="F40" s="161" t="s">
        <v>213</v>
      </c>
      <c r="G40" s="161"/>
      <c r="H40" s="227">
        <f>C7/AVERAGE(C40:C41)</f>
        <v>9.6007400992047867</v>
      </c>
      <c r="I40" s="80"/>
      <c r="J40" s="80"/>
      <c r="K40" s="80"/>
      <c r="L40" s="80"/>
      <c r="M40" s="80"/>
      <c r="N40" s="161" t="s">
        <v>217</v>
      </c>
      <c r="O40" s="161"/>
      <c r="P40" s="227">
        <f>C8/AVERAGE(C42:C43)</f>
        <v>40.030260313880277</v>
      </c>
      <c r="Q40" s="80"/>
      <c r="R40" s="80"/>
    </row>
    <row r="41" spans="1:18" ht="15.6" x14ac:dyDescent="0.3">
      <c r="A41" s="80"/>
      <c r="B41" s="279" t="s">
        <v>215</v>
      </c>
      <c r="C41" s="284">
        <f>'Financial Data'!P19</f>
        <v>36766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</row>
    <row r="42" spans="1:18" ht="15.6" x14ac:dyDescent="0.3">
      <c r="A42" s="80"/>
      <c r="B42" s="279" t="s">
        <v>219</v>
      </c>
      <c r="C42" s="284">
        <f>'Financial Data'!O17</f>
        <v>6580</v>
      </c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</row>
    <row r="43" spans="1:18" ht="16.2" thickBot="1" x14ac:dyDescent="0.35">
      <c r="A43" s="80"/>
      <c r="B43" s="280" t="s">
        <v>220</v>
      </c>
      <c r="C43" s="285">
        <f>'Financial Data'!P17</f>
        <v>4061</v>
      </c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</row>
    <row r="45" spans="1:18" s="70" customFormat="1" ht="18" x14ac:dyDescent="0.35">
      <c r="B45" s="269"/>
      <c r="C45" s="270"/>
      <c r="D45" s="270"/>
      <c r="E45" s="270"/>
      <c r="F45" s="270"/>
      <c r="G45" s="270"/>
      <c r="H45" s="270"/>
      <c r="I45" s="270"/>
      <c r="J45" s="270"/>
      <c r="K45" s="270"/>
      <c r="L45" s="270"/>
      <c r="M45" s="270"/>
      <c r="N45" s="270"/>
      <c r="O45" s="270"/>
      <c r="P45" s="270"/>
      <c r="Q45" s="270"/>
      <c r="R45" s="270"/>
    </row>
    <row r="46" spans="1:18" x14ac:dyDescent="0.3">
      <c r="B46" s="266"/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</row>
  </sheetData>
  <mergeCells count="8">
    <mergeCell ref="B46:R46"/>
    <mergeCell ref="B37:R37"/>
    <mergeCell ref="B1:R2"/>
    <mergeCell ref="B4:R4"/>
    <mergeCell ref="B20:R20"/>
    <mergeCell ref="B27:R27"/>
    <mergeCell ref="N29:R29"/>
    <mergeCell ref="N39:R39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820E-524C-410D-8378-906B7B05F07E}">
  <dimension ref="A1"/>
  <sheetViews>
    <sheetView workbookViewId="0">
      <selection activeCell="O16" sqref="O16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D 1 Q C V f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D 1 Q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U A l X e y k b O P Q E A A A c C A A A T A B w A R m 9 y b X V s Y X M v U 2 V j d G l v b j E u b S C i G A A o o B Q A A A A A A A A A A A A A A A A A A A A A A A A A A A B t k F 1 L w z A U h u 8 L / Q 8 h w 7 F J 6 c e c Y z q K S B U V B A c b e i F e Z O 3 p G m m T L h 9 K K f 3 v J u 2 8 a 2 5 y 8 r x w e J 9 I S B X l D O 2 G O 9 q 4 j u v I g g j I 0 A T v y a E E F G I U o x K U 6 y B z d l y L F A z 5 g I O / J U e Y 2 S H h T A F T c o Y L p W p 5 G w Q 5 Z Y S l 4 D e k 4 N x P e R W c N F c Q X F w / P u 2 2 S V B Q q b h o 7 m o Q l G d R H C 3 X V 4 v F e h 2 G 0 w E t 4 m i 1 D G / C H l G z X v y Q M o 6 y a U 5 L 8 4 j P C 6 a 5 g J M G l j Y 2 o y w t d Q b 3 2 b e W C r K k 5 B J i J T T g + d w b B B 6 I I q H p P 4 i 0 Y f d p y d c 5 n e C k I O x o 9 P d N D d a 8 / w R / L w i T O R d V w k t d M R v K W b / K a 1 t s B s A e U o a i z M y d h 1 r 8 V g P 7 h 0 x X B x A 9 f q b H Y g S / 8 t 8 R 2 g t c j g T G E A 3 h W P p u S 9 p G L 0 y t l r 5 t 2 3 V z 1 6 F s 1 H L z B 1 B L A Q I t A B Q A A g A I A A 9 U A l X 7 h U 7 2 p A A A A P c A A A A S A A A A A A A A A A A A A A A A A A A A A A B D b 2 5 m a W c v U G F j a 2 F n Z S 5 4 b W x Q S w E C L Q A U A A I A C A A P V A J V D 8 r p q 6 Q A A A D p A A A A E w A A A A A A A A A A A A A A A A D w A A A A W 0 N v b n R l b n R f V H l w Z X N d L n h t b F B L A Q I t A B Q A A g A I A A 9 U A l X e y k b O P Q E A A A c C A A A T A A A A A A A A A A A A A A A A A O E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0 L A A A A A A A A q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1 F V R k J R V U Z B d z 0 9 I i A v P j x F b n R y e S B U e X B l P S J G a W x s T G F z d F V w Z G F 0 Z W Q i I F Z h b H V l P S J k M j A y M i 0 w O C 0 w M l Q x M z o 1 M D o 0 M C 4 0 O D c 2 O T c 5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x M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K i Z x d W 9 0 O y w m c X V v d D t B Z G o g Q 2 x v c 2 U q K i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R h d G U s M H 0 m c X V v d D s s J n F 1 b 3 Q 7 U 2 V j d G l v b j E v V G F i b G U g M C 9 B d X R v U m V t b 3 Z l Z E N v b H V t b n M x L n t P c G V u L D F 9 J n F 1 b 3 Q 7 L C Z x d W 9 0 O 1 N l Y 3 R p b 2 4 x L 1 R h Y m x l I D A v Q X V 0 b 1 J l b W 9 2 Z W R D b 2 x 1 b W 5 z M S 5 7 S G l n a C w y f S Z x d W 9 0 O y w m c X V v d D t T Z W N 0 a W 9 u M S 9 U Y W J s Z S A w L 0 F 1 d G 9 S Z W 1 v d m V k Q 2 9 s d W 1 u c z E u e 0 x v d y w z f S Z x d W 9 0 O y w m c X V v d D t T Z W N 0 a W 9 u M S 9 U Y W J s Z S A w L 0 F 1 d G 9 S Z W 1 v d m V k Q 2 9 s d W 1 u c z E u e 0 N s b 3 N l K i w 0 f S Z x d W 9 0 O y w m c X V v d D t T Z W N 0 a W 9 u M S 9 U Y W J s Z S A w L 0 F 1 d G 9 S Z W 1 v d m V k Q 2 9 s d W 1 u c z E u e 0 F k a i B D b G 9 z Z S o q L D V 9 J n F 1 b 3 Q 7 L C Z x d W 9 0 O 1 N l Y 3 R p b 2 4 x L 1 R h Y m x l I D A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R G F 0 Z S w w f S Z x d W 9 0 O y w m c X V v d D t T Z W N 0 a W 9 u M S 9 U Y W J s Z S A w L 0 F 1 d G 9 S Z W 1 v d m V k Q 2 9 s d W 1 u c z E u e 0 9 w Z W 4 s M X 0 m c X V v d D s s J n F 1 b 3 Q 7 U 2 V j d G l v b j E v V G F i b G U g M C 9 B d X R v U m V t b 3 Z l Z E N v b H V t b n M x L n t I a W d o L D J 9 J n F 1 b 3 Q 7 L C Z x d W 9 0 O 1 N l Y 3 R p b 2 4 x L 1 R h Y m x l I D A v Q X V 0 b 1 J l b W 9 2 Z W R D b 2 x 1 b W 5 z M S 5 7 T G 9 3 L D N 9 J n F 1 b 3 Q 7 L C Z x d W 9 0 O 1 N l Y 3 R p b 2 4 x L 1 R h Y m x l I D A v Q X V 0 b 1 J l b W 9 2 Z W R D b 2 x 1 b W 5 z M S 5 7 Q 2 x v c 2 U q L D R 9 J n F 1 b 3 Q 7 L C Z x d W 9 0 O 1 N l Y 3 R p b 2 4 x L 1 R h Y m x l I D A v Q X V 0 b 1 J l b W 9 2 Z W R D b 2 x 1 b W 5 z M S 5 7 Q W R q I E N s b 3 N l K i o s N X 0 m c X V v d D s s J n F 1 b 3 Q 7 U 2 V j d G l v b j E v V G F i b G U g M C 9 B d X R v U m V t b 3 Z l Z E N v b H V t b n M x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g z 1 O 6 k d n U u a Z A + f A 4 F 4 q w A A A A A C A A A A A A A Q Z g A A A A E A A C A A A A B c s Q U 9 1 D L S G k w t k p d K w Q Y V t 5 w U a H I w f Z j Z 3 c S V c X C M 3 w A A A A A O g A A A A A I A A C A A A A B V H m J m f F w z b M C O Z A P M X o s 1 9 G H G D J m J K J c l f e B O b v u A E F A A A A A m k T 0 u l c 2 v C Q m t 1 D v u U e O 4 Q F 9 + 6 J 8 o q B h t t u 1 2 e a u Y y d z g U + E T H 2 W f X / x y P P 2 + w f y R q J O a 1 q D w Y 0 c D o g e f 9 p u X M d r J f r m q B V j C s S t t 1 N N X Q E A A A A A S T v r e 0 Z N r m 7 d N W R X 2 R l 8 U b u + S Y m n l w k 5 6 S N J / 3 v C a R G 0 7 I 6 t 3 m H N k p x / r u F l Z K I n 0 + Z z 1 m 9 M z 3 8 5 i / V 6 4 9 I 7 F < / D a t a M a s h u p > 
</file>

<file path=customXml/itemProps1.xml><?xml version="1.0" encoding="utf-8"?>
<ds:datastoreItem xmlns:ds="http://schemas.openxmlformats.org/officeDocument/2006/customXml" ds:itemID="{2B397046-8C86-41A2-8B27-5BCC5AC08C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Financial Data</vt:lpstr>
      <vt:lpstr>Estimating beta extra</vt:lpstr>
      <vt:lpstr>Takeaway from Valuation</vt:lpstr>
      <vt:lpstr>DCF Valuation Model_FCF</vt:lpstr>
      <vt:lpstr>DCF Valuation Model_Dividends</vt:lpstr>
      <vt:lpstr>DCF Valution Model_FCFE</vt:lpstr>
      <vt:lpstr>Relative Valuation Model</vt:lpstr>
      <vt:lpstr>Ratio Analysis</vt:lpstr>
      <vt:lpstr>References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Probook G3</dc:creator>
  <cp:lastModifiedBy>Probook G3</cp:lastModifiedBy>
  <dcterms:created xsi:type="dcterms:W3CDTF">2022-08-01T14:19:27Z</dcterms:created>
  <dcterms:modified xsi:type="dcterms:W3CDTF">2022-08-04T00:57:34Z</dcterms:modified>
</cp:coreProperties>
</file>