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66925"/>
  <mc:AlternateContent xmlns:mc="http://schemas.openxmlformats.org/markup-compatibility/2006">
    <mc:Choice Requires="x15">
      <x15ac:absPath xmlns:x15ac="http://schemas.microsoft.com/office/spreadsheetml/2010/11/ac" url="C:\Users\Probook G3\Downloads\Hult Int Business School\Data Fundamentals\"/>
    </mc:Choice>
  </mc:AlternateContent>
  <xr:revisionPtr revIDLastSave="0" documentId="13_ncr:1_{BEE84FEE-B096-4381-8D61-D68F22B911BD}" xr6:coauthVersionLast="47" xr6:coauthVersionMax="47" xr10:uidLastSave="{00000000-0000-0000-0000-000000000000}"/>
  <bookViews>
    <workbookView xWindow="-108" yWindow="-108" windowWidth="23256" windowHeight="12576" xr2:uid="{00000000-000D-0000-FFFF-FFFF00000000}"/>
  </bookViews>
  <sheets>
    <sheet name="Retirement Financial Plan" sheetId="12" r:id="rId1"/>
    <sheet name="References" sheetId="9"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1" i="12" l="1"/>
  <c r="R12" i="12"/>
  <c r="R283" i="12"/>
  <c r="D25" i="12"/>
  <c r="L25" i="12"/>
  <c r="L26" i="12" s="1"/>
  <c r="L27" i="12" s="1"/>
  <c r="L28" i="12" s="1"/>
  <c r="L29" i="12" s="1"/>
  <c r="L30" i="12" s="1"/>
  <c r="L31" i="12" s="1"/>
  <c r="L32" i="12" s="1"/>
  <c r="L33" i="12" s="1"/>
  <c r="L34" i="12" s="1"/>
  <c r="L35" i="12" s="1"/>
  <c r="L36" i="12" s="1"/>
  <c r="H16" i="12"/>
  <c r="H17" i="12" s="1"/>
  <c r="H18" i="12" s="1"/>
  <c r="H19" i="12" s="1"/>
  <c r="H20" i="12" s="1"/>
  <c r="G5" i="12"/>
  <c r="G6" i="12" s="1"/>
  <c r="G7" i="12" s="1"/>
  <c r="G8" i="12" s="1"/>
  <c r="G9" i="12" s="1"/>
  <c r="G10" i="12" s="1"/>
  <c r="G11" i="12" s="1"/>
  <c r="G12" i="12" s="1"/>
  <c r="G13" i="12" s="1"/>
  <c r="G14" i="12" s="1"/>
  <c r="G15" i="12" s="1"/>
  <c r="G16" i="12" s="1"/>
  <c r="G17" i="12" s="1"/>
  <c r="G18" i="12" s="1"/>
  <c r="G19" i="12" s="1"/>
  <c r="G20" i="12" s="1"/>
  <c r="L37" i="12" l="1"/>
  <c r="L42" i="12"/>
  <c r="L43" i="12" s="1"/>
  <c r="L44" i="12" s="1"/>
  <c r="L45" i="12" s="1"/>
  <c r="L46" i="12" s="1"/>
  <c r="L47" i="12" s="1"/>
  <c r="L48" i="12" s="1"/>
  <c r="L49" i="12" s="1"/>
  <c r="L50" i="12" s="1"/>
  <c r="L51" i="12" s="1"/>
  <c r="L52" i="12" s="1"/>
  <c r="L57" i="12" s="1"/>
  <c r="L58" i="12" s="1"/>
  <c r="L59" i="12" s="1"/>
  <c r="E25" i="12"/>
  <c r="L60" i="12" l="1"/>
  <c r="L61" i="12" s="1"/>
  <c r="L62" i="12" s="1"/>
  <c r="L63" i="12" s="1"/>
  <c r="L64" i="12" s="1"/>
  <c r="L65" i="12" s="1"/>
  <c r="L66" i="12" s="1"/>
  <c r="L67" i="12" s="1"/>
  <c r="L68" i="12" s="1"/>
  <c r="L73" i="12" s="1"/>
  <c r="L74" i="12" s="1"/>
  <c r="L75" i="12" s="1"/>
  <c r="L76" i="12" s="1"/>
  <c r="L77" i="12" s="1"/>
  <c r="L78" i="12" s="1"/>
  <c r="L79" i="12" s="1"/>
  <c r="L80" i="12" s="1"/>
  <c r="L81" i="12" s="1"/>
  <c r="L82" i="12" s="1"/>
  <c r="L83" i="12" s="1"/>
  <c r="L84" i="12" s="1"/>
  <c r="L89" i="12" s="1"/>
  <c r="L90" i="12" s="1"/>
  <c r="L91" i="12" s="1"/>
  <c r="L92" i="12" s="1"/>
  <c r="L93" i="12" s="1"/>
  <c r="L94" i="12" s="1"/>
  <c r="L95" i="12" s="1"/>
  <c r="L96" i="12" s="1"/>
  <c r="L97" i="12" s="1"/>
  <c r="L98" i="12" s="1"/>
  <c r="L99" i="12" s="1"/>
  <c r="L100" i="12" s="1"/>
  <c r="L105" i="12" s="1"/>
  <c r="L106" i="12" s="1"/>
  <c r="L107" i="12" s="1"/>
  <c r="L108" i="12" s="1"/>
  <c r="L109" i="12" s="1"/>
  <c r="L110" i="12" s="1"/>
  <c r="L111" i="12" s="1"/>
  <c r="L112" i="12" s="1"/>
  <c r="L113" i="12" s="1"/>
  <c r="L114" i="12" s="1"/>
  <c r="L115" i="12" s="1"/>
  <c r="L116" i="12" s="1"/>
  <c r="L121" i="12" s="1"/>
  <c r="L122" i="12" s="1"/>
  <c r="L123" i="12" s="1"/>
  <c r="L124" i="12" s="1"/>
  <c r="L125" i="12" s="1"/>
  <c r="L126" i="12" s="1"/>
  <c r="L127" i="12" s="1"/>
  <c r="L128" i="12" s="1"/>
  <c r="L129" i="12" s="1"/>
  <c r="L130" i="12" s="1"/>
  <c r="L131" i="12" s="1"/>
  <c r="L132" i="12" s="1"/>
  <c r="L137" i="12" s="1"/>
  <c r="L138" i="12" s="1"/>
  <c r="L139" i="12" s="1"/>
  <c r="L140" i="12" s="1"/>
  <c r="L141" i="12" s="1"/>
  <c r="L142" i="12" s="1"/>
  <c r="L143" i="12" s="1"/>
  <c r="L144" i="12" s="1"/>
  <c r="L145" i="12" s="1"/>
  <c r="L146" i="12" s="1"/>
  <c r="L147" i="12" s="1"/>
  <c r="L148" i="12" s="1"/>
  <c r="L154" i="12" s="1"/>
  <c r="L155" i="12" s="1"/>
  <c r="L156" i="12" s="1"/>
  <c r="L157" i="12" s="1"/>
  <c r="L158" i="12" s="1"/>
  <c r="L159" i="12" s="1"/>
  <c r="L160" i="12" s="1"/>
  <c r="L161" i="12" s="1"/>
  <c r="L162" i="12" s="1"/>
  <c r="L163" i="12" s="1"/>
  <c r="L164" i="12" s="1"/>
  <c r="L165" i="12" s="1"/>
  <c r="L170" i="12" s="1"/>
  <c r="L171" i="12" s="1"/>
  <c r="L172" i="12" s="1"/>
  <c r="L173" i="12" s="1"/>
  <c r="L174" i="12" s="1"/>
  <c r="L175" i="12" s="1"/>
  <c r="L176" i="12" s="1"/>
  <c r="L177" i="12" s="1"/>
  <c r="L178" i="12" s="1"/>
  <c r="L179" i="12" s="1"/>
  <c r="L180" i="12" s="1"/>
  <c r="L181" i="12" s="1"/>
  <c r="L186" i="12" s="1"/>
  <c r="L187" i="12" s="1"/>
  <c r="L188" i="12" s="1"/>
  <c r="L189" i="12" s="1"/>
  <c r="L190" i="12" s="1"/>
  <c r="L191" i="12" s="1"/>
  <c r="L192" i="12" s="1"/>
  <c r="L193" i="12" s="1"/>
  <c r="L194" i="12" s="1"/>
  <c r="L195" i="12" s="1"/>
  <c r="L196" i="12" s="1"/>
  <c r="L197" i="12" s="1"/>
  <c r="L202" i="12" s="1"/>
  <c r="L203" i="12" s="1"/>
  <c r="L204" i="12" s="1"/>
  <c r="L205" i="12" s="1"/>
  <c r="L206" i="12" s="1"/>
  <c r="L207" i="12" s="1"/>
  <c r="L208" i="12" s="1"/>
  <c r="L209" i="12" s="1"/>
  <c r="L210" i="12" s="1"/>
  <c r="L211" i="12" s="1"/>
  <c r="L212" i="12" s="1"/>
  <c r="L213" i="12" s="1"/>
  <c r="L218" i="12" s="1"/>
  <c r="L219" i="12" s="1"/>
  <c r="L220" i="12" s="1"/>
  <c r="L221" i="12" s="1"/>
  <c r="L222" i="12" s="1"/>
  <c r="L223" i="12" s="1"/>
  <c r="L224" i="12" s="1"/>
  <c r="L225" i="12" s="1"/>
  <c r="L226" i="12" s="1"/>
  <c r="L227" i="12" s="1"/>
  <c r="L228" i="12" s="1"/>
  <c r="L229" i="12" s="1"/>
  <c r="L234" i="12" s="1"/>
  <c r="L235" i="12" s="1"/>
  <c r="L236" i="12" s="1"/>
  <c r="L237" i="12" s="1"/>
  <c r="L238" i="12" s="1"/>
  <c r="L239" i="12" s="1"/>
  <c r="L240" i="12" s="1"/>
  <c r="L241" i="12" s="1"/>
  <c r="L242" i="12" s="1"/>
  <c r="L243" i="12" s="1"/>
  <c r="L244" i="12" s="1"/>
  <c r="L245" i="12" s="1"/>
  <c r="L250" i="12" s="1"/>
  <c r="L251" i="12" s="1"/>
  <c r="L252" i="12" s="1"/>
  <c r="L253" i="12" s="1"/>
  <c r="L254" i="12" s="1"/>
  <c r="L255" i="12" s="1"/>
  <c r="L256" i="12" s="1"/>
  <c r="L257" i="12" s="1"/>
  <c r="L258" i="12" s="1"/>
  <c r="L259" i="12" s="1"/>
  <c r="L260" i="12" s="1"/>
  <c r="L261" i="12" s="1"/>
  <c r="L266" i="12" s="1"/>
  <c r="L267" i="12" s="1"/>
  <c r="L268" i="12" s="1"/>
  <c r="L269" i="12" s="1"/>
  <c r="L270" i="12" s="1"/>
  <c r="L271" i="12" s="1"/>
  <c r="L272" i="12" s="1"/>
  <c r="L273" i="12" s="1"/>
  <c r="L274" i="12" s="1"/>
  <c r="L275" i="12" s="1"/>
  <c r="L276" i="12" s="1"/>
  <c r="L277" i="12" s="1"/>
  <c r="F25" i="12"/>
  <c r="D26" i="12" s="1"/>
  <c r="L53" i="12"/>
  <c r="L69" i="12" l="1"/>
  <c r="E26" i="12"/>
  <c r="L85" i="12" l="1"/>
  <c r="F26" i="12"/>
  <c r="D27" i="12" s="1"/>
  <c r="L101" i="12" l="1"/>
  <c r="E27" i="12"/>
  <c r="X19" i="12"/>
  <c r="X18" i="12"/>
  <c r="X17" i="12"/>
  <c r="X16" i="12"/>
  <c r="X15" i="12"/>
  <c r="X14" i="12"/>
  <c r="X13" i="12"/>
  <c r="Z12" i="12"/>
  <c r="X12" i="12"/>
  <c r="R17" i="12"/>
  <c r="R16" i="12"/>
  <c r="R15" i="12"/>
  <c r="R14" i="12"/>
  <c r="R13" i="12"/>
  <c r="T12" i="12"/>
  <c r="E9" i="12"/>
  <c r="G25" i="12" s="1"/>
  <c r="L117" i="12" l="1"/>
  <c r="F27" i="12"/>
  <c r="D28" i="12" s="1"/>
  <c r="H25" i="12"/>
  <c r="K25" i="12" s="1"/>
  <c r="Z13" i="12"/>
  <c r="Z14" i="12" s="1"/>
  <c r="Z15" i="12" s="1"/>
  <c r="Z16" i="12" s="1"/>
  <c r="Z17" i="12" s="1"/>
  <c r="Z18" i="12" s="1"/>
  <c r="Z19" i="12" s="1"/>
  <c r="T13" i="12"/>
  <c r="T14" i="12" s="1"/>
  <c r="T15" i="12" s="1"/>
  <c r="T16" i="12" s="1"/>
  <c r="T17" i="12" s="1"/>
  <c r="L133" i="12" l="1"/>
  <c r="G26" i="12"/>
  <c r="H26" i="12" s="1"/>
  <c r="N25" i="12"/>
  <c r="E28" i="12"/>
  <c r="J155" i="12" l="1"/>
  <c r="L149" i="12"/>
  <c r="K26" i="12"/>
  <c r="G27" i="12" s="1"/>
  <c r="H27" i="12" s="1"/>
  <c r="K27" i="12" s="1"/>
  <c r="F28" i="12"/>
  <c r="D29" i="12" s="1"/>
  <c r="N26" i="12" l="1"/>
  <c r="E29" i="12"/>
  <c r="G28" i="12"/>
  <c r="H28" i="12" s="1"/>
  <c r="K28" i="12" s="1"/>
  <c r="N27" i="12"/>
  <c r="J158" i="12" l="1"/>
  <c r="J157" i="12"/>
  <c r="J159" i="12"/>
  <c r="F29" i="12"/>
  <c r="D30" i="12" s="1"/>
  <c r="E30" i="12" s="1"/>
  <c r="F30" i="12" s="1"/>
  <c r="D31" i="12" s="1"/>
  <c r="E31" i="12" s="1"/>
  <c r="F31" i="12" s="1"/>
  <c r="G29" i="12"/>
  <c r="N28" i="12"/>
  <c r="J160" i="12" l="1"/>
  <c r="H29" i="12"/>
  <c r="D32" i="12"/>
  <c r="J161" i="12" l="1"/>
  <c r="K29" i="12"/>
  <c r="G30" i="12" s="1"/>
  <c r="H30" i="12" s="1"/>
  <c r="K30" i="12" s="1"/>
  <c r="E32" i="12"/>
  <c r="F32" i="12" s="1"/>
  <c r="N29" i="12" l="1"/>
  <c r="J162" i="12"/>
  <c r="G31" i="12"/>
  <c r="N30" i="12"/>
  <c r="D33" i="12"/>
  <c r="E33" i="12" s="1"/>
  <c r="F33" i="12" s="1"/>
  <c r="J163" i="12" l="1"/>
  <c r="H31" i="12"/>
  <c r="D34" i="12"/>
  <c r="E34" i="12" s="1"/>
  <c r="F34" i="12" s="1"/>
  <c r="J164" i="12" l="1"/>
  <c r="L166" i="12"/>
  <c r="K31" i="12"/>
  <c r="N31" i="12" s="1"/>
  <c r="D35" i="12"/>
  <c r="G32" i="12" l="1"/>
  <c r="H32" i="12" s="1"/>
  <c r="K32" i="12" s="1"/>
  <c r="J165" i="12"/>
  <c r="G33" i="12"/>
  <c r="H33" i="12" s="1"/>
  <c r="K33" i="12" s="1"/>
  <c r="N32" i="12"/>
  <c r="E35" i="12"/>
  <c r="F35" i="12" s="1"/>
  <c r="J170" i="12" l="1"/>
  <c r="G34" i="12"/>
  <c r="H34" i="12" s="1"/>
  <c r="K34" i="12" s="1"/>
  <c r="N33" i="12"/>
  <c r="D36" i="12"/>
  <c r="J171" i="12" l="1"/>
  <c r="J173" i="12"/>
  <c r="G35" i="12"/>
  <c r="H35" i="12" s="1"/>
  <c r="K35" i="12" s="1"/>
  <c r="N34" i="12"/>
  <c r="E36" i="12"/>
  <c r="E37" i="12" l="1"/>
  <c r="O36" i="12"/>
  <c r="P36" i="12" s="1"/>
  <c r="J174" i="12"/>
  <c r="G36" i="12"/>
  <c r="H36" i="12" s="1"/>
  <c r="N35" i="12"/>
  <c r="F36" i="12"/>
  <c r="D41" i="12" s="1"/>
  <c r="J175" i="12" l="1"/>
  <c r="K36" i="12"/>
  <c r="G41" i="12" s="1"/>
  <c r="H37" i="12"/>
  <c r="E41" i="12"/>
  <c r="X36" i="12"/>
  <c r="AA36" i="12"/>
  <c r="Y36" i="12"/>
  <c r="Z36" i="12" s="1"/>
  <c r="Q36" i="12"/>
  <c r="R36" i="12" s="1"/>
  <c r="AD36" i="12"/>
  <c r="S36" i="12"/>
  <c r="N36" i="12" l="1"/>
  <c r="F41" i="12"/>
  <c r="H41" i="12"/>
  <c r="K41" i="12" s="1"/>
  <c r="J176" i="12"/>
  <c r="T36" i="12"/>
  <c r="U36" i="12" s="1"/>
  <c r="AB36" i="12"/>
  <c r="AC36" i="12" s="1"/>
  <c r="N41" i="12" l="1"/>
  <c r="G42" i="12"/>
  <c r="H42" i="12" s="1"/>
  <c r="K42" i="12" s="1"/>
  <c r="G43" i="12" s="1"/>
  <c r="H43" i="12" s="1"/>
  <c r="K43" i="12" s="1"/>
  <c r="G44" i="12" s="1"/>
  <c r="H44" i="12" s="1"/>
  <c r="K44" i="12" s="1"/>
  <c r="G45" i="12" s="1"/>
  <c r="H45" i="12" s="1"/>
  <c r="K45" i="12" s="1"/>
  <c r="G46" i="12" s="1"/>
  <c r="H46" i="12" s="1"/>
  <c r="K46" i="12" s="1"/>
  <c r="G47" i="12" s="1"/>
  <c r="H47" i="12" s="1"/>
  <c r="K47" i="12" s="1"/>
  <c r="G48" i="12" s="1"/>
  <c r="H48" i="12" s="1"/>
  <c r="K48" i="12" s="1"/>
  <c r="G49" i="12" s="1"/>
  <c r="H49" i="12" s="1"/>
  <c r="K49" i="12" s="1"/>
  <c r="G50" i="12" s="1"/>
  <c r="H50" i="12" s="1"/>
  <c r="K50" i="12" s="1"/>
  <c r="G51" i="12" s="1"/>
  <c r="H51" i="12" s="1"/>
  <c r="K51" i="12" s="1"/>
  <c r="G52" i="12" s="1"/>
  <c r="H52" i="12" s="1"/>
  <c r="K52" i="12" s="1"/>
  <c r="G57" i="12" s="1"/>
  <c r="H57" i="12" s="1"/>
  <c r="J177" i="12"/>
  <c r="D42" i="12"/>
  <c r="E42" i="12" s="1"/>
  <c r="W36" i="12"/>
  <c r="V36" i="12"/>
  <c r="M43" i="12" s="1"/>
  <c r="K57" i="12" l="1"/>
  <c r="G58" i="12" s="1"/>
  <c r="H58" i="12" s="1"/>
  <c r="K58" i="12" s="1"/>
  <c r="G59" i="12" s="1"/>
  <c r="H59" i="12" s="1"/>
  <c r="K59" i="12" s="1"/>
  <c r="G60" i="12" s="1"/>
  <c r="H60" i="12" s="1"/>
  <c r="K60" i="12" s="1"/>
  <c r="G61" i="12" s="1"/>
  <c r="H61" i="12" s="1"/>
  <c r="K61" i="12" s="1"/>
  <c r="G62" i="12" s="1"/>
  <c r="H62" i="12" s="1"/>
  <c r="K62" i="12" s="1"/>
  <c r="G63" i="12" s="1"/>
  <c r="H63" i="12" s="1"/>
  <c r="K63" i="12" s="1"/>
  <c r="G64" i="12" s="1"/>
  <c r="H64" i="12" s="1"/>
  <c r="K64" i="12" s="1"/>
  <c r="G65" i="12" s="1"/>
  <c r="H65" i="12" s="1"/>
  <c r="K65" i="12" s="1"/>
  <c r="G66" i="12" s="1"/>
  <c r="H66" i="12" s="1"/>
  <c r="K66" i="12" s="1"/>
  <c r="G67" i="12" s="1"/>
  <c r="H67" i="12" s="1"/>
  <c r="K67" i="12" s="1"/>
  <c r="G68" i="12" s="1"/>
  <c r="H68" i="12" s="1"/>
  <c r="K68" i="12" s="1"/>
  <c r="G73" i="12" s="1"/>
  <c r="H73" i="12" s="1"/>
  <c r="H53" i="12"/>
  <c r="J178" i="12"/>
  <c r="F42" i="12"/>
  <c r="K73" i="12" l="1"/>
  <c r="G74" i="12" s="1"/>
  <c r="H74" i="12" s="1"/>
  <c r="K74" i="12" s="1"/>
  <c r="G75" i="12" s="1"/>
  <c r="H75" i="12" s="1"/>
  <c r="K75" i="12" s="1"/>
  <c r="G76" i="12" s="1"/>
  <c r="H76" i="12" s="1"/>
  <c r="K76" i="12" s="1"/>
  <c r="G77" i="12" s="1"/>
  <c r="H77" i="12" s="1"/>
  <c r="K77" i="12" s="1"/>
  <c r="G78" i="12" s="1"/>
  <c r="H78" i="12" s="1"/>
  <c r="K78" i="12" s="1"/>
  <c r="G79" i="12" s="1"/>
  <c r="H79" i="12" s="1"/>
  <c r="K79" i="12" s="1"/>
  <c r="G80" i="12" s="1"/>
  <c r="H80" i="12" s="1"/>
  <c r="K80" i="12" s="1"/>
  <c r="G81" i="12" s="1"/>
  <c r="H81" i="12" s="1"/>
  <c r="K81" i="12" s="1"/>
  <c r="G82" i="12" s="1"/>
  <c r="H82" i="12" s="1"/>
  <c r="K82" i="12" s="1"/>
  <c r="G83" i="12" s="1"/>
  <c r="H83" i="12" s="1"/>
  <c r="K83" i="12" s="1"/>
  <c r="G84" i="12" s="1"/>
  <c r="H84" i="12" s="1"/>
  <c r="K84" i="12" s="1"/>
  <c r="G89" i="12" s="1"/>
  <c r="H89" i="12" s="1"/>
  <c r="H69" i="12"/>
  <c r="J179" i="12"/>
  <c r="D43" i="12"/>
  <c r="N42" i="12"/>
  <c r="L182" i="12" l="1"/>
  <c r="K89" i="12"/>
  <c r="G90" i="12" s="1"/>
  <c r="H90" i="12" s="1"/>
  <c r="K90" i="12" s="1"/>
  <c r="G91" i="12" s="1"/>
  <c r="H91" i="12" s="1"/>
  <c r="K91" i="12" s="1"/>
  <c r="G92" i="12" s="1"/>
  <c r="H85" i="12"/>
  <c r="J186" i="12"/>
  <c r="J181" i="12"/>
  <c r="J180" i="12"/>
  <c r="E43" i="12"/>
  <c r="F43" i="12" l="1"/>
  <c r="D44" i="12" s="1"/>
  <c r="J187" i="12"/>
  <c r="H92" i="12"/>
  <c r="K92" i="12" s="1"/>
  <c r="G93" i="12" s="1"/>
  <c r="N43" i="12" l="1"/>
  <c r="H93" i="12"/>
  <c r="K93" i="12" s="1"/>
  <c r="G94" i="12" s="1"/>
  <c r="H94" i="12" s="1"/>
  <c r="K94" i="12" s="1"/>
  <c r="G95" i="12" s="1"/>
  <c r="H95" i="12" s="1"/>
  <c r="K95" i="12" s="1"/>
  <c r="G96" i="12" s="1"/>
  <c r="H96" i="12" s="1"/>
  <c r="K96" i="12" s="1"/>
  <c r="G97" i="12" s="1"/>
  <c r="E44" i="12"/>
  <c r="F44" i="12" s="1"/>
  <c r="J189" i="12" l="1"/>
  <c r="H97" i="12"/>
  <c r="K97" i="12" s="1"/>
  <c r="G98" i="12" s="1"/>
  <c r="H98" i="12" s="1"/>
  <c r="K98" i="12" s="1"/>
  <c r="G99" i="12" s="1"/>
  <c r="N44" i="12"/>
  <c r="D45" i="12"/>
  <c r="E45" i="12" s="1"/>
  <c r="F45" i="12" s="1"/>
  <c r="J190" i="12" l="1"/>
  <c r="H99" i="12"/>
  <c r="K99" i="12" s="1"/>
  <c r="G100" i="12" s="1"/>
  <c r="H100" i="12" s="1"/>
  <c r="K100" i="12" s="1"/>
  <c r="G105" i="12" s="1"/>
  <c r="N45" i="12"/>
  <c r="D46" i="12"/>
  <c r="E46" i="12" s="1"/>
  <c r="F46" i="12" s="1"/>
  <c r="H101" i="12" l="1"/>
  <c r="J191" i="12"/>
  <c r="H105" i="12"/>
  <c r="D47" i="12"/>
  <c r="E47" i="12" s="1"/>
  <c r="F47" i="12" s="1"/>
  <c r="N46" i="12"/>
  <c r="K105" i="12" l="1"/>
  <c r="G106" i="12" s="1"/>
  <c r="H106" i="12" s="1"/>
  <c r="K106" i="12" s="1"/>
  <c r="G107" i="12" s="1"/>
  <c r="H107" i="12" s="1"/>
  <c r="K107" i="12" s="1"/>
  <c r="G108" i="12" s="1"/>
  <c r="H108" i="12" s="1"/>
  <c r="K108" i="12" s="1"/>
  <c r="G109" i="12" s="1"/>
  <c r="H109" i="12" s="1"/>
  <c r="K109" i="12" s="1"/>
  <c r="G110" i="12" s="1"/>
  <c r="H110" i="12" s="1"/>
  <c r="K110" i="12" s="1"/>
  <c r="G111" i="12" s="1"/>
  <c r="H111" i="12" s="1"/>
  <c r="K111" i="12" s="1"/>
  <c r="G112" i="12" s="1"/>
  <c r="J192" i="12"/>
  <c r="N47" i="12"/>
  <c r="D48" i="12"/>
  <c r="E48" i="12" s="1"/>
  <c r="F48" i="12" s="1"/>
  <c r="J193" i="12" l="1"/>
  <c r="H112" i="12"/>
  <c r="K112" i="12" s="1"/>
  <c r="G113" i="12" s="1"/>
  <c r="D49" i="12"/>
  <c r="E49" i="12" s="1"/>
  <c r="F49" i="12" s="1"/>
  <c r="N48" i="12"/>
  <c r="J194" i="12" l="1"/>
  <c r="H113" i="12"/>
  <c r="K113" i="12" s="1"/>
  <c r="G114" i="12" s="1"/>
  <c r="H114" i="12" s="1"/>
  <c r="K114" i="12" s="1"/>
  <c r="G115" i="12" s="1"/>
  <c r="H115" i="12" s="1"/>
  <c r="K115" i="12" s="1"/>
  <c r="G116" i="12" s="1"/>
  <c r="D50" i="12"/>
  <c r="E50" i="12" s="1"/>
  <c r="F50" i="12" s="1"/>
  <c r="N49" i="12"/>
  <c r="J195" i="12" l="1"/>
  <c r="H116" i="12"/>
  <c r="K116" i="12" s="1"/>
  <c r="G121" i="12" s="1"/>
  <c r="H121" i="12" s="1"/>
  <c r="D51" i="12"/>
  <c r="E51" i="12" s="1"/>
  <c r="F51" i="12" s="1"/>
  <c r="N50" i="12"/>
  <c r="K121" i="12" l="1"/>
  <c r="G122" i="12" s="1"/>
  <c r="H117" i="12"/>
  <c r="J196" i="12"/>
  <c r="H122" i="12"/>
  <c r="K122" i="12" s="1"/>
  <c r="G123" i="12" s="1"/>
  <c r="H123" i="12" s="1"/>
  <c r="K123" i="12" s="1"/>
  <c r="G124" i="12" s="1"/>
  <c r="H124" i="12" s="1"/>
  <c r="K124" i="12" s="1"/>
  <c r="G125" i="12" s="1"/>
  <c r="D52" i="12"/>
  <c r="E52" i="12" s="1"/>
  <c r="E53" i="12" s="1"/>
  <c r="N51" i="12"/>
  <c r="L198" i="12" l="1"/>
  <c r="J197" i="12"/>
  <c r="H125" i="12"/>
  <c r="K125" i="12" s="1"/>
  <c r="G126" i="12" s="1"/>
  <c r="H126" i="12" s="1"/>
  <c r="K126" i="12" s="1"/>
  <c r="G127" i="12" s="1"/>
  <c r="H127" i="12" s="1"/>
  <c r="K127" i="12" s="1"/>
  <c r="G128" i="12" s="1"/>
  <c r="H128" i="12" s="1"/>
  <c r="K128" i="12" s="1"/>
  <c r="G129" i="12" s="1"/>
  <c r="F52" i="12"/>
  <c r="O52" i="12"/>
  <c r="J202" i="12" l="1"/>
  <c r="H129" i="12"/>
  <c r="K129" i="12" s="1"/>
  <c r="G130" i="12" s="1"/>
  <c r="H130" i="12" s="1"/>
  <c r="K130" i="12" s="1"/>
  <c r="G131" i="12" s="1"/>
  <c r="H131" i="12" s="1"/>
  <c r="K131" i="12" s="1"/>
  <c r="G132" i="12" s="1"/>
  <c r="H132" i="12" s="1"/>
  <c r="K132" i="12" s="1"/>
  <c r="G137" i="12" s="1"/>
  <c r="AA52" i="12"/>
  <c r="P52" i="12"/>
  <c r="S52" i="12"/>
  <c r="X52" i="12"/>
  <c r="AD52" i="12"/>
  <c r="Y52" i="12"/>
  <c r="Z52" i="12" s="1"/>
  <c r="Q52" i="12"/>
  <c r="R52" i="12" s="1"/>
  <c r="D57" i="12"/>
  <c r="E57" i="12" s="1"/>
  <c r="N52" i="12"/>
  <c r="L214" i="12" l="1"/>
  <c r="H133" i="12"/>
  <c r="F57" i="12"/>
  <c r="D58" i="12" s="1"/>
  <c r="E58" i="12" s="1"/>
  <c r="F58" i="12" s="1"/>
  <c r="J203" i="12"/>
  <c r="T52" i="12"/>
  <c r="U52" i="12" s="1"/>
  <c r="AB52" i="12"/>
  <c r="AC52" i="12" s="1"/>
  <c r="V52" i="12" s="1"/>
  <c r="H137" i="12"/>
  <c r="L230" i="12" l="1"/>
  <c r="J234" i="12"/>
  <c r="K137" i="12"/>
  <c r="G138" i="12" s="1"/>
  <c r="H138" i="12" s="1"/>
  <c r="K138" i="12" s="1"/>
  <c r="G139" i="12" s="1"/>
  <c r="H139" i="12" s="1"/>
  <c r="K139" i="12" s="1"/>
  <c r="G140" i="12" s="1"/>
  <c r="H140" i="12" s="1"/>
  <c r="K140" i="12" s="1"/>
  <c r="G141" i="12" s="1"/>
  <c r="N57" i="12"/>
  <c r="M59" i="12"/>
  <c r="W52" i="12"/>
  <c r="D59" i="12"/>
  <c r="N58" i="12"/>
  <c r="J235" i="12" l="1"/>
  <c r="J205" i="12"/>
  <c r="H141" i="12"/>
  <c r="K141" i="12" s="1"/>
  <c r="G142" i="12" s="1"/>
  <c r="H142" i="12" s="1"/>
  <c r="K142" i="12" s="1"/>
  <c r="G143" i="12" s="1"/>
  <c r="H143" i="12" s="1"/>
  <c r="K143" i="12" s="1"/>
  <c r="G144" i="12" s="1"/>
  <c r="E59" i="12"/>
  <c r="J237" i="12" l="1"/>
  <c r="F59" i="12"/>
  <c r="D60" i="12" s="1"/>
  <c r="J238" i="12"/>
  <c r="J206" i="12"/>
  <c r="H144" i="12"/>
  <c r="K144" i="12" s="1"/>
  <c r="G145" i="12" s="1"/>
  <c r="N59" i="12" l="1"/>
  <c r="E60" i="12"/>
  <c r="J239" i="12"/>
  <c r="J207" i="12"/>
  <c r="H145" i="12"/>
  <c r="K145" i="12" s="1"/>
  <c r="G146" i="12" s="1"/>
  <c r="H146" i="12" s="1"/>
  <c r="K146" i="12" s="1"/>
  <c r="G147" i="12" s="1"/>
  <c r="H147" i="12" s="1"/>
  <c r="K147" i="12" s="1"/>
  <c r="G148" i="12" s="1"/>
  <c r="F60" i="12" l="1"/>
  <c r="N60" i="12" s="1"/>
  <c r="J240" i="12"/>
  <c r="J208" i="12"/>
  <c r="H148" i="12"/>
  <c r="K148" i="12" s="1"/>
  <c r="D61" i="12" l="1"/>
  <c r="E61" i="12" s="1"/>
  <c r="F61" i="12" s="1"/>
  <c r="D62" i="12" s="1"/>
  <c r="E62" i="12" s="1"/>
  <c r="F62" i="12" s="1"/>
  <c r="H149" i="12"/>
  <c r="J241" i="12"/>
  <c r="J209" i="12"/>
  <c r="G154" i="12"/>
  <c r="H154" i="12" s="1"/>
  <c r="I154" i="12"/>
  <c r="N61" i="12" l="1"/>
  <c r="D63" i="12"/>
  <c r="E63" i="12" s="1"/>
  <c r="F63" i="12" s="1"/>
  <c r="N62" i="12"/>
  <c r="J242" i="12"/>
  <c r="J210" i="12"/>
  <c r="N63" i="12" l="1"/>
  <c r="D64" i="12"/>
  <c r="E64" i="12" s="1"/>
  <c r="F64" i="12" s="1"/>
  <c r="J243" i="12"/>
  <c r="J211" i="12"/>
  <c r="D65" i="12" l="1"/>
  <c r="E65" i="12" s="1"/>
  <c r="F65" i="12" s="1"/>
  <c r="N64" i="12"/>
  <c r="L246" i="12"/>
  <c r="J244" i="12"/>
  <c r="J212" i="12"/>
  <c r="N65" i="12" l="1"/>
  <c r="D66" i="12"/>
  <c r="E66" i="12" s="1"/>
  <c r="F66" i="12" s="1"/>
  <c r="J245" i="12"/>
  <c r="J213" i="12"/>
  <c r="D67" i="12" l="1"/>
  <c r="E67" i="12" s="1"/>
  <c r="F67" i="12" s="1"/>
  <c r="N66" i="12"/>
  <c r="J250" i="12"/>
  <c r="J218" i="12"/>
  <c r="D68" i="12" l="1"/>
  <c r="N67" i="12"/>
  <c r="J251" i="12"/>
  <c r="J219" i="12"/>
  <c r="E68" i="12" l="1"/>
  <c r="O68" i="12" l="1"/>
  <c r="S68" i="12" s="1"/>
  <c r="E69" i="12"/>
  <c r="F68" i="12"/>
  <c r="N68" i="12" s="1"/>
  <c r="P68" i="12"/>
  <c r="J253" i="12"/>
  <c r="J221" i="12"/>
  <c r="AA68" i="12" l="1"/>
  <c r="Q68" i="12"/>
  <c r="R68" i="12" s="1"/>
  <c r="T68" i="12" s="1"/>
  <c r="U68" i="12" s="1"/>
  <c r="X68" i="12"/>
  <c r="AD68" i="12"/>
  <c r="Y68" i="12"/>
  <c r="Z68" i="12" s="1"/>
  <c r="AB68" i="12" s="1"/>
  <c r="D73" i="12"/>
  <c r="E73" i="12" s="1"/>
  <c r="J254" i="12"/>
  <c r="J222" i="12"/>
  <c r="AC68" i="12" l="1"/>
  <c r="V68" i="12" s="1"/>
  <c r="M75" i="12" s="1"/>
  <c r="F73" i="12"/>
  <c r="D74" i="12" s="1"/>
  <c r="E74" i="12" s="1"/>
  <c r="F74" i="12" s="1"/>
  <c r="J255" i="12"/>
  <c r="J223" i="12"/>
  <c r="W68" i="12" l="1"/>
  <c r="N73" i="12"/>
  <c r="N74" i="12"/>
  <c r="D75" i="12"/>
  <c r="E75" i="12" s="1"/>
  <c r="J256" i="12"/>
  <c r="J224" i="12"/>
  <c r="F75" i="12" l="1"/>
  <c r="D76" i="12" s="1"/>
  <c r="E76" i="12" s="1"/>
  <c r="J257" i="12"/>
  <c r="J225" i="12"/>
  <c r="F76" i="12" l="1"/>
  <c r="N76" i="12" s="1"/>
  <c r="N75" i="12"/>
  <c r="J258" i="12"/>
  <c r="J226" i="12"/>
  <c r="D77" i="12" l="1"/>
  <c r="E77" i="12" s="1"/>
  <c r="F77" i="12" s="1"/>
  <c r="N77" i="12" s="1"/>
  <c r="J259" i="12"/>
  <c r="J227" i="12"/>
  <c r="D78" i="12" l="1"/>
  <c r="E78" i="12" s="1"/>
  <c r="L262" i="12"/>
  <c r="J260" i="12"/>
  <c r="J228" i="12"/>
  <c r="J229" i="12"/>
  <c r="F78" i="12" l="1"/>
  <c r="N78" i="12" s="1"/>
  <c r="J261" i="12"/>
  <c r="D79" i="12" l="1"/>
  <c r="E79" i="12" s="1"/>
  <c r="F79" i="12" s="1"/>
  <c r="N79" i="12" s="1"/>
  <c r="J266" i="12"/>
  <c r="D80" i="12" l="1"/>
  <c r="E80" i="12" s="1"/>
  <c r="F80" i="12" s="1"/>
  <c r="D81" i="12" s="1"/>
  <c r="E81" i="12" s="1"/>
  <c r="F81" i="12" s="1"/>
  <c r="D82" i="12" s="1"/>
  <c r="E82" i="12" s="1"/>
  <c r="F82" i="12" s="1"/>
  <c r="J267" i="12"/>
  <c r="N81" i="12" l="1"/>
  <c r="N80" i="12"/>
  <c r="D83" i="12"/>
  <c r="E83" i="12" s="1"/>
  <c r="F83" i="12" s="1"/>
  <c r="N82" i="12"/>
  <c r="D84" i="12" l="1"/>
  <c r="N83" i="12"/>
  <c r="J269" i="12"/>
  <c r="E84" i="12" l="1"/>
  <c r="J270" i="12"/>
  <c r="O84" i="12" l="1"/>
  <c r="X84" i="12" s="1"/>
  <c r="E85" i="12"/>
  <c r="F84" i="12"/>
  <c r="D89" i="12" s="1"/>
  <c r="E89" i="12" s="1"/>
  <c r="J271" i="12"/>
  <c r="P84" i="12" l="1"/>
  <c r="AA84" i="12"/>
  <c r="Q84" i="12"/>
  <c r="R84" i="12" s="1"/>
  <c r="S84" i="12"/>
  <c r="Y84" i="12"/>
  <c r="Z84" i="12" s="1"/>
  <c r="AD84" i="12"/>
  <c r="F89" i="12"/>
  <c r="N89" i="12" s="1"/>
  <c r="N84" i="12"/>
  <c r="J272" i="12"/>
  <c r="D90" i="12" l="1"/>
  <c r="E90" i="12" s="1"/>
  <c r="F90" i="12" s="1"/>
  <c r="D91" i="12" s="1"/>
  <c r="E91" i="12" s="1"/>
  <c r="AB84" i="12"/>
  <c r="AC84" i="12" s="1"/>
  <c r="W84" i="12" s="1"/>
  <c r="T84" i="12"/>
  <c r="U84" i="12" s="1"/>
  <c r="J273" i="12"/>
  <c r="N90" i="12" l="1"/>
  <c r="V84" i="12"/>
  <c r="J274" i="12"/>
  <c r="M91" i="12" l="1"/>
  <c r="F91" i="12" s="1"/>
  <c r="J275" i="12"/>
  <c r="D92" i="12" l="1"/>
  <c r="N91" i="12"/>
  <c r="L278" i="12"/>
  <c r="R285" i="12" s="1"/>
  <c r="J276" i="12"/>
  <c r="E92" i="12" l="1"/>
  <c r="F92" i="12" s="1"/>
  <c r="J277" i="12"/>
  <c r="D93" i="12" l="1"/>
  <c r="E93" i="12" s="1"/>
  <c r="F93" i="12" s="1"/>
  <c r="N92" i="12"/>
  <c r="N93" i="12" l="1"/>
  <c r="D94" i="12"/>
  <c r="E94" i="12" s="1"/>
  <c r="F94" i="12" s="1"/>
  <c r="D95" i="12" l="1"/>
  <c r="E95" i="12" s="1"/>
  <c r="F95" i="12" s="1"/>
  <c r="N94" i="12"/>
  <c r="D96" i="12" l="1"/>
  <c r="E96" i="12" s="1"/>
  <c r="F96" i="12" s="1"/>
  <c r="N95" i="12"/>
  <c r="N96" i="12" l="1"/>
  <c r="D97" i="12"/>
  <c r="E97" i="12" s="1"/>
  <c r="F97" i="12" s="1"/>
  <c r="N97" i="12" l="1"/>
  <c r="D98" i="12"/>
  <c r="E98" i="12" s="1"/>
  <c r="F98" i="12" s="1"/>
  <c r="D99" i="12" l="1"/>
  <c r="E99" i="12" s="1"/>
  <c r="F99" i="12" s="1"/>
  <c r="N98" i="12"/>
  <c r="N99" i="12" l="1"/>
  <c r="D100" i="12"/>
  <c r="E100" i="12" s="1"/>
  <c r="O100" i="12" s="1"/>
  <c r="AD100" i="12" s="1"/>
  <c r="F100" i="12" l="1"/>
  <c r="N100" i="12" s="1"/>
  <c r="E101" i="12"/>
  <c r="Q100" i="12"/>
  <c r="R100" i="12" s="1"/>
  <c r="S100" i="12"/>
  <c r="Y100" i="12"/>
  <c r="Z100" i="12" s="1"/>
  <c r="P100" i="12"/>
  <c r="X100" i="12"/>
  <c r="AA100" i="12"/>
  <c r="D105" i="12"/>
  <c r="E105" i="12" s="1"/>
  <c r="T100" i="12" l="1"/>
  <c r="U100" i="12" s="1"/>
  <c r="AB100" i="12"/>
  <c r="AC100" i="12" s="1"/>
  <c r="V100" i="12" s="1"/>
  <c r="F105" i="12"/>
  <c r="N105" i="12" s="1"/>
  <c r="M107" i="12" l="1"/>
  <c r="W100" i="12"/>
  <c r="D106" i="12"/>
  <c r="E106" i="12" s="1"/>
  <c r="F106" i="12" s="1"/>
  <c r="N106" i="12" s="1"/>
  <c r="D107" i="12" l="1"/>
  <c r="E107" i="12"/>
  <c r="F107" i="12" l="1"/>
  <c r="N107" i="12" s="1"/>
  <c r="D108" i="12" l="1"/>
  <c r="E108" i="12" s="1"/>
  <c r="F108" i="12" s="1"/>
  <c r="N108" i="12" s="1"/>
  <c r="D109" i="12" l="1"/>
  <c r="E109" i="12" s="1"/>
  <c r="F109" i="12" s="1"/>
  <c r="D110" i="12" s="1"/>
  <c r="E110" i="12" s="1"/>
  <c r="F110" i="12" s="1"/>
  <c r="N109" i="12" l="1"/>
  <c r="N110" i="12"/>
  <c r="D111" i="12"/>
  <c r="E111" i="12" s="1"/>
  <c r="F111" i="12" s="1"/>
  <c r="N111" i="12" l="1"/>
  <c r="D112" i="12"/>
  <c r="E112" i="12" s="1"/>
  <c r="F112" i="12" s="1"/>
  <c r="N112" i="12" l="1"/>
  <c r="D113" i="12"/>
  <c r="E113" i="12" s="1"/>
  <c r="F113" i="12" s="1"/>
  <c r="N113" i="12" l="1"/>
  <c r="D114" i="12"/>
  <c r="E114" i="12" s="1"/>
  <c r="F114" i="12" s="1"/>
  <c r="N114" i="12" l="1"/>
  <c r="D115" i="12"/>
  <c r="E115" i="12" s="1"/>
  <c r="F115" i="12" s="1"/>
  <c r="D116" i="12" l="1"/>
  <c r="N115" i="12"/>
  <c r="E116" i="12" l="1"/>
  <c r="O116" i="12" l="1"/>
  <c r="S116" i="12" s="1"/>
  <c r="E117" i="12"/>
  <c r="F116" i="12"/>
  <c r="N116" i="12" s="1"/>
  <c r="Q116" i="12" l="1"/>
  <c r="R116" i="12" s="1"/>
  <c r="T116" i="12" s="1"/>
  <c r="P116" i="12"/>
  <c r="AD116" i="12"/>
  <c r="X116" i="12"/>
  <c r="AA116" i="12"/>
  <c r="Y116" i="12"/>
  <c r="Z116" i="12" s="1"/>
  <c r="D121" i="12"/>
  <c r="E121" i="12" s="1"/>
  <c r="U116" i="12" l="1"/>
  <c r="AB116" i="12"/>
  <c r="AC116" i="12" s="1"/>
  <c r="V116" i="12" s="1"/>
  <c r="M123" i="12" s="1"/>
  <c r="F121" i="12"/>
  <c r="N121" i="12" s="1"/>
  <c r="D122" i="12" l="1"/>
  <c r="E122" i="12" s="1"/>
  <c r="W116" i="12"/>
  <c r="F122" i="12" l="1"/>
  <c r="N122" i="12" s="1"/>
  <c r="D123" i="12" l="1"/>
  <c r="E123" i="12" s="1"/>
  <c r="F123" i="12" l="1"/>
  <c r="D124" i="12" s="1"/>
  <c r="E124" i="12" s="1"/>
  <c r="F124" i="12" s="1"/>
  <c r="N124" i="12" s="1"/>
  <c r="D125" i="12" l="1"/>
  <c r="E125" i="12" s="1"/>
  <c r="F125" i="12" s="1"/>
  <c r="N125" i="12" s="1"/>
  <c r="N123" i="12"/>
  <c r="D126" i="12" l="1"/>
  <c r="E126" i="12" s="1"/>
  <c r="F126" i="12" l="1"/>
  <c r="N126" i="12" s="1"/>
  <c r="D127" i="12" l="1"/>
  <c r="E127" i="12" s="1"/>
  <c r="F127" i="12" s="1"/>
  <c r="N127" i="12" l="1"/>
  <c r="D128" i="12"/>
  <c r="E128" i="12" s="1"/>
  <c r="F128" i="12" s="1"/>
  <c r="N128" i="12" l="1"/>
  <c r="D129" i="12"/>
  <c r="E129" i="12" s="1"/>
  <c r="F129" i="12" s="1"/>
  <c r="N129" i="12" s="1"/>
  <c r="D130" i="12" l="1"/>
  <c r="E130" i="12" s="1"/>
  <c r="F130" i="12" s="1"/>
  <c r="D131" i="12" s="1"/>
  <c r="E131" i="12" s="1"/>
  <c r="F131" i="12" s="1"/>
  <c r="N130" i="12" l="1"/>
  <c r="D132" i="12"/>
  <c r="E132" i="12" s="1"/>
  <c r="E133" i="12" s="1"/>
  <c r="N131" i="12"/>
  <c r="F132" i="12" l="1"/>
  <c r="O132" i="12"/>
  <c r="AD132" i="12" l="1"/>
  <c r="Y132" i="12"/>
  <c r="Z132" i="12" s="1"/>
  <c r="X132" i="12"/>
  <c r="Q132" i="12"/>
  <c r="R132" i="12" s="1"/>
  <c r="P132" i="12"/>
  <c r="AA132" i="12"/>
  <c r="S132" i="12"/>
  <c r="N132" i="12"/>
  <c r="D137" i="12"/>
  <c r="T132" i="12" l="1"/>
  <c r="U132" i="12" s="1"/>
  <c r="AB132" i="12"/>
  <c r="AC132" i="12" s="1"/>
  <c r="V132" i="12" s="1"/>
  <c r="E137" i="12"/>
  <c r="F137" i="12" l="1"/>
  <c r="N137" i="12" s="1"/>
  <c r="W132" i="12"/>
  <c r="M139" i="12"/>
  <c r="D138" i="12" l="1"/>
  <c r="E138" i="12" s="1"/>
  <c r="F138" i="12" l="1"/>
  <c r="N138" i="12" s="1"/>
  <c r="D139" i="12" l="1"/>
  <c r="E139" i="12" s="1"/>
  <c r="F139" i="12" l="1"/>
  <c r="D140" i="12" s="1"/>
  <c r="E140" i="12" s="1"/>
  <c r="F140" i="12" s="1"/>
  <c r="D141" i="12" s="1"/>
  <c r="E141" i="12" s="1"/>
  <c r="F141" i="12" s="1"/>
  <c r="N141" i="12" s="1"/>
  <c r="D142" i="12" l="1"/>
  <c r="E142" i="12" s="1"/>
  <c r="F142" i="12" s="1"/>
  <c r="N142" i="12" s="1"/>
  <c r="N140" i="12"/>
  <c r="N139" i="12"/>
  <c r="D143" i="12" l="1"/>
  <c r="E143" i="12" s="1"/>
  <c r="F143" i="12" s="1"/>
  <c r="D144" i="12" s="1"/>
  <c r="N143" i="12" l="1"/>
  <c r="E144" i="12"/>
  <c r="F144" i="12" s="1"/>
  <c r="N144" i="12" l="1"/>
  <c r="D145" i="12"/>
  <c r="E145" i="12" l="1"/>
  <c r="F145" i="12" s="1"/>
  <c r="N145" i="12" l="1"/>
  <c r="D146" i="12"/>
  <c r="E146" i="12" s="1"/>
  <c r="F146" i="12" s="1"/>
  <c r="N146" i="12" l="1"/>
  <c r="D147" i="12"/>
  <c r="E147" i="12" s="1"/>
  <c r="F147" i="12" s="1"/>
  <c r="D148" i="12" l="1"/>
  <c r="E148" i="12" s="1"/>
  <c r="E149" i="12" s="1"/>
  <c r="N147" i="12"/>
  <c r="F148" i="12" l="1"/>
  <c r="N148" i="12" s="1"/>
  <c r="O148" i="12"/>
  <c r="D154" i="12" l="1"/>
  <c r="AD148" i="12"/>
  <c r="Y148" i="12"/>
  <c r="Z148" i="12" s="1"/>
  <c r="Q148" i="12"/>
  <c r="R148" i="12" s="1"/>
  <c r="P148" i="12"/>
  <c r="AA148" i="12"/>
  <c r="S148" i="12"/>
  <c r="X148" i="12"/>
  <c r="E154" i="12"/>
  <c r="AB148" i="12" l="1"/>
  <c r="AC148" i="12" s="1"/>
  <c r="J154" i="12"/>
  <c r="T148" i="12"/>
  <c r="U148" i="12" s="1"/>
  <c r="K154" i="12" l="1"/>
  <c r="G155" i="12" s="1"/>
  <c r="H155" i="12" s="1"/>
  <c r="F154" i="12"/>
  <c r="W148" i="12"/>
  <c r="V148" i="12"/>
  <c r="M156" i="12" s="1"/>
  <c r="J156" i="12" s="1"/>
  <c r="J166" i="12" s="1"/>
  <c r="N154" i="12" l="1"/>
  <c r="D155" i="12"/>
  <c r="E155" i="12" s="1"/>
  <c r="K155" i="12"/>
  <c r="G156" i="12" s="1"/>
  <c r="H156" i="12" s="1"/>
  <c r="K156" i="12" s="1"/>
  <c r="G157" i="12" s="1"/>
  <c r="H157" i="12" l="1"/>
  <c r="K157" i="12" s="1"/>
  <c r="G158" i="12" s="1"/>
  <c r="H158" i="12" s="1"/>
  <c r="K158" i="12" s="1"/>
  <c r="G159" i="12" s="1"/>
  <c r="H159" i="12" s="1"/>
  <c r="K159" i="12" s="1"/>
  <c r="G160" i="12" s="1"/>
  <c r="H160" i="12" s="1"/>
  <c r="K160" i="12" s="1"/>
  <c r="G161" i="12" s="1"/>
  <c r="H161" i="12" s="1"/>
  <c r="K161" i="12" s="1"/>
  <c r="G162" i="12" s="1"/>
  <c r="H162" i="12" s="1"/>
  <c r="K162" i="12" s="1"/>
  <c r="G163" i="12" s="1"/>
  <c r="H163" i="12" s="1"/>
  <c r="K163" i="12" s="1"/>
  <c r="G164" i="12" s="1"/>
  <c r="H164" i="12" s="1"/>
  <c r="K164" i="12" s="1"/>
  <c r="G165" i="12" s="1"/>
  <c r="H165" i="12" s="1"/>
  <c r="K165" i="12" s="1"/>
  <c r="I170" i="12" s="1"/>
  <c r="F155" i="12"/>
  <c r="H166" i="12" l="1"/>
  <c r="D156" i="12"/>
  <c r="N155" i="12"/>
  <c r="G170" i="12"/>
  <c r="H170" i="12" l="1"/>
  <c r="E156" i="12"/>
  <c r="F156" i="12" l="1"/>
  <c r="D157" i="12" s="1"/>
  <c r="E157" i="12" s="1"/>
  <c r="F157" i="12" s="1"/>
  <c r="K170" i="12"/>
  <c r="G171" i="12" s="1"/>
  <c r="H171" i="12" s="1"/>
  <c r="K171" i="12" s="1"/>
  <c r="G172" i="12" s="1"/>
  <c r="N156" i="12" l="1"/>
  <c r="H172" i="12"/>
  <c r="D158" i="12"/>
  <c r="E158" i="12" s="1"/>
  <c r="F158" i="12" s="1"/>
  <c r="N157" i="12"/>
  <c r="D159" i="12" l="1"/>
  <c r="E159" i="12" s="1"/>
  <c r="F159" i="12" s="1"/>
  <c r="N159" i="12" s="1"/>
  <c r="N158" i="12"/>
  <c r="D160" i="12" l="1"/>
  <c r="E160" i="12" s="1"/>
  <c r="F160" i="12" s="1"/>
  <c r="N160" i="12" l="1"/>
  <c r="D161" i="12"/>
  <c r="E161" i="12" l="1"/>
  <c r="F161" i="12" s="1"/>
  <c r="N161" i="12" l="1"/>
  <c r="D162" i="12"/>
  <c r="E162" i="12" l="1"/>
  <c r="F162" i="12" s="1"/>
  <c r="N162" i="12" l="1"/>
  <c r="D163" i="12"/>
  <c r="E163" i="12" l="1"/>
  <c r="F163" i="12" s="1"/>
  <c r="D164" i="12" l="1"/>
  <c r="N163" i="12"/>
  <c r="E164" i="12" l="1"/>
  <c r="F164" i="12" s="1"/>
  <c r="N164" i="12" l="1"/>
  <c r="D165" i="12"/>
  <c r="E165" i="12" l="1"/>
  <c r="E166" i="12" l="1"/>
  <c r="O165" i="12"/>
  <c r="F165" i="12"/>
  <c r="Y165" i="12" l="1"/>
  <c r="Z165" i="12" s="1"/>
  <c r="P165" i="12"/>
  <c r="AD165" i="12"/>
  <c r="X165" i="12"/>
  <c r="Q165" i="12"/>
  <c r="R165" i="12" s="1"/>
  <c r="S165" i="12"/>
  <c r="AA165" i="12"/>
  <c r="N165" i="12"/>
  <c r="D170" i="12"/>
  <c r="E170" i="12" s="1"/>
  <c r="F170" i="12" s="1"/>
  <c r="T165" i="12" l="1"/>
  <c r="U165" i="12" s="1"/>
  <c r="AB165" i="12"/>
  <c r="AC165" i="12" s="1"/>
  <c r="D171" i="12"/>
  <c r="N170" i="12"/>
  <c r="V165" i="12" l="1"/>
  <c r="M172" i="12" s="1"/>
  <c r="W165" i="12"/>
  <c r="E171" i="12"/>
  <c r="F171" i="12" s="1"/>
  <c r="J172" i="12" l="1"/>
  <c r="N171" i="12"/>
  <c r="D172" i="12"/>
  <c r="K172" i="12" l="1"/>
  <c r="G173" i="12" s="1"/>
  <c r="H173" i="12" s="1"/>
  <c r="K173" i="12" s="1"/>
  <c r="G174" i="12" s="1"/>
  <c r="H174" i="12" s="1"/>
  <c r="K174" i="12" s="1"/>
  <c r="G175" i="12" s="1"/>
  <c r="H175" i="12" s="1"/>
  <c r="K175" i="12" s="1"/>
  <c r="G176" i="12" s="1"/>
  <c r="H176" i="12" s="1"/>
  <c r="K176" i="12" s="1"/>
  <c r="G177" i="12" s="1"/>
  <c r="H177" i="12" s="1"/>
  <c r="K177" i="12" s="1"/>
  <c r="G178" i="12" s="1"/>
  <c r="H178" i="12" s="1"/>
  <c r="K178" i="12" s="1"/>
  <c r="G179" i="12" s="1"/>
  <c r="H179" i="12" s="1"/>
  <c r="K179" i="12" s="1"/>
  <c r="G180" i="12" s="1"/>
  <c r="H180" i="12" s="1"/>
  <c r="K180" i="12" s="1"/>
  <c r="G181" i="12" s="1"/>
  <c r="J182" i="12"/>
  <c r="E172" i="12"/>
  <c r="F172" i="12" s="1"/>
  <c r="H181" i="12" l="1"/>
  <c r="K181" i="12" s="1"/>
  <c r="N172" i="12"/>
  <c r="D173" i="12"/>
  <c r="E173" i="12" s="1"/>
  <c r="F173" i="12" s="1"/>
  <c r="O181" i="12" l="1"/>
  <c r="AA181" i="12" s="1"/>
  <c r="H182" i="12"/>
  <c r="G186" i="12"/>
  <c r="I186" i="12"/>
  <c r="N173" i="12"/>
  <c r="D174" i="12"/>
  <c r="P181" i="12" l="1"/>
  <c r="X181" i="12"/>
  <c r="S181" i="12"/>
  <c r="Q181" i="12"/>
  <c r="R181" i="12" s="1"/>
  <c r="Y181" i="12"/>
  <c r="Z181" i="12" s="1"/>
  <c r="AB181" i="12" s="1"/>
  <c r="AD181" i="12"/>
  <c r="H186" i="12"/>
  <c r="K186" i="12" s="1"/>
  <c r="G187" i="12" s="1"/>
  <c r="H187" i="12" s="1"/>
  <c r="K187" i="12" s="1"/>
  <c r="G188" i="12" s="1"/>
  <c r="E174" i="12"/>
  <c r="F174" i="12" s="1"/>
  <c r="T181" i="12" l="1"/>
  <c r="U181" i="12" s="1"/>
  <c r="AC181" i="12"/>
  <c r="W181" i="12" s="1"/>
  <c r="H188" i="12"/>
  <c r="D175" i="12"/>
  <c r="N174" i="12"/>
  <c r="V181" i="12" l="1"/>
  <c r="M188" i="12" s="1"/>
  <c r="E175" i="12"/>
  <c r="F175" i="12" s="1"/>
  <c r="J188" i="12" l="1"/>
  <c r="K188" i="12" s="1"/>
  <c r="G189" i="12" s="1"/>
  <c r="H189" i="12" s="1"/>
  <c r="K189" i="12" s="1"/>
  <c r="G190" i="12" s="1"/>
  <c r="H190" i="12" s="1"/>
  <c r="K190" i="12" s="1"/>
  <c r="G191" i="12" s="1"/>
  <c r="H191" i="12" s="1"/>
  <c r="K191" i="12" s="1"/>
  <c r="G192" i="12" s="1"/>
  <c r="H192" i="12" s="1"/>
  <c r="K192" i="12" s="1"/>
  <c r="G193" i="12" s="1"/>
  <c r="H193" i="12" s="1"/>
  <c r="K193" i="12" s="1"/>
  <c r="G194" i="12" s="1"/>
  <c r="H194" i="12" s="1"/>
  <c r="K194" i="12" s="1"/>
  <c r="G195" i="12" s="1"/>
  <c r="H195" i="12" s="1"/>
  <c r="K195" i="12" s="1"/>
  <c r="G196" i="12" s="1"/>
  <c r="H196" i="12" s="1"/>
  <c r="K196" i="12" s="1"/>
  <c r="G197" i="12" s="1"/>
  <c r="H197" i="12" s="1"/>
  <c r="O197" i="12" s="1"/>
  <c r="D176" i="12"/>
  <c r="N175" i="12"/>
  <c r="J198" i="12" l="1"/>
  <c r="K197" i="12"/>
  <c r="H198" i="12"/>
  <c r="AD197" i="12"/>
  <c r="Q197" i="12"/>
  <c r="R197" i="12" s="1"/>
  <c r="S197" i="12"/>
  <c r="AA197" i="12"/>
  <c r="P197" i="12"/>
  <c r="X197" i="12"/>
  <c r="Y197" i="12"/>
  <c r="Z197" i="12" s="1"/>
  <c r="E176" i="12"/>
  <c r="F176" i="12" s="1"/>
  <c r="G202" i="12" l="1"/>
  <c r="I202" i="12"/>
  <c r="T197" i="12"/>
  <c r="U197" i="12" s="1"/>
  <c r="AB197" i="12"/>
  <c r="AC197" i="12" s="1"/>
  <c r="H202" i="12"/>
  <c r="K202" i="12" s="1"/>
  <c r="G203" i="12" s="1"/>
  <c r="H203" i="12" s="1"/>
  <c r="D177" i="12"/>
  <c r="N176" i="12"/>
  <c r="K203" i="12" l="1"/>
  <c r="G204" i="12" s="1"/>
  <c r="H204" i="12" s="1"/>
  <c r="W197" i="12"/>
  <c r="V197" i="12"/>
  <c r="M204" i="12" s="1"/>
  <c r="E177" i="12"/>
  <c r="F177" i="12" s="1"/>
  <c r="J204" i="12" l="1"/>
  <c r="J214" i="12" s="1"/>
  <c r="D178" i="12"/>
  <c r="N177" i="12"/>
  <c r="K204" i="12" l="1"/>
  <c r="G205" i="12" s="1"/>
  <c r="H205" i="12" s="1"/>
  <c r="E178" i="12"/>
  <c r="F178" i="12" s="1"/>
  <c r="D179" i="12" s="1"/>
  <c r="K205" i="12" l="1"/>
  <c r="G206" i="12" s="1"/>
  <c r="N178" i="12"/>
  <c r="H206" i="12" l="1"/>
  <c r="E179" i="12"/>
  <c r="F179" i="12" s="1"/>
  <c r="K206" i="12" l="1"/>
  <c r="G207" i="12" s="1"/>
  <c r="H207" i="12" s="1"/>
  <c r="K207" i="12" s="1"/>
  <c r="D180" i="12"/>
  <c r="N179" i="12"/>
  <c r="G208" i="12" l="1"/>
  <c r="H208" i="12" s="1"/>
  <c r="K208" i="12" s="1"/>
  <c r="E180" i="12"/>
  <c r="F180" i="12" s="1"/>
  <c r="G209" i="12" l="1"/>
  <c r="N180" i="12"/>
  <c r="D181" i="12"/>
  <c r="H209" i="12" l="1"/>
  <c r="K209" i="12" s="1"/>
  <c r="E181" i="12"/>
  <c r="F181" i="12" s="1"/>
  <c r="G210" i="12" l="1"/>
  <c r="N181" i="12"/>
  <c r="D186" i="12"/>
  <c r="H210" i="12" l="1"/>
  <c r="K210" i="12" s="1"/>
  <c r="E186" i="12"/>
  <c r="F186" i="12" s="1"/>
  <c r="G211" i="12" l="1"/>
  <c r="H211" i="12" s="1"/>
  <c r="K211" i="12" s="1"/>
  <c r="D187" i="12"/>
  <c r="E187" i="12" s="1"/>
  <c r="F187" i="12" s="1"/>
  <c r="N186" i="12"/>
  <c r="G212" i="12" l="1"/>
  <c r="H212" i="12" s="1"/>
  <c r="K212" i="12" s="1"/>
  <c r="D188" i="12"/>
  <c r="N187" i="12"/>
  <c r="G213" i="12" l="1"/>
  <c r="E188" i="12"/>
  <c r="F188" i="12" s="1"/>
  <c r="H213" i="12" l="1"/>
  <c r="H214" i="12" s="1"/>
  <c r="D189" i="12"/>
  <c r="E189" i="12" s="1"/>
  <c r="F189" i="12" s="1"/>
  <c r="N188" i="12"/>
  <c r="K213" i="12" l="1"/>
  <c r="I218" i="12" s="1"/>
  <c r="O213" i="12"/>
  <c r="D190" i="12"/>
  <c r="E190" i="12" s="1"/>
  <c r="F190" i="12" s="1"/>
  <c r="N189" i="12"/>
  <c r="G218" i="12" l="1"/>
  <c r="AD213" i="12"/>
  <c r="Q213" i="12"/>
  <c r="R213" i="12" s="1"/>
  <c r="X213" i="12"/>
  <c r="S213" i="12"/>
  <c r="Y213" i="12"/>
  <c r="Z213" i="12" s="1"/>
  <c r="P213" i="12"/>
  <c r="AA213" i="12"/>
  <c r="H218" i="12"/>
  <c r="D191" i="12"/>
  <c r="E191" i="12" s="1"/>
  <c r="F191" i="12" s="1"/>
  <c r="N190" i="12"/>
  <c r="K218" i="12" l="1"/>
  <c r="G219" i="12" s="1"/>
  <c r="T213" i="12"/>
  <c r="U213" i="12" s="1"/>
  <c r="AB213" i="12"/>
  <c r="AC213" i="12" s="1"/>
  <c r="D192" i="12"/>
  <c r="E192" i="12" s="1"/>
  <c r="F192" i="12" s="1"/>
  <c r="N191" i="12"/>
  <c r="V213" i="12" l="1"/>
  <c r="M220" i="12" s="1"/>
  <c r="W213" i="12"/>
  <c r="H219" i="12"/>
  <c r="D193" i="12"/>
  <c r="E193" i="12" s="1"/>
  <c r="F193" i="12" s="1"/>
  <c r="N192" i="12"/>
  <c r="J220" i="12" l="1"/>
  <c r="J230" i="12" s="1"/>
  <c r="K219" i="12"/>
  <c r="G220" i="12" s="1"/>
  <c r="D194" i="12"/>
  <c r="E194" i="12" s="1"/>
  <c r="F194" i="12" s="1"/>
  <c r="N193" i="12"/>
  <c r="H220" i="12" l="1"/>
  <c r="D195" i="12"/>
  <c r="E195" i="12" s="1"/>
  <c r="F195" i="12" s="1"/>
  <c r="N194" i="12"/>
  <c r="K220" i="12" l="1"/>
  <c r="G221" i="12" s="1"/>
  <c r="D196" i="12"/>
  <c r="E196" i="12" s="1"/>
  <c r="F196" i="12" s="1"/>
  <c r="N195" i="12"/>
  <c r="H221" i="12" l="1"/>
  <c r="D197" i="12"/>
  <c r="E197" i="12" s="1"/>
  <c r="F197" i="12" s="1"/>
  <c r="N196" i="12"/>
  <c r="K221" i="12" l="1"/>
  <c r="G222" i="12" s="1"/>
  <c r="H222" i="12" s="1"/>
  <c r="K222" i="12" s="1"/>
  <c r="N197" i="12"/>
  <c r="D202" i="12"/>
  <c r="E202" i="12" l="1"/>
  <c r="F202" i="12" s="1"/>
  <c r="G223" i="12"/>
  <c r="H223" i="12" s="1"/>
  <c r="K223" i="12" l="1"/>
  <c r="G224" i="12" s="1"/>
  <c r="D203" i="12"/>
  <c r="N202" i="12"/>
  <c r="E203" i="12" l="1"/>
  <c r="F203" i="12" s="1"/>
  <c r="H224" i="12"/>
  <c r="K224" i="12" l="1"/>
  <c r="G225" i="12" s="1"/>
  <c r="D204" i="12"/>
  <c r="N203" i="12"/>
  <c r="E204" i="12" l="1"/>
  <c r="F204" i="12" s="1"/>
  <c r="H225" i="12"/>
  <c r="K225" i="12" l="1"/>
  <c r="G226" i="12" s="1"/>
  <c r="D205" i="12"/>
  <c r="N204" i="12"/>
  <c r="E205" i="12" l="1"/>
  <c r="F205" i="12" s="1"/>
  <c r="H226" i="12"/>
  <c r="K226" i="12" l="1"/>
  <c r="G227" i="12" s="1"/>
  <c r="D206" i="12"/>
  <c r="N205" i="12"/>
  <c r="E206" i="12" l="1"/>
  <c r="F206" i="12" s="1"/>
  <c r="H227" i="12"/>
  <c r="K227" i="12" s="1"/>
  <c r="D207" i="12" l="1"/>
  <c r="N206" i="12"/>
  <c r="G228" i="12"/>
  <c r="H228" i="12" s="1"/>
  <c r="K228" i="12" s="1"/>
  <c r="E207" i="12" l="1"/>
  <c r="F207" i="12" s="1"/>
  <c r="G229" i="12"/>
  <c r="D208" i="12" l="1"/>
  <c r="N207" i="12"/>
  <c r="H229" i="12"/>
  <c r="H230" i="12" s="1"/>
  <c r="K229" i="12" l="1"/>
  <c r="I234" i="12" s="1"/>
  <c r="O229" i="12"/>
  <c r="E208" i="12"/>
  <c r="F208" i="12" s="1"/>
  <c r="G234" i="12" l="1"/>
  <c r="H234" i="12" s="1"/>
  <c r="AD229" i="12"/>
  <c r="P229" i="12"/>
  <c r="X229" i="12"/>
  <c r="Y229" i="12"/>
  <c r="Z229" i="12" s="1"/>
  <c r="Q229" i="12"/>
  <c r="R229" i="12" s="1"/>
  <c r="AA229" i="12"/>
  <c r="S229" i="12"/>
  <c r="D209" i="12"/>
  <c r="N208" i="12"/>
  <c r="K234" i="12" l="1"/>
  <c r="G235" i="12" s="1"/>
  <c r="H235" i="12" s="1"/>
  <c r="AB229" i="12"/>
  <c r="AC229" i="12" s="1"/>
  <c r="T229" i="12"/>
  <c r="U229" i="12" s="1"/>
  <c r="E209" i="12"/>
  <c r="F209" i="12" s="1"/>
  <c r="K235" i="12" l="1"/>
  <c r="G236" i="12" s="1"/>
  <c r="H236" i="12" s="1"/>
  <c r="W229" i="12"/>
  <c r="V229" i="12"/>
  <c r="M236" i="12" s="1"/>
  <c r="D210" i="12"/>
  <c r="E210" i="12" s="1"/>
  <c r="F210" i="12" s="1"/>
  <c r="N209" i="12"/>
  <c r="J236" i="12" l="1"/>
  <c r="J246" i="12" s="1"/>
  <c r="D211" i="12"/>
  <c r="E211" i="12" s="1"/>
  <c r="F211" i="12" s="1"/>
  <c r="N210" i="12"/>
  <c r="K236" i="12" l="1"/>
  <c r="G237" i="12" s="1"/>
  <c r="H237" i="12" s="1"/>
  <c r="D212" i="12"/>
  <c r="E212" i="12" s="1"/>
  <c r="F212" i="12" s="1"/>
  <c r="N211" i="12"/>
  <c r="K237" i="12" l="1"/>
  <c r="G238" i="12" s="1"/>
  <c r="H238" i="12" s="1"/>
  <c r="K238" i="12" s="1"/>
  <c r="D213" i="12"/>
  <c r="N212" i="12"/>
  <c r="G239" i="12" l="1"/>
  <c r="H239" i="12" s="1"/>
  <c r="K239" i="12" s="1"/>
  <c r="E213" i="12"/>
  <c r="F213" i="12" s="1"/>
  <c r="G240" i="12" l="1"/>
  <c r="D218" i="12"/>
  <c r="N213" i="12"/>
  <c r="H240" i="12" l="1"/>
  <c r="K240" i="12" s="1"/>
  <c r="E218" i="12"/>
  <c r="F218" i="12" s="1"/>
  <c r="G241" i="12" l="1"/>
  <c r="H241" i="12" s="1"/>
  <c r="K241" i="12" s="1"/>
  <c r="D219" i="12"/>
  <c r="N218" i="12"/>
  <c r="G242" i="12" l="1"/>
  <c r="H242" i="12" s="1"/>
  <c r="K242" i="12" s="1"/>
  <c r="E219" i="12"/>
  <c r="F219" i="12" s="1"/>
  <c r="G243" i="12" l="1"/>
  <c r="H243" i="12" s="1"/>
  <c r="K243" i="12" s="1"/>
  <c r="D220" i="12"/>
  <c r="N219" i="12"/>
  <c r="G244" i="12" l="1"/>
  <c r="H244" i="12" s="1"/>
  <c r="K244" i="12" s="1"/>
  <c r="E220" i="12"/>
  <c r="F220" i="12" s="1"/>
  <c r="G245" i="12" l="1"/>
  <c r="D221" i="12"/>
  <c r="N220" i="12"/>
  <c r="H245" i="12" l="1"/>
  <c r="H246" i="12" s="1"/>
  <c r="E221" i="12"/>
  <c r="F221" i="12" s="1"/>
  <c r="K245" i="12" l="1"/>
  <c r="I250" i="12" s="1"/>
  <c r="O245" i="12"/>
  <c r="D222" i="12"/>
  <c r="N221" i="12"/>
  <c r="G250" i="12" l="1"/>
  <c r="AD245" i="12"/>
  <c r="Q245" i="12"/>
  <c r="R245" i="12" s="1"/>
  <c r="P245" i="12"/>
  <c r="Y245" i="12"/>
  <c r="Z245" i="12" s="1"/>
  <c r="X245" i="12"/>
  <c r="AA245" i="12"/>
  <c r="S245" i="12"/>
  <c r="H250" i="12"/>
  <c r="E222" i="12"/>
  <c r="F222" i="12" s="1"/>
  <c r="K250" i="12" l="1"/>
  <c r="G251" i="12" s="1"/>
  <c r="AB245" i="12"/>
  <c r="AC245" i="12" s="1"/>
  <c r="T245" i="12"/>
  <c r="U245" i="12" s="1"/>
  <c r="D223" i="12"/>
  <c r="N222" i="12"/>
  <c r="V245" i="12" l="1"/>
  <c r="M252" i="12" s="1"/>
  <c r="J252" i="12" s="1"/>
  <c r="J262" i="12" s="1"/>
  <c r="W245" i="12"/>
  <c r="H251" i="12"/>
  <c r="E223" i="12"/>
  <c r="F223" i="12" s="1"/>
  <c r="K251" i="12" l="1"/>
  <c r="G252" i="12" s="1"/>
  <c r="H252" i="12" s="1"/>
  <c r="K252" i="12" s="1"/>
  <c r="D224" i="12"/>
  <c r="N223" i="12"/>
  <c r="G253" i="12" l="1"/>
  <c r="H253" i="12" s="1"/>
  <c r="E224" i="12"/>
  <c r="F224" i="12" s="1"/>
  <c r="K253" i="12" l="1"/>
  <c r="G254" i="12" s="1"/>
  <c r="H254" i="12" s="1"/>
  <c r="K254" i="12" s="1"/>
  <c r="D225" i="12"/>
  <c r="E225" i="12" s="1"/>
  <c r="F225" i="12" s="1"/>
  <c r="N224" i="12"/>
  <c r="G255" i="12" l="1"/>
  <c r="H255" i="12" s="1"/>
  <c r="D226" i="12"/>
  <c r="E226" i="12" s="1"/>
  <c r="F226" i="12" s="1"/>
  <c r="N225" i="12"/>
  <c r="K255" i="12" l="1"/>
  <c r="G256" i="12" s="1"/>
  <c r="D227" i="12"/>
  <c r="N226" i="12"/>
  <c r="H256" i="12" l="1"/>
  <c r="K256" i="12" s="1"/>
  <c r="E227" i="12"/>
  <c r="F227" i="12" s="1"/>
  <c r="G257" i="12" l="1"/>
  <c r="H257" i="12" s="1"/>
  <c r="K257" i="12" s="1"/>
  <c r="D228" i="12"/>
  <c r="N227" i="12"/>
  <c r="G258" i="12" l="1"/>
  <c r="H258" i="12" s="1"/>
  <c r="K258" i="12" s="1"/>
  <c r="E228" i="12"/>
  <c r="F228" i="12" s="1"/>
  <c r="G259" i="12" l="1"/>
  <c r="D229" i="12"/>
  <c r="E229" i="12" s="1"/>
  <c r="F229" i="12" s="1"/>
  <c r="N228" i="12"/>
  <c r="N229" i="12" l="1"/>
  <c r="D234" i="12"/>
  <c r="H259" i="12"/>
  <c r="K259" i="12" s="1"/>
  <c r="E234" i="12" l="1"/>
  <c r="F234" i="12" s="1"/>
  <c r="G260" i="12"/>
  <c r="H260" i="12" s="1"/>
  <c r="K260" i="12" s="1"/>
  <c r="D235" i="12" l="1"/>
  <c r="N234" i="12"/>
  <c r="G261" i="12"/>
  <c r="E235" i="12" l="1"/>
  <c r="F235" i="12" s="1"/>
  <c r="H261" i="12"/>
  <c r="H262" i="12" s="1"/>
  <c r="K261" i="12" l="1"/>
  <c r="O261" i="12"/>
  <c r="P261" i="12" s="1"/>
  <c r="D236" i="12"/>
  <c r="E236" i="12" s="1"/>
  <c r="F236" i="12" s="1"/>
  <c r="N235" i="12"/>
  <c r="I266" i="12" l="1"/>
  <c r="R290" i="12" s="1"/>
  <c r="G266" i="12"/>
  <c r="R282" i="12" s="1"/>
  <c r="AD261" i="12"/>
  <c r="Q261" i="12"/>
  <c r="R261" i="12" s="1"/>
  <c r="Y261" i="12"/>
  <c r="Z261" i="12" s="1"/>
  <c r="S261" i="12"/>
  <c r="AA261" i="12"/>
  <c r="X261" i="12"/>
  <c r="D237" i="12"/>
  <c r="N236" i="12"/>
  <c r="H266" i="12"/>
  <c r="K266" i="12" l="1"/>
  <c r="G267" i="12" s="1"/>
  <c r="AB261" i="12"/>
  <c r="AC261" i="12" s="1"/>
  <c r="V261" i="12" s="1"/>
  <c r="T261" i="12"/>
  <c r="U261" i="12" s="1"/>
  <c r="E237" i="12"/>
  <c r="F237" i="12" s="1"/>
  <c r="W261" i="12" l="1"/>
  <c r="M268" i="12"/>
  <c r="D238" i="12"/>
  <c r="N237" i="12"/>
  <c r="H267" i="12"/>
  <c r="R286" i="12" l="1"/>
  <c r="M281" i="12"/>
  <c r="J268" i="12"/>
  <c r="J278" i="12" s="1"/>
  <c r="K267" i="12"/>
  <c r="G268" i="12" s="1"/>
  <c r="H268" i="12" s="1"/>
  <c r="E238" i="12"/>
  <c r="F238" i="12" s="1"/>
  <c r="K268" i="12" l="1"/>
  <c r="G269" i="12" s="1"/>
  <c r="H269" i="12" s="1"/>
  <c r="D239" i="12"/>
  <c r="N238" i="12"/>
  <c r="K269" i="12" l="1"/>
  <c r="G270" i="12" s="1"/>
  <c r="E239" i="12"/>
  <c r="F239" i="12" s="1"/>
  <c r="D240" i="12" l="1"/>
  <c r="N239" i="12"/>
  <c r="H270" i="12"/>
  <c r="K270" i="12" l="1"/>
  <c r="G271" i="12" s="1"/>
  <c r="H271" i="12" s="1"/>
  <c r="K271" i="12" s="1"/>
  <c r="E240" i="12"/>
  <c r="F240" i="12" s="1"/>
  <c r="D241" i="12" l="1"/>
  <c r="E241" i="12" s="1"/>
  <c r="F241" i="12" s="1"/>
  <c r="N240" i="12"/>
  <c r="G272" i="12"/>
  <c r="H272" i="12" s="1"/>
  <c r="K272" i="12" l="1"/>
  <c r="G273" i="12" s="1"/>
  <c r="H273" i="12" s="1"/>
  <c r="K273" i="12" s="1"/>
  <c r="D242" i="12"/>
  <c r="N241" i="12"/>
  <c r="E242" i="12" l="1"/>
  <c r="F242" i="12" s="1"/>
  <c r="G274" i="12"/>
  <c r="H274" i="12" s="1"/>
  <c r="K274" i="12" s="1"/>
  <c r="D243" i="12" l="1"/>
  <c r="N242" i="12"/>
  <c r="G275" i="12"/>
  <c r="H275" i="12" s="1"/>
  <c r="K275" i="12" s="1"/>
  <c r="E243" i="12" l="1"/>
  <c r="F243" i="12" s="1"/>
  <c r="G276" i="12"/>
  <c r="H276" i="12" s="1"/>
  <c r="K276" i="12" s="1"/>
  <c r="D244" i="12" l="1"/>
  <c r="N243" i="12"/>
  <c r="G277" i="12"/>
  <c r="H277" i="12" s="1"/>
  <c r="H278" i="12" s="1"/>
  <c r="K277" i="12" l="1"/>
  <c r="O277" i="12"/>
  <c r="E244" i="12"/>
  <c r="F244" i="12" s="1"/>
  <c r="AD277" i="12" l="1"/>
  <c r="Q277" i="12"/>
  <c r="R277" i="12" s="1"/>
  <c r="P277" i="12"/>
  <c r="X277" i="12"/>
  <c r="AA277" i="12"/>
  <c r="Y277" i="12"/>
  <c r="Z277" i="12" s="1"/>
  <c r="S277" i="12"/>
  <c r="R284" i="12"/>
  <c r="R287" i="12" s="1"/>
  <c r="D245" i="12"/>
  <c r="N244" i="12"/>
  <c r="R289" i="12" l="1"/>
  <c r="AB277" i="12"/>
  <c r="AC277" i="12" s="1"/>
  <c r="T277" i="12"/>
  <c r="U277" i="12" s="1"/>
  <c r="E245" i="12"/>
  <c r="F245" i="12" s="1"/>
  <c r="V277" i="12" l="1"/>
  <c r="W277" i="12"/>
  <c r="D250" i="12"/>
  <c r="N245" i="12"/>
  <c r="R288" i="12" l="1"/>
  <c r="S288" i="12" s="1"/>
  <c r="S287" i="12"/>
  <c r="E250" i="12"/>
  <c r="F250" i="12" s="1"/>
  <c r="D251" i="12" l="1"/>
  <c r="E251" i="12" s="1"/>
  <c r="F251" i="12" s="1"/>
  <c r="N250" i="12"/>
  <c r="D252" i="12" l="1"/>
  <c r="N251" i="12"/>
  <c r="E252" i="12" l="1"/>
  <c r="F252" i="12" s="1"/>
  <c r="D253" i="12" l="1"/>
  <c r="N252" i="12"/>
  <c r="E253" i="12" l="1"/>
  <c r="F253" i="12" s="1"/>
  <c r="D254" i="12" l="1"/>
  <c r="N253" i="12"/>
  <c r="E254" i="12" l="1"/>
  <c r="F254" i="12" s="1"/>
  <c r="D255" i="12" l="1"/>
  <c r="N254" i="12"/>
  <c r="E255" i="12" l="1"/>
  <c r="F255" i="12" s="1"/>
  <c r="D256" i="12" l="1"/>
  <c r="E256" i="12" s="1"/>
  <c r="F256" i="12" s="1"/>
  <c r="N255" i="12"/>
  <c r="D257" i="12" l="1"/>
  <c r="N256" i="12"/>
  <c r="E257" i="12" l="1"/>
  <c r="F257" i="12" s="1"/>
  <c r="D258" i="12" l="1"/>
  <c r="N257" i="12"/>
  <c r="E258" i="12" l="1"/>
  <c r="F258" i="12" s="1"/>
  <c r="D259" i="12" l="1"/>
  <c r="N258" i="12"/>
  <c r="E259" i="12" l="1"/>
  <c r="F259" i="12" s="1"/>
  <c r="D260" i="12" l="1"/>
  <c r="N259" i="12"/>
  <c r="E260" i="12" l="1"/>
  <c r="F260" i="12" s="1"/>
  <c r="D261" i="12" l="1"/>
  <c r="N260" i="12"/>
  <c r="E261" i="12" l="1"/>
  <c r="F261" i="12" s="1"/>
  <c r="D266" i="12" l="1"/>
  <c r="N261" i="12"/>
  <c r="E266" i="12" l="1"/>
  <c r="F266" i="12" s="1"/>
  <c r="D267" i="12" l="1"/>
  <c r="N266" i="12"/>
  <c r="E267" i="12" l="1"/>
  <c r="F267" i="12" s="1"/>
  <c r="D268" i="12" l="1"/>
  <c r="N267" i="12"/>
  <c r="E268" i="12" l="1"/>
  <c r="F268" i="12" s="1"/>
  <c r="D269" i="12" l="1"/>
  <c r="N268" i="12"/>
  <c r="E269" i="12" l="1"/>
  <c r="F269" i="12" s="1"/>
  <c r="D270" i="12" l="1"/>
  <c r="N269" i="12"/>
  <c r="E270" i="12" l="1"/>
  <c r="F270" i="12" s="1"/>
  <c r="D271" i="12" l="1"/>
  <c r="N270" i="12"/>
  <c r="E271" i="12" l="1"/>
  <c r="F271" i="12" s="1"/>
  <c r="D272" i="12" l="1"/>
  <c r="E272" i="12" s="1"/>
  <c r="F272" i="12" s="1"/>
  <c r="N271" i="12"/>
  <c r="D273" i="12" l="1"/>
  <c r="N272" i="12"/>
  <c r="E273" i="12" l="1"/>
  <c r="F273" i="12" s="1"/>
  <c r="D274" i="12" l="1"/>
  <c r="N273" i="12"/>
  <c r="E274" i="12" l="1"/>
  <c r="F274" i="12" s="1"/>
  <c r="D275" i="12" l="1"/>
  <c r="N274" i="12"/>
  <c r="E275" i="12" l="1"/>
  <c r="F275" i="12" s="1"/>
  <c r="D276" i="12" l="1"/>
  <c r="N275" i="12"/>
  <c r="E276" i="12" l="1"/>
  <c r="F276" i="12" s="1"/>
  <c r="D277" i="12" l="1"/>
  <c r="N276" i="12"/>
  <c r="E277" i="12" l="1"/>
  <c r="F277" i="12" s="1"/>
  <c r="N277" i="12" l="1"/>
</calcChain>
</file>

<file path=xl/sharedStrings.xml><?xml version="1.0" encoding="utf-8"?>
<sst xmlns="http://schemas.openxmlformats.org/spreadsheetml/2006/main" count="790" uniqueCount="73">
  <si>
    <t>Savings Account</t>
  </si>
  <si>
    <t>Total Savings</t>
  </si>
  <si>
    <t>Jan</t>
  </si>
  <si>
    <t>Feb</t>
  </si>
  <si>
    <t>Mar</t>
  </si>
  <si>
    <t>Apr</t>
  </si>
  <si>
    <t>May</t>
  </si>
  <si>
    <t>Jun</t>
  </si>
  <si>
    <t>Jul</t>
  </si>
  <si>
    <t>Aug</t>
  </si>
  <si>
    <t>Sep</t>
  </si>
  <si>
    <t>Oct</t>
  </si>
  <si>
    <t>Nov</t>
  </si>
  <si>
    <t>Dec</t>
  </si>
  <si>
    <t>Taxes</t>
  </si>
  <si>
    <t>Expenses</t>
  </si>
  <si>
    <t>New Savings Balance</t>
  </si>
  <si>
    <t>Total Balance</t>
  </si>
  <si>
    <t>Taxable Income</t>
  </si>
  <si>
    <t>Tax Brackets</t>
  </si>
  <si>
    <t>#</t>
  </si>
  <si>
    <t>Over</t>
  </si>
  <si>
    <t>Up to</t>
  </si>
  <si>
    <t>% on excess</t>
  </si>
  <si>
    <t>Base Tax</t>
  </si>
  <si>
    <t>Excess</t>
  </si>
  <si>
    <t>Total</t>
  </si>
  <si>
    <t>Base tax $</t>
  </si>
  <si>
    <t>IRA Account</t>
  </si>
  <si>
    <t>Massachussets Flat Tax Rate</t>
  </si>
  <si>
    <t>Interest on IRA</t>
  </si>
  <si>
    <t>IRA Withdrawals</t>
  </si>
  <si>
    <t>California</t>
  </si>
  <si>
    <t>Massachussets</t>
  </si>
  <si>
    <t>Distribution Period</t>
  </si>
  <si>
    <t>Initial Savings Balance</t>
  </si>
  <si>
    <t>Initial IRA Balance</t>
  </si>
  <si>
    <t>New IRA Balance</t>
  </si>
  <si>
    <t>Federal</t>
  </si>
  <si>
    <t xml:space="preserve">Internal Revenue Service. (2015, January 23). Ira required minimum distribution worksheet - irs tax forms. Required Minimum Distribution Worksheets. Retrieved October 9, 2021, from https://www.irs.gov/pub/irs-tege/uniform_rmd_wksht.pdf. </t>
  </si>
  <si>
    <t>Total Taxes</t>
  </si>
  <si>
    <t xml:space="preserve">Interest on Savings </t>
  </si>
  <si>
    <t>% on Excess</t>
  </si>
  <si>
    <t>Excess in USD</t>
  </si>
  <si>
    <t>Tax to be paid To Federal</t>
  </si>
  <si>
    <t>RMD</t>
  </si>
  <si>
    <t>Tax to be paid To California</t>
  </si>
  <si>
    <t>State Taxes To choose</t>
  </si>
  <si>
    <t>State to Choose where to live in</t>
  </si>
  <si>
    <t>Tax to be paid To Massachussets</t>
  </si>
  <si>
    <t>Year</t>
  </si>
  <si>
    <t>Percentage Change</t>
  </si>
  <si>
    <t>Age</t>
  </si>
  <si>
    <t>Interest On Savings</t>
  </si>
  <si>
    <t>RMD/ year</t>
  </si>
  <si>
    <t>Totals</t>
  </si>
  <si>
    <t>Inflation Rates</t>
  </si>
  <si>
    <t>Initial Information</t>
  </si>
  <si>
    <t>Uniform Table</t>
  </si>
  <si>
    <t>115 &amp; Over</t>
  </si>
  <si>
    <t>After computing the Taxes calculation at the end of Dec 2021, I found out that it will cost you less in terms of tax to live in California rather than in Massachussests. Your tax income will equal the interests on savings earned and your taxes will be deducted on March of the following year.</t>
  </si>
  <si>
    <t xml:space="preserve">Total Taxes collected from IRA Account </t>
  </si>
  <si>
    <t>Amounts in thousandof USD</t>
  </si>
  <si>
    <t>Interest Rate</t>
  </si>
  <si>
    <t>Initial IRA Balance Jan</t>
  </si>
  <si>
    <t>Tax</t>
  </si>
  <si>
    <t>Year Expenses cut</t>
  </si>
  <si>
    <t>After calculating your tax at end Dec 2029 (to be paid in March 2030), I found out you will be better off living in Massachussets from January 2029.</t>
  </si>
  <si>
    <t>Spending budget Cut for 2037</t>
  </si>
  <si>
    <t>Total IRA Balance/ year</t>
  </si>
  <si>
    <t>Matching budget Year Expenses + Tax</t>
  </si>
  <si>
    <t>Your initial IRA Balance in March 2036 of $29,890 approximately will be insufficient to cover the month's espenses (expenses + tax) which will be around $43,600 and you will turn 77 by then. You will then have to cut your expenses by 9 months (Apr-Dec) to use your IRA savings the whole year. The total Taxes you will have to pay out of your IRA account will be approximately $272,300, which is quite a huge amount and is more than half your initial IRA account's budget. To match your IRA budget, you will have to cut your year's budget by 65% (around $96,000), which sounds unrealistic. In sum, your savings will only last until you will be 77 years old while conserving your normal lifestyle from 2021 to 2028 in California and then from 2029 to 2036 in Massachussests. As you mentioned in the email, you have a good way of life and will be expected to live at least 80 years (Life expectancy 77.3 + 3 years). To consider living from your accounts (savings and IRA) for beyond 80 years, I suggest you revise your spending budget ($81.5k) or have a plan B like getting help from your child(ren) after 2036.</t>
  </si>
  <si>
    <r>
      <rPr>
        <b/>
        <sz val="12"/>
        <color theme="1"/>
        <rFont val="Calibri"/>
        <family val="2"/>
        <scheme val="minor"/>
      </rPr>
      <t xml:space="preserve">The remaining amount from the Savings account in December 2028 ( approximately $4,830) will be insufficient to cover Jan 2029 expenses which will be over $8,000.  Hopefully, in January 2029, you will start withdrawing from your IRA account. From your saying in the email, in 12 years you will exactly be 74. From that I deduced that you are currently 62 years old. In 2029, 8 years from today (2021), you will be 70 years old, and </t>
    </r>
    <r>
      <rPr>
        <b/>
        <u/>
        <sz val="12"/>
        <color theme="1"/>
        <rFont val="Calibri"/>
        <family val="2"/>
        <scheme val="minor"/>
      </rPr>
      <t xml:space="preserve">will have to </t>
    </r>
    <r>
      <rPr>
        <b/>
        <sz val="12"/>
        <color theme="1"/>
        <rFont val="Calibri"/>
        <family val="2"/>
        <scheme val="minor"/>
      </rPr>
      <t>withdraw from your IRA account. However, your withdrawals will have to be higher than the Required Minimum Distribution (RMD), which equals the previous year IRA account's balance over the corresponding year's distribution period. You can find the distribution periods in the Uniform Lifetime table I have uploaded at the top.</t>
    </r>
    <r>
      <rPr>
        <b/>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</si>
</sst>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quot;$&quot;* #,##0.0_);_(&quot;$&quot;* \(#,##0.0\);_(&quot;$&quot;* &quot;-&quot;??_);_(@_)"/>
    <numFmt numFmtId="165" formatCode="_(* #,##0_);_(* \(#,##0\);_(* &quot;-&quot;??_);_(@_)"/>
    <numFmt numFmtId="166" formatCode="0.0%"/>
    <numFmt numFmtId="167" formatCode="_(* #,##0.0_);_(* \(#,##0.0\);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Gill Sans MT"/>
      <family val="2"/>
    </font>
    <font>
      <sz val="11"/>
      <color rgb="FFFF0000"/>
      <name val="Calibri"/>
      <family val="2"/>
      <scheme val="minor"/>
    </font>
    <font>
      <b/>
      <sz val="11"/>
      <color rgb="FFFF0000"/>
      <name val="Calibri"/>
      <family val="2"/>
      <scheme val="minor"/>
    </font>
    <font>
      <b/>
      <sz val="12"/>
      <color theme="1"/>
      <name val="Calibri"/>
      <family val="2"/>
      <scheme val="minor"/>
    </font>
    <font>
      <b/>
      <u/>
      <sz val="12"/>
      <color theme="1"/>
      <name val="Calibri"/>
      <family val="2"/>
      <scheme val="minor"/>
    </font>
    <font>
      <i/>
      <sz val="9"/>
      <color theme="1"/>
      <name val="Calibri"/>
      <family val="2"/>
      <scheme val="minor"/>
    </font>
  </fonts>
  <fills count="15">
    <fill>
      <patternFill patternType="none"/>
    </fill>
    <fill>
      <patternFill patternType="gray125"/>
    </fill>
    <fill>
      <patternFill patternType="solid">
        <fgColor theme="5"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0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39997558519241921"/>
        <bgColor indexed="64"/>
      </patternFill>
    </fill>
  </fills>
  <borders count="3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auto="1"/>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61">
    <xf numFmtId="0" fontId="0" fillId="0" borderId="0" xfId="0"/>
    <xf numFmtId="44" fontId="0" fillId="0" borderId="0" xfId="0" applyNumberFormat="1"/>
    <xf numFmtId="0" fontId="0" fillId="0" borderId="0" xfId="0" applyBorder="1"/>
    <xf numFmtId="165" fontId="3" fillId="0" borderId="0" xfId="2" applyNumberFormat="1" applyFont="1" applyBorder="1"/>
    <xf numFmtId="0" fontId="0" fillId="0" borderId="0" xfId="0"/>
    <xf numFmtId="0" fontId="2" fillId="0" borderId="8" xfId="0" applyFont="1" applyBorder="1"/>
    <xf numFmtId="0" fontId="0" fillId="0" borderId="9" xfId="0" applyBorder="1"/>
    <xf numFmtId="0" fontId="0" fillId="0" borderId="10" xfId="0" applyBorder="1"/>
    <xf numFmtId="0" fontId="0" fillId="0" borderId="0" xfId="0" applyBorder="1" applyAlignment="1">
      <alignment horizontal="center"/>
    </xf>
    <xf numFmtId="44" fontId="0" fillId="0" borderId="0" xfId="1" applyFont="1"/>
    <xf numFmtId="44" fontId="0" fillId="0" borderId="22" xfId="1" applyFont="1" applyBorder="1"/>
    <xf numFmtId="44" fontId="0" fillId="0" borderId="0" xfId="1" applyFont="1" applyBorder="1"/>
    <xf numFmtId="44" fontId="0" fillId="0" borderId="4" xfId="1" applyFont="1" applyBorder="1"/>
    <xf numFmtId="44" fontId="0" fillId="0" borderId="23" xfId="0" applyNumberFormat="1" applyBorder="1"/>
    <xf numFmtId="44" fontId="0" fillId="0" borderId="6" xfId="0" applyNumberFormat="1" applyBorder="1"/>
    <xf numFmtId="164" fontId="2" fillId="0" borderId="7" xfId="1" applyNumberFormat="1" applyFont="1" applyBorder="1"/>
    <xf numFmtId="44" fontId="0" fillId="0" borderId="23" xfId="1" applyFont="1" applyBorder="1"/>
    <xf numFmtId="44" fontId="0" fillId="0" borderId="22" xfId="0" applyNumberFormat="1" applyBorder="1"/>
    <xf numFmtId="44" fontId="4" fillId="0" borderId="0" xfId="1" applyFont="1" applyBorder="1"/>
    <xf numFmtId="0" fontId="0" fillId="0" borderId="4" xfId="0" applyBorder="1"/>
    <xf numFmtId="44" fontId="0" fillId="0" borderId="0" xfId="0" applyNumberFormat="1" applyBorder="1"/>
    <xf numFmtId="44" fontId="0" fillId="0" borderId="2" xfId="0" applyNumberFormat="1" applyBorder="1"/>
    <xf numFmtId="44" fontId="4" fillId="0" borderId="23" xfId="1" applyFont="1" applyBorder="1"/>
    <xf numFmtId="0" fontId="2" fillId="3" borderId="7" xfId="0" applyFont="1" applyFill="1" applyBorder="1"/>
    <xf numFmtId="0" fontId="0" fillId="0" borderId="0" xfId="0" applyAlignment="1">
      <alignment vertical="top" wrapText="1"/>
    </xf>
    <xf numFmtId="16" fontId="0" fillId="0" borderId="0" xfId="0" applyNumberFormat="1"/>
    <xf numFmtId="43" fontId="3" fillId="0" borderId="0" xfId="2" applyFont="1" applyBorder="1"/>
    <xf numFmtId="10" fontId="3" fillId="0" borderId="0" xfId="0" applyNumberFormat="1" applyFont="1" applyBorder="1"/>
    <xf numFmtId="9" fontId="0" fillId="0" borderId="0" xfId="0" applyNumberFormat="1" applyBorder="1" applyAlignment="1">
      <alignment horizontal="center"/>
    </xf>
    <xf numFmtId="0" fontId="3" fillId="8" borderId="11" xfId="0" applyFont="1" applyFill="1" applyBorder="1"/>
    <xf numFmtId="166" fontId="3" fillId="8" borderId="18" xfId="3" applyNumberFormat="1" applyFont="1" applyFill="1" applyBorder="1"/>
    <xf numFmtId="166" fontId="3" fillId="8" borderId="18" xfId="0" applyNumberFormat="1" applyFont="1" applyFill="1" applyBorder="1"/>
    <xf numFmtId="0" fontId="3" fillId="9" borderId="11" xfId="0" applyFont="1" applyFill="1" applyBorder="1"/>
    <xf numFmtId="166" fontId="3" fillId="9" borderId="18" xfId="3" applyNumberFormat="1" applyFont="1" applyFill="1" applyBorder="1"/>
    <xf numFmtId="0" fontId="0" fillId="0" borderId="0" xfId="0" applyFill="1" applyBorder="1"/>
    <xf numFmtId="2" fontId="0" fillId="0" borderId="0" xfId="0" applyNumberFormat="1"/>
    <xf numFmtId="44" fontId="0" fillId="0" borderId="0" xfId="0" applyNumberFormat="1" applyFill="1"/>
    <xf numFmtId="0" fontId="0" fillId="0" borderId="0" xfId="0" applyFill="1" applyAlignment="1">
      <alignment horizontal="center" vertical="center" wrapText="1"/>
    </xf>
    <xf numFmtId="16" fontId="0" fillId="0" borderId="0" xfId="0" applyNumberFormat="1" applyFill="1"/>
    <xf numFmtId="0" fontId="0" fillId="12" borderId="0" xfId="0" applyFill="1"/>
    <xf numFmtId="164" fontId="0" fillId="0" borderId="22" xfId="0" applyNumberFormat="1" applyBorder="1"/>
    <xf numFmtId="44" fontId="0" fillId="8" borderId="22" xfId="1" applyFont="1" applyFill="1" applyBorder="1"/>
    <xf numFmtId="0" fontId="0" fillId="8" borderId="22" xfId="0" applyFill="1" applyBorder="1"/>
    <xf numFmtId="0" fontId="0" fillId="8" borderId="2" xfId="0" applyFill="1" applyBorder="1"/>
    <xf numFmtId="16" fontId="0" fillId="0" borderId="0" xfId="0" applyNumberFormat="1" applyBorder="1"/>
    <xf numFmtId="44" fontId="0" fillId="8" borderId="0" xfId="1" applyFont="1" applyFill="1" applyBorder="1"/>
    <xf numFmtId="0" fontId="0" fillId="8" borderId="0" xfId="0" applyFill="1" applyBorder="1"/>
    <xf numFmtId="0" fontId="0" fillId="8" borderId="4" xfId="0" applyFill="1" applyBorder="1"/>
    <xf numFmtId="44" fontId="0" fillId="8" borderId="23" xfId="1" applyFont="1" applyFill="1" applyBorder="1"/>
    <xf numFmtId="44" fontId="0" fillId="3" borderId="23" xfId="0" applyNumberFormat="1" applyFill="1" applyBorder="1" applyAlignment="1">
      <alignment horizontal="center"/>
    </xf>
    <xf numFmtId="44" fontId="0" fillId="3" borderId="23" xfId="1" applyFont="1" applyFill="1" applyBorder="1" applyAlignment="1">
      <alignment horizontal="center"/>
    </xf>
    <xf numFmtId="0" fontId="0" fillId="3" borderId="23" xfId="0" applyFill="1" applyBorder="1" applyAlignment="1">
      <alignment horizontal="center"/>
    </xf>
    <xf numFmtId="44" fontId="0" fillId="3" borderId="6" xfId="1" applyFont="1" applyFill="1" applyBorder="1" applyAlignment="1">
      <alignment horizontal="center"/>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28" xfId="0" applyFont="1" applyBorder="1" applyAlignment="1">
      <alignment vertical="center" wrapText="1"/>
    </xf>
    <xf numFmtId="0" fontId="5" fillId="3" borderId="23" xfId="0" applyFont="1" applyFill="1" applyBorder="1" applyAlignment="1">
      <alignment horizontal="center"/>
    </xf>
    <xf numFmtId="44" fontId="0" fillId="8" borderId="22" xfId="0" applyNumberFormat="1" applyFill="1" applyBorder="1"/>
    <xf numFmtId="44" fontId="0" fillId="8" borderId="0" xfId="0" applyNumberFormat="1" applyFill="1" applyBorder="1"/>
    <xf numFmtId="44" fontId="0" fillId="10" borderId="0" xfId="1" applyFont="1" applyFill="1" applyBorder="1"/>
    <xf numFmtId="44" fontId="0" fillId="0" borderId="0" xfId="1" applyFont="1" applyBorder="1" applyAlignment="1">
      <alignment horizontal="center"/>
    </xf>
    <xf numFmtId="0" fontId="5" fillId="0" borderId="0" xfId="0" applyFont="1" applyBorder="1" applyAlignment="1">
      <alignment horizontal="center"/>
    </xf>
    <xf numFmtId="44" fontId="0" fillId="0" borderId="0" xfId="0" applyNumberFormat="1" applyBorder="1" applyAlignment="1">
      <alignment horizontal="center"/>
    </xf>
    <xf numFmtId="0" fontId="0" fillId="8" borderId="23" xfId="0" applyFill="1" applyBorder="1"/>
    <xf numFmtId="2" fontId="0" fillId="10" borderId="0" xfId="0" applyNumberFormat="1" applyFill="1" applyBorder="1"/>
    <xf numFmtId="44" fontId="0" fillId="5" borderId="23" xfId="0" applyNumberFormat="1" applyFill="1" applyBorder="1"/>
    <xf numFmtId="44" fontId="0" fillId="8" borderId="23" xfId="0" applyNumberFormat="1" applyFill="1" applyBorder="1"/>
    <xf numFmtId="44" fontId="4" fillId="0" borderId="0" xfId="0" applyNumberFormat="1" applyFont="1" applyBorder="1"/>
    <xf numFmtId="44" fontId="4" fillId="0" borderId="23" xfId="0" applyNumberFormat="1" applyFont="1" applyBorder="1"/>
    <xf numFmtId="44" fontId="0" fillId="3" borderId="23" xfId="0" applyNumberFormat="1" applyFill="1" applyBorder="1"/>
    <xf numFmtId="44" fontId="0" fillId="10" borderId="22" xfId="1" applyFont="1" applyFill="1" applyBorder="1"/>
    <xf numFmtId="0" fontId="0" fillId="0" borderId="27" xfId="0" applyBorder="1"/>
    <xf numFmtId="0" fontId="0" fillId="0" borderId="28" xfId="0" applyBorder="1"/>
    <xf numFmtId="0" fontId="0" fillId="0" borderId="27" xfId="0" applyBorder="1" applyAlignment="1">
      <alignment horizontal="center"/>
    </xf>
    <xf numFmtId="0" fontId="2" fillId="4" borderId="25" xfId="0" applyFont="1" applyFill="1" applyBorder="1"/>
    <xf numFmtId="0" fontId="2" fillId="0" borderId="25" xfId="0" applyFont="1" applyBorder="1" applyAlignment="1">
      <alignment vertical="center" wrapText="1"/>
    </xf>
    <xf numFmtId="0" fontId="2" fillId="4" borderId="28" xfId="0" applyFont="1" applyFill="1" applyBorder="1"/>
    <xf numFmtId="44" fontId="0" fillId="5" borderId="0" xfId="0" applyNumberFormat="1" applyFill="1" applyBorder="1"/>
    <xf numFmtId="0" fontId="0" fillId="0" borderId="0" xfId="0" applyFill="1"/>
    <xf numFmtId="0" fontId="0" fillId="0" borderId="0" xfId="0" applyFill="1" applyBorder="1" applyAlignment="1">
      <alignment horizontal="center" vertical="center" wrapText="1"/>
    </xf>
    <xf numFmtId="16" fontId="0" fillId="0" borderId="0" xfId="0" applyNumberFormat="1" applyFill="1" applyBorder="1"/>
    <xf numFmtId="44" fontId="0" fillId="0" borderId="0" xfId="0" applyNumberFormat="1" applyFill="1" applyBorder="1"/>
    <xf numFmtId="44" fontId="0" fillId="0" borderId="0" xfId="1" applyFont="1" applyFill="1" applyBorder="1"/>
    <xf numFmtId="44" fontId="0" fillId="0" borderId="0" xfId="0" applyNumberFormat="1" applyFill="1" applyBorder="1" applyAlignment="1">
      <alignment horizontal="center"/>
    </xf>
    <xf numFmtId="44" fontId="0" fillId="0" borderId="0" xfId="1" applyFont="1" applyFill="1" applyBorder="1" applyAlignment="1">
      <alignment horizontal="center"/>
    </xf>
    <xf numFmtId="0" fontId="0" fillId="0" borderId="0" xfId="0" applyFill="1" applyBorder="1" applyAlignment="1">
      <alignment horizontal="center"/>
    </xf>
    <xf numFmtId="0" fontId="5" fillId="0" borderId="0" xfId="0" applyFont="1" applyFill="1" applyBorder="1" applyAlignment="1">
      <alignment horizontal="center"/>
    </xf>
    <xf numFmtId="0" fontId="0" fillId="12" borderId="0" xfId="0" applyFill="1" applyBorder="1" applyAlignment="1">
      <alignment horizontal="center" vertical="center" wrapText="1"/>
    </xf>
    <xf numFmtId="16" fontId="0" fillId="12" borderId="0" xfId="0" applyNumberFormat="1" applyFill="1" applyBorder="1"/>
    <xf numFmtId="44" fontId="0" fillId="12" borderId="0" xfId="0" applyNumberFormat="1" applyFill="1" applyBorder="1"/>
    <xf numFmtId="44" fontId="0" fillId="12" borderId="0" xfId="1" applyFont="1" applyFill="1" applyBorder="1"/>
    <xf numFmtId="44" fontId="0" fillId="12" borderId="0" xfId="0" applyNumberFormat="1" applyFill="1" applyBorder="1" applyAlignment="1">
      <alignment horizontal="center"/>
    </xf>
    <xf numFmtId="44" fontId="0" fillId="12" borderId="0" xfId="1" applyFont="1" applyFill="1" applyBorder="1" applyAlignment="1">
      <alignment horizontal="center"/>
    </xf>
    <xf numFmtId="0" fontId="0" fillId="12" borderId="0" xfId="0" applyFill="1" applyBorder="1" applyAlignment="1">
      <alignment horizontal="center"/>
    </xf>
    <xf numFmtId="0" fontId="5" fillId="12" borderId="0" xfId="0" applyFont="1" applyFill="1" applyBorder="1" applyAlignment="1">
      <alignment horizontal="center"/>
    </xf>
    <xf numFmtId="16" fontId="2" fillId="7" borderId="22" xfId="0" applyNumberFormat="1" applyFont="1" applyFill="1" applyBorder="1" applyAlignment="1">
      <alignment horizontal="center"/>
    </xf>
    <xf numFmtId="16" fontId="2" fillId="7" borderId="0" xfId="0" applyNumberFormat="1" applyFont="1" applyFill="1" applyBorder="1" applyAlignment="1">
      <alignment horizontal="center"/>
    </xf>
    <xf numFmtId="16" fontId="2" fillId="7" borderId="23" xfId="0" applyNumberFormat="1" applyFont="1" applyFill="1" applyBorder="1" applyAlignment="1">
      <alignment horizontal="center"/>
    </xf>
    <xf numFmtId="16" fontId="2" fillId="7" borderId="19" xfId="0" applyNumberFormat="1" applyFont="1" applyFill="1" applyBorder="1" applyAlignment="1">
      <alignment horizontal="center"/>
    </xf>
    <xf numFmtId="16" fontId="2" fillId="7" borderId="20" xfId="0" applyNumberFormat="1" applyFont="1" applyFill="1" applyBorder="1" applyAlignment="1">
      <alignment horizontal="center"/>
    </xf>
    <xf numFmtId="16" fontId="2" fillId="7" borderId="21" xfId="0" applyNumberFormat="1" applyFont="1" applyFill="1" applyBorder="1" applyAlignment="1">
      <alignment horizontal="center"/>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28"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5" xfId="0" applyFont="1" applyFill="1" applyBorder="1" applyAlignment="1">
      <alignment vertical="center" wrapText="1"/>
    </xf>
    <xf numFmtId="0" fontId="2" fillId="0" borderId="23" xfId="0" applyFont="1" applyFill="1" applyBorder="1" applyAlignment="1">
      <alignment vertical="center" wrapText="1"/>
    </xf>
    <xf numFmtId="0" fontId="2" fillId="0" borderId="6" xfId="0" applyFont="1" applyFill="1" applyBorder="1" applyAlignment="1">
      <alignment vertical="center" wrapText="1"/>
    </xf>
    <xf numFmtId="0" fontId="2" fillId="0" borderId="25" xfId="0" applyFont="1" applyFill="1" applyBorder="1" applyAlignment="1">
      <alignment vertical="center" wrapText="1"/>
    </xf>
    <xf numFmtId="0" fontId="2" fillId="0" borderId="0" xfId="0" applyFont="1" applyFill="1" applyAlignment="1">
      <alignment vertical="center" wrapText="1"/>
    </xf>
    <xf numFmtId="0" fontId="2" fillId="0" borderId="26" xfId="0" applyFont="1" applyFill="1" applyBorder="1" applyAlignment="1">
      <alignment vertical="center" wrapText="1"/>
    </xf>
    <xf numFmtId="0" fontId="2" fillId="0" borderId="27" xfId="0" applyFont="1" applyFill="1" applyBorder="1" applyAlignment="1">
      <alignment vertical="center" wrapText="1"/>
    </xf>
    <xf numFmtId="0" fontId="2" fillId="0" borderId="28" xfId="0" applyFont="1" applyFill="1" applyBorder="1" applyAlignment="1">
      <alignment vertical="center" wrapText="1"/>
    </xf>
    <xf numFmtId="0" fontId="2" fillId="0" borderId="0" xfId="0" applyFont="1" applyFill="1" applyBorder="1" applyAlignment="1">
      <alignment horizontal="center" vertical="center" wrapText="1"/>
    </xf>
    <xf numFmtId="16" fontId="2" fillId="0" borderId="0" xfId="0" applyNumberFormat="1" applyFont="1" applyFill="1" applyBorder="1" applyAlignment="1">
      <alignment horizontal="center"/>
    </xf>
    <xf numFmtId="44" fontId="0" fillId="0" borderId="27" xfId="0" applyNumberFormat="1" applyFill="1" applyBorder="1"/>
    <xf numFmtId="44" fontId="0" fillId="0" borderId="27" xfId="1" applyFont="1" applyFill="1" applyBorder="1"/>
    <xf numFmtId="44" fontId="0" fillId="0" borderId="27" xfId="0" applyNumberFormat="1" applyFill="1" applyBorder="1" applyAlignment="1">
      <alignment horizontal="center"/>
    </xf>
    <xf numFmtId="44" fontId="0" fillId="0" borderId="27" xfId="1" applyFont="1" applyFill="1" applyBorder="1" applyAlignment="1">
      <alignment horizontal="center"/>
    </xf>
    <xf numFmtId="0" fontId="0" fillId="0" borderId="27" xfId="0" applyFill="1" applyBorder="1" applyAlignment="1">
      <alignment horizontal="center"/>
    </xf>
    <xf numFmtId="0" fontId="5" fillId="0" borderId="27" xfId="0" applyFont="1" applyFill="1" applyBorder="1" applyAlignment="1">
      <alignment horizontal="center"/>
    </xf>
    <xf numFmtId="44" fontId="0" fillId="0" borderId="28" xfId="1" applyFont="1" applyFill="1" applyBorder="1" applyAlignment="1">
      <alignment horizontal="center"/>
    </xf>
    <xf numFmtId="16" fontId="2" fillId="4" borderId="26" xfId="0" applyNumberFormat="1" applyFont="1" applyFill="1" applyBorder="1" applyAlignment="1">
      <alignment horizontal="center"/>
    </xf>
    <xf numFmtId="44" fontId="0" fillId="3" borderId="27" xfId="0" applyNumberFormat="1" applyFill="1" applyBorder="1"/>
    <xf numFmtId="44" fontId="0" fillId="3" borderId="27" xfId="1" applyFont="1" applyFill="1" applyBorder="1"/>
    <xf numFmtId="44" fontId="0" fillId="0" borderId="27" xfId="0" applyNumberFormat="1" applyBorder="1"/>
    <xf numFmtId="44" fontId="0" fillId="0" borderId="27" xfId="1" applyFont="1" applyBorder="1"/>
    <xf numFmtId="44" fontId="0" fillId="0" borderId="27" xfId="1" applyFont="1" applyBorder="1" applyAlignment="1">
      <alignment horizontal="center"/>
    </xf>
    <xf numFmtId="0" fontId="5" fillId="0" borderId="27" xfId="0" applyFont="1" applyBorder="1" applyAlignment="1">
      <alignment horizontal="center"/>
    </xf>
    <xf numFmtId="44" fontId="0" fillId="0" borderId="28" xfId="1" applyFont="1" applyBorder="1" applyAlignment="1">
      <alignment horizontal="center"/>
    </xf>
    <xf numFmtId="16" fontId="0" fillId="4" borderId="26" xfId="0" applyNumberFormat="1" applyFill="1" applyBorder="1"/>
    <xf numFmtId="44" fontId="0" fillId="12" borderId="27" xfId="0" applyNumberFormat="1" applyFill="1" applyBorder="1"/>
    <xf numFmtId="44" fontId="0" fillId="12" borderId="27" xfId="1" applyFont="1" applyFill="1" applyBorder="1"/>
    <xf numFmtId="44" fontId="0" fillId="12" borderId="27" xfId="1" applyFont="1" applyFill="1" applyBorder="1" applyAlignment="1">
      <alignment horizontal="center"/>
    </xf>
    <xf numFmtId="0" fontId="0" fillId="12" borderId="27" xfId="0" applyFill="1" applyBorder="1" applyAlignment="1">
      <alignment horizontal="center"/>
    </xf>
    <xf numFmtId="0" fontId="5" fillId="12" borderId="27" xfId="0" applyFont="1" applyFill="1" applyBorder="1" applyAlignment="1">
      <alignment horizontal="center"/>
    </xf>
    <xf numFmtId="44" fontId="0" fillId="12" borderId="28" xfId="1" applyFont="1" applyFill="1" applyBorder="1" applyAlignment="1">
      <alignment horizontal="center"/>
    </xf>
    <xf numFmtId="0" fontId="2" fillId="4" borderId="6" xfId="0" applyFont="1" applyFill="1" applyBorder="1"/>
    <xf numFmtId="44" fontId="0" fillId="12" borderId="23" xfId="1" applyFont="1" applyFill="1" applyBorder="1"/>
    <xf numFmtId="16" fontId="2" fillId="12" borderId="0" xfId="0" applyNumberFormat="1" applyFont="1" applyFill="1" applyBorder="1"/>
    <xf numFmtId="44" fontId="0" fillId="12" borderId="23" xfId="0" applyNumberFormat="1" applyFill="1" applyBorder="1"/>
    <xf numFmtId="44" fontId="0" fillId="12" borderId="23" xfId="1" applyFont="1" applyFill="1" applyBorder="1" applyAlignment="1">
      <alignment horizontal="center"/>
    </xf>
    <xf numFmtId="0" fontId="0" fillId="12" borderId="23" xfId="0" applyFill="1" applyBorder="1" applyAlignment="1">
      <alignment horizontal="center"/>
    </xf>
    <xf numFmtId="0" fontId="5" fillId="12" borderId="23" xfId="0" applyFont="1" applyFill="1" applyBorder="1" applyAlignment="1">
      <alignment horizontal="center"/>
    </xf>
    <xf numFmtId="44" fontId="0" fillId="12" borderId="6" xfId="1" applyFont="1" applyFill="1" applyBorder="1" applyAlignment="1">
      <alignment horizontal="center"/>
    </xf>
    <xf numFmtId="16" fontId="2" fillId="0" borderId="0" xfId="0" applyNumberFormat="1" applyFont="1" applyFill="1" applyBorder="1"/>
    <xf numFmtId="44" fontId="0" fillId="0" borderId="27" xfId="0" applyNumberFormat="1" applyBorder="1" applyAlignment="1">
      <alignment horizontal="center"/>
    </xf>
    <xf numFmtId="16" fontId="2" fillId="4" borderId="26" xfId="0" applyNumberFormat="1" applyFont="1" applyFill="1" applyBorder="1"/>
    <xf numFmtId="0" fontId="0" fillId="0" borderId="27" xfId="0" applyFill="1" applyBorder="1"/>
    <xf numFmtId="2" fontId="0" fillId="0" borderId="27" xfId="0" applyNumberFormat="1" applyBorder="1"/>
    <xf numFmtId="44" fontId="0" fillId="0" borderId="23" xfId="0" applyNumberFormat="1" applyFill="1" applyBorder="1"/>
    <xf numFmtId="44" fontId="0" fillId="0" borderId="23" xfId="1" applyFont="1" applyFill="1" applyBorder="1"/>
    <xf numFmtId="44" fontId="0" fillId="0" borderId="23" xfId="0" applyNumberFormat="1" applyFill="1" applyBorder="1" applyAlignment="1">
      <alignment horizontal="center"/>
    </xf>
    <xf numFmtId="44" fontId="0" fillId="0" borderId="23" xfId="1" applyFont="1" applyFill="1" applyBorder="1" applyAlignment="1">
      <alignment horizontal="center"/>
    </xf>
    <xf numFmtId="0" fontId="0" fillId="0" borderId="23" xfId="0" applyFill="1" applyBorder="1" applyAlignment="1">
      <alignment horizontal="center"/>
    </xf>
    <xf numFmtId="0" fontId="5" fillId="0" borderId="23" xfId="0" applyFont="1" applyFill="1" applyBorder="1" applyAlignment="1">
      <alignment horizontal="center"/>
    </xf>
    <xf numFmtId="44" fontId="0" fillId="0" borderId="6" xfId="1" applyFont="1" applyFill="1" applyBorder="1" applyAlignment="1">
      <alignment horizontal="center"/>
    </xf>
    <xf numFmtId="44" fontId="2" fillId="0" borderId="25" xfId="0" applyNumberFormat="1" applyFont="1" applyFill="1" applyBorder="1"/>
    <xf numFmtId="44" fontId="0" fillId="0" borderId="0" xfId="1" applyFont="1" applyFill="1"/>
    <xf numFmtId="44" fontId="0" fillId="0" borderId="0" xfId="0" applyNumberFormat="1" applyFill="1" applyAlignment="1">
      <alignment horizontal="center"/>
    </xf>
    <xf numFmtId="44" fontId="0" fillId="0" borderId="0" xfId="1" applyFont="1" applyFill="1" applyAlignment="1">
      <alignment horizontal="center"/>
    </xf>
    <xf numFmtId="0" fontId="0" fillId="0" borderId="0" xfId="0" applyFill="1" applyAlignment="1">
      <alignment horizontal="center"/>
    </xf>
    <xf numFmtId="0" fontId="5" fillId="0" borderId="0" xfId="0" applyFont="1" applyFill="1" applyAlignment="1">
      <alignment horizontal="center"/>
    </xf>
    <xf numFmtId="0" fontId="2" fillId="4" borderId="26" xfId="0" applyFont="1" applyFill="1" applyBorder="1"/>
    <xf numFmtId="44" fontId="2" fillId="4" borderId="25" xfId="0" applyNumberFormat="1" applyFont="1" applyFill="1" applyBorder="1"/>
    <xf numFmtId="2" fontId="0" fillId="3" borderId="27" xfId="0" applyNumberFormat="1" applyFill="1" applyBorder="1"/>
    <xf numFmtId="44" fontId="0" fillId="3" borderId="23" xfId="1" applyFont="1" applyFill="1" applyBorder="1"/>
    <xf numFmtId="0" fontId="3" fillId="0" borderId="0" xfId="0" applyFont="1" applyFill="1" applyBorder="1"/>
    <xf numFmtId="166" fontId="3" fillId="0" borderId="0" xfId="3" applyNumberFormat="1" applyFont="1" applyFill="1" applyBorder="1"/>
    <xf numFmtId="0" fontId="3" fillId="9" borderId="13" xfId="0" applyFont="1" applyFill="1" applyBorder="1"/>
    <xf numFmtId="166" fontId="3" fillId="9" borderId="17" xfId="3" applyNumberFormat="1" applyFont="1" applyFill="1" applyBorder="1"/>
    <xf numFmtId="9" fontId="0" fillId="0" borderId="11" xfId="0" applyNumberFormat="1" applyBorder="1"/>
    <xf numFmtId="0" fontId="0" fillId="0" borderId="12" xfId="0" applyBorder="1"/>
    <xf numFmtId="9" fontId="0" fillId="0" borderId="13" xfId="0" applyNumberFormat="1" applyBorder="1"/>
    <xf numFmtId="0" fontId="0" fillId="0" borderId="15" xfId="0" applyBorder="1"/>
    <xf numFmtId="0" fontId="2" fillId="0" borderId="7" xfId="0" applyFont="1" applyBorder="1" applyAlignment="1">
      <alignment horizontal="center" wrapText="1"/>
    </xf>
    <xf numFmtId="167" fontId="3" fillId="13" borderId="0" xfId="2" applyNumberFormat="1" applyFont="1" applyFill="1" applyBorder="1"/>
    <xf numFmtId="0" fontId="2" fillId="0" borderId="10" xfId="0" applyFont="1" applyFill="1" applyBorder="1" applyAlignment="1">
      <alignment horizontal="center" vertical="center" wrapText="1"/>
    </xf>
    <xf numFmtId="0" fontId="2" fillId="0" borderId="16" xfId="0" applyFont="1" applyBorder="1" applyAlignment="1">
      <alignment horizontal="center" vertical="center"/>
    </xf>
    <xf numFmtId="0" fontId="0" fillId="11" borderId="18" xfId="0" applyFill="1" applyBorder="1" applyAlignment="1">
      <alignment horizontal="right" vertical="center"/>
    </xf>
    <xf numFmtId="165" fontId="0" fillId="13" borderId="18" xfId="2" applyNumberFormat="1" applyFont="1" applyFill="1" applyBorder="1" applyAlignment="1">
      <alignment vertical="center"/>
    </xf>
    <xf numFmtId="165" fontId="0" fillId="13" borderId="17" xfId="2"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165" fontId="3" fillId="13" borderId="11" xfId="2" applyNumberFormat="1" applyFont="1" applyFill="1" applyBorder="1"/>
    <xf numFmtId="43" fontId="3" fillId="13" borderId="12" xfId="2" applyFont="1" applyFill="1" applyBorder="1"/>
    <xf numFmtId="9" fontId="3" fillId="13" borderId="18" xfId="0" applyNumberFormat="1" applyFont="1" applyFill="1" applyBorder="1"/>
    <xf numFmtId="165" fontId="3" fillId="13" borderId="14" xfId="2" applyNumberFormat="1" applyFont="1" applyFill="1" applyBorder="1"/>
    <xf numFmtId="43" fontId="3" fillId="13" borderId="15" xfId="2" applyFont="1" applyFill="1" applyBorder="1"/>
    <xf numFmtId="166" fontId="3" fillId="13" borderId="17" xfId="0" applyNumberFormat="1" applyFont="1" applyFill="1" applyBorder="1"/>
    <xf numFmtId="10" fontId="3" fillId="13" borderId="18" xfId="0" applyNumberFormat="1" applyFont="1" applyFill="1" applyBorder="1"/>
    <xf numFmtId="10" fontId="3" fillId="13" borderId="17" xfId="0" applyNumberFormat="1" applyFont="1" applyFill="1" applyBorder="1"/>
    <xf numFmtId="0" fontId="0" fillId="6" borderId="24" xfId="0" applyFill="1" applyBorder="1" applyAlignment="1">
      <alignment horizontal="center"/>
    </xf>
    <xf numFmtId="0" fontId="0" fillId="6" borderId="11" xfId="0" applyFill="1" applyBorder="1" applyAlignment="1">
      <alignment horizontal="center"/>
    </xf>
    <xf numFmtId="0" fontId="0" fillId="6" borderId="17" xfId="0" applyFill="1" applyBorder="1" applyAlignment="1">
      <alignment horizontal="center"/>
    </xf>
    <xf numFmtId="0" fontId="0" fillId="6" borderId="0" xfId="0" applyFill="1" applyBorder="1" applyAlignment="1">
      <alignment horizontal="center"/>
    </xf>
    <xf numFmtId="0" fontId="0" fillId="6" borderId="14" xfId="0" applyFill="1" applyBorder="1" applyAlignment="1">
      <alignment horizontal="center"/>
    </xf>
    <xf numFmtId="165" fontId="0" fillId="13" borderId="18" xfId="2" applyNumberFormat="1" applyFont="1" applyFill="1" applyBorder="1" applyAlignment="1">
      <alignment horizontal="center" vertical="center" wrapText="1"/>
    </xf>
    <xf numFmtId="0" fontId="0" fillId="11" borderId="16" xfId="0" applyFill="1" applyBorder="1" applyAlignment="1">
      <alignment horizontal="right" vertical="center"/>
    </xf>
    <xf numFmtId="167" fontId="0" fillId="13" borderId="18" xfId="2" applyNumberFormat="1" applyFont="1" applyFill="1" applyBorder="1" applyAlignment="1">
      <alignment vertical="center"/>
    </xf>
    <xf numFmtId="167" fontId="0" fillId="13" borderId="17" xfId="2" applyNumberFormat="1" applyFont="1" applyFill="1" applyBorder="1" applyAlignment="1">
      <alignment vertical="center"/>
    </xf>
    <xf numFmtId="0" fontId="2" fillId="0" borderId="9" xfId="0" applyFont="1" applyBorder="1"/>
    <xf numFmtId="0" fontId="0" fillId="6" borderId="29" xfId="0" applyFill="1" applyBorder="1" applyAlignment="1">
      <alignment horizontal="center"/>
    </xf>
    <xf numFmtId="0" fontId="0" fillId="11" borderId="18" xfId="0" applyFont="1" applyFill="1" applyBorder="1" applyAlignment="1">
      <alignment horizontal="right" vertical="center"/>
    </xf>
    <xf numFmtId="167" fontId="0" fillId="11" borderId="18" xfId="2" applyNumberFormat="1" applyFont="1" applyFill="1" applyBorder="1" applyAlignment="1">
      <alignment horizontal="right" vertical="center"/>
    </xf>
    <xf numFmtId="165" fontId="0" fillId="11" borderId="18" xfId="2" applyNumberFormat="1" applyFont="1" applyFill="1" applyBorder="1" applyAlignment="1">
      <alignment vertical="center"/>
    </xf>
    <xf numFmtId="167" fontId="0" fillId="11" borderId="18" xfId="2" applyNumberFormat="1" applyFont="1" applyFill="1" applyBorder="1" applyAlignment="1">
      <alignment vertical="center"/>
    </xf>
    <xf numFmtId="0" fontId="2" fillId="0" borderId="0" xfId="0" applyFont="1" applyFill="1" applyBorder="1" applyAlignment="1">
      <alignment horizontal="center"/>
    </xf>
    <xf numFmtId="0" fontId="0" fillId="0" borderId="0" xfId="0" applyFill="1" applyBorder="1" applyAlignment="1">
      <alignment horizontal="right" vertical="center"/>
    </xf>
    <xf numFmtId="0" fontId="0" fillId="0" borderId="0" xfId="0" applyFont="1" applyFill="1" applyBorder="1" applyAlignment="1">
      <alignment horizontal="right" vertical="center"/>
    </xf>
    <xf numFmtId="167" fontId="0" fillId="0" borderId="0" xfId="2" applyNumberFormat="1" applyFont="1" applyFill="1" applyBorder="1" applyAlignment="1">
      <alignment horizontal="right" vertical="center"/>
    </xf>
    <xf numFmtId="167" fontId="0" fillId="0" borderId="0" xfId="2" applyNumberFormat="1" applyFont="1" applyFill="1" applyBorder="1" applyAlignment="1">
      <alignment vertical="center"/>
    </xf>
    <xf numFmtId="44" fontId="0" fillId="3" borderId="28" xfId="0" applyNumberFormat="1" applyFill="1" applyBorder="1"/>
    <xf numFmtId="0" fontId="8" fillId="0" borderId="0" xfId="0" applyFont="1" applyAlignment="1"/>
    <xf numFmtId="44" fontId="0" fillId="0" borderId="4" xfId="0" applyNumberFormat="1" applyBorder="1"/>
    <xf numFmtId="167" fontId="3" fillId="13" borderId="11" xfId="2" applyNumberFormat="1" applyFont="1" applyFill="1" applyBorder="1"/>
    <xf numFmtId="0" fontId="6" fillId="0" borderId="0" xfId="0" applyFont="1" applyFill="1" applyAlignment="1">
      <alignment horizontal="center" vertical="center" wrapText="1"/>
    </xf>
    <xf numFmtId="167" fontId="3" fillId="13" borderId="13" xfId="2" applyNumberFormat="1" applyFont="1" applyFill="1" applyBorder="1"/>
    <xf numFmtId="9" fontId="0" fillId="0" borderId="28" xfId="3" applyFont="1" applyBorder="1"/>
    <xf numFmtId="9" fontId="0" fillId="0" borderId="28" xfId="3" applyFont="1" applyFill="1" applyBorder="1"/>
    <xf numFmtId="0" fontId="2" fillId="0" borderId="24" xfId="0" applyFont="1" applyBorder="1" applyAlignment="1">
      <alignment horizontal="center" vertical="center"/>
    </xf>
    <xf numFmtId="9" fontId="0" fillId="13" borderId="0" xfId="0" applyNumberFormat="1" applyFill="1" applyAlignment="1">
      <alignment horizontal="center" vertical="center"/>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8" fillId="0" borderId="29" xfId="0" applyFont="1" applyBorder="1" applyAlignment="1">
      <alignment horizontal="center" wrapText="1"/>
    </xf>
    <xf numFmtId="0" fontId="0" fillId="0" borderId="29" xfId="0" applyBorder="1" applyAlignment="1">
      <alignment horizontal="center" wrapText="1"/>
    </xf>
    <xf numFmtId="0" fontId="2" fillId="4" borderId="27" xfId="0" applyFont="1" applyFill="1" applyBorder="1" applyAlignment="1">
      <alignment horizontal="center"/>
    </xf>
    <xf numFmtId="0" fontId="2" fillId="4" borderId="28" xfId="0" applyFont="1" applyFill="1" applyBorder="1" applyAlignment="1">
      <alignment horizontal="center"/>
    </xf>
    <xf numFmtId="0" fontId="2" fillId="4" borderId="26" xfId="0" applyFont="1" applyFill="1" applyBorder="1" applyAlignment="1">
      <alignment horizontal="center"/>
    </xf>
    <xf numFmtId="0" fontId="2" fillId="4" borderId="5" xfId="0" applyFont="1" applyFill="1" applyBorder="1" applyAlignment="1">
      <alignment horizontal="center"/>
    </xf>
    <xf numFmtId="0" fontId="2" fillId="4" borderId="23" xfId="0" applyFont="1" applyFill="1" applyBorder="1" applyAlignment="1">
      <alignment horizontal="center"/>
    </xf>
    <xf numFmtId="0" fontId="2" fillId="4" borderId="6" xfId="0" applyFont="1" applyFill="1" applyBorder="1" applyAlignment="1">
      <alignment horizontal="center"/>
    </xf>
    <xf numFmtId="0" fontId="2" fillId="0" borderId="24" xfId="0" applyFont="1" applyBorder="1" applyAlignment="1">
      <alignment horizontal="center"/>
    </xf>
    <xf numFmtId="0" fontId="2" fillId="0" borderId="30" xfId="0" applyFont="1" applyBorder="1" applyAlignment="1">
      <alignment horizontal="center"/>
    </xf>
    <xf numFmtId="0" fontId="2" fillId="3" borderId="8" xfId="0" applyFont="1" applyFill="1" applyBorder="1" applyAlignment="1">
      <alignment horizontal="center"/>
    </xf>
    <xf numFmtId="0" fontId="2" fillId="3" borderId="10" xfId="0" applyFont="1" applyFill="1" applyBorder="1" applyAlignment="1">
      <alignment horizontal="center"/>
    </xf>
    <xf numFmtId="0" fontId="2" fillId="0" borderId="29" xfId="0" applyFont="1" applyBorder="1" applyAlignment="1">
      <alignment horizontal="center"/>
    </xf>
    <xf numFmtId="0" fontId="0" fillId="0" borderId="0" xfId="0" applyAlignment="1">
      <alignment horizontal="center"/>
    </xf>
    <xf numFmtId="0" fontId="8" fillId="0" borderId="29" xfId="0" applyFont="1" applyBorder="1" applyAlignment="1">
      <alignment horizontal="center"/>
    </xf>
    <xf numFmtId="0" fontId="0" fillId="0" borderId="29" xfId="0" applyBorder="1" applyAlignment="1">
      <alignment horizontal="center"/>
    </xf>
    <xf numFmtId="0" fontId="2" fillId="0" borderId="3" xfId="0" applyFont="1" applyBorder="1" applyAlignment="1">
      <alignment horizontal="left"/>
    </xf>
    <xf numFmtId="0" fontId="2" fillId="0" borderId="0" xfId="0" applyFont="1" applyBorder="1" applyAlignment="1">
      <alignment horizontal="left"/>
    </xf>
    <xf numFmtId="0" fontId="2" fillId="0" borderId="3" xfId="0" applyFont="1" applyBorder="1" applyAlignment="1">
      <alignment horizontal="left" vertical="center" wrapText="1"/>
    </xf>
    <xf numFmtId="0" fontId="2" fillId="0" borderId="0" xfId="0" applyFont="1" applyBorder="1" applyAlignment="1">
      <alignment horizontal="left" vertical="center" wrapText="1"/>
    </xf>
    <xf numFmtId="0" fontId="6" fillId="14" borderId="0" xfId="0" applyFont="1" applyFill="1" applyAlignment="1">
      <alignment horizontal="center" vertical="center" wrapText="1"/>
    </xf>
    <xf numFmtId="0" fontId="2" fillId="14" borderId="0" xfId="0" applyFont="1" applyFill="1" applyAlignment="1">
      <alignment horizontal="center" wrapText="1"/>
    </xf>
    <xf numFmtId="0" fontId="2" fillId="0" borderId="5" xfId="0" applyFont="1" applyBorder="1" applyAlignment="1">
      <alignment horizontal="left"/>
    </xf>
    <xf numFmtId="0" fontId="2" fillId="0" borderId="23" xfId="0" applyFont="1" applyBorder="1" applyAlignment="1">
      <alignment horizontal="left"/>
    </xf>
    <xf numFmtId="0" fontId="2" fillId="14" borderId="0" xfId="0" applyFont="1" applyFill="1" applyAlignment="1">
      <alignment horizontal="center" vertical="center" wrapText="1"/>
    </xf>
    <xf numFmtId="0" fontId="2" fillId="0" borderId="1"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3" xfId="0" applyFont="1" applyBorder="1" applyAlignment="1">
      <alignment horizontal="left" wrapText="1"/>
    </xf>
    <xf numFmtId="0" fontId="2" fillId="0" borderId="0" xfId="0" applyFont="1" applyBorder="1" applyAlignment="1">
      <alignment horizontal="left" wrapText="1"/>
    </xf>
    <xf numFmtId="0" fontId="2" fillId="2" borderId="26" xfId="0"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0" fillId="3" borderId="0" xfId="0" applyFill="1" applyAlignment="1">
      <alignment horizontal="center" vertical="top" wrapText="1"/>
    </xf>
  </cellXfs>
  <cellStyles count="4">
    <cellStyle name="Comma" xfId="2" builtinId="3"/>
    <cellStyle name="Currency" xfId="1"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160020</xdr:colOff>
      <xdr:row>2</xdr:row>
      <xdr:rowOff>167640</xdr:rowOff>
    </xdr:from>
    <xdr:to>
      <xdr:col>3</xdr:col>
      <xdr:colOff>784860</xdr:colOff>
      <xdr:row>3</xdr:row>
      <xdr:rowOff>190500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020" y="533400"/>
          <a:ext cx="2362200" cy="571500"/>
        </a:xfrm>
        <a:prstGeom prst="rect">
          <a:avLst/>
        </a:prstGeom>
      </xdr:spPr>
    </xdr:pic>
    <xdr:clientData/>
  </xdr:twoCellAnchor>
  <xdr:twoCellAnchor>
    <xdr:from>
      <xdr:col>30</xdr:col>
      <xdr:colOff>91440</xdr:colOff>
      <xdr:row>32</xdr:row>
      <xdr:rowOff>129540</xdr:rowOff>
    </xdr:from>
    <xdr:to>
      <xdr:col>30</xdr:col>
      <xdr:colOff>510540</xdr:colOff>
      <xdr:row>33</xdr:row>
      <xdr:rowOff>106680</xdr:rowOff>
    </xdr:to>
    <xdr:sp macro="" textlink="">
      <xdr:nvSpPr>
        <xdr:cNvPr id="5" name="Right Arrow 4">
          <a:extLst>
            <a:ext uri="{FF2B5EF4-FFF2-40B4-BE49-F238E27FC236}">
              <a16:creationId xmlns:a16="http://schemas.microsoft.com/office/drawing/2014/main" id="{00000000-0008-0000-0000-000005000000}"/>
            </a:ext>
          </a:extLst>
        </xdr:cNvPr>
        <xdr:cNvSpPr/>
      </xdr:nvSpPr>
      <xdr:spPr>
        <a:xfrm>
          <a:off x="20436840" y="7901940"/>
          <a:ext cx="419100" cy="160020"/>
        </a:xfrm>
        <a:prstGeom prst="rightArrow">
          <a:avLst/>
        </a:prstGeom>
        <a:solidFill>
          <a:srgbClr val="FF0000"/>
        </a:solidFill>
        <a:ln>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30</xdr:col>
      <xdr:colOff>114300</xdr:colOff>
      <xdr:row>140</xdr:row>
      <xdr:rowOff>22860</xdr:rowOff>
    </xdr:from>
    <xdr:to>
      <xdr:col>30</xdr:col>
      <xdr:colOff>533400</xdr:colOff>
      <xdr:row>141</xdr:row>
      <xdr:rowOff>0</xdr:rowOff>
    </xdr:to>
    <xdr:sp macro="" textlink="">
      <xdr:nvSpPr>
        <xdr:cNvPr id="6" name="Right Arrow 5">
          <a:extLst>
            <a:ext uri="{FF2B5EF4-FFF2-40B4-BE49-F238E27FC236}">
              <a16:creationId xmlns:a16="http://schemas.microsoft.com/office/drawing/2014/main" id="{00000000-0008-0000-0000-000006000000}"/>
            </a:ext>
          </a:extLst>
        </xdr:cNvPr>
        <xdr:cNvSpPr/>
      </xdr:nvSpPr>
      <xdr:spPr>
        <a:xfrm>
          <a:off x="20459700" y="31653480"/>
          <a:ext cx="419100" cy="160020"/>
        </a:xfrm>
        <a:prstGeom prst="rightArrow">
          <a:avLst/>
        </a:prstGeom>
        <a:solidFill>
          <a:srgbClr val="FF0000"/>
        </a:solidFill>
        <a:ln>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30</xdr:col>
      <xdr:colOff>53340</xdr:colOff>
      <xdr:row>160</xdr:row>
      <xdr:rowOff>0</xdr:rowOff>
    </xdr:from>
    <xdr:to>
      <xdr:col>30</xdr:col>
      <xdr:colOff>472440</xdr:colOff>
      <xdr:row>160</xdr:row>
      <xdr:rowOff>160020</xdr:rowOff>
    </xdr:to>
    <xdr:sp macro="" textlink="">
      <xdr:nvSpPr>
        <xdr:cNvPr id="8" name="Right Arrow 7">
          <a:extLst>
            <a:ext uri="{FF2B5EF4-FFF2-40B4-BE49-F238E27FC236}">
              <a16:creationId xmlns:a16="http://schemas.microsoft.com/office/drawing/2014/main" id="{00000000-0008-0000-0000-000008000000}"/>
            </a:ext>
          </a:extLst>
        </xdr:cNvPr>
        <xdr:cNvSpPr/>
      </xdr:nvSpPr>
      <xdr:spPr>
        <a:xfrm>
          <a:off x="20734020" y="35867340"/>
          <a:ext cx="419100" cy="160020"/>
        </a:xfrm>
        <a:prstGeom prst="rightArrow">
          <a:avLst/>
        </a:prstGeom>
        <a:solidFill>
          <a:srgbClr val="FF0000"/>
        </a:solidFill>
        <a:ln>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30</xdr:col>
      <xdr:colOff>76200</xdr:colOff>
      <xdr:row>270</xdr:row>
      <xdr:rowOff>7620</xdr:rowOff>
    </xdr:from>
    <xdr:to>
      <xdr:col>30</xdr:col>
      <xdr:colOff>495300</xdr:colOff>
      <xdr:row>270</xdr:row>
      <xdr:rowOff>167640</xdr:rowOff>
    </xdr:to>
    <xdr:sp macro="" textlink="">
      <xdr:nvSpPr>
        <xdr:cNvPr id="9" name="Right Arrow 8">
          <a:extLst>
            <a:ext uri="{FF2B5EF4-FFF2-40B4-BE49-F238E27FC236}">
              <a16:creationId xmlns:a16="http://schemas.microsoft.com/office/drawing/2014/main" id="{00000000-0008-0000-0000-000009000000}"/>
            </a:ext>
          </a:extLst>
        </xdr:cNvPr>
        <xdr:cNvSpPr/>
      </xdr:nvSpPr>
      <xdr:spPr>
        <a:xfrm>
          <a:off x="20756880" y="60076080"/>
          <a:ext cx="419100" cy="160020"/>
        </a:xfrm>
        <a:prstGeom prst="rightArrow">
          <a:avLst/>
        </a:prstGeom>
        <a:solidFill>
          <a:srgbClr val="FF0000"/>
        </a:solidFill>
        <a:ln>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90"/>
  <sheetViews>
    <sheetView tabSelected="1" topLeftCell="A21" zoomScaleNormal="100" workbookViewId="0">
      <selection activeCell="Q27" sqref="Q27"/>
    </sheetView>
  </sheetViews>
  <sheetFormatPr defaultRowHeight="14.4" x14ac:dyDescent="0.3"/>
  <cols>
    <col min="1" max="1" width="7.5546875" style="4" customWidth="1"/>
    <col min="2" max="2" width="8.88671875" style="4"/>
    <col min="3" max="3" width="8.88671875" customWidth="1"/>
    <col min="4" max="4" width="15" customWidth="1"/>
    <col min="5" max="5" width="11.109375" customWidth="1"/>
    <col min="9" max="9" width="8.88671875" style="4"/>
    <col min="10" max="10" width="8.88671875" style="4" customWidth="1"/>
    <col min="11" max="11" width="9.5546875" style="4" customWidth="1"/>
    <col min="12" max="12" width="9" bestFit="1" customWidth="1"/>
    <col min="13" max="13" width="11.6640625" style="4" bestFit="1" customWidth="1"/>
    <col min="14" max="14" width="10.33203125" style="4" customWidth="1"/>
    <col min="19" max="19" width="11" customWidth="1"/>
    <col min="20" max="20" width="11.6640625" customWidth="1"/>
    <col min="21" max="21" width="8.88671875" customWidth="1"/>
    <col min="22" max="22" width="13.21875" customWidth="1"/>
    <col min="23" max="23" width="13.5546875" style="4" customWidth="1"/>
    <col min="24" max="24" width="12.6640625" customWidth="1"/>
    <col min="25" max="25" width="10.109375" customWidth="1"/>
    <col min="26" max="26" width="11.5546875" customWidth="1"/>
    <col min="27" max="27" width="11.44140625" customWidth="1"/>
  </cols>
  <sheetData>
    <row r="1" spans="1:31" s="4" customFormat="1" x14ac:dyDescent="0.3">
      <c r="P1" s="78"/>
    </row>
    <row r="2" spans="1:31" s="4" customFormat="1" x14ac:dyDescent="0.3">
      <c r="A2" s="241"/>
      <c r="B2" s="241"/>
      <c r="C2" s="241"/>
      <c r="D2" s="241"/>
      <c r="G2" s="236" t="s">
        <v>56</v>
      </c>
      <c r="H2" s="237"/>
      <c r="J2" s="236" t="s">
        <v>58</v>
      </c>
      <c r="K2" s="240"/>
      <c r="L2" s="240"/>
      <c r="M2" s="240"/>
      <c r="N2" s="240"/>
      <c r="O2" s="237"/>
      <c r="P2" s="207"/>
    </row>
    <row r="3" spans="1:31" s="4" customFormat="1" ht="43.2" x14ac:dyDescent="0.3">
      <c r="A3" s="241"/>
      <c r="B3" s="241"/>
      <c r="C3" s="241"/>
      <c r="D3" s="241"/>
      <c r="G3" s="220" t="s">
        <v>50</v>
      </c>
      <c r="H3" s="175" t="s">
        <v>51</v>
      </c>
      <c r="J3" s="178" t="s">
        <v>52</v>
      </c>
      <c r="K3" s="177" t="s">
        <v>34</v>
      </c>
      <c r="L3" s="178" t="s">
        <v>52</v>
      </c>
      <c r="M3" s="177" t="s">
        <v>34</v>
      </c>
      <c r="N3" s="178" t="s">
        <v>52</v>
      </c>
      <c r="O3" s="177" t="s">
        <v>34</v>
      </c>
      <c r="P3" s="113"/>
    </row>
    <row r="4" spans="1:31" s="4" customFormat="1" ht="18" x14ac:dyDescent="0.5">
      <c r="A4" s="241"/>
      <c r="B4" s="241"/>
      <c r="C4" s="241"/>
      <c r="D4" s="241"/>
      <c r="G4" s="29">
        <v>2021</v>
      </c>
      <c r="H4" s="30">
        <v>2.8000000000000001E-2</v>
      </c>
      <c r="J4" s="198">
        <v>70</v>
      </c>
      <c r="K4" s="198">
        <v>27.4</v>
      </c>
      <c r="L4" s="198">
        <v>87</v>
      </c>
      <c r="M4" s="198">
        <v>13.4</v>
      </c>
      <c r="N4" s="198">
        <v>104</v>
      </c>
      <c r="O4" s="198">
        <v>4.9000000000000004</v>
      </c>
      <c r="P4" s="208"/>
    </row>
    <row r="5" spans="1:31" s="4" customFormat="1" ht="18" x14ac:dyDescent="0.5">
      <c r="A5" s="241"/>
      <c r="B5" s="241"/>
      <c r="C5" s="241"/>
      <c r="D5" s="241"/>
      <c r="G5" s="29">
        <f t="shared" ref="G5:G20" si="0">G4+1</f>
        <v>2022</v>
      </c>
      <c r="H5" s="30">
        <v>0.02</v>
      </c>
      <c r="J5" s="179">
        <v>71</v>
      </c>
      <c r="K5" s="179">
        <v>26.5</v>
      </c>
      <c r="L5" s="179">
        <v>88</v>
      </c>
      <c r="M5" s="179">
        <v>12.7</v>
      </c>
      <c r="N5" s="179">
        <v>105</v>
      </c>
      <c r="O5" s="179">
        <v>4.5</v>
      </c>
      <c r="P5" s="208"/>
    </row>
    <row r="6" spans="1:31" s="4" customFormat="1" ht="18" x14ac:dyDescent="0.5">
      <c r="D6" s="236" t="s">
        <v>57</v>
      </c>
      <c r="E6" s="237"/>
      <c r="G6" s="29">
        <f t="shared" si="0"/>
        <v>2023</v>
      </c>
      <c r="H6" s="31">
        <v>2.1999999999999999E-2</v>
      </c>
      <c r="J6" s="179">
        <v>72</v>
      </c>
      <c r="K6" s="179">
        <v>25.6</v>
      </c>
      <c r="L6" s="179">
        <v>89</v>
      </c>
      <c r="M6" s="179">
        <v>12</v>
      </c>
      <c r="N6" s="179">
        <v>106</v>
      </c>
      <c r="O6" s="179">
        <v>4.2</v>
      </c>
      <c r="P6" s="208"/>
    </row>
    <row r="7" spans="1:31" ht="18" x14ac:dyDescent="0.5">
      <c r="G7" s="29">
        <f t="shared" si="0"/>
        <v>2024</v>
      </c>
      <c r="H7" s="31">
        <v>2.1999999999999999E-2</v>
      </c>
      <c r="J7" s="179">
        <v>73</v>
      </c>
      <c r="K7" s="179">
        <v>24.7</v>
      </c>
      <c r="L7" s="179">
        <v>90</v>
      </c>
      <c r="M7" s="179">
        <v>11.4</v>
      </c>
      <c r="N7" s="179">
        <v>107</v>
      </c>
      <c r="O7" s="179">
        <v>3.9</v>
      </c>
      <c r="P7" s="208"/>
      <c r="V7" s="4"/>
      <c r="W7"/>
    </row>
    <row r="8" spans="1:31" ht="18" x14ac:dyDescent="0.5">
      <c r="D8" s="23" t="s">
        <v>0</v>
      </c>
      <c r="E8" s="15">
        <v>580</v>
      </c>
      <c r="G8" s="29">
        <f t="shared" si="0"/>
        <v>2025</v>
      </c>
      <c r="H8" s="31">
        <v>2.1999999999999999E-2</v>
      </c>
      <c r="I8" s="2"/>
      <c r="J8" s="179">
        <v>74</v>
      </c>
      <c r="K8" s="179">
        <v>23.8</v>
      </c>
      <c r="L8" s="179">
        <v>91</v>
      </c>
      <c r="M8" s="179">
        <v>10.8</v>
      </c>
      <c r="N8" s="179">
        <v>108</v>
      </c>
      <c r="O8" s="179">
        <v>3.7</v>
      </c>
      <c r="P8" s="208"/>
      <c r="Q8" s="236" t="s">
        <v>38</v>
      </c>
      <c r="R8" s="240"/>
      <c r="S8" s="240"/>
      <c r="T8" s="240"/>
      <c r="U8" s="237"/>
      <c r="V8" s="2"/>
      <c r="W8" s="236" t="s">
        <v>32</v>
      </c>
      <c r="X8" s="240"/>
      <c r="Y8" s="240"/>
      <c r="Z8" s="240"/>
      <c r="AA8" s="237"/>
      <c r="AC8" s="236" t="s">
        <v>29</v>
      </c>
      <c r="AD8" s="240"/>
      <c r="AE8" s="237"/>
    </row>
    <row r="9" spans="1:31" ht="18" x14ac:dyDescent="0.5">
      <c r="D9" s="23" t="s">
        <v>28</v>
      </c>
      <c r="E9" s="15">
        <f>E10-E8</f>
        <v>400</v>
      </c>
      <c r="G9" s="29">
        <f t="shared" si="0"/>
        <v>2026</v>
      </c>
      <c r="H9" s="31">
        <v>2.1000000000000001E-2</v>
      </c>
      <c r="I9" s="2"/>
      <c r="J9" s="179">
        <v>75</v>
      </c>
      <c r="K9" s="179">
        <v>22.9</v>
      </c>
      <c r="L9" s="179">
        <v>92</v>
      </c>
      <c r="M9" s="179">
        <v>10.199999999999999</v>
      </c>
      <c r="N9" s="179">
        <v>109</v>
      </c>
      <c r="O9" s="179">
        <v>3.4</v>
      </c>
      <c r="P9" s="208"/>
      <c r="Q9" s="201" t="s">
        <v>19</v>
      </c>
      <c r="R9" s="6"/>
      <c r="S9" s="6"/>
      <c r="T9" s="6"/>
      <c r="U9" s="7"/>
      <c r="V9" s="28"/>
      <c r="W9" s="5" t="s">
        <v>19</v>
      </c>
      <c r="X9" s="6"/>
      <c r="Y9" s="6"/>
      <c r="Z9" s="6"/>
      <c r="AA9" s="7"/>
      <c r="AD9" s="221">
        <v>0.05</v>
      </c>
    </row>
    <row r="10" spans="1:31" ht="18" x14ac:dyDescent="0.5">
      <c r="D10" s="23" t="s">
        <v>1</v>
      </c>
      <c r="E10" s="15">
        <v>980</v>
      </c>
      <c r="G10" s="29">
        <f t="shared" si="0"/>
        <v>2027</v>
      </c>
      <c r="H10" s="31">
        <v>2.1000000000000001E-2</v>
      </c>
      <c r="I10" s="8"/>
      <c r="J10" s="203">
        <v>76</v>
      </c>
      <c r="K10" s="203">
        <v>22</v>
      </c>
      <c r="L10" s="203">
        <v>93</v>
      </c>
      <c r="M10" s="203">
        <v>9.6</v>
      </c>
      <c r="N10" s="203">
        <v>110</v>
      </c>
      <c r="O10" s="203">
        <v>3.1</v>
      </c>
      <c r="P10" s="209"/>
      <c r="Q10" s="202" t="s">
        <v>20</v>
      </c>
      <c r="R10" s="182" t="s">
        <v>21</v>
      </c>
      <c r="S10" s="182" t="s">
        <v>22</v>
      </c>
      <c r="T10" s="182" t="s">
        <v>27</v>
      </c>
      <c r="U10" s="183" t="s">
        <v>23</v>
      </c>
      <c r="V10" s="2"/>
      <c r="W10" s="192" t="s">
        <v>20</v>
      </c>
      <c r="X10" s="182" t="s">
        <v>21</v>
      </c>
      <c r="Y10" s="182" t="s">
        <v>22</v>
      </c>
      <c r="Z10" s="182" t="s">
        <v>27</v>
      </c>
      <c r="AA10" s="183" t="s">
        <v>23</v>
      </c>
    </row>
    <row r="11" spans="1:31" ht="18" x14ac:dyDescent="0.5">
      <c r="D11" s="23" t="s">
        <v>15</v>
      </c>
      <c r="E11" s="15">
        <v>81.5</v>
      </c>
      <c r="G11" s="29">
        <f t="shared" si="0"/>
        <v>2028</v>
      </c>
      <c r="H11" s="31">
        <v>2.1000000000000001E-2</v>
      </c>
      <c r="I11" s="3"/>
      <c r="J11" s="203">
        <v>77</v>
      </c>
      <c r="K11" s="204">
        <v>21.2</v>
      </c>
      <c r="L11" s="203">
        <v>94</v>
      </c>
      <c r="M11" s="204">
        <v>9.1</v>
      </c>
      <c r="N11" s="203">
        <v>111</v>
      </c>
      <c r="O11" s="204">
        <v>2.9</v>
      </c>
      <c r="P11" s="210"/>
      <c r="Q11" s="195">
        <v>1</v>
      </c>
      <c r="R11" s="184">
        <v>0</v>
      </c>
      <c r="S11" s="176">
        <v>19.899999999999999</v>
      </c>
      <c r="T11" s="185">
        <v>0</v>
      </c>
      <c r="U11" s="186">
        <v>0.1</v>
      </c>
      <c r="V11" s="2"/>
      <c r="W11" s="193">
        <v>1</v>
      </c>
      <c r="X11" s="184">
        <v>0</v>
      </c>
      <c r="Y11" s="176">
        <v>17.864000000000001</v>
      </c>
      <c r="Z11" s="185">
        <v>0</v>
      </c>
      <c r="AA11" s="190">
        <v>0.01</v>
      </c>
    </row>
    <row r="12" spans="1:31" ht="18" x14ac:dyDescent="0.5">
      <c r="C12" s="213"/>
      <c r="D12" s="242" t="s">
        <v>62</v>
      </c>
      <c r="E12" s="243"/>
      <c r="G12" s="29">
        <f t="shared" si="0"/>
        <v>2029</v>
      </c>
      <c r="H12" s="31">
        <v>2.1000000000000001E-2</v>
      </c>
      <c r="I12" s="3"/>
      <c r="J12" s="205">
        <v>78</v>
      </c>
      <c r="K12" s="206">
        <v>20.3</v>
      </c>
      <c r="L12" s="205">
        <v>95</v>
      </c>
      <c r="M12" s="206">
        <v>8.6</v>
      </c>
      <c r="N12" s="205">
        <v>112</v>
      </c>
      <c r="O12" s="206">
        <v>2.6</v>
      </c>
      <c r="P12" s="211"/>
      <c r="Q12" s="195">
        <v>2</v>
      </c>
      <c r="R12" s="215">
        <f>S11</f>
        <v>19.899999999999999</v>
      </c>
      <c r="S12" s="176">
        <v>81.05</v>
      </c>
      <c r="T12" s="185">
        <f>U11*S11</f>
        <v>1.99</v>
      </c>
      <c r="U12" s="186">
        <v>0.12</v>
      </c>
      <c r="V12" s="2"/>
      <c r="W12" s="193">
        <v>2</v>
      </c>
      <c r="X12" s="215">
        <f t="shared" ref="X12:X19" si="1">Y11</f>
        <v>17.864000000000001</v>
      </c>
      <c r="Y12" s="176">
        <v>42.35</v>
      </c>
      <c r="Z12" s="185">
        <f>AA11*Y11</f>
        <v>0.17864000000000002</v>
      </c>
      <c r="AA12" s="190">
        <v>0.02</v>
      </c>
    </row>
    <row r="13" spans="1:31" ht="18" x14ac:dyDescent="0.5">
      <c r="D13" s="238" t="s">
        <v>53</v>
      </c>
      <c r="E13" s="239"/>
      <c r="G13" s="29">
        <f t="shared" si="0"/>
        <v>2030</v>
      </c>
      <c r="H13" s="31">
        <v>2.1000000000000001E-2</v>
      </c>
      <c r="I13" s="3"/>
      <c r="J13" s="205">
        <v>79</v>
      </c>
      <c r="K13" s="206">
        <v>19.5</v>
      </c>
      <c r="L13" s="205">
        <v>96</v>
      </c>
      <c r="M13" s="206">
        <v>8.1</v>
      </c>
      <c r="N13" s="205">
        <v>113</v>
      </c>
      <c r="O13" s="206">
        <v>2.4</v>
      </c>
      <c r="P13" s="211"/>
      <c r="Q13" s="195">
        <v>3</v>
      </c>
      <c r="R13" s="215">
        <f t="shared" ref="R13:R16" si="2">S12</f>
        <v>81.05</v>
      </c>
      <c r="S13" s="176">
        <v>172.75</v>
      </c>
      <c r="T13" s="185">
        <f>T12+U12*(S12-R12)</f>
        <v>9.3279999999999994</v>
      </c>
      <c r="U13" s="186">
        <v>0.22</v>
      </c>
      <c r="V13" s="2"/>
      <c r="W13" s="193">
        <v>3</v>
      </c>
      <c r="X13" s="215">
        <f t="shared" si="1"/>
        <v>42.35</v>
      </c>
      <c r="Y13" s="176">
        <v>66.841999999999999</v>
      </c>
      <c r="Z13" s="185">
        <f t="shared" ref="Z13:Z19" si="3">Z12+AA12*(Y12-X12)</f>
        <v>0.66836000000000007</v>
      </c>
      <c r="AA13" s="190">
        <v>0.04</v>
      </c>
    </row>
    <row r="14" spans="1:31" ht="18" x14ac:dyDescent="0.5">
      <c r="D14" s="171">
        <v>0.06</v>
      </c>
      <c r="E14" s="172"/>
      <c r="G14" s="29">
        <f t="shared" si="0"/>
        <v>2031</v>
      </c>
      <c r="H14" s="31">
        <v>2.1000000000000001E-2</v>
      </c>
      <c r="I14" s="3"/>
      <c r="J14" s="205">
        <v>80</v>
      </c>
      <c r="K14" s="206">
        <v>18.7</v>
      </c>
      <c r="L14" s="205">
        <v>97</v>
      </c>
      <c r="M14" s="206">
        <v>7.6</v>
      </c>
      <c r="N14" s="205">
        <v>114</v>
      </c>
      <c r="O14" s="206">
        <v>2.1</v>
      </c>
      <c r="P14" s="211"/>
      <c r="Q14" s="195">
        <v>4</v>
      </c>
      <c r="R14" s="215">
        <f t="shared" si="2"/>
        <v>172.75</v>
      </c>
      <c r="S14" s="176">
        <v>329.85</v>
      </c>
      <c r="T14" s="185">
        <f>T13+U13*(S13-R13)</f>
        <v>29.501999999999999</v>
      </c>
      <c r="U14" s="186">
        <v>0.24</v>
      </c>
      <c r="V14" s="2"/>
      <c r="W14" s="193">
        <v>4</v>
      </c>
      <c r="X14" s="215">
        <f t="shared" si="1"/>
        <v>66.841999999999999</v>
      </c>
      <c r="Y14" s="176">
        <v>92.787999999999997</v>
      </c>
      <c r="Z14" s="185">
        <f t="shared" si="3"/>
        <v>1.6480399999999999</v>
      </c>
      <c r="AA14" s="190">
        <v>0.06</v>
      </c>
    </row>
    <row r="15" spans="1:31" ht="28.8" x14ac:dyDescent="0.5">
      <c r="D15" s="238" t="s">
        <v>30</v>
      </c>
      <c r="E15" s="239"/>
      <c r="G15" s="32">
        <f t="shared" si="0"/>
        <v>2032</v>
      </c>
      <c r="H15" s="33">
        <v>2.1999999999999999E-2</v>
      </c>
      <c r="I15" s="3"/>
      <c r="J15" s="180">
        <v>81</v>
      </c>
      <c r="K15" s="199">
        <v>17.899999999999999</v>
      </c>
      <c r="L15" s="180">
        <v>98</v>
      </c>
      <c r="M15" s="199">
        <v>7.1</v>
      </c>
      <c r="N15" s="197" t="s">
        <v>59</v>
      </c>
      <c r="O15" s="199">
        <v>1.9</v>
      </c>
      <c r="P15" s="211"/>
      <c r="Q15" s="195">
        <v>5</v>
      </c>
      <c r="R15" s="215">
        <f t="shared" si="2"/>
        <v>329.85</v>
      </c>
      <c r="S15" s="176">
        <v>418.85</v>
      </c>
      <c r="T15" s="185">
        <f>T14+U14*(S14-R14)</f>
        <v>67.206000000000003</v>
      </c>
      <c r="U15" s="186">
        <v>0.32</v>
      </c>
      <c r="V15" s="2" t="s">
        <v>33</v>
      </c>
      <c r="W15" s="193">
        <v>5</v>
      </c>
      <c r="X15" s="215">
        <f t="shared" si="1"/>
        <v>92.787999999999997</v>
      </c>
      <c r="Y15" s="176">
        <v>117.268</v>
      </c>
      <c r="Z15" s="185">
        <f t="shared" si="3"/>
        <v>3.2047999999999996</v>
      </c>
      <c r="AA15" s="190">
        <v>0.08</v>
      </c>
    </row>
    <row r="16" spans="1:31" ht="18" x14ac:dyDescent="0.5">
      <c r="D16" s="173">
        <v>0.08</v>
      </c>
      <c r="E16" s="174"/>
      <c r="G16" s="32">
        <f t="shared" si="0"/>
        <v>2033</v>
      </c>
      <c r="H16" s="33">
        <f t="shared" ref="H16:H20" si="4">H15</f>
        <v>2.1999999999999999E-2</v>
      </c>
      <c r="I16" s="3"/>
      <c r="J16" s="180">
        <v>82</v>
      </c>
      <c r="K16" s="199">
        <v>17.100000000000001</v>
      </c>
      <c r="L16" s="180">
        <v>99</v>
      </c>
      <c r="M16" s="199">
        <v>6.7</v>
      </c>
      <c r="N16" s="180"/>
      <c r="O16" s="199"/>
      <c r="P16" s="211"/>
      <c r="Q16" s="195">
        <v>6</v>
      </c>
      <c r="R16" s="215">
        <f t="shared" si="2"/>
        <v>418.85</v>
      </c>
      <c r="S16" s="176">
        <v>628.29999999999995</v>
      </c>
      <c r="T16" s="185">
        <f>T15+U15*(S15-R15)</f>
        <v>95.686000000000007</v>
      </c>
      <c r="U16" s="186">
        <v>0.35</v>
      </c>
      <c r="V16" s="2" t="s">
        <v>32</v>
      </c>
      <c r="W16" s="193">
        <v>6</v>
      </c>
      <c r="X16" s="215">
        <f t="shared" si="1"/>
        <v>117.268</v>
      </c>
      <c r="Y16" s="176">
        <v>599.01599999999996</v>
      </c>
      <c r="Z16" s="185">
        <f t="shared" si="3"/>
        <v>5.1631999999999998</v>
      </c>
      <c r="AA16" s="190">
        <v>9.2999999999999999E-2</v>
      </c>
    </row>
    <row r="17" spans="2:37" ht="18" x14ac:dyDescent="0.5">
      <c r="G17" s="32">
        <f t="shared" si="0"/>
        <v>2034</v>
      </c>
      <c r="H17" s="33">
        <f t="shared" si="4"/>
        <v>2.1999999999999999E-2</v>
      </c>
      <c r="I17" s="3"/>
      <c r="J17" s="180">
        <v>83</v>
      </c>
      <c r="K17" s="199">
        <v>16.3</v>
      </c>
      <c r="L17" s="180">
        <v>100</v>
      </c>
      <c r="M17" s="199">
        <v>6.3</v>
      </c>
      <c r="N17" s="180"/>
      <c r="O17" s="199"/>
      <c r="P17" s="211"/>
      <c r="Q17" s="196">
        <v>7</v>
      </c>
      <c r="R17" s="217">
        <f>S16</f>
        <v>628.29999999999995</v>
      </c>
      <c r="S17" s="187"/>
      <c r="T17" s="188">
        <f>T16+U16*(S16-R16)</f>
        <v>168.99349999999998</v>
      </c>
      <c r="U17" s="189">
        <v>0.37</v>
      </c>
      <c r="V17" s="2"/>
      <c r="W17" s="193">
        <v>7</v>
      </c>
      <c r="X17" s="215">
        <f t="shared" si="1"/>
        <v>599.01599999999996</v>
      </c>
      <c r="Y17" s="176">
        <v>718.81399999999996</v>
      </c>
      <c r="Z17" s="185">
        <f t="shared" si="3"/>
        <v>49.965763999999993</v>
      </c>
      <c r="AA17" s="190">
        <v>0.10299999999999999</v>
      </c>
    </row>
    <row r="18" spans="2:37" ht="18" x14ac:dyDescent="0.5">
      <c r="G18" s="32">
        <f t="shared" si="0"/>
        <v>2035</v>
      </c>
      <c r="H18" s="33">
        <f t="shared" si="4"/>
        <v>2.1999999999999999E-2</v>
      </c>
      <c r="I18" s="2"/>
      <c r="J18" s="180">
        <v>84</v>
      </c>
      <c r="K18" s="199">
        <v>15.5</v>
      </c>
      <c r="L18" s="180">
        <v>101</v>
      </c>
      <c r="M18" s="199">
        <v>5.9</v>
      </c>
      <c r="N18" s="180"/>
      <c r="O18" s="199"/>
      <c r="P18" s="211"/>
      <c r="Q18" s="8"/>
      <c r="R18" s="3"/>
      <c r="S18" s="242" t="s">
        <v>62</v>
      </c>
      <c r="T18" s="243"/>
      <c r="U18" s="27"/>
      <c r="V18" s="2"/>
      <c r="W18" s="193">
        <v>8</v>
      </c>
      <c r="X18" s="215">
        <f t="shared" si="1"/>
        <v>718.81399999999996</v>
      </c>
      <c r="Y18" s="176">
        <v>1198.0239999999999</v>
      </c>
      <c r="Z18" s="185">
        <f t="shared" si="3"/>
        <v>62.304957999999992</v>
      </c>
      <c r="AA18" s="190">
        <v>0.113</v>
      </c>
    </row>
    <row r="19" spans="2:37" ht="18" x14ac:dyDescent="0.5">
      <c r="G19" s="32">
        <f t="shared" si="0"/>
        <v>2036</v>
      </c>
      <c r="H19" s="33">
        <f t="shared" si="4"/>
        <v>2.1999999999999999E-2</v>
      </c>
      <c r="I19" s="2"/>
      <c r="J19" s="180">
        <v>85</v>
      </c>
      <c r="K19" s="199">
        <v>14.8</v>
      </c>
      <c r="L19" s="180">
        <v>102</v>
      </c>
      <c r="M19" s="199">
        <v>5.5</v>
      </c>
      <c r="N19" s="180"/>
      <c r="O19" s="199"/>
      <c r="P19" s="211"/>
      <c r="Q19" s="8"/>
      <c r="R19" s="3"/>
      <c r="S19" s="3"/>
      <c r="T19" s="26"/>
      <c r="U19" s="27"/>
      <c r="V19" s="2"/>
      <c r="W19" s="194">
        <v>9</v>
      </c>
      <c r="X19" s="217">
        <f t="shared" si="1"/>
        <v>1198.0239999999999</v>
      </c>
      <c r="Y19" s="187"/>
      <c r="Z19" s="188">
        <f t="shared" si="3"/>
        <v>116.45568799999998</v>
      </c>
      <c r="AA19" s="191">
        <v>0.123</v>
      </c>
    </row>
    <row r="20" spans="2:37" s="4" customFormat="1" ht="18" x14ac:dyDescent="0.5">
      <c r="G20" s="169">
        <f t="shared" si="0"/>
        <v>2037</v>
      </c>
      <c r="H20" s="170">
        <f t="shared" si="4"/>
        <v>2.1999999999999999E-2</v>
      </c>
      <c r="J20" s="181">
        <v>86</v>
      </c>
      <c r="K20" s="200">
        <v>14.1</v>
      </c>
      <c r="L20" s="181">
        <v>103</v>
      </c>
      <c r="M20" s="200">
        <v>5.2</v>
      </c>
      <c r="N20" s="181"/>
      <c r="O20" s="200"/>
      <c r="P20" s="211"/>
      <c r="R20" s="8"/>
      <c r="S20" s="3"/>
      <c r="T20" s="3"/>
      <c r="U20" s="26"/>
      <c r="Y20" s="242" t="s">
        <v>62</v>
      </c>
      <c r="Z20" s="243"/>
    </row>
    <row r="21" spans="2:37" s="4" customFormat="1" ht="18.600000000000001" thickBot="1" x14ac:dyDescent="0.55000000000000004">
      <c r="G21" s="167"/>
      <c r="H21" s="168"/>
      <c r="P21" s="78"/>
      <c r="R21" s="8"/>
      <c r="S21" s="3"/>
      <c r="T21" s="3"/>
      <c r="U21" s="26"/>
    </row>
    <row r="22" spans="2:37" ht="15" thickBot="1" x14ac:dyDescent="0.35">
      <c r="D22" s="232" t="s">
        <v>0</v>
      </c>
      <c r="E22" s="230"/>
      <c r="F22" s="231"/>
      <c r="G22" s="230" t="s">
        <v>28</v>
      </c>
      <c r="H22" s="230"/>
      <c r="I22" s="230"/>
      <c r="J22" s="230"/>
      <c r="K22" s="231"/>
      <c r="L22" s="74" t="s">
        <v>15</v>
      </c>
      <c r="M22" s="232" t="s">
        <v>55</v>
      </c>
      <c r="N22" s="231"/>
      <c r="O22" s="232" t="s">
        <v>19</v>
      </c>
      <c r="P22" s="230"/>
      <c r="Q22" s="230"/>
      <c r="R22" s="230"/>
      <c r="S22" s="230"/>
      <c r="T22" s="230"/>
      <c r="U22" s="230"/>
      <c r="V22" s="230"/>
      <c r="W22" s="230"/>
      <c r="X22" s="230"/>
      <c r="Y22" s="230"/>
      <c r="Z22" s="230"/>
      <c r="AA22" s="230"/>
      <c r="AB22" s="230"/>
      <c r="AC22" s="230"/>
      <c r="AD22" s="231"/>
    </row>
    <row r="23" spans="2:37" hidden="1" x14ac:dyDescent="0.3"/>
    <row r="24" spans="2:37" ht="74.400000000000006" customHeight="1" thickBot="1" x14ac:dyDescent="0.35">
      <c r="B24" s="228" t="s">
        <v>62</v>
      </c>
      <c r="C24" s="229"/>
      <c r="D24" s="101" t="s">
        <v>35</v>
      </c>
      <c r="E24" s="102" t="s">
        <v>41</v>
      </c>
      <c r="F24" s="103" t="s">
        <v>16</v>
      </c>
      <c r="G24" s="101" t="s">
        <v>36</v>
      </c>
      <c r="H24" s="102" t="s">
        <v>30</v>
      </c>
      <c r="I24" s="102" t="s">
        <v>45</v>
      </c>
      <c r="J24" s="102" t="s">
        <v>31</v>
      </c>
      <c r="K24" s="103" t="s">
        <v>37</v>
      </c>
      <c r="L24" s="104" t="s">
        <v>15</v>
      </c>
      <c r="M24" s="102" t="s">
        <v>40</v>
      </c>
      <c r="N24" s="103" t="s">
        <v>17</v>
      </c>
      <c r="O24" s="102" t="s">
        <v>18</v>
      </c>
      <c r="P24" s="102" t="s">
        <v>24</v>
      </c>
      <c r="Q24" s="102" t="s">
        <v>21</v>
      </c>
      <c r="R24" s="102" t="s">
        <v>25</v>
      </c>
      <c r="S24" s="102" t="s">
        <v>42</v>
      </c>
      <c r="T24" s="102" t="s">
        <v>43</v>
      </c>
      <c r="U24" s="102" t="s">
        <v>44</v>
      </c>
      <c r="V24" s="102" t="s">
        <v>47</v>
      </c>
      <c r="W24" s="102" t="s">
        <v>48</v>
      </c>
      <c r="X24" s="102" t="s">
        <v>24</v>
      </c>
      <c r="Y24" s="102" t="s">
        <v>21</v>
      </c>
      <c r="Z24" s="102" t="s">
        <v>25</v>
      </c>
      <c r="AA24" s="102" t="s">
        <v>42</v>
      </c>
      <c r="AB24" s="102" t="s">
        <v>43</v>
      </c>
      <c r="AC24" s="102" t="s">
        <v>46</v>
      </c>
      <c r="AD24" s="103" t="s">
        <v>49</v>
      </c>
    </row>
    <row r="25" spans="2:37" x14ac:dyDescent="0.3">
      <c r="B25" s="225">
        <v>2021</v>
      </c>
      <c r="C25" s="98" t="s">
        <v>2</v>
      </c>
      <c r="D25" s="40">
        <f>E8</f>
        <v>580</v>
      </c>
      <c r="E25" s="17">
        <f>D25*$D$14/12</f>
        <v>2.9</v>
      </c>
      <c r="F25" s="17">
        <f>D25+E25-L25</f>
        <v>576.10833333333335</v>
      </c>
      <c r="G25" s="40">
        <f>E9</f>
        <v>400</v>
      </c>
      <c r="H25" s="17">
        <f>G25*$D$16/12</f>
        <v>2.6666666666666665</v>
      </c>
      <c r="I25" s="41"/>
      <c r="J25" s="41"/>
      <c r="K25" s="17">
        <f>G25+H25-J25</f>
        <v>402.66666666666669</v>
      </c>
      <c r="L25" s="10">
        <f>E11/12</f>
        <v>6.791666666666667</v>
      </c>
      <c r="M25" s="41"/>
      <c r="N25" s="10">
        <f>F25+K25</f>
        <v>978.77500000000009</v>
      </c>
      <c r="O25" s="42"/>
      <c r="P25" s="42"/>
      <c r="Q25" s="42"/>
      <c r="R25" s="42"/>
      <c r="S25" s="42"/>
      <c r="T25" s="42"/>
      <c r="U25" s="42"/>
      <c r="V25" s="42"/>
      <c r="W25" s="42"/>
      <c r="X25" s="42"/>
      <c r="Y25" s="42"/>
      <c r="Z25" s="42"/>
      <c r="AA25" s="42"/>
      <c r="AB25" s="42"/>
      <c r="AC25" s="42"/>
      <c r="AD25" s="43"/>
    </row>
    <row r="26" spans="2:37" x14ac:dyDescent="0.3">
      <c r="B26" s="226"/>
      <c r="C26" s="99" t="s">
        <v>3</v>
      </c>
      <c r="D26" s="20">
        <f>F25</f>
        <v>576.10833333333335</v>
      </c>
      <c r="E26" s="20">
        <f t="shared" ref="E26:E105" si="5">D26*$D$14/12</f>
        <v>2.8805416666666663</v>
      </c>
      <c r="F26" s="20">
        <f>D26+E26-L26</f>
        <v>572.18136111111107</v>
      </c>
      <c r="G26" s="20">
        <f>K25</f>
        <v>402.66666666666669</v>
      </c>
      <c r="H26" s="20">
        <f t="shared" ref="H26:H105" si="6">G26*$D$16/12</f>
        <v>2.6844444444444449</v>
      </c>
      <c r="I26" s="45"/>
      <c r="J26" s="45"/>
      <c r="K26" s="20">
        <f t="shared" ref="K26:K84" si="7">G26+H26-J26</f>
        <v>405.35111111111115</v>
      </c>
      <c r="L26" s="11">
        <f>L25*(1+$H$4/12)</f>
        <v>6.8075138888888889</v>
      </c>
      <c r="M26" s="45"/>
      <c r="N26" s="11">
        <f t="shared" ref="N26:N84" si="8">F26+K26</f>
        <v>977.53247222222217</v>
      </c>
      <c r="O26" s="46"/>
      <c r="P26" s="46"/>
      <c r="Q26" s="46"/>
      <c r="R26" s="46"/>
      <c r="S26" s="46"/>
      <c r="T26" s="46"/>
      <c r="U26" s="46"/>
      <c r="V26" s="46"/>
      <c r="W26" s="46"/>
      <c r="X26" s="46"/>
      <c r="Y26" s="46"/>
      <c r="Z26" s="46"/>
      <c r="AA26" s="46"/>
      <c r="AB26" s="46"/>
      <c r="AC26" s="46"/>
      <c r="AD26" s="47"/>
    </row>
    <row r="27" spans="2:37" x14ac:dyDescent="0.3">
      <c r="B27" s="226"/>
      <c r="C27" s="99" t="s">
        <v>4</v>
      </c>
      <c r="D27" s="20">
        <f>F26</f>
        <v>572.18136111111107</v>
      </c>
      <c r="E27" s="20">
        <f t="shared" si="5"/>
        <v>2.8609068055555551</v>
      </c>
      <c r="F27" s="20">
        <f t="shared" ref="F27:F84" si="9">D27+E27-L27</f>
        <v>568.21886982870376</v>
      </c>
      <c r="G27" s="20">
        <f t="shared" ref="G27:G84" si="10">K26</f>
        <v>405.35111111111115</v>
      </c>
      <c r="H27" s="20">
        <f t="shared" si="6"/>
        <v>2.7023407407407412</v>
      </c>
      <c r="I27" s="45"/>
      <c r="J27" s="45"/>
      <c r="K27" s="20">
        <f t="shared" si="7"/>
        <v>408.05345185185189</v>
      </c>
      <c r="L27" s="11">
        <f t="shared" ref="L27:L36" si="11">L26*(1+$H$4/12)</f>
        <v>6.8233980879629623</v>
      </c>
      <c r="M27" s="45"/>
      <c r="N27" s="11">
        <f t="shared" si="8"/>
        <v>976.27232168055571</v>
      </c>
      <c r="O27" s="46"/>
      <c r="P27" s="46"/>
      <c r="Q27" s="46"/>
      <c r="R27" s="46"/>
      <c r="S27" s="46"/>
      <c r="T27" s="46"/>
      <c r="U27" s="46"/>
      <c r="V27" s="46"/>
      <c r="W27" s="46"/>
      <c r="X27" s="46"/>
      <c r="Y27" s="46"/>
      <c r="Z27" s="46"/>
      <c r="AA27" s="46"/>
      <c r="AB27" s="46"/>
      <c r="AC27" s="46"/>
      <c r="AD27" s="47"/>
    </row>
    <row r="28" spans="2:37" x14ac:dyDescent="0.3">
      <c r="B28" s="226"/>
      <c r="C28" s="99" t="s">
        <v>5</v>
      </c>
      <c r="D28" s="20">
        <f t="shared" ref="D28:D84" si="12">F27</f>
        <v>568.21886982870376</v>
      </c>
      <c r="E28" s="20">
        <f t="shared" si="5"/>
        <v>2.841094349143519</v>
      </c>
      <c r="F28" s="20">
        <f t="shared" si="9"/>
        <v>564.22064482767905</v>
      </c>
      <c r="G28" s="20">
        <f t="shared" si="10"/>
        <v>408.05345185185189</v>
      </c>
      <c r="H28" s="20">
        <f t="shared" si="6"/>
        <v>2.7203563456790127</v>
      </c>
      <c r="I28" s="45"/>
      <c r="J28" s="45"/>
      <c r="K28" s="20">
        <f t="shared" si="7"/>
        <v>410.77380819753091</v>
      </c>
      <c r="L28" s="11">
        <f t="shared" si="11"/>
        <v>6.8393193501682088</v>
      </c>
      <c r="M28" s="45"/>
      <c r="N28" s="11">
        <f t="shared" si="8"/>
        <v>974.99445302520996</v>
      </c>
      <c r="O28" s="46"/>
      <c r="P28" s="46"/>
      <c r="Q28" s="46"/>
      <c r="R28" s="46"/>
      <c r="S28" s="46"/>
      <c r="T28" s="46"/>
      <c r="U28" s="46"/>
      <c r="V28" s="46"/>
      <c r="W28" s="46"/>
      <c r="X28" s="46"/>
      <c r="Y28" s="46"/>
      <c r="Z28" s="46"/>
      <c r="AA28" s="46"/>
      <c r="AB28" s="46"/>
      <c r="AC28" s="46"/>
      <c r="AD28" s="47"/>
    </row>
    <row r="29" spans="2:37" x14ac:dyDescent="0.3">
      <c r="B29" s="226"/>
      <c r="C29" s="99" t="s">
        <v>6</v>
      </c>
      <c r="D29" s="20">
        <f t="shared" si="12"/>
        <v>564.22064482767905</v>
      </c>
      <c r="E29" s="20">
        <f t="shared" si="5"/>
        <v>2.8211032241383953</v>
      </c>
      <c r="F29" s="20">
        <f t="shared" si="9"/>
        <v>560.18647028983219</v>
      </c>
      <c r="G29" s="20">
        <f t="shared" si="10"/>
        <v>410.77380819753091</v>
      </c>
      <c r="H29" s="20">
        <f t="shared" si="6"/>
        <v>2.7384920546502065</v>
      </c>
      <c r="I29" s="45"/>
      <c r="J29" s="45"/>
      <c r="K29" s="20">
        <f t="shared" si="7"/>
        <v>413.51230025218109</v>
      </c>
      <c r="L29" s="11">
        <f t="shared" si="11"/>
        <v>6.8552777619852678</v>
      </c>
      <c r="M29" s="45"/>
      <c r="N29" s="11">
        <f t="shared" si="8"/>
        <v>973.69877054201334</v>
      </c>
      <c r="O29" s="46"/>
      <c r="P29" s="46"/>
      <c r="Q29" s="46"/>
      <c r="R29" s="46"/>
      <c r="S29" s="46"/>
      <c r="T29" s="46"/>
      <c r="U29" s="46"/>
      <c r="V29" s="46"/>
      <c r="W29" s="46"/>
      <c r="X29" s="46"/>
      <c r="Y29" s="46"/>
      <c r="Z29" s="46"/>
      <c r="AA29" s="46"/>
      <c r="AB29" s="46"/>
      <c r="AC29" s="46"/>
      <c r="AD29" s="47"/>
    </row>
    <row r="30" spans="2:37" x14ac:dyDescent="0.3">
      <c r="B30" s="226"/>
      <c r="C30" s="99" t="s">
        <v>7</v>
      </c>
      <c r="D30" s="20">
        <f t="shared" si="12"/>
        <v>560.18647028983219</v>
      </c>
      <c r="E30" s="20">
        <f t="shared" si="5"/>
        <v>2.8009323514491609</v>
      </c>
      <c r="F30" s="20">
        <f t="shared" si="9"/>
        <v>556.1161292311848</v>
      </c>
      <c r="G30" s="20">
        <f t="shared" si="10"/>
        <v>413.51230025218109</v>
      </c>
      <c r="H30" s="20">
        <f t="shared" si="6"/>
        <v>2.7567486683478744</v>
      </c>
      <c r="I30" s="45"/>
      <c r="J30" s="45"/>
      <c r="K30" s="20">
        <f t="shared" si="7"/>
        <v>416.26904892052897</v>
      </c>
      <c r="L30" s="11">
        <f t="shared" si="11"/>
        <v>6.8712734100965669</v>
      </c>
      <c r="M30" s="45"/>
      <c r="N30" s="11">
        <f t="shared" si="8"/>
        <v>972.38517815171372</v>
      </c>
      <c r="O30" s="46"/>
      <c r="P30" s="46"/>
      <c r="Q30" s="46"/>
      <c r="R30" s="46"/>
      <c r="S30" s="46"/>
      <c r="T30" s="46"/>
      <c r="U30" s="46"/>
      <c r="V30" s="46"/>
      <c r="W30" s="46"/>
      <c r="X30" s="46"/>
      <c r="Y30" s="46"/>
      <c r="Z30" s="46"/>
      <c r="AA30" s="46"/>
      <c r="AB30" s="46"/>
      <c r="AC30" s="46"/>
      <c r="AD30" s="47"/>
      <c r="AF30" s="248" t="s">
        <v>60</v>
      </c>
      <c r="AG30" s="248"/>
      <c r="AH30" s="248"/>
      <c r="AI30" s="248"/>
      <c r="AJ30" s="248"/>
      <c r="AK30" s="248"/>
    </row>
    <row r="31" spans="2:37" x14ac:dyDescent="0.3">
      <c r="B31" s="226"/>
      <c r="C31" s="99" t="s">
        <v>8</v>
      </c>
      <c r="D31" s="20">
        <f t="shared" si="12"/>
        <v>556.1161292311848</v>
      </c>
      <c r="E31" s="20">
        <f t="shared" si="5"/>
        <v>2.7805806461559239</v>
      </c>
      <c r="F31" s="20">
        <f t="shared" si="9"/>
        <v>552.00940349595396</v>
      </c>
      <c r="G31" s="20">
        <f t="shared" si="10"/>
        <v>416.26904892052897</v>
      </c>
      <c r="H31" s="20">
        <f t="shared" si="6"/>
        <v>2.7751269928035267</v>
      </c>
      <c r="I31" s="45"/>
      <c r="J31" s="45"/>
      <c r="K31" s="20">
        <f t="shared" si="7"/>
        <v>419.04417591333248</v>
      </c>
      <c r="L31" s="11">
        <f t="shared" si="11"/>
        <v>6.8873063813867921</v>
      </c>
      <c r="M31" s="45"/>
      <c r="N31" s="11">
        <f t="shared" si="8"/>
        <v>971.05357940928639</v>
      </c>
      <c r="O31" s="46"/>
      <c r="P31" s="46"/>
      <c r="Q31" s="46"/>
      <c r="R31" s="46"/>
      <c r="S31" s="46"/>
      <c r="T31" s="46"/>
      <c r="U31" s="46"/>
      <c r="V31" s="46"/>
      <c r="W31" s="46"/>
      <c r="X31" s="46"/>
      <c r="Y31" s="46"/>
      <c r="Z31" s="46"/>
      <c r="AA31" s="46"/>
      <c r="AB31" s="46"/>
      <c r="AC31" s="46"/>
      <c r="AD31" s="47"/>
      <c r="AF31" s="248"/>
      <c r="AG31" s="248"/>
      <c r="AH31" s="248"/>
      <c r="AI31" s="248"/>
      <c r="AJ31" s="248"/>
      <c r="AK31" s="248"/>
    </row>
    <row r="32" spans="2:37" x14ac:dyDescent="0.3">
      <c r="B32" s="226"/>
      <c r="C32" s="99" t="s">
        <v>9</v>
      </c>
      <c r="D32" s="20">
        <f t="shared" si="12"/>
        <v>552.00940349595396</v>
      </c>
      <c r="E32" s="20">
        <f t="shared" si="5"/>
        <v>2.7600470174797693</v>
      </c>
      <c r="F32" s="20">
        <f t="shared" si="9"/>
        <v>547.86607375049039</v>
      </c>
      <c r="G32" s="20">
        <f t="shared" si="10"/>
        <v>419.04417591333248</v>
      </c>
      <c r="H32" s="20">
        <f t="shared" si="6"/>
        <v>2.7936278394222165</v>
      </c>
      <c r="I32" s="45"/>
      <c r="J32" s="45"/>
      <c r="K32" s="20">
        <f t="shared" si="7"/>
        <v>421.83780375275472</v>
      </c>
      <c r="L32" s="11">
        <f t="shared" si="11"/>
        <v>6.9033767629433607</v>
      </c>
      <c r="M32" s="45"/>
      <c r="N32" s="11">
        <f t="shared" si="8"/>
        <v>969.70387750324517</v>
      </c>
      <c r="O32" s="46"/>
      <c r="P32" s="46"/>
      <c r="Q32" s="46"/>
      <c r="R32" s="46"/>
      <c r="S32" s="46"/>
      <c r="T32" s="46"/>
      <c r="U32" s="46"/>
      <c r="V32" s="46"/>
      <c r="W32" s="46"/>
      <c r="X32" s="46"/>
      <c r="Y32" s="46"/>
      <c r="Z32" s="46"/>
      <c r="AA32" s="46"/>
      <c r="AB32" s="46"/>
      <c r="AC32" s="46"/>
      <c r="AD32" s="47"/>
      <c r="AF32" s="248"/>
      <c r="AG32" s="248"/>
      <c r="AH32" s="248"/>
      <c r="AI32" s="248"/>
      <c r="AJ32" s="248"/>
      <c r="AK32" s="248"/>
    </row>
    <row r="33" spans="2:37" x14ac:dyDescent="0.3">
      <c r="B33" s="226"/>
      <c r="C33" s="99" t="s">
        <v>10</v>
      </c>
      <c r="D33" s="20">
        <f t="shared" si="12"/>
        <v>547.86607375049039</v>
      </c>
      <c r="E33" s="20">
        <f t="shared" si="5"/>
        <v>2.7393303687524519</v>
      </c>
      <c r="F33" s="20">
        <f t="shared" si="9"/>
        <v>543.68591947718596</v>
      </c>
      <c r="G33" s="20">
        <f t="shared" si="10"/>
        <v>421.83780375275472</v>
      </c>
      <c r="H33" s="20">
        <f t="shared" si="6"/>
        <v>2.8122520250183651</v>
      </c>
      <c r="I33" s="45"/>
      <c r="J33" s="45"/>
      <c r="K33" s="20">
        <f t="shared" si="7"/>
        <v>424.6500557777731</v>
      </c>
      <c r="L33" s="11">
        <f t="shared" si="11"/>
        <v>6.9194846420568945</v>
      </c>
      <c r="M33" s="45"/>
      <c r="N33" s="11">
        <f t="shared" si="8"/>
        <v>968.33597525495907</v>
      </c>
      <c r="O33" s="46"/>
      <c r="P33" s="46"/>
      <c r="Q33" s="46"/>
      <c r="R33" s="46"/>
      <c r="S33" s="46"/>
      <c r="T33" s="46"/>
      <c r="U33" s="46"/>
      <c r="V33" s="46"/>
      <c r="W33" s="46"/>
      <c r="X33" s="46"/>
      <c r="Y33" s="46"/>
      <c r="Z33" s="46"/>
      <c r="AA33" s="46"/>
      <c r="AB33" s="46"/>
      <c r="AC33" s="46"/>
      <c r="AD33" s="47"/>
      <c r="AF33" s="248"/>
      <c r="AG33" s="248"/>
      <c r="AH33" s="248"/>
      <c r="AI33" s="248"/>
      <c r="AJ33" s="248"/>
      <c r="AK33" s="248"/>
    </row>
    <row r="34" spans="2:37" x14ac:dyDescent="0.3">
      <c r="B34" s="226"/>
      <c r="C34" s="99" t="s">
        <v>11</v>
      </c>
      <c r="D34" s="20">
        <f t="shared" si="12"/>
        <v>543.68591947718596</v>
      </c>
      <c r="E34" s="20">
        <f t="shared" si="5"/>
        <v>2.7184295973859296</v>
      </c>
      <c r="F34" s="20">
        <f t="shared" si="9"/>
        <v>539.46871896835023</v>
      </c>
      <c r="G34" s="20">
        <f t="shared" si="10"/>
        <v>424.6500557777731</v>
      </c>
      <c r="H34" s="20">
        <f t="shared" si="6"/>
        <v>2.8310003718518204</v>
      </c>
      <c r="I34" s="45"/>
      <c r="J34" s="45"/>
      <c r="K34" s="20">
        <f t="shared" si="7"/>
        <v>427.48105614962492</v>
      </c>
      <c r="L34" s="11">
        <f t="shared" si="11"/>
        <v>6.9356301062216934</v>
      </c>
      <c r="M34" s="45"/>
      <c r="N34" s="11">
        <f t="shared" si="8"/>
        <v>966.94977511797515</v>
      </c>
      <c r="O34" s="46"/>
      <c r="P34" s="46"/>
      <c r="Q34" s="46"/>
      <c r="R34" s="46"/>
      <c r="S34" s="46"/>
      <c r="T34" s="46"/>
      <c r="U34" s="46"/>
      <c r="V34" s="46"/>
      <c r="W34" s="46"/>
      <c r="X34" s="46"/>
      <c r="Y34" s="46"/>
      <c r="Z34" s="46"/>
      <c r="AA34" s="46"/>
      <c r="AB34" s="46"/>
      <c r="AC34" s="46"/>
      <c r="AD34" s="47"/>
      <c r="AF34" s="248"/>
      <c r="AG34" s="248"/>
      <c r="AH34" s="248"/>
      <c r="AI34" s="248"/>
      <c r="AJ34" s="248"/>
      <c r="AK34" s="248"/>
    </row>
    <row r="35" spans="2:37" x14ac:dyDescent="0.3">
      <c r="B35" s="226"/>
      <c r="C35" s="99" t="s">
        <v>12</v>
      </c>
      <c r="D35" s="20">
        <f t="shared" si="12"/>
        <v>539.46871896835023</v>
      </c>
      <c r="E35" s="20">
        <f t="shared" si="5"/>
        <v>2.697343594841751</v>
      </c>
      <c r="F35" s="20">
        <f t="shared" si="9"/>
        <v>535.21424932005573</v>
      </c>
      <c r="G35" s="20">
        <f t="shared" si="10"/>
        <v>427.48105614962492</v>
      </c>
      <c r="H35" s="20">
        <f t="shared" si="6"/>
        <v>2.849873707664166</v>
      </c>
      <c r="I35" s="45"/>
      <c r="J35" s="45"/>
      <c r="K35" s="20">
        <f t="shared" si="7"/>
        <v>430.33092985728911</v>
      </c>
      <c r="L35" s="11">
        <f t="shared" si="11"/>
        <v>6.9518132431362103</v>
      </c>
      <c r="M35" s="45"/>
      <c r="N35" s="11">
        <f t="shared" si="8"/>
        <v>965.54517917734483</v>
      </c>
      <c r="O35" s="46"/>
      <c r="P35" s="46"/>
      <c r="Q35" s="46"/>
      <c r="R35" s="46"/>
      <c r="S35" s="46"/>
      <c r="T35" s="46"/>
      <c r="U35" s="46"/>
      <c r="V35" s="46"/>
      <c r="W35" s="46"/>
      <c r="X35" s="46"/>
      <c r="Y35" s="46"/>
      <c r="Z35" s="46"/>
      <c r="AA35" s="46"/>
      <c r="AB35" s="46"/>
      <c r="AC35" s="46"/>
      <c r="AD35" s="47"/>
      <c r="AF35" s="248"/>
      <c r="AG35" s="248"/>
      <c r="AH35" s="248"/>
      <c r="AI35" s="248"/>
      <c r="AJ35" s="248"/>
      <c r="AK35" s="248"/>
    </row>
    <row r="36" spans="2:37" ht="15" thickBot="1" x14ac:dyDescent="0.35">
      <c r="B36" s="227"/>
      <c r="C36" s="100" t="s">
        <v>13</v>
      </c>
      <c r="D36" s="13">
        <f t="shared" si="12"/>
        <v>535.21424932005573</v>
      </c>
      <c r="E36" s="13">
        <f t="shared" si="5"/>
        <v>2.6760712466002783</v>
      </c>
      <c r="F36" s="13">
        <f t="shared" si="9"/>
        <v>530.92228642595251</v>
      </c>
      <c r="G36" s="13">
        <f t="shared" si="10"/>
        <v>430.33092985728911</v>
      </c>
      <c r="H36" s="13">
        <f t="shared" si="6"/>
        <v>2.8688728657152609</v>
      </c>
      <c r="I36" s="48"/>
      <c r="J36" s="48"/>
      <c r="K36" s="13">
        <f t="shared" si="7"/>
        <v>433.19980272300438</v>
      </c>
      <c r="L36" s="16">
        <f t="shared" si="11"/>
        <v>6.9680341407035282</v>
      </c>
      <c r="M36" s="48"/>
      <c r="N36" s="16">
        <f t="shared" si="8"/>
        <v>964.12208914895689</v>
      </c>
      <c r="O36" s="49">
        <f>SUM(E25:E36)</f>
        <v>33.4763808681694</v>
      </c>
      <c r="P36" s="50">
        <f>VLOOKUP(O36,$R$11:$T$17,3,TRUE)</f>
        <v>1.99</v>
      </c>
      <c r="Q36" s="50">
        <f t="shared" ref="Q36" si="13">VLOOKUP(O36,$R$11:$S$17,1,TRUE)</f>
        <v>19.899999999999999</v>
      </c>
      <c r="R36" s="50">
        <f t="shared" ref="R36" si="14">O36-Q36</f>
        <v>13.576380868169402</v>
      </c>
      <c r="S36" s="51">
        <f t="shared" ref="S36" si="15">VLOOKUP(O36,$R$11:$U$17,4,TRUE)</f>
        <v>0.12</v>
      </c>
      <c r="T36" s="50">
        <f t="shared" ref="T36" si="16">R36*S36</f>
        <v>1.629165704180328</v>
      </c>
      <c r="U36" s="50">
        <f t="shared" ref="U36" si="17">P36+T36</f>
        <v>3.619165704180328</v>
      </c>
      <c r="V36" s="50">
        <f t="shared" ref="V36" si="18">IF(AC36&gt;AD36,AD36,AC36)</f>
        <v>0.49088761736338804</v>
      </c>
      <c r="W36" s="56" t="str">
        <f t="shared" ref="W36" si="19">IF(AC36&gt;AD36,$V$15,$V$16)</f>
        <v>California</v>
      </c>
      <c r="X36" s="50">
        <f t="shared" ref="X36" si="20">VLOOKUP(O36,$X$11:$Z$19,3,TRUE)</f>
        <v>0.17864000000000002</v>
      </c>
      <c r="Y36" s="50">
        <f t="shared" ref="Y36" si="21">VLOOKUP(O36,$X$11:$Y$19,1,TRUE)</f>
        <v>17.864000000000001</v>
      </c>
      <c r="Z36" s="50">
        <f t="shared" ref="Z36" si="22">O36-Y36</f>
        <v>15.612380868169399</v>
      </c>
      <c r="AA36" s="51">
        <f t="shared" ref="AA36" si="23">VLOOKUP(O36,$X$11:$AA$19,4,TRUE)</f>
        <v>0.02</v>
      </c>
      <c r="AB36" s="50">
        <f t="shared" ref="AB36" si="24">Z36*AA36</f>
        <v>0.31224761736338802</v>
      </c>
      <c r="AC36" s="50">
        <f t="shared" ref="AC36" si="25">X36+AB36</f>
        <v>0.49088761736338804</v>
      </c>
      <c r="AD36" s="52">
        <f t="shared" ref="AD36" si="26">O36*$AD$9</f>
        <v>1.6738190434084701</v>
      </c>
      <c r="AF36" s="248"/>
      <c r="AG36" s="248"/>
      <c r="AH36" s="248"/>
      <c r="AI36" s="248"/>
      <c r="AJ36" s="248"/>
      <c r="AK36" s="248"/>
    </row>
    <row r="37" spans="2:37" s="78" customFormat="1" ht="15" thickBot="1" x14ac:dyDescent="0.35">
      <c r="B37" s="113"/>
      <c r="C37" s="122" t="s">
        <v>26</v>
      </c>
      <c r="D37" s="115"/>
      <c r="E37" s="123">
        <f>SUM(E25:E36)</f>
        <v>33.4763808681694</v>
      </c>
      <c r="F37" s="115"/>
      <c r="G37" s="115"/>
      <c r="H37" s="123">
        <f>SUM(H25:H36)</f>
        <v>33.199802723004304</v>
      </c>
      <c r="I37" s="116"/>
      <c r="J37" s="116"/>
      <c r="K37" s="115"/>
      <c r="L37" s="124">
        <f>SUM(L25:L36)</f>
        <v>82.55409444221705</v>
      </c>
      <c r="M37" s="116"/>
      <c r="N37" s="116"/>
      <c r="O37" s="117"/>
      <c r="P37" s="118"/>
      <c r="Q37" s="118"/>
      <c r="R37" s="118"/>
      <c r="S37" s="119"/>
      <c r="T37" s="118"/>
      <c r="U37" s="118"/>
      <c r="V37" s="118"/>
      <c r="W37" s="120"/>
      <c r="X37" s="118"/>
      <c r="Y37" s="118"/>
      <c r="Z37" s="118"/>
      <c r="AA37" s="119"/>
      <c r="AB37" s="118"/>
      <c r="AC37" s="118"/>
      <c r="AD37" s="121"/>
    </row>
    <row r="38" spans="2:37" s="39" customFormat="1" ht="15" thickBot="1" x14ac:dyDescent="0.35">
      <c r="B38" s="87"/>
      <c r="C38" s="88"/>
      <c r="D38" s="89"/>
      <c r="E38" s="89"/>
      <c r="F38" s="89"/>
      <c r="G38" s="89"/>
      <c r="H38" s="89"/>
      <c r="I38" s="90"/>
      <c r="J38" s="90"/>
      <c r="K38" s="89"/>
      <c r="L38" s="90"/>
      <c r="M38" s="90"/>
      <c r="N38" s="90"/>
      <c r="O38" s="91"/>
      <c r="P38" s="92"/>
      <c r="Q38" s="92"/>
      <c r="R38" s="92"/>
      <c r="S38" s="93"/>
      <c r="T38" s="92"/>
      <c r="U38" s="92"/>
      <c r="V38" s="92"/>
      <c r="W38" s="94"/>
      <c r="X38" s="92"/>
      <c r="Y38" s="92"/>
      <c r="Z38" s="92"/>
      <c r="AA38" s="93"/>
      <c r="AB38" s="92"/>
      <c r="AC38" s="92"/>
      <c r="AD38" s="92"/>
    </row>
    <row r="39" spans="2:37" s="4" customFormat="1" ht="15" thickBot="1" x14ac:dyDescent="0.35">
      <c r="B39" s="79"/>
      <c r="C39" s="44"/>
      <c r="D39" s="232" t="s">
        <v>0</v>
      </c>
      <c r="E39" s="230"/>
      <c r="F39" s="231"/>
      <c r="G39" s="232" t="s">
        <v>28</v>
      </c>
      <c r="H39" s="230"/>
      <c r="I39" s="230"/>
      <c r="J39" s="230"/>
      <c r="K39" s="231"/>
      <c r="L39" s="76" t="s">
        <v>15</v>
      </c>
      <c r="M39" s="232" t="s">
        <v>55</v>
      </c>
      <c r="N39" s="231"/>
      <c r="O39" s="232" t="s">
        <v>19</v>
      </c>
      <c r="P39" s="230"/>
      <c r="Q39" s="230"/>
      <c r="R39" s="230"/>
      <c r="S39" s="230"/>
      <c r="T39" s="230"/>
      <c r="U39" s="230"/>
      <c r="V39" s="230"/>
      <c r="W39" s="230"/>
      <c r="X39" s="230"/>
      <c r="Y39" s="230"/>
      <c r="Z39" s="230"/>
      <c r="AA39" s="230"/>
      <c r="AB39" s="230"/>
      <c r="AC39" s="230"/>
      <c r="AD39" s="231"/>
    </row>
    <row r="40" spans="2:37" s="4" customFormat="1" ht="58.2" thickBot="1" x14ac:dyDescent="0.35">
      <c r="B40" s="228" t="s">
        <v>62</v>
      </c>
      <c r="C40" s="229"/>
      <c r="D40" s="105" t="s">
        <v>35</v>
      </c>
      <c r="E40" s="106" t="s">
        <v>41</v>
      </c>
      <c r="F40" s="107" t="s">
        <v>16</v>
      </c>
      <c r="G40" s="105" t="s">
        <v>36</v>
      </c>
      <c r="H40" s="106" t="s">
        <v>30</v>
      </c>
      <c r="I40" s="106" t="s">
        <v>45</v>
      </c>
      <c r="J40" s="106" t="s">
        <v>31</v>
      </c>
      <c r="K40" s="107" t="s">
        <v>37</v>
      </c>
      <c r="L40" s="108" t="s">
        <v>15</v>
      </c>
      <c r="M40" s="109" t="s">
        <v>14</v>
      </c>
      <c r="N40" s="109" t="s">
        <v>17</v>
      </c>
      <c r="O40" s="110" t="s">
        <v>18</v>
      </c>
      <c r="P40" s="111" t="s">
        <v>24</v>
      </c>
      <c r="Q40" s="111" t="s">
        <v>21</v>
      </c>
      <c r="R40" s="111" t="s">
        <v>25</v>
      </c>
      <c r="S40" s="111" t="s">
        <v>42</v>
      </c>
      <c r="T40" s="111" t="s">
        <v>43</v>
      </c>
      <c r="U40" s="111" t="s">
        <v>44</v>
      </c>
      <c r="V40" s="111" t="s">
        <v>47</v>
      </c>
      <c r="W40" s="111" t="s">
        <v>48</v>
      </c>
      <c r="X40" s="111" t="s">
        <v>24</v>
      </c>
      <c r="Y40" s="111" t="s">
        <v>21</v>
      </c>
      <c r="Z40" s="111" t="s">
        <v>25</v>
      </c>
      <c r="AA40" s="111" t="s">
        <v>42</v>
      </c>
      <c r="AB40" s="111" t="s">
        <v>43</v>
      </c>
      <c r="AC40" s="111" t="s">
        <v>46</v>
      </c>
      <c r="AD40" s="112" t="s">
        <v>49</v>
      </c>
    </row>
    <row r="41" spans="2:37" x14ac:dyDescent="0.3">
      <c r="B41" s="225">
        <v>2022</v>
      </c>
      <c r="C41" s="98" t="s">
        <v>2</v>
      </c>
      <c r="D41" s="17">
        <f>F36</f>
        <v>530.92228642595251</v>
      </c>
      <c r="E41" s="17">
        <f t="shared" si="5"/>
        <v>2.6546114321297627</v>
      </c>
      <c r="F41" s="17">
        <f t="shared" si="9"/>
        <v>526.59725032714425</v>
      </c>
      <c r="G41" s="17">
        <f>K36</f>
        <v>433.19980272300438</v>
      </c>
      <c r="H41" s="17">
        <f t="shared" si="6"/>
        <v>2.8879986848200292</v>
      </c>
      <c r="I41" s="41"/>
      <c r="J41" s="41"/>
      <c r="K41" s="17">
        <f t="shared" si="7"/>
        <v>436.08780140782443</v>
      </c>
      <c r="L41" s="10">
        <f>L36*(1+$H$5/12)</f>
        <v>6.9796475309380348</v>
      </c>
      <c r="M41" s="41"/>
      <c r="N41" s="10">
        <f t="shared" si="8"/>
        <v>962.68505173496874</v>
      </c>
      <c r="O41" s="57"/>
      <c r="P41" s="42"/>
      <c r="Q41" s="42"/>
      <c r="R41" s="42"/>
      <c r="S41" s="42"/>
      <c r="T41" s="42"/>
      <c r="U41" s="42"/>
      <c r="V41" s="42"/>
      <c r="W41" s="42"/>
      <c r="X41" s="42"/>
      <c r="Y41" s="42"/>
      <c r="Z41" s="42"/>
      <c r="AA41" s="42"/>
      <c r="AB41" s="42"/>
      <c r="AC41" s="42"/>
      <c r="AD41" s="43"/>
    </row>
    <row r="42" spans="2:37" x14ac:dyDescent="0.3">
      <c r="B42" s="226"/>
      <c r="C42" s="99" t="s">
        <v>3</v>
      </c>
      <c r="D42" s="20">
        <f t="shared" si="12"/>
        <v>526.59725032714425</v>
      </c>
      <c r="E42" s="20">
        <f t="shared" si="5"/>
        <v>2.6329862516357214</v>
      </c>
      <c r="F42" s="20">
        <f t="shared" si="9"/>
        <v>522.23895630195705</v>
      </c>
      <c r="G42" s="20">
        <f t="shared" si="10"/>
        <v>436.08780140782443</v>
      </c>
      <c r="H42" s="20">
        <f t="shared" si="6"/>
        <v>2.9072520093854965</v>
      </c>
      <c r="I42" s="45"/>
      <c r="J42" s="45"/>
      <c r="K42" s="20">
        <f t="shared" si="7"/>
        <v>438.99505341720993</v>
      </c>
      <c r="L42" s="11">
        <f t="shared" ref="L42:L52" si="27">L41*(1+$H$5/12)</f>
        <v>6.9912802768229314</v>
      </c>
      <c r="M42" s="45"/>
      <c r="N42" s="11">
        <f t="shared" si="8"/>
        <v>961.23400971916703</v>
      </c>
      <c r="O42" s="58"/>
      <c r="P42" s="46"/>
      <c r="Q42" s="46"/>
      <c r="R42" s="46"/>
      <c r="S42" s="46"/>
      <c r="T42" s="46"/>
      <c r="U42" s="46"/>
      <c r="V42" s="46"/>
      <c r="W42" s="46"/>
      <c r="X42" s="46"/>
      <c r="Y42" s="46"/>
      <c r="Z42" s="46"/>
      <c r="AA42" s="46"/>
      <c r="AB42" s="46"/>
      <c r="AC42" s="46"/>
      <c r="AD42" s="47"/>
    </row>
    <row r="43" spans="2:37" x14ac:dyDescent="0.3">
      <c r="B43" s="226"/>
      <c r="C43" s="99" t="s">
        <v>4</v>
      </c>
      <c r="D43" s="20">
        <f t="shared" si="12"/>
        <v>522.23895630195705</v>
      </c>
      <c r="E43" s="20">
        <f t="shared" si="5"/>
        <v>2.6111947815097851</v>
      </c>
      <c r="F43" s="20">
        <f>D43+E43-L43-M43</f>
        <v>513.73716535130552</v>
      </c>
      <c r="G43" s="20">
        <f>K42</f>
        <v>438.99505341720993</v>
      </c>
      <c r="H43" s="20">
        <f t="shared" si="6"/>
        <v>2.926633689448066</v>
      </c>
      <c r="I43" s="45"/>
      <c r="J43" s="45"/>
      <c r="K43" s="20">
        <f t="shared" si="7"/>
        <v>441.921687106658</v>
      </c>
      <c r="L43" s="11">
        <f t="shared" si="27"/>
        <v>7.0029324106176363</v>
      </c>
      <c r="M43" s="59">
        <f>U36+V36</f>
        <v>4.1100533215437158</v>
      </c>
      <c r="N43" s="11">
        <f t="shared" si="8"/>
        <v>955.65885245796358</v>
      </c>
      <c r="O43" s="58"/>
      <c r="P43" s="46"/>
      <c r="Q43" s="46"/>
      <c r="R43" s="46"/>
      <c r="S43" s="46"/>
      <c r="T43" s="46"/>
      <c r="U43" s="46"/>
      <c r="V43" s="46"/>
      <c r="W43" s="46"/>
      <c r="X43" s="46"/>
      <c r="Y43" s="46"/>
      <c r="Z43" s="46"/>
      <c r="AA43" s="46"/>
      <c r="AB43" s="46"/>
      <c r="AC43" s="46"/>
      <c r="AD43" s="47"/>
    </row>
    <row r="44" spans="2:37" x14ac:dyDescent="0.3">
      <c r="B44" s="226"/>
      <c r="C44" s="99" t="s">
        <v>5</v>
      </c>
      <c r="D44" s="20">
        <f t="shared" si="12"/>
        <v>513.73716535130552</v>
      </c>
      <c r="E44" s="20">
        <f t="shared" si="5"/>
        <v>2.5686858267565276</v>
      </c>
      <c r="F44" s="20">
        <f t="shared" si="9"/>
        <v>509.29124721342674</v>
      </c>
      <c r="G44" s="20">
        <f t="shared" si="10"/>
        <v>441.921687106658</v>
      </c>
      <c r="H44" s="20">
        <f t="shared" si="6"/>
        <v>2.9461445807110533</v>
      </c>
      <c r="I44" s="45"/>
      <c r="J44" s="45"/>
      <c r="K44" s="20">
        <f t="shared" si="7"/>
        <v>444.86783168736906</v>
      </c>
      <c r="L44" s="11">
        <f>L43*(1+$H$5/12)</f>
        <v>7.0146039646353326</v>
      </c>
      <c r="M44" s="45"/>
      <c r="N44" s="11">
        <f t="shared" si="8"/>
        <v>954.15907890079575</v>
      </c>
      <c r="O44" s="58"/>
      <c r="P44" s="46"/>
      <c r="Q44" s="46"/>
      <c r="R44" s="46"/>
      <c r="S44" s="46"/>
      <c r="T44" s="46"/>
      <c r="U44" s="46"/>
      <c r="V44" s="46"/>
      <c r="W44" s="46"/>
      <c r="X44" s="46"/>
      <c r="Y44" s="46"/>
      <c r="Z44" s="46"/>
      <c r="AA44" s="46"/>
      <c r="AB44" s="46"/>
      <c r="AC44" s="46"/>
      <c r="AD44" s="47"/>
    </row>
    <row r="45" spans="2:37" x14ac:dyDescent="0.3">
      <c r="B45" s="226"/>
      <c r="C45" s="99" t="s">
        <v>6</v>
      </c>
      <c r="D45" s="20">
        <f t="shared" si="12"/>
        <v>509.29124721342674</v>
      </c>
      <c r="E45" s="20">
        <f t="shared" si="5"/>
        <v>2.5464562360671334</v>
      </c>
      <c r="F45" s="20">
        <f t="shared" si="9"/>
        <v>504.81140847825083</v>
      </c>
      <c r="G45" s="20">
        <f t="shared" si="10"/>
        <v>444.86783168736906</v>
      </c>
      <c r="H45" s="20">
        <f t="shared" si="6"/>
        <v>2.9657855445824608</v>
      </c>
      <c r="I45" s="45"/>
      <c r="J45" s="45"/>
      <c r="K45" s="20">
        <f t="shared" si="7"/>
        <v>447.83361723195151</v>
      </c>
      <c r="L45" s="11">
        <f t="shared" si="27"/>
        <v>7.0262949712430585</v>
      </c>
      <c r="M45" s="45"/>
      <c r="N45" s="11">
        <f t="shared" si="8"/>
        <v>952.64502571020239</v>
      </c>
      <c r="O45" s="58"/>
      <c r="P45" s="46"/>
      <c r="Q45" s="46"/>
      <c r="R45" s="46"/>
      <c r="S45" s="46"/>
      <c r="T45" s="46"/>
      <c r="U45" s="46"/>
      <c r="V45" s="46"/>
      <c r="W45" s="46"/>
      <c r="X45" s="46"/>
      <c r="Y45" s="46"/>
      <c r="Z45" s="46"/>
      <c r="AA45" s="46"/>
      <c r="AB45" s="46"/>
      <c r="AC45" s="46"/>
      <c r="AD45" s="47"/>
    </row>
    <row r="46" spans="2:37" x14ac:dyDescent="0.3">
      <c r="B46" s="226"/>
      <c r="C46" s="99" t="s">
        <v>7</v>
      </c>
      <c r="D46" s="20">
        <f t="shared" si="12"/>
        <v>504.81140847825083</v>
      </c>
      <c r="E46" s="20">
        <f t="shared" si="5"/>
        <v>2.5240570423912541</v>
      </c>
      <c r="F46" s="20">
        <f t="shared" si="9"/>
        <v>500.29746005778026</v>
      </c>
      <c r="G46" s="20">
        <f t="shared" si="10"/>
        <v>447.83361723195151</v>
      </c>
      <c r="H46" s="20">
        <f t="shared" si="6"/>
        <v>2.9855574482130098</v>
      </c>
      <c r="I46" s="45"/>
      <c r="J46" s="45"/>
      <c r="K46" s="20">
        <f t="shared" si="7"/>
        <v>450.81917468016451</v>
      </c>
      <c r="L46" s="11">
        <f t="shared" si="27"/>
        <v>7.038005462861797</v>
      </c>
      <c r="M46" s="45"/>
      <c r="N46" s="11">
        <f t="shared" si="8"/>
        <v>951.11663473794476</v>
      </c>
      <c r="O46" s="58"/>
      <c r="P46" s="46"/>
      <c r="Q46" s="46"/>
      <c r="R46" s="46"/>
      <c r="S46" s="46"/>
      <c r="T46" s="46"/>
      <c r="U46" s="46"/>
      <c r="V46" s="46"/>
      <c r="W46" s="46"/>
      <c r="X46" s="46"/>
      <c r="Y46" s="46"/>
      <c r="Z46" s="46"/>
      <c r="AA46" s="46"/>
      <c r="AB46" s="46"/>
      <c r="AC46" s="46"/>
      <c r="AD46" s="47"/>
    </row>
    <row r="47" spans="2:37" x14ac:dyDescent="0.3">
      <c r="B47" s="226"/>
      <c r="C47" s="99" t="s">
        <v>8</v>
      </c>
      <c r="D47" s="20">
        <f t="shared" si="12"/>
        <v>500.29746005778026</v>
      </c>
      <c r="E47" s="20">
        <f t="shared" si="5"/>
        <v>2.5014873002889013</v>
      </c>
      <c r="F47" s="20">
        <f t="shared" si="9"/>
        <v>495.74921188610256</v>
      </c>
      <c r="G47" s="20">
        <f t="shared" si="10"/>
        <v>450.81917468016451</v>
      </c>
      <c r="H47" s="20">
        <f t="shared" si="6"/>
        <v>3.0054611645344305</v>
      </c>
      <c r="I47" s="45"/>
      <c r="J47" s="45"/>
      <c r="K47" s="20">
        <f t="shared" si="7"/>
        <v>453.82463584469895</v>
      </c>
      <c r="L47" s="11">
        <f t="shared" si="27"/>
        <v>7.0497354719665672</v>
      </c>
      <c r="M47" s="45"/>
      <c r="N47" s="11">
        <f t="shared" si="8"/>
        <v>949.5738477308015</v>
      </c>
      <c r="O47" s="58"/>
      <c r="P47" s="46"/>
      <c r="Q47" s="46"/>
      <c r="R47" s="46"/>
      <c r="S47" s="46"/>
      <c r="T47" s="46"/>
      <c r="U47" s="46"/>
      <c r="V47" s="46"/>
      <c r="W47" s="46"/>
      <c r="X47" s="46"/>
      <c r="Y47" s="46"/>
      <c r="Z47" s="46"/>
      <c r="AA47" s="46"/>
      <c r="AB47" s="46"/>
      <c r="AC47" s="46"/>
      <c r="AD47" s="47"/>
    </row>
    <row r="48" spans="2:37" x14ac:dyDescent="0.3">
      <c r="B48" s="226"/>
      <c r="C48" s="99" t="s">
        <v>9</v>
      </c>
      <c r="D48" s="20">
        <f t="shared" si="12"/>
        <v>495.74921188610256</v>
      </c>
      <c r="E48" s="20">
        <f t="shared" si="5"/>
        <v>2.4787460594305126</v>
      </c>
      <c r="F48" s="20">
        <f t="shared" si="9"/>
        <v>491.16647291444656</v>
      </c>
      <c r="G48" s="20">
        <f t="shared" si="10"/>
        <v>453.82463584469895</v>
      </c>
      <c r="H48" s="20">
        <f t="shared" si="6"/>
        <v>3.0254975722979931</v>
      </c>
      <c r="I48" s="45"/>
      <c r="J48" s="45"/>
      <c r="K48" s="20">
        <f t="shared" si="7"/>
        <v>456.85013341699693</v>
      </c>
      <c r="L48" s="11">
        <f t="shared" si="27"/>
        <v>7.0614850310865114</v>
      </c>
      <c r="M48" s="45"/>
      <c r="N48" s="11">
        <f t="shared" si="8"/>
        <v>948.01660633144343</v>
      </c>
      <c r="O48" s="58"/>
      <c r="P48" s="46"/>
      <c r="Q48" s="46"/>
      <c r="R48" s="46"/>
      <c r="S48" s="46"/>
      <c r="T48" s="46"/>
      <c r="U48" s="46"/>
      <c r="V48" s="46"/>
      <c r="W48" s="46"/>
      <c r="X48" s="46"/>
      <c r="Y48" s="46"/>
      <c r="Z48" s="46"/>
      <c r="AA48" s="46"/>
      <c r="AB48" s="46"/>
      <c r="AC48" s="46"/>
      <c r="AD48" s="47"/>
    </row>
    <row r="49" spans="2:30" x14ac:dyDescent="0.3">
      <c r="B49" s="226"/>
      <c r="C49" s="99" t="s">
        <v>10</v>
      </c>
      <c r="D49" s="20">
        <f t="shared" si="12"/>
        <v>491.16647291444656</v>
      </c>
      <c r="E49" s="20">
        <f t="shared" si="5"/>
        <v>2.4558323645722324</v>
      </c>
      <c r="F49" s="20">
        <f t="shared" si="9"/>
        <v>486.54905110621382</v>
      </c>
      <c r="G49" s="20">
        <f t="shared" si="10"/>
        <v>456.85013341699693</v>
      </c>
      <c r="H49" s="20">
        <f>G49*$D$16/12</f>
        <v>3.0456675561133131</v>
      </c>
      <c r="I49" s="45"/>
      <c r="J49" s="45"/>
      <c r="K49" s="20">
        <f t="shared" si="7"/>
        <v>459.89580097311023</v>
      </c>
      <c r="L49" s="11">
        <f t="shared" si="27"/>
        <v>7.0732541728049894</v>
      </c>
      <c r="M49" s="45"/>
      <c r="N49" s="11">
        <f t="shared" si="8"/>
        <v>946.44485207932405</v>
      </c>
      <c r="O49" s="58"/>
      <c r="P49" s="46"/>
      <c r="Q49" s="46"/>
      <c r="R49" s="46"/>
      <c r="S49" s="46"/>
      <c r="T49" s="46"/>
      <c r="U49" s="46"/>
      <c r="V49" s="46"/>
      <c r="W49" s="46"/>
      <c r="X49" s="46"/>
      <c r="Y49" s="46"/>
      <c r="Z49" s="46"/>
      <c r="AA49" s="46"/>
      <c r="AB49" s="46"/>
      <c r="AC49" s="46"/>
      <c r="AD49" s="47"/>
    </row>
    <row r="50" spans="2:30" x14ac:dyDescent="0.3">
      <c r="B50" s="226"/>
      <c r="C50" s="99" t="s">
        <v>11</v>
      </c>
      <c r="D50" s="20">
        <f t="shared" si="12"/>
        <v>486.54905110621382</v>
      </c>
      <c r="E50" s="20">
        <f t="shared" si="5"/>
        <v>2.4327452555310689</v>
      </c>
      <c r="F50" s="20">
        <f t="shared" si="9"/>
        <v>481.89675343198525</v>
      </c>
      <c r="G50" s="20">
        <f t="shared" si="10"/>
        <v>459.89580097311023</v>
      </c>
      <c r="H50" s="20">
        <f t="shared" si="6"/>
        <v>3.0659720064874016</v>
      </c>
      <c r="I50" s="45"/>
      <c r="J50" s="45"/>
      <c r="K50" s="20">
        <f t="shared" si="7"/>
        <v>462.96177297959764</v>
      </c>
      <c r="L50" s="11">
        <f t="shared" si="27"/>
        <v>7.0850429297596644</v>
      </c>
      <c r="M50" s="45"/>
      <c r="N50" s="11">
        <f t="shared" si="8"/>
        <v>944.85852641158294</v>
      </c>
      <c r="O50" s="58"/>
      <c r="P50" s="46"/>
      <c r="Q50" s="46"/>
      <c r="R50" s="46"/>
      <c r="S50" s="46"/>
      <c r="T50" s="46"/>
      <c r="U50" s="46"/>
      <c r="V50" s="46"/>
      <c r="W50" s="46"/>
      <c r="X50" s="46"/>
      <c r="Y50" s="46"/>
      <c r="Z50" s="46"/>
      <c r="AA50" s="46"/>
      <c r="AB50" s="46"/>
      <c r="AC50" s="46"/>
      <c r="AD50" s="47"/>
    </row>
    <row r="51" spans="2:30" x14ac:dyDescent="0.3">
      <c r="B51" s="226"/>
      <c r="C51" s="99" t="s">
        <v>12</v>
      </c>
      <c r="D51" s="20">
        <f t="shared" si="12"/>
        <v>481.89675343198525</v>
      </c>
      <c r="E51" s="20">
        <f t="shared" si="5"/>
        <v>2.4094837671599261</v>
      </c>
      <c r="F51" s="20">
        <f t="shared" si="9"/>
        <v>477.20938586450256</v>
      </c>
      <c r="G51" s="20">
        <f t="shared" si="10"/>
        <v>462.96177297959764</v>
      </c>
      <c r="H51" s="20">
        <f t="shared" si="6"/>
        <v>3.0864118198639843</v>
      </c>
      <c r="I51" s="45"/>
      <c r="J51" s="45"/>
      <c r="K51" s="20">
        <f t="shared" si="7"/>
        <v>466.04818479946164</v>
      </c>
      <c r="L51" s="11">
        <f t="shared" si="27"/>
        <v>7.0968513346425972</v>
      </c>
      <c r="M51" s="45"/>
      <c r="N51" s="11">
        <f t="shared" si="8"/>
        <v>943.2575706639642</v>
      </c>
      <c r="O51" s="58"/>
      <c r="P51" s="46"/>
      <c r="Q51" s="46"/>
      <c r="R51" s="46"/>
      <c r="S51" s="46"/>
      <c r="T51" s="46"/>
      <c r="U51" s="46"/>
      <c r="V51" s="46"/>
      <c r="W51" s="46"/>
      <c r="X51" s="46"/>
      <c r="Y51" s="46"/>
      <c r="Z51" s="46"/>
      <c r="AA51" s="46"/>
      <c r="AB51" s="46"/>
      <c r="AC51" s="46"/>
      <c r="AD51" s="47"/>
    </row>
    <row r="52" spans="2:30" ht="15" thickBot="1" x14ac:dyDescent="0.35">
      <c r="B52" s="227"/>
      <c r="C52" s="100" t="s">
        <v>13</v>
      </c>
      <c r="D52" s="13">
        <f t="shared" si="12"/>
        <v>477.20938586450256</v>
      </c>
      <c r="E52" s="13">
        <f t="shared" si="5"/>
        <v>2.3860469293225126</v>
      </c>
      <c r="F52" s="13">
        <f t="shared" si="9"/>
        <v>472.48675337362471</v>
      </c>
      <c r="G52" s="13">
        <f t="shared" si="10"/>
        <v>466.04818479946164</v>
      </c>
      <c r="H52" s="13">
        <f t="shared" si="6"/>
        <v>3.1069878986630779</v>
      </c>
      <c r="I52" s="48"/>
      <c r="J52" s="48"/>
      <c r="K52" s="13">
        <f t="shared" si="7"/>
        <v>469.15517269812472</v>
      </c>
      <c r="L52" s="16">
        <f t="shared" si="27"/>
        <v>7.1086794202003354</v>
      </c>
      <c r="M52" s="48"/>
      <c r="N52" s="16">
        <f t="shared" si="8"/>
        <v>941.64192607174937</v>
      </c>
      <c r="O52" s="69">
        <f>SUM(E41:E52)</f>
        <v>30.202333246795334</v>
      </c>
      <c r="P52" s="50">
        <f t="shared" ref="P52:P100" si="28">VLOOKUP(O52,$R$11:$T$17,3,TRUE)</f>
        <v>1.99</v>
      </c>
      <c r="Q52" s="50">
        <f t="shared" ref="Q52" si="29">VLOOKUP(O52,$R$11:$S$17,1,TRUE)</f>
        <v>19.899999999999999</v>
      </c>
      <c r="R52" s="50">
        <f t="shared" ref="R52" si="30">O52-Q52</f>
        <v>10.302333246795335</v>
      </c>
      <c r="S52" s="51">
        <f t="shared" ref="S52" si="31">VLOOKUP(O52,$R$11:$U$17,4,TRUE)</f>
        <v>0.12</v>
      </c>
      <c r="T52" s="50">
        <f t="shared" ref="T52" si="32">R52*S52</f>
        <v>1.2362799896154402</v>
      </c>
      <c r="U52" s="50">
        <f t="shared" ref="U52" si="33">P52+T52</f>
        <v>3.2262799896154402</v>
      </c>
      <c r="V52" s="50">
        <f t="shared" ref="V52" si="34">IF(AC52&gt;AD52,AD52,AC52)</f>
        <v>0.42540666493590668</v>
      </c>
      <c r="W52" s="56" t="str">
        <f t="shared" ref="W52" si="35">IF(AC52&gt;AD52,$V$15,$V$16)</f>
        <v>California</v>
      </c>
      <c r="X52" s="50">
        <f t="shared" ref="X52" si="36">VLOOKUP(O52,$X$11:$Z$19,3,TRUE)</f>
        <v>0.17864000000000002</v>
      </c>
      <c r="Y52" s="50">
        <f t="shared" ref="Y52" si="37">VLOOKUP(O52,$X$11:$Y$19,1,TRUE)</f>
        <v>17.864000000000001</v>
      </c>
      <c r="Z52" s="50">
        <f t="shared" ref="Z52" si="38">O52-Y52</f>
        <v>12.338333246795333</v>
      </c>
      <c r="AA52" s="51">
        <f t="shared" ref="AA52" si="39">VLOOKUP(O52,$X$11:$AA$19,4,TRUE)</f>
        <v>0.02</v>
      </c>
      <c r="AB52" s="50">
        <f t="shared" ref="AB52" si="40">Z52*AA52</f>
        <v>0.24676666493590665</v>
      </c>
      <c r="AC52" s="50">
        <f t="shared" ref="AC52" si="41">X52+AB52</f>
        <v>0.42540666493590668</v>
      </c>
      <c r="AD52" s="52">
        <f t="shared" ref="AD52" si="42">O52*$AD$9</f>
        <v>1.5101166623397668</v>
      </c>
    </row>
    <row r="53" spans="2:30" s="4" customFormat="1" ht="15" thickBot="1" x14ac:dyDescent="0.35">
      <c r="B53" s="79"/>
      <c r="C53" s="130" t="s">
        <v>26</v>
      </c>
      <c r="D53" s="125"/>
      <c r="E53" s="123">
        <f>SUM(E41:E52)</f>
        <v>30.202333246795334</v>
      </c>
      <c r="F53" s="125"/>
      <c r="G53" s="125"/>
      <c r="H53" s="123">
        <f>SUM(H41:H52)</f>
        <v>35.95536997512032</v>
      </c>
      <c r="I53" s="116"/>
      <c r="J53" s="116"/>
      <c r="K53" s="115"/>
      <c r="L53" s="124">
        <f>SUM(L41:L52)</f>
        <v>84.527812977579444</v>
      </c>
      <c r="M53" s="116"/>
      <c r="N53" s="126"/>
      <c r="O53" s="125"/>
      <c r="P53" s="127"/>
      <c r="Q53" s="127"/>
      <c r="R53" s="127"/>
      <c r="S53" s="73"/>
      <c r="T53" s="127"/>
      <c r="U53" s="127"/>
      <c r="V53" s="127"/>
      <c r="W53" s="128"/>
      <c r="X53" s="127"/>
      <c r="Y53" s="127"/>
      <c r="Z53" s="127"/>
      <c r="AA53" s="73"/>
      <c r="AB53" s="127"/>
      <c r="AC53" s="127"/>
      <c r="AD53" s="129"/>
    </row>
    <row r="54" spans="2:30" s="39" customFormat="1" ht="15" thickBot="1" x14ac:dyDescent="0.35">
      <c r="B54" s="87"/>
      <c r="C54" s="88"/>
      <c r="D54" s="131"/>
      <c r="E54" s="131"/>
      <c r="F54" s="131"/>
      <c r="G54" s="131"/>
      <c r="H54" s="131"/>
      <c r="I54" s="132"/>
      <c r="J54" s="132"/>
      <c r="K54" s="131"/>
      <c r="L54" s="132"/>
      <c r="M54" s="132"/>
      <c r="N54" s="132"/>
      <c r="O54" s="131"/>
      <c r="P54" s="133"/>
      <c r="Q54" s="133"/>
      <c r="R54" s="133"/>
      <c r="S54" s="134"/>
      <c r="T54" s="133"/>
      <c r="U54" s="133"/>
      <c r="V54" s="133"/>
      <c r="W54" s="135"/>
      <c r="X54" s="133"/>
      <c r="Y54" s="133"/>
      <c r="Z54" s="133"/>
      <c r="AA54" s="134"/>
      <c r="AB54" s="133"/>
      <c r="AC54" s="133"/>
      <c r="AD54" s="136"/>
    </row>
    <row r="55" spans="2:30" s="39" customFormat="1" ht="15" thickBot="1" x14ac:dyDescent="0.35">
      <c r="B55" s="87"/>
      <c r="C55" s="88"/>
      <c r="D55" s="232" t="s">
        <v>0</v>
      </c>
      <c r="E55" s="230"/>
      <c r="F55" s="231"/>
      <c r="G55" s="232" t="s">
        <v>28</v>
      </c>
      <c r="H55" s="230"/>
      <c r="I55" s="230"/>
      <c r="J55" s="230"/>
      <c r="K55" s="231"/>
      <c r="L55" s="76" t="s">
        <v>15</v>
      </c>
      <c r="M55" s="232" t="s">
        <v>55</v>
      </c>
      <c r="N55" s="231"/>
      <c r="O55" s="232" t="s">
        <v>19</v>
      </c>
      <c r="P55" s="230"/>
      <c r="Q55" s="230"/>
      <c r="R55" s="230"/>
      <c r="S55" s="230"/>
      <c r="T55" s="230"/>
      <c r="U55" s="230"/>
      <c r="V55" s="230"/>
      <c r="W55" s="230"/>
      <c r="X55" s="230"/>
      <c r="Y55" s="230"/>
      <c r="Z55" s="230"/>
      <c r="AA55" s="230"/>
      <c r="AB55" s="230"/>
      <c r="AC55" s="230"/>
      <c r="AD55" s="231"/>
    </row>
    <row r="56" spans="2:30" s="4" customFormat="1" ht="58.2" thickBot="1" x14ac:dyDescent="0.35">
      <c r="B56" s="228" t="s">
        <v>62</v>
      </c>
      <c r="C56" s="229"/>
      <c r="D56" s="53" t="s">
        <v>35</v>
      </c>
      <c r="E56" s="54" t="s">
        <v>41</v>
      </c>
      <c r="F56" s="54" t="s">
        <v>16</v>
      </c>
      <c r="G56" s="54" t="s">
        <v>36</v>
      </c>
      <c r="H56" s="54" t="s">
        <v>30</v>
      </c>
      <c r="I56" s="54" t="s">
        <v>45</v>
      </c>
      <c r="J56" s="54" t="s">
        <v>31</v>
      </c>
      <c r="K56" s="54" t="s">
        <v>37</v>
      </c>
      <c r="L56" s="54" t="s">
        <v>15</v>
      </c>
      <c r="M56" s="54" t="s">
        <v>14</v>
      </c>
      <c r="N56" s="54" t="s">
        <v>17</v>
      </c>
      <c r="O56" s="54" t="s">
        <v>18</v>
      </c>
      <c r="P56" s="54" t="s">
        <v>24</v>
      </c>
      <c r="Q56" s="54" t="s">
        <v>21</v>
      </c>
      <c r="R56" s="54" t="s">
        <v>25</v>
      </c>
      <c r="S56" s="54" t="s">
        <v>42</v>
      </c>
      <c r="T56" s="54" t="s">
        <v>43</v>
      </c>
      <c r="U56" s="54" t="s">
        <v>44</v>
      </c>
      <c r="V56" s="54" t="s">
        <v>47</v>
      </c>
      <c r="W56" s="54" t="s">
        <v>48</v>
      </c>
      <c r="X56" s="54" t="s">
        <v>24</v>
      </c>
      <c r="Y56" s="54" t="s">
        <v>21</v>
      </c>
      <c r="Z56" s="54" t="s">
        <v>25</v>
      </c>
      <c r="AA56" s="54" t="s">
        <v>42</v>
      </c>
      <c r="AB56" s="54" t="s">
        <v>43</v>
      </c>
      <c r="AC56" s="54" t="s">
        <v>46</v>
      </c>
      <c r="AD56" s="55" t="s">
        <v>49</v>
      </c>
    </row>
    <row r="57" spans="2:30" x14ac:dyDescent="0.3">
      <c r="B57" s="222">
        <v>2023</v>
      </c>
      <c r="C57" s="98" t="s">
        <v>2</v>
      </c>
      <c r="D57" s="17">
        <f>F52</f>
        <v>472.48675337362471</v>
      </c>
      <c r="E57" s="17">
        <f t="shared" si="5"/>
        <v>2.3624337668681235</v>
      </c>
      <c r="F57" s="17">
        <f t="shared" si="9"/>
        <v>467.72747514135551</v>
      </c>
      <c r="G57" s="17">
        <f>K52</f>
        <v>469.15517269812472</v>
      </c>
      <c r="H57" s="17">
        <f t="shared" si="6"/>
        <v>3.1277011513208315</v>
      </c>
      <c r="I57" s="41"/>
      <c r="J57" s="41"/>
      <c r="K57" s="17">
        <f t="shared" si="7"/>
        <v>472.28287384944554</v>
      </c>
      <c r="L57" s="10">
        <f>L52*(1+$H$6/12)</f>
        <v>7.1217119991373696</v>
      </c>
      <c r="M57" s="41"/>
      <c r="N57" s="10">
        <f t="shared" si="8"/>
        <v>940.01034899080105</v>
      </c>
      <c r="O57" s="57"/>
      <c r="P57" s="42"/>
      <c r="Q57" s="42"/>
      <c r="R57" s="42"/>
      <c r="S57" s="42"/>
      <c r="T57" s="42"/>
      <c r="U57" s="42"/>
      <c r="V57" s="42"/>
      <c r="W57" s="42"/>
      <c r="X57" s="42"/>
      <c r="Y57" s="42"/>
      <c r="Z57" s="42"/>
      <c r="AA57" s="42"/>
      <c r="AB57" s="42"/>
      <c r="AC57" s="42"/>
      <c r="AD57" s="43"/>
    </row>
    <row r="58" spans="2:30" x14ac:dyDescent="0.3">
      <c r="B58" s="223"/>
      <c r="C58" s="99" t="s">
        <v>3</v>
      </c>
      <c r="D58" s="20">
        <f t="shared" si="12"/>
        <v>467.72747514135551</v>
      </c>
      <c r="E58" s="20">
        <f t="shared" si="5"/>
        <v>2.3386373757067775</v>
      </c>
      <c r="F58" s="20">
        <f t="shared" si="9"/>
        <v>462.93134404592649</v>
      </c>
      <c r="G58" s="20">
        <f t="shared" si="10"/>
        <v>472.28287384944554</v>
      </c>
      <c r="H58" s="20">
        <f t="shared" si="6"/>
        <v>3.1485524923296371</v>
      </c>
      <c r="I58" s="45"/>
      <c r="J58" s="45"/>
      <c r="K58" s="20">
        <f t="shared" si="7"/>
        <v>475.43142634177519</v>
      </c>
      <c r="L58" s="11">
        <f>L57*(1+$H$6/12)</f>
        <v>7.1347684711357884</v>
      </c>
      <c r="M58" s="45"/>
      <c r="N58" s="11">
        <f t="shared" si="8"/>
        <v>938.36277038770163</v>
      </c>
      <c r="O58" s="46"/>
      <c r="P58" s="46"/>
      <c r="Q58" s="46"/>
      <c r="R58" s="46"/>
      <c r="S58" s="46"/>
      <c r="T58" s="46"/>
      <c r="U58" s="46"/>
      <c r="V58" s="46"/>
      <c r="W58" s="46"/>
      <c r="X58" s="46"/>
      <c r="Y58" s="46"/>
      <c r="Z58" s="46"/>
      <c r="AA58" s="46"/>
      <c r="AB58" s="46"/>
      <c r="AC58" s="46"/>
      <c r="AD58" s="47"/>
    </row>
    <row r="59" spans="2:30" x14ac:dyDescent="0.3">
      <c r="B59" s="223"/>
      <c r="C59" s="99" t="s">
        <v>4</v>
      </c>
      <c r="D59" s="20">
        <f t="shared" si="12"/>
        <v>462.93134404592649</v>
      </c>
      <c r="E59" s="20">
        <f t="shared" si="5"/>
        <v>2.3146567202296322</v>
      </c>
      <c r="F59" s="20">
        <f>D59+E59-L59-M59</f>
        <v>454.44646523160526</v>
      </c>
      <c r="G59" s="20">
        <f t="shared" si="10"/>
        <v>475.43142634177519</v>
      </c>
      <c r="H59" s="20">
        <f t="shared" si="6"/>
        <v>3.1695428422785015</v>
      </c>
      <c r="I59" s="45"/>
      <c r="J59" s="45"/>
      <c r="K59" s="20">
        <f t="shared" si="7"/>
        <v>478.60096918405367</v>
      </c>
      <c r="L59" s="11">
        <f t="shared" ref="L59:L68" si="43">L58*(1+$H$6/12)</f>
        <v>7.1478488799995379</v>
      </c>
      <c r="M59" s="59">
        <f>U52+V52</f>
        <v>3.6516866545513467</v>
      </c>
      <c r="N59" s="11">
        <f t="shared" si="8"/>
        <v>933.04743441565893</v>
      </c>
      <c r="O59" s="46"/>
      <c r="P59" s="46"/>
      <c r="Q59" s="46"/>
      <c r="R59" s="46"/>
      <c r="S59" s="46"/>
      <c r="T59" s="46"/>
      <c r="U59" s="46"/>
      <c r="V59" s="46"/>
      <c r="W59" s="46"/>
      <c r="X59" s="46"/>
      <c r="Y59" s="46"/>
      <c r="Z59" s="46"/>
      <c r="AA59" s="46"/>
      <c r="AB59" s="46"/>
      <c r="AC59" s="46"/>
      <c r="AD59" s="47"/>
    </row>
    <row r="60" spans="2:30" x14ac:dyDescent="0.3">
      <c r="B60" s="223"/>
      <c r="C60" s="99" t="s">
        <v>5</v>
      </c>
      <c r="D60" s="20">
        <f t="shared" si="12"/>
        <v>454.44646523160526</v>
      </c>
      <c r="E60" s="20">
        <f t="shared" si="5"/>
        <v>2.2722323261580262</v>
      </c>
      <c r="F60" s="20">
        <f t="shared" si="9"/>
        <v>449.55774428815039</v>
      </c>
      <c r="G60" s="20">
        <f t="shared" si="10"/>
        <v>478.60096918405367</v>
      </c>
      <c r="H60" s="20">
        <f t="shared" si="6"/>
        <v>3.1906731278936911</v>
      </c>
      <c r="I60" s="45"/>
      <c r="J60" s="45"/>
      <c r="K60" s="20">
        <f t="shared" si="7"/>
        <v>481.79164231194738</v>
      </c>
      <c r="L60" s="11">
        <f>L59*(1+$H$6/12)</f>
        <v>7.1609532696128708</v>
      </c>
      <c r="M60" s="45"/>
      <c r="N60" s="11">
        <f t="shared" si="8"/>
        <v>931.34938660009777</v>
      </c>
      <c r="O60" s="46"/>
      <c r="P60" s="46"/>
      <c r="Q60" s="46"/>
      <c r="R60" s="46"/>
      <c r="S60" s="46"/>
      <c r="T60" s="46"/>
      <c r="U60" s="46"/>
      <c r="V60" s="46"/>
      <c r="W60" s="46"/>
      <c r="X60" s="46"/>
      <c r="Y60" s="46"/>
      <c r="Z60" s="46"/>
      <c r="AA60" s="46"/>
      <c r="AB60" s="46"/>
      <c r="AC60" s="46"/>
      <c r="AD60" s="47"/>
    </row>
    <row r="61" spans="2:30" x14ac:dyDescent="0.3">
      <c r="B61" s="223"/>
      <c r="C61" s="99" t="s">
        <v>6</v>
      </c>
      <c r="D61" s="20">
        <f t="shared" si="12"/>
        <v>449.55774428815039</v>
      </c>
      <c r="E61" s="20">
        <f t="shared" si="5"/>
        <v>2.2477887214407519</v>
      </c>
      <c r="F61" s="20">
        <f t="shared" si="9"/>
        <v>444.63145132565069</v>
      </c>
      <c r="G61" s="20">
        <f t="shared" si="10"/>
        <v>481.79164231194738</v>
      </c>
      <c r="H61" s="20">
        <f t="shared" si="6"/>
        <v>3.2119442820796493</v>
      </c>
      <c r="I61" s="45"/>
      <c r="J61" s="45"/>
      <c r="K61" s="20">
        <f t="shared" si="7"/>
        <v>485.00358659402701</v>
      </c>
      <c r="L61" s="11">
        <f t="shared" si="43"/>
        <v>7.1740816839404946</v>
      </c>
      <c r="M61" s="45"/>
      <c r="N61" s="11">
        <f t="shared" si="8"/>
        <v>929.63503791967764</v>
      </c>
      <c r="O61" s="46"/>
      <c r="P61" s="46"/>
      <c r="Q61" s="46"/>
      <c r="R61" s="46"/>
      <c r="S61" s="46"/>
      <c r="T61" s="46"/>
      <c r="U61" s="46"/>
      <c r="V61" s="46"/>
      <c r="W61" s="46"/>
      <c r="X61" s="46"/>
      <c r="Y61" s="46"/>
      <c r="Z61" s="46"/>
      <c r="AA61" s="46"/>
      <c r="AB61" s="46"/>
      <c r="AC61" s="46"/>
      <c r="AD61" s="47"/>
    </row>
    <row r="62" spans="2:30" x14ac:dyDescent="0.3">
      <c r="B62" s="223"/>
      <c r="C62" s="99" t="s">
        <v>7</v>
      </c>
      <c r="D62" s="20">
        <f t="shared" si="12"/>
        <v>444.63145132565069</v>
      </c>
      <c r="E62" s="20">
        <f t="shared" si="5"/>
        <v>2.2231572566282534</v>
      </c>
      <c r="F62" s="20">
        <f t="shared" si="9"/>
        <v>439.66737441525123</v>
      </c>
      <c r="G62" s="20">
        <f t="shared" si="10"/>
        <v>485.00358659402701</v>
      </c>
      <c r="H62" s="20">
        <f t="shared" si="6"/>
        <v>3.2333572439601799</v>
      </c>
      <c r="I62" s="45"/>
      <c r="J62" s="45"/>
      <c r="K62" s="20">
        <f t="shared" si="7"/>
        <v>488.23694383798721</v>
      </c>
      <c r="L62" s="11">
        <f t="shared" si="43"/>
        <v>7.1872341670277189</v>
      </c>
      <c r="M62" s="45"/>
      <c r="N62" s="11">
        <f t="shared" si="8"/>
        <v>927.90431825323844</v>
      </c>
      <c r="O62" s="46"/>
      <c r="P62" s="46"/>
      <c r="Q62" s="46"/>
      <c r="R62" s="46"/>
      <c r="S62" s="46"/>
      <c r="T62" s="46"/>
      <c r="U62" s="46"/>
      <c r="V62" s="46"/>
      <c r="W62" s="46"/>
      <c r="X62" s="46"/>
      <c r="Y62" s="46"/>
      <c r="Z62" s="46"/>
      <c r="AA62" s="46"/>
      <c r="AB62" s="46"/>
      <c r="AC62" s="46"/>
      <c r="AD62" s="47"/>
    </row>
    <row r="63" spans="2:30" x14ac:dyDescent="0.3">
      <c r="B63" s="223"/>
      <c r="C63" s="99" t="s">
        <v>8</v>
      </c>
      <c r="D63" s="20">
        <f t="shared" si="12"/>
        <v>439.66737441525123</v>
      </c>
      <c r="E63" s="20">
        <f t="shared" si="5"/>
        <v>2.1983368720762559</v>
      </c>
      <c r="F63" s="20">
        <f t="shared" si="9"/>
        <v>434.66530052432688</v>
      </c>
      <c r="G63" s="20">
        <f t="shared" si="10"/>
        <v>488.23694383798721</v>
      </c>
      <c r="H63" s="20">
        <f t="shared" si="6"/>
        <v>3.2549129589199151</v>
      </c>
      <c r="I63" s="45"/>
      <c r="J63" s="45"/>
      <c r="K63" s="20">
        <f t="shared" si="7"/>
        <v>491.49185679690714</v>
      </c>
      <c r="L63" s="11">
        <f t="shared" si="43"/>
        <v>7.2004107630006029</v>
      </c>
      <c r="M63" s="45"/>
      <c r="N63" s="11">
        <f t="shared" si="8"/>
        <v>926.15715732123408</v>
      </c>
      <c r="O63" s="46"/>
      <c r="P63" s="46"/>
      <c r="Q63" s="46"/>
      <c r="R63" s="46"/>
      <c r="S63" s="46"/>
      <c r="T63" s="46"/>
      <c r="U63" s="46"/>
      <c r="V63" s="46"/>
      <c r="W63" s="46"/>
      <c r="X63" s="46"/>
      <c r="Y63" s="46"/>
      <c r="Z63" s="46"/>
      <c r="AA63" s="46"/>
      <c r="AB63" s="46"/>
      <c r="AC63" s="46"/>
      <c r="AD63" s="47"/>
    </row>
    <row r="64" spans="2:30" x14ac:dyDescent="0.3">
      <c r="B64" s="223"/>
      <c r="C64" s="99" t="s">
        <v>9</v>
      </c>
      <c r="D64" s="20">
        <f t="shared" si="12"/>
        <v>434.66530052432688</v>
      </c>
      <c r="E64" s="20">
        <f t="shared" si="5"/>
        <v>2.1733265026216344</v>
      </c>
      <c r="F64" s="20">
        <f t="shared" si="9"/>
        <v>429.62501551088241</v>
      </c>
      <c r="G64" s="20">
        <f t="shared" si="10"/>
        <v>491.49185679690714</v>
      </c>
      <c r="H64" s="20">
        <f t="shared" si="6"/>
        <v>3.2766123786460479</v>
      </c>
      <c r="I64" s="45"/>
      <c r="J64" s="45"/>
      <c r="K64" s="20">
        <f t="shared" si="7"/>
        <v>494.76846917555321</v>
      </c>
      <c r="L64" s="11">
        <f t="shared" si="43"/>
        <v>7.2136115160661038</v>
      </c>
      <c r="M64" s="45"/>
      <c r="N64" s="11">
        <f t="shared" si="8"/>
        <v>924.39348468643561</v>
      </c>
      <c r="O64" s="46"/>
      <c r="P64" s="46"/>
      <c r="Q64" s="46"/>
      <c r="R64" s="46"/>
      <c r="S64" s="46"/>
      <c r="T64" s="46"/>
      <c r="U64" s="46"/>
      <c r="V64" s="46"/>
      <c r="W64" s="46"/>
      <c r="X64" s="46"/>
      <c r="Y64" s="46"/>
      <c r="Z64" s="46"/>
      <c r="AA64" s="46"/>
      <c r="AB64" s="46"/>
      <c r="AC64" s="46"/>
      <c r="AD64" s="47"/>
    </row>
    <row r="65" spans="1:30" x14ac:dyDescent="0.3">
      <c r="B65" s="223"/>
      <c r="C65" s="99" t="s">
        <v>10</v>
      </c>
      <c r="D65" s="20">
        <f t="shared" si="12"/>
        <v>429.62501551088241</v>
      </c>
      <c r="E65" s="20">
        <f t="shared" si="5"/>
        <v>2.1481250775544121</v>
      </c>
      <c r="F65" s="20">
        <f t="shared" si="9"/>
        <v>424.54630411792459</v>
      </c>
      <c r="G65" s="20">
        <f t="shared" si="10"/>
        <v>494.76846917555321</v>
      </c>
      <c r="H65" s="20">
        <f t="shared" si="6"/>
        <v>3.2984564611703551</v>
      </c>
      <c r="I65" s="45"/>
      <c r="J65" s="45"/>
      <c r="K65" s="20">
        <f t="shared" si="7"/>
        <v>498.06692563672357</v>
      </c>
      <c r="L65" s="11">
        <f t="shared" si="43"/>
        <v>7.2268364705122252</v>
      </c>
      <c r="M65" s="45"/>
      <c r="N65" s="11">
        <f t="shared" si="8"/>
        <v>922.61322975464816</v>
      </c>
      <c r="O65" s="46"/>
      <c r="P65" s="46"/>
      <c r="Q65" s="46"/>
      <c r="R65" s="46"/>
      <c r="S65" s="46"/>
      <c r="T65" s="46"/>
      <c r="U65" s="46"/>
      <c r="V65" s="46"/>
      <c r="W65" s="46"/>
      <c r="X65" s="46"/>
      <c r="Y65" s="46"/>
      <c r="Z65" s="46"/>
      <c r="AA65" s="46"/>
      <c r="AB65" s="46"/>
      <c r="AC65" s="46"/>
      <c r="AD65" s="47"/>
    </row>
    <row r="66" spans="1:30" x14ac:dyDescent="0.3">
      <c r="B66" s="223"/>
      <c r="C66" s="99" t="s">
        <v>11</v>
      </c>
      <c r="D66" s="20">
        <f t="shared" si="12"/>
        <v>424.54630411792459</v>
      </c>
      <c r="E66" s="20">
        <f t="shared" si="5"/>
        <v>2.1227315205896229</v>
      </c>
      <c r="F66" s="20">
        <f t="shared" si="9"/>
        <v>419.42894996780609</v>
      </c>
      <c r="G66" s="20">
        <f t="shared" si="10"/>
        <v>498.06692563672357</v>
      </c>
      <c r="H66" s="20">
        <f t="shared" si="6"/>
        <v>3.3204461709114903</v>
      </c>
      <c r="I66" s="45"/>
      <c r="J66" s="45"/>
      <c r="K66" s="20">
        <f t="shared" si="7"/>
        <v>501.38737180763508</v>
      </c>
      <c r="L66" s="11">
        <f t="shared" si="43"/>
        <v>7.2400856707081642</v>
      </c>
      <c r="M66" s="45"/>
      <c r="N66" s="11">
        <f t="shared" si="8"/>
        <v>920.81632177544111</v>
      </c>
      <c r="O66" s="46"/>
      <c r="P66" s="46"/>
      <c r="Q66" s="46"/>
      <c r="R66" s="46"/>
      <c r="S66" s="46"/>
      <c r="T66" s="46"/>
      <c r="U66" s="46"/>
      <c r="V66" s="46"/>
      <c r="W66" s="46"/>
      <c r="X66" s="46"/>
      <c r="Y66" s="46"/>
      <c r="Z66" s="46"/>
      <c r="AA66" s="46"/>
      <c r="AB66" s="46"/>
      <c r="AC66" s="46"/>
      <c r="AD66" s="47"/>
    </row>
    <row r="67" spans="1:30" x14ac:dyDescent="0.3">
      <c r="B67" s="223"/>
      <c r="C67" s="99" t="s">
        <v>12</v>
      </c>
      <c r="D67" s="20">
        <f t="shared" si="12"/>
        <v>419.42894996780609</v>
      </c>
      <c r="E67" s="20">
        <f t="shared" si="5"/>
        <v>2.0971447498390305</v>
      </c>
      <c r="F67" s="20">
        <f t="shared" si="9"/>
        <v>414.27273555654062</v>
      </c>
      <c r="G67" s="20">
        <f t="shared" si="10"/>
        <v>501.38737180763508</v>
      </c>
      <c r="H67" s="20">
        <f t="shared" si="6"/>
        <v>3.3425824787175671</v>
      </c>
      <c r="I67" s="45"/>
      <c r="J67" s="45"/>
      <c r="K67" s="20">
        <f t="shared" si="7"/>
        <v>504.72995428635267</v>
      </c>
      <c r="L67" s="11">
        <f t="shared" si="43"/>
        <v>7.2533591611044628</v>
      </c>
      <c r="M67" s="45"/>
      <c r="N67" s="11">
        <f t="shared" si="8"/>
        <v>919.00268984289323</v>
      </c>
      <c r="O67" s="46"/>
      <c r="P67" s="46"/>
      <c r="Q67" s="46"/>
      <c r="R67" s="46"/>
      <c r="S67" s="46"/>
      <c r="T67" s="46"/>
      <c r="U67" s="46"/>
      <c r="V67" s="46"/>
      <c r="W67" s="46"/>
      <c r="X67" s="46"/>
      <c r="Y67" s="46"/>
      <c r="Z67" s="46"/>
      <c r="AA67" s="46"/>
      <c r="AB67" s="46"/>
      <c r="AC67" s="46"/>
      <c r="AD67" s="47"/>
    </row>
    <row r="68" spans="1:30" ht="15" thickBot="1" x14ac:dyDescent="0.35">
      <c r="B68" s="224"/>
      <c r="C68" s="100" t="s">
        <v>13</v>
      </c>
      <c r="D68" s="13">
        <f t="shared" si="12"/>
        <v>414.27273555654062</v>
      </c>
      <c r="E68" s="13">
        <f t="shared" si="5"/>
        <v>2.0713636777827031</v>
      </c>
      <c r="F68" s="13">
        <f t="shared" si="9"/>
        <v>409.07744224809016</v>
      </c>
      <c r="G68" s="13">
        <f t="shared" si="10"/>
        <v>504.72995428635267</v>
      </c>
      <c r="H68" s="13">
        <f t="shared" si="6"/>
        <v>3.3648663619090176</v>
      </c>
      <c r="I68" s="48"/>
      <c r="J68" s="48"/>
      <c r="K68" s="13">
        <f t="shared" si="7"/>
        <v>508.0948206482617</v>
      </c>
      <c r="L68" s="11">
        <f t="shared" si="43"/>
        <v>7.266656986233154</v>
      </c>
      <c r="M68" s="48"/>
      <c r="N68" s="16">
        <f t="shared" si="8"/>
        <v>917.17226289635187</v>
      </c>
      <c r="O68" s="69">
        <f>SUM(E57:E68)</f>
        <v>26.569934567495228</v>
      </c>
      <c r="P68" s="50">
        <f t="shared" si="28"/>
        <v>1.99</v>
      </c>
      <c r="Q68" s="50">
        <f t="shared" ref="Q68:Q84" si="44">VLOOKUP(O68,$R$11:$S$17,1,TRUE)</f>
        <v>19.899999999999999</v>
      </c>
      <c r="R68" s="50">
        <f t="shared" ref="R68:R84" si="45">O68-Q68</f>
        <v>6.6699345674952291</v>
      </c>
      <c r="S68" s="51">
        <f t="shared" ref="S68:S84" si="46">VLOOKUP(O68,$R$11:$U$17,4,TRUE)</f>
        <v>0.12</v>
      </c>
      <c r="T68" s="50">
        <f t="shared" ref="T68:T84" si="47">R68*S68</f>
        <v>0.80039214809942749</v>
      </c>
      <c r="U68" s="50">
        <f t="shared" ref="U68:U84" si="48">P68+T68</f>
        <v>2.7903921480994276</v>
      </c>
      <c r="V68" s="50">
        <f t="shared" ref="V68" si="49">IF(AC68&gt;AD68,AD68,AC68)</f>
        <v>0.35275869134990456</v>
      </c>
      <c r="W68" s="56" t="str">
        <f t="shared" ref="W68" si="50">IF(AC68&gt;AD68,$V$15,$V$16)</f>
        <v>California</v>
      </c>
      <c r="X68" s="50">
        <f t="shared" ref="X68:X84" si="51">VLOOKUP(O68,$X$11:$Z$19,3,TRUE)</f>
        <v>0.17864000000000002</v>
      </c>
      <c r="Y68" s="50">
        <f t="shared" ref="Y68:Y84" si="52">VLOOKUP(O68,$X$11:$Y$19,1,TRUE)</f>
        <v>17.864000000000001</v>
      </c>
      <c r="Z68" s="50">
        <f t="shared" ref="Z68:Z84" si="53">O68-Y68</f>
        <v>8.7059345674952269</v>
      </c>
      <c r="AA68" s="51">
        <f t="shared" ref="AA68:AA84" si="54">VLOOKUP(O68,$X$11:$AA$19,4,TRUE)</f>
        <v>0.02</v>
      </c>
      <c r="AB68" s="50">
        <f t="shared" ref="AB68" si="55">Z68*AA68</f>
        <v>0.17411869134990454</v>
      </c>
      <c r="AC68" s="50">
        <f t="shared" ref="AC68" si="56">X68+AB68</f>
        <v>0.35275869134990456</v>
      </c>
      <c r="AD68" s="52">
        <f t="shared" ref="AD68" si="57">O68*$AD$9</f>
        <v>1.3284967283747615</v>
      </c>
    </row>
    <row r="69" spans="1:30" s="4" customFormat="1" ht="15" thickBot="1" x14ac:dyDescent="0.35">
      <c r="B69" s="79"/>
      <c r="C69" s="147" t="s">
        <v>26</v>
      </c>
      <c r="D69" s="125"/>
      <c r="E69" s="123">
        <f>SUM(E57:E68)</f>
        <v>26.569934567495228</v>
      </c>
      <c r="F69" s="125"/>
      <c r="G69" s="125"/>
      <c r="H69" s="123">
        <f>SUM(H57:H68)</f>
        <v>38.93964795013688</v>
      </c>
      <c r="I69" s="132"/>
      <c r="J69" s="132"/>
      <c r="K69" s="125"/>
      <c r="L69" s="124">
        <f>SUM(L57:L68)</f>
        <v>86.327559038478512</v>
      </c>
      <c r="M69" s="132"/>
      <c r="N69" s="126"/>
      <c r="O69" s="125"/>
      <c r="P69" s="127"/>
      <c r="Q69" s="127"/>
      <c r="R69" s="127"/>
      <c r="S69" s="73"/>
      <c r="T69" s="127"/>
      <c r="U69" s="127"/>
      <c r="V69" s="127"/>
      <c r="W69" s="128"/>
      <c r="X69" s="127"/>
      <c r="Y69" s="127"/>
      <c r="Z69" s="127"/>
      <c r="AA69" s="73"/>
      <c r="AB69" s="127"/>
      <c r="AC69" s="127"/>
      <c r="AD69" s="129"/>
    </row>
    <row r="70" spans="1:30" s="39" customFormat="1" ht="15" thickBot="1" x14ac:dyDescent="0.35">
      <c r="A70" s="78"/>
      <c r="B70" s="79"/>
      <c r="C70" s="145"/>
      <c r="D70" s="140"/>
      <c r="E70" s="140"/>
      <c r="F70" s="140"/>
      <c r="G70" s="140"/>
      <c r="H70" s="140"/>
      <c r="I70" s="138"/>
      <c r="J70" s="138"/>
      <c r="K70" s="140"/>
      <c r="L70" s="138"/>
      <c r="M70" s="138"/>
      <c r="N70" s="138"/>
      <c r="O70" s="140"/>
      <c r="P70" s="141"/>
      <c r="Q70" s="141"/>
      <c r="R70" s="141"/>
      <c r="S70" s="142"/>
      <c r="T70" s="141"/>
      <c r="U70" s="141"/>
      <c r="V70" s="141"/>
      <c r="W70" s="143"/>
      <c r="X70" s="141"/>
      <c r="Y70" s="141"/>
      <c r="Z70" s="141"/>
      <c r="AA70" s="142"/>
      <c r="AB70" s="141"/>
      <c r="AC70" s="141"/>
      <c r="AD70" s="144"/>
    </row>
    <row r="71" spans="1:30" s="4" customFormat="1" ht="15" thickBot="1" x14ac:dyDescent="0.35">
      <c r="B71" s="79"/>
      <c r="C71" s="44"/>
      <c r="D71" s="233" t="s">
        <v>0</v>
      </c>
      <c r="E71" s="234"/>
      <c r="F71" s="235"/>
      <c r="G71" s="233" t="s">
        <v>28</v>
      </c>
      <c r="H71" s="234"/>
      <c r="I71" s="234"/>
      <c r="J71" s="234"/>
      <c r="K71" s="235"/>
      <c r="L71" s="137" t="s">
        <v>15</v>
      </c>
      <c r="M71" s="233" t="s">
        <v>55</v>
      </c>
      <c r="N71" s="235"/>
      <c r="O71" s="233" t="s">
        <v>19</v>
      </c>
      <c r="P71" s="234"/>
      <c r="Q71" s="234"/>
      <c r="R71" s="234"/>
      <c r="S71" s="234"/>
      <c r="T71" s="234"/>
      <c r="U71" s="234"/>
      <c r="V71" s="234"/>
      <c r="W71" s="234"/>
      <c r="X71" s="234"/>
      <c r="Y71" s="234"/>
      <c r="Z71" s="234"/>
      <c r="AA71" s="234"/>
      <c r="AB71" s="234"/>
      <c r="AC71" s="234"/>
      <c r="AD71" s="235"/>
    </row>
    <row r="72" spans="1:30" s="4" customFormat="1" ht="58.2" thickBot="1" x14ac:dyDescent="0.35">
      <c r="B72" s="228" t="s">
        <v>62</v>
      </c>
      <c r="C72" s="229"/>
      <c r="D72" s="53" t="s">
        <v>35</v>
      </c>
      <c r="E72" s="54" t="s">
        <v>41</v>
      </c>
      <c r="F72" s="54" t="s">
        <v>16</v>
      </c>
      <c r="G72" s="54" t="s">
        <v>36</v>
      </c>
      <c r="H72" s="54" t="s">
        <v>30</v>
      </c>
      <c r="I72" s="54" t="s">
        <v>45</v>
      </c>
      <c r="J72" s="54" t="s">
        <v>31</v>
      </c>
      <c r="K72" s="54" t="s">
        <v>37</v>
      </c>
      <c r="L72" s="54" t="s">
        <v>15</v>
      </c>
      <c r="M72" s="54" t="s">
        <v>14</v>
      </c>
      <c r="N72" s="54" t="s">
        <v>17</v>
      </c>
      <c r="O72" s="54" t="s">
        <v>18</v>
      </c>
      <c r="P72" s="54" t="s">
        <v>24</v>
      </c>
      <c r="Q72" s="54" t="s">
        <v>21</v>
      </c>
      <c r="R72" s="54" t="s">
        <v>25</v>
      </c>
      <c r="S72" s="54" t="s">
        <v>42</v>
      </c>
      <c r="T72" s="54" t="s">
        <v>43</v>
      </c>
      <c r="U72" s="54" t="s">
        <v>44</v>
      </c>
      <c r="V72" s="54" t="s">
        <v>47</v>
      </c>
      <c r="W72" s="54" t="s">
        <v>48</v>
      </c>
      <c r="X72" s="54" t="s">
        <v>24</v>
      </c>
      <c r="Y72" s="54" t="s">
        <v>21</v>
      </c>
      <c r="Z72" s="54" t="s">
        <v>25</v>
      </c>
      <c r="AA72" s="54" t="s">
        <v>42</v>
      </c>
      <c r="AB72" s="54" t="s">
        <v>43</v>
      </c>
      <c r="AC72" s="54" t="s">
        <v>46</v>
      </c>
      <c r="AD72" s="55" t="s">
        <v>49</v>
      </c>
    </row>
    <row r="73" spans="1:30" x14ac:dyDescent="0.3">
      <c r="B73" s="222">
        <v>2024</v>
      </c>
      <c r="C73" s="98" t="s">
        <v>2</v>
      </c>
      <c r="D73" s="17">
        <f>F68</f>
        <v>409.07744224809016</v>
      </c>
      <c r="E73" s="17">
        <f t="shared" si="5"/>
        <v>2.0453872112404508</v>
      </c>
      <c r="F73" s="17">
        <f t="shared" si="9"/>
        <v>403.84285026862267</v>
      </c>
      <c r="G73" s="17">
        <f>K68</f>
        <v>508.0948206482617</v>
      </c>
      <c r="H73" s="17">
        <f t="shared" si="6"/>
        <v>3.3872988043217447</v>
      </c>
      <c r="I73" s="41"/>
      <c r="J73" s="41"/>
      <c r="K73" s="17">
        <f t="shared" si="7"/>
        <v>511.48211945258345</v>
      </c>
      <c r="L73" s="10">
        <f>L68*(1+$H$7/12)</f>
        <v>7.2799791907079152</v>
      </c>
      <c r="M73" s="41"/>
      <c r="N73" s="10">
        <f t="shared" si="8"/>
        <v>915.32496972120612</v>
      </c>
      <c r="O73" s="42"/>
      <c r="P73" s="42"/>
      <c r="Q73" s="42"/>
      <c r="R73" s="42"/>
      <c r="S73" s="42"/>
      <c r="T73" s="42"/>
      <c r="U73" s="42"/>
      <c r="V73" s="42"/>
      <c r="W73" s="42"/>
      <c r="X73" s="42"/>
      <c r="Y73" s="42"/>
      <c r="Z73" s="42"/>
      <c r="AA73" s="42"/>
      <c r="AB73" s="42"/>
      <c r="AC73" s="42"/>
      <c r="AD73" s="43"/>
    </row>
    <row r="74" spans="1:30" x14ac:dyDescent="0.3">
      <c r="B74" s="223"/>
      <c r="C74" s="99" t="s">
        <v>3</v>
      </c>
      <c r="D74" s="20">
        <f t="shared" si="12"/>
        <v>403.84285026862267</v>
      </c>
      <c r="E74" s="20">
        <f t="shared" si="5"/>
        <v>2.0192142513431133</v>
      </c>
      <c r="F74" s="20">
        <f t="shared" si="9"/>
        <v>398.56873870074156</v>
      </c>
      <c r="G74" s="20">
        <f t="shared" si="10"/>
        <v>511.48211945258345</v>
      </c>
      <c r="H74" s="20">
        <f t="shared" si="6"/>
        <v>3.4098807963505564</v>
      </c>
      <c r="I74" s="45"/>
      <c r="J74" s="45"/>
      <c r="K74" s="20">
        <f t="shared" si="7"/>
        <v>514.89200024893398</v>
      </c>
      <c r="L74" s="11">
        <f>L73*(1+$H$7/12)</f>
        <v>7.2933258192242132</v>
      </c>
      <c r="M74" s="45"/>
      <c r="N74" s="11">
        <f t="shared" si="8"/>
        <v>913.46073894967549</v>
      </c>
      <c r="O74" s="46"/>
      <c r="P74" s="46"/>
      <c r="Q74" s="46"/>
      <c r="R74" s="46"/>
      <c r="S74" s="46"/>
      <c r="T74" s="46"/>
      <c r="U74" s="46"/>
      <c r="V74" s="46"/>
      <c r="W74" s="46"/>
      <c r="X74" s="46"/>
      <c r="Y74" s="46"/>
      <c r="Z74" s="46"/>
      <c r="AA74" s="46"/>
      <c r="AB74" s="46"/>
      <c r="AC74" s="46"/>
      <c r="AD74" s="47"/>
    </row>
    <row r="75" spans="1:30" x14ac:dyDescent="0.3">
      <c r="B75" s="223"/>
      <c r="C75" s="99" t="s">
        <v>4</v>
      </c>
      <c r="D75" s="20">
        <f t="shared" si="12"/>
        <v>398.56873870074156</v>
      </c>
      <c r="E75" s="20">
        <f t="shared" si="5"/>
        <v>1.9928436935037077</v>
      </c>
      <c r="F75" s="20">
        <f>D75+E75-L75-M75</f>
        <v>390.11173463823644</v>
      </c>
      <c r="G75" s="20">
        <f t="shared" si="10"/>
        <v>514.89200024893398</v>
      </c>
      <c r="H75" s="20">
        <f t="shared" si="6"/>
        <v>3.4326133349928933</v>
      </c>
      <c r="I75" s="45"/>
      <c r="J75" s="45"/>
      <c r="K75" s="20">
        <f t="shared" si="7"/>
        <v>518.32461358392686</v>
      </c>
      <c r="L75" s="11">
        <f t="shared" ref="L75:L84" si="58">L74*(1+$H$7/12)</f>
        <v>7.3066969165594573</v>
      </c>
      <c r="M75" s="59">
        <f>U68+V68</f>
        <v>3.1431508394493322</v>
      </c>
      <c r="N75" s="11">
        <f t="shared" si="8"/>
        <v>908.43634822216336</v>
      </c>
      <c r="O75" s="46"/>
      <c r="P75" s="46"/>
      <c r="Q75" s="46"/>
      <c r="R75" s="46"/>
      <c r="S75" s="46"/>
      <c r="T75" s="46"/>
      <c r="U75" s="46"/>
      <c r="V75" s="46"/>
      <c r="W75" s="46"/>
      <c r="X75" s="46"/>
      <c r="Y75" s="46"/>
      <c r="Z75" s="46"/>
      <c r="AA75" s="46"/>
      <c r="AB75" s="46"/>
      <c r="AC75" s="46"/>
      <c r="AD75" s="47"/>
    </row>
    <row r="76" spans="1:30" x14ac:dyDescent="0.3">
      <c r="B76" s="223"/>
      <c r="C76" s="99" t="s">
        <v>5</v>
      </c>
      <c r="D76" s="20">
        <f t="shared" si="12"/>
        <v>390.11173463823644</v>
      </c>
      <c r="E76" s="20">
        <f t="shared" si="5"/>
        <v>1.9505586731911821</v>
      </c>
      <c r="F76" s="20">
        <f t="shared" si="9"/>
        <v>384.74220078385451</v>
      </c>
      <c r="G76" s="20">
        <f t="shared" si="10"/>
        <v>518.32461358392686</v>
      </c>
      <c r="H76" s="20">
        <f t="shared" si="6"/>
        <v>3.4554974238928455</v>
      </c>
      <c r="I76" s="45"/>
      <c r="J76" s="45"/>
      <c r="K76" s="20">
        <f t="shared" si="7"/>
        <v>521.78011100781976</v>
      </c>
      <c r="L76" s="11">
        <f t="shared" si="58"/>
        <v>7.3200925275731494</v>
      </c>
      <c r="M76" s="45"/>
      <c r="N76" s="11">
        <f t="shared" si="8"/>
        <v>906.52231179167427</v>
      </c>
      <c r="O76" s="46"/>
      <c r="P76" s="46"/>
      <c r="Q76" s="46"/>
      <c r="R76" s="46"/>
      <c r="S76" s="46"/>
      <c r="T76" s="46"/>
      <c r="U76" s="46"/>
      <c r="V76" s="46"/>
      <c r="W76" s="46"/>
      <c r="X76" s="46"/>
      <c r="Y76" s="46"/>
      <c r="Z76" s="46"/>
      <c r="AA76" s="46"/>
      <c r="AB76" s="46"/>
      <c r="AC76" s="46"/>
      <c r="AD76" s="47"/>
    </row>
    <row r="77" spans="1:30" x14ac:dyDescent="0.3">
      <c r="B77" s="223"/>
      <c r="C77" s="99" t="s">
        <v>6</v>
      </c>
      <c r="D77" s="20">
        <f t="shared" si="12"/>
        <v>384.74220078385451</v>
      </c>
      <c r="E77" s="20">
        <f t="shared" si="5"/>
        <v>1.9237110039192726</v>
      </c>
      <c r="F77" s="20">
        <f t="shared" si="9"/>
        <v>379.33239909056675</v>
      </c>
      <c r="G77" s="20">
        <f t="shared" si="10"/>
        <v>521.78011100781976</v>
      </c>
      <c r="H77" s="20">
        <f t="shared" si="6"/>
        <v>3.4785340733854651</v>
      </c>
      <c r="I77" s="45"/>
      <c r="J77" s="45"/>
      <c r="K77" s="20">
        <f t="shared" si="7"/>
        <v>525.25864508120526</v>
      </c>
      <c r="L77" s="11">
        <f t="shared" si="58"/>
        <v>7.3335126972070332</v>
      </c>
      <c r="M77" s="45"/>
      <c r="N77" s="11">
        <f t="shared" si="8"/>
        <v>904.59104417177196</v>
      </c>
      <c r="O77" s="46"/>
      <c r="P77" s="46"/>
      <c r="Q77" s="46"/>
      <c r="R77" s="46"/>
      <c r="S77" s="46"/>
      <c r="T77" s="46"/>
      <c r="U77" s="46"/>
      <c r="V77" s="46"/>
      <c r="W77" s="46"/>
      <c r="X77" s="46"/>
      <c r="Y77" s="46"/>
      <c r="Z77" s="46"/>
      <c r="AA77" s="46"/>
      <c r="AB77" s="46"/>
      <c r="AC77" s="46"/>
      <c r="AD77" s="47"/>
    </row>
    <row r="78" spans="1:30" x14ac:dyDescent="0.3">
      <c r="B78" s="223"/>
      <c r="C78" s="99" t="s">
        <v>7</v>
      </c>
      <c r="D78" s="20">
        <f t="shared" si="12"/>
        <v>379.33239909056675</v>
      </c>
      <c r="E78" s="20">
        <f t="shared" si="5"/>
        <v>1.8966619954528336</v>
      </c>
      <c r="F78" s="20">
        <f t="shared" si="9"/>
        <v>373.88210361553439</v>
      </c>
      <c r="G78" s="20">
        <f t="shared" si="10"/>
        <v>525.25864508120526</v>
      </c>
      <c r="H78" s="20">
        <f t="shared" si="6"/>
        <v>3.5017243005413685</v>
      </c>
      <c r="I78" s="45"/>
      <c r="J78" s="45"/>
      <c r="K78" s="20">
        <f t="shared" si="7"/>
        <v>528.76036938174661</v>
      </c>
      <c r="L78" s="11">
        <f t="shared" si="58"/>
        <v>7.3469574704852461</v>
      </c>
      <c r="M78" s="45"/>
      <c r="N78" s="11">
        <f t="shared" si="8"/>
        <v>902.64247299728095</v>
      </c>
      <c r="O78" s="46"/>
      <c r="P78" s="46"/>
      <c r="Q78" s="46"/>
      <c r="R78" s="46"/>
      <c r="S78" s="46"/>
      <c r="T78" s="46"/>
      <c r="U78" s="46"/>
      <c r="V78" s="46"/>
      <c r="W78" s="46"/>
      <c r="X78" s="46"/>
      <c r="Y78" s="46"/>
      <c r="Z78" s="46"/>
      <c r="AA78" s="46"/>
      <c r="AB78" s="46"/>
      <c r="AC78" s="46"/>
      <c r="AD78" s="47"/>
    </row>
    <row r="79" spans="1:30" x14ac:dyDescent="0.3">
      <c r="B79" s="223"/>
      <c r="C79" s="99" t="s">
        <v>8</v>
      </c>
      <c r="D79" s="20">
        <f t="shared" si="12"/>
        <v>373.88210361553439</v>
      </c>
      <c r="E79" s="20">
        <f t="shared" si="5"/>
        <v>1.8694105180776719</v>
      </c>
      <c r="F79" s="20">
        <f t="shared" si="9"/>
        <v>368.39108724109764</v>
      </c>
      <c r="G79" s="20">
        <f t="shared" si="10"/>
        <v>528.76036938174661</v>
      </c>
      <c r="H79" s="20">
        <f t="shared" si="6"/>
        <v>3.5250691292116443</v>
      </c>
      <c r="I79" s="45"/>
      <c r="J79" s="45"/>
      <c r="K79" s="20">
        <f t="shared" si="7"/>
        <v>532.28543851095822</v>
      </c>
      <c r="L79" s="11">
        <f t="shared" si="58"/>
        <v>7.3604268925144689</v>
      </c>
      <c r="M79" s="45"/>
      <c r="N79" s="11">
        <f t="shared" si="8"/>
        <v>900.6765257520558</v>
      </c>
      <c r="O79" s="46"/>
      <c r="P79" s="46"/>
      <c r="Q79" s="46"/>
      <c r="R79" s="46"/>
      <c r="S79" s="46"/>
      <c r="T79" s="46"/>
      <c r="U79" s="46"/>
      <c r="V79" s="46"/>
      <c r="W79" s="46"/>
      <c r="X79" s="46"/>
      <c r="Y79" s="46"/>
      <c r="Z79" s="46"/>
      <c r="AA79" s="46"/>
      <c r="AB79" s="46"/>
      <c r="AC79" s="46"/>
      <c r="AD79" s="47"/>
    </row>
    <row r="80" spans="1:30" x14ac:dyDescent="0.3">
      <c r="B80" s="223"/>
      <c r="C80" s="99" t="s">
        <v>9</v>
      </c>
      <c r="D80" s="20">
        <f t="shared" si="12"/>
        <v>368.39108724109764</v>
      </c>
      <c r="E80" s="20">
        <f t="shared" si="5"/>
        <v>1.8419554362054882</v>
      </c>
      <c r="F80" s="20">
        <f t="shared" si="9"/>
        <v>362.859121668819</v>
      </c>
      <c r="G80" s="20">
        <f t="shared" si="10"/>
        <v>532.28543851095822</v>
      </c>
      <c r="H80" s="20">
        <f t="shared" si="6"/>
        <v>3.5485695900730545</v>
      </c>
      <c r="I80" s="45"/>
      <c r="J80" s="45"/>
      <c r="K80" s="20">
        <f t="shared" si="7"/>
        <v>535.83400810103126</v>
      </c>
      <c r="L80" s="11">
        <f t="shared" si="58"/>
        <v>7.3739210084840785</v>
      </c>
      <c r="M80" s="45"/>
      <c r="N80" s="11">
        <f t="shared" si="8"/>
        <v>898.6931297698502</v>
      </c>
      <c r="O80" s="46"/>
      <c r="P80" s="46"/>
      <c r="Q80" s="46"/>
      <c r="R80" s="46"/>
      <c r="S80" s="46"/>
      <c r="T80" s="46"/>
      <c r="U80" s="46"/>
      <c r="V80" s="46"/>
      <c r="W80" s="46"/>
      <c r="X80" s="46"/>
      <c r="Y80" s="46"/>
      <c r="Z80" s="46"/>
      <c r="AA80" s="46"/>
      <c r="AB80" s="46"/>
      <c r="AC80" s="46"/>
      <c r="AD80" s="47"/>
    </row>
    <row r="81" spans="2:30" x14ac:dyDescent="0.3">
      <c r="B81" s="223"/>
      <c r="C81" s="99" t="s">
        <v>10</v>
      </c>
      <c r="D81" s="20">
        <f t="shared" si="12"/>
        <v>362.859121668819</v>
      </c>
      <c r="E81" s="20">
        <f t="shared" si="5"/>
        <v>1.8142956083440949</v>
      </c>
      <c r="F81" s="20">
        <f t="shared" si="9"/>
        <v>357.28597741349677</v>
      </c>
      <c r="G81" s="20">
        <f t="shared" si="10"/>
        <v>535.83400810103126</v>
      </c>
      <c r="H81" s="20">
        <f t="shared" si="6"/>
        <v>3.5722267206735414</v>
      </c>
      <c r="I81" s="45"/>
      <c r="J81" s="45"/>
      <c r="K81" s="20">
        <f t="shared" si="7"/>
        <v>539.40623482170486</v>
      </c>
      <c r="L81" s="11">
        <f t="shared" si="58"/>
        <v>7.3874398636662999</v>
      </c>
      <c r="M81" s="45"/>
      <c r="N81" s="11">
        <f t="shared" si="8"/>
        <v>896.69221223520162</v>
      </c>
      <c r="O81" s="46"/>
      <c r="P81" s="46"/>
      <c r="Q81" s="46"/>
      <c r="R81" s="46"/>
      <c r="S81" s="46"/>
      <c r="T81" s="46"/>
      <c r="U81" s="46"/>
      <c r="V81" s="46"/>
      <c r="W81" s="46"/>
      <c r="X81" s="46"/>
      <c r="Y81" s="46"/>
      <c r="Z81" s="46"/>
      <c r="AA81" s="46"/>
      <c r="AB81" s="46"/>
      <c r="AC81" s="46"/>
      <c r="AD81" s="47"/>
    </row>
    <row r="82" spans="2:30" x14ac:dyDescent="0.3">
      <c r="B82" s="223"/>
      <c r="C82" s="99" t="s">
        <v>11</v>
      </c>
      <c r="D82" s="20">
        <f t="shared" si="12"/>
        <v>357.28597741349677</v>
      </c>
      <c r="E82" s="20">
        <f t="shared" si="5"/>
        <v>1.7864298870674837</v>
      </c>
      <c r="F82" s="20">
        <f t="shared" si="9"/>
        <v>351.6714237971479</v>
      </c>
      <c r="G82" s="20">
        <f t="shared" si="10"/>
        <v>539.40623482170486</v>
      </c>
      <c r="H82" s="20">
        <f t="shared" si="6"/>
        <v>3.5960415654780324</v>
      </c>
      <c r="I82" s="45"/>
      <c r="J82" s="45"/>
      <c r="K82" s="20">
        <f t="shared" si="7"/>
        <v>543.00227638718286</v>
      </c>
      <c r="L82" s="11">
        <f t="shared" si="58"/>
        <v>7.4009835034163549</v>
      </c>
      <c r="M82" s="45"/>
      <c r="N82" s="11">
        <f t="shared" si="8"/>
        <v>894.67370018433076</v>
      </c>
      <c r="O82" s="46"/>
      <c r="P82" s="46"/>
      <c r="Q82" s="46"/>
      <c r="R82" s="46"/>
      <c r="S82" s="46"/>
      <c r="T82" s="46"/>
      <c r="U82" s="46"/>
      <c r="V82" s="46"/>
      <c r="W82" s="46"/>
      <c r="X82" s="46"/>
      <c r="Y82" s="46"/>
      <c r="Z82" s="46"/>
      <c r="AA82" s="46"/>
      <c r="AB82" s="46"/>
      <c r="AC82" s="46"/>
      <c r="AD82" s="47"/>
    </row>
    <row r="83" spans="2:30" x14ac:dyDescent="0.3">
      <c r="B83" s="223"/>
      <c r="C83" s="99" t="s">
        <v>12</v>
      </c>
      <c r="D83" s="20">
        <f t="shared" si="12"/>
        <v>351.6714237971479</v>
      </c>
      <c r="E83" s="20">
        <f t="shared" si="5"/>
        <v>1.7583571189857394</v>
      </c>
      <c r="F83" s="20">
        <f t="shared" si="9"/>
        <v>346.01522894296102</v>
      </c>
      <c r="G83" s="20">
        <f t="shared" si="10"/>
        <v>543.00227638718286</v>
      </c>
      <c r="H83" s="20">
        <f t="shared" si="6"/>
        <v>3.6200151759145527</v>
      </c>
      <c r="I83" s="45"/>
      <c r="J83" s="45"/>
      <c r="K83" s="20">
        <f t="shared" si="7"/>
        <v>546.62229156309741</v>
      </c>
      <c r="L83" s="11">
        <f t="shared" si="58"/>
        <v>7.4145519731726184</v>
      </c>
      <c r="M83" s="45"/>
      <c r="N83" s="11">
        <f t="shared" si="8"/>
        <v>892.63752050605842</v>
      </c>
      <c r="O83" s="46"/>
      <c r="P83" s="46"/>
      <c r="Q83" s="46"/>
      <c r="R83" s="46"/>
      <c r="S83" s="46"/>
      <c r="T83" s="46"/>
      <c r="U83" s="46"/>
      <c r="V83" s="46"/>
      <c r="W83" s="46"/>
      <c r="X83" s="46"/>
      <c r="Y83" s="46"/>
      <c r="Z83" s="46"/>
      <c r="AA83" s="46"/>
      <c r="AB83" s="46"/>
      <c r="AC83" s="46"/>
      <c r="AD83" s="47"/>
    </row>
    <row r="84" spans="2:30" ht="15" thickBot="1" x14ac:dyDescent="0.35">
      <c r="B84" s="224"/>
      <c r="C84" s="100" t="s">
        <v>13</v>
      </c>
      <c r="D84" s="13">
        <f t="shared" si="12"/>
        <v>346.01522894296102</v>
      </c>
      <c r="E84" s="13">
        <f t="shared" si="5"/>
        <v>1.730076144714805</v>
      </c>
      <c r="F84" s="13">
        <f t="shared" si="9"/>
        <v>340.31715976921907</v>
      </c>
      <c r="G84" s="13">
        <f t="shared" si="10"/>
        <v>546.62229156309741</v>
      </c>
      <c r="H84" s="13">
        <f t="shared" si="6"/>
        <v>3.6441486104206491</v>
      </c>
      <c r="I84" s="48"/>
      <c r="J84" s="48"/>
      <c r="K84" s="13">
        <f t="shared" si="7"/>
        <v>550.26644017351805</v>
      </c>
      <c r="L84" s="11">
        <f t="shared" si="58"/>
        <v>7.4281453184567683</v>
      </c>
      <c r="M84" s="48"/>
      <c r="N84" s="16">
        <f t="shared" si="8"/>
        <v>890.58359994273712</v>
      </c>
      <c r="O84" s="49">
        <f>SUM(E73:E84)</f>
        <v>22.628901542045842</v>
      </c>
      <c r="P84" s="50">
        <f t="shared" si="28"/>
        <v>1.99</v>
      </c>
      <c r="Q84" s="50">
        <f t="shared" si="44"/>
        <v>19.899999999999999</v>
      </c>
      <c r="R84" s="50">
        <f t="shared" si="45"/>
        <v>2.7289015420458433</v>
      </c>
      <c r="S84" s="51">
        <f t="shared" si="46"/>
        <v>0.12</v>
      </c>
      <c r="T84" s="50">
        <f t="shared" si="47"/>
        <v>0.32746818504550118</v>
      </c>
      <c r="U84" s="50">
        <f t="shared" si="48"/>
        <v>2.317468185045501</v>
      </c>
      <c r="V84" s="50">
        <f>IF(AC84&gt;AD84,AD84,AC84)</f>
        <v>0.27393803084091684</v>
      </c>
      <c r="W84" s="56" t="str">
        <f>IF(AC84&gt;AD84,$V$15,$V$16)</f>
        <v>California</v>
      </c>
      <c r="X84" s="50">
        <f t="shared" si="51"/>
        <v>0.17864000000000002</v>
      </c>
      <c r="Y84" s="50">
        <f t="shared" si="52"/>
        <v>17.864000000000001</v>
      </c>
      <c r="Z84" s="50">
        <f t="shared" si="53"/>
        <v>4.7649015420458412</v>
      </c>
      <c r="AA84" s="51">
        <f t="shared" si="54"/>
        <v>0.02</v>
      </c>
      <c r="AB84" s="50">
        <f>Z84*AA84</f>
        <v>9.5298030840916828E-2</v>
      </c>
      <c r="AC84" s="50">
        <f>X84+AB84</f>
        <v>0.27393803084091684</v>
      </c>
      <c r="AD84" s="52">
        <f>O84*$AD$9</f>
        <v>1.1314450771022921</v>
      </c>
    </row>
    <row r="85" spans="2:30" s="4" customFormat="1" ht="15" thickBot="1" x14ac:dyDescent="0.35">
      <c r="B85" s="79"/>
      <c r="C85" s="147" t="s">
        <v>26</v>
      </c>
      <c r="D85" s="125"/>
      <c r="E85" s="123">
        <f>SUM(E73:E84)</f>
        <v>22.628901542045842</v>
      </c>
      <c r="F85" s="125"/>
      <c r="G85" s="125"/>
      <c r="H85" s="123">
        <f>SUM(H73:H84)</f>
        <v>42.171619525256354</v>
      </c>
      <c r="I85" s="116"/>
      <c r="J85" s="116"/>
      <c r="K85" s="115"/>
      <c r="L85" s="124">
        <f>SUM(L73:L84)</f>
        <v>88.24603318146761</v>
      </c>
      <c r="M85" s="116"/>
      <c r="N85" s="126"/>
      <c r="O85" s="146"/>
      <c r="P85" s="127"/>
      <c r="Q85" s="127"/>
      <c r="R85" s="127"/>
      <c r="S85" s="73"/>
      <c r="T85" s="127"/>
      <c r="U85" s="127"/>
      <c r="V85" s="127"/>
      <c r="W85" s="128"/>
      <c r="X85" s="127"/>
      <c r="Y85" s="127"/>
      <c r="Z85" s="127"/>
      <c r="AA85" s="73"/>
      <c r="AB85" s="127"/>
      <c r="AC85" s="127"/>
      <c r="AD85" s="129"/>
    </row>
    <row r="86" spans="2:30" s="39" customFormat="1" x14ac:dyDescent="0.3">
      <c r="B86" s="87"/>
      <c r="C86" s="139"/>
      <c r="D86" s="89"/>
      <c r="E86" s="89"/>
      <c r="F86" s="89"/>
      <c r="G86" s="89"/>
      <c r="H86" s="89"/>
      <c r="I86" s="90"/>
      <c r="J86" s="90"/>
      <c r="K86" s="89"/>
      <c r="L86" s="90"/>
      <c r="M86" s="90"/>
      <c r="N86" s="90"/>
      <c r="O86" s="91"/>
      <c r="P86" s="92"/>
      <c r="Q86" s="92"/>
      <c r="R86" s="92"/>
      <c r="S86" s="93"/>
      <c r="T86" s="92"/>
      <c r="U86" s="92"/>
      <c r="V86" s="92"/>
      <c r="W86" s="94"/>
      <c r="X86" s="92"/>
      <c r="Y86" s="92"/>
      <c r="Z86" s="92"/>
      <c r="AA86" s="93"/>
      <c r="AB86" s="92"/>
      <c r="AC86" s="92"/>
      <c r="AD86" s="92"/>
    </row>
    <row r="87" spans="2:30" s="4" customFormat="1" ht="15" thickBot="1" x14ac:dyDescent="0.35">
      <c r="B87" s="79"/>
      <c r="C87" s="44"/>
      <c r="D87" s="233" t="s">
        <v>0</v>
      </c>
      <c r="E87" s="234"/>
      <c r="F87" s="235"/>
      <c r="G87" s="233" t="s">
        <v>28</v>
      </c>
      <c r="H87" s="234"/>
      <c r="I87" s="234"/>
      <c r="J87" s="234"/>
      <c r="K87" s="235"/>
      <c r="L87" s="137" t="s">
        <v>15</v>
      </c>
      <c r="M87" s="233" t="s">
        <v>55</v>
      </c>
      <c r="N87" s="235"/>
      <c r="O87" s="233" t="s">
        <v>19</v>
      </c>
      <c r="P87" s="234"/>
      <c r="Q87" s="234"/>
      <c r="R87" s="234"/>
      <c r="S87" s="234"/>
      <c r="T87" s="234"/>
      <c r="U87" s="234"/>
      <c r="V87" s="234"/>
      <c r="W87" s="234"/>
      <c r="X87" s="234"/>
      <c r="Y87" s="234"/>
      <c r="Z87" s="234"/>
      <c r="AA87" s="234"/>
      <c r="AB87" s="234"/>
      <c r="AC87" s="234"/>
      <c r="AD87" s="235"/>
    </row>
    <row r="88" spans="2:30" s="4" customFormat="1" ht="58.2" thickBot="1" x14ac:dyDescent="0.35">
      <c r="B88" s="228" t="s">
        <v>62</v>
      </c>
      <c r="C88" s="229"/>
      <c r="D88" s="53" t="s">
        <v>35</v>
      </c>
      <c r="E88" s="54" t="s">
        <v>41</v>
      </c>
      <c r="F88" s="55" t="s">
        <v>16</v>
      </c>
      <c r="G88" s="53" t="s">
        <v>36</v>
      </c>
      <c r="H88" s="54" t="s">
        <v>30</v>
      </c>
      <c r="I88" s="54" t="s">
        <v>45</v>
      </c>
      <c r="J88" s="54" t="s">
        <v>31</v>
      </c>
      <c r="K88" s="55" t="s">
        <v>37</v>
      </c>
      <c r="L88" s="75" t="s">
        <v>15</v>
      </c>
      <c r="M88" s="54" t="s">
        <v>14</v>
      </c>
      <c r="N88" s="54" t="s">
        <v>17</v>
      </c>
      <c r="O88" s="53" t="s">
        <v>18</v>
      </c>
      <c r="P88" s="54" t="s">
        <v>24</v>
      </c>
      <c r="Q88" s="54" t="s">
        <v>21</v>
      </c>
      <c r="R88" s="54" t="s">
        <v>25</v>
      </c>
      <c r="S88" s="54" t="s">
        <v>42</v>
      </c>
      <c r="T88" s="54" t="s">
        <v>43</v>
      </c>
      <c r="U88" s="54" t="s">
        <v>44</v>
      </c>
      <c r="V88" s="54" t="s">
        <v>47</v>
      </c>
      <c r="W88" s="54" t="s">
        <v>48</v>
      </c>
      <c r="X88" s="54" t="s">
        <v>24</v>
      </c>
      <c r="Y88" s="54" t="s">
        <v>21</v>
      </c>
      <c r="Z88" s="54" t="s">
        <v>25</v>
      </c>
      <c r="AA88" s="54" t="s">
        <v>42</v>
      </c>
      <c r="AB88" s="54" t="s">
        <v>43</v>
      </c>
      <c r="AC88" s="54" t="s">
        <v>46</v>
      </c>
      <c r="AD88" s="55" t="s">
        <v>49</v>
      </c>
    </row>
    <row r="89" spans="2:30" x14ac:dyDescent="0.3">
      <c r="B89" s="222">
        <v>2025</v>
      </c>
      <c r="C89" s="98" t="s">
        <v>2</v>
      </c>
      <c r="D89" s="17">
        <f>F84</f>
        <v>340.31715976921907</v>
      </c>
      <c r="E89" s="17">
        <f t="shared" si="5"/>
        <v>1.7015857988460954</v>
      </c>
      <c r="F89" s="17">
        <f t="shared" ref="F89:F100" si="59">D89+E89-L89</f>
        <v>334.57698198319122</v>
      </c>
      <c r="G89" s="17">
        <f>K84</f>
        <v>550.26644017351805</v>
      </c>
      <c r="H89" s="17">
        <f t="shared" si="6"/>
        <v>3.6684429344901202</v>
      </c>
      <c r="I89" s="41"/>
      <c r="J89" s="41"/>
      <c r="K89" s="17">
        <f t="shared" ref="K89:K100" si="60">G89+H89-J89</f>
        <v>553.93488310800819</v>
      </c>
      <c r="L89" s="10">
        <f>L84*(1+$H$8/12)</f>
        <v>7.4417635848739394</v>
      </c>
      <c r="M89" s="41"/>
      <c r="N89" s="10">
        <f t="shared" ref="N89:N100" si="61">F89+K89</f>
        <v>888.51186509119941</v>
      </c>
      <c r="O89" s="42"/>
      <c r="P89" s="42"/>
      <c r="Q89" s="42"/>
      <c r="R89" s="42"/>
      <c r="S89" s="42"/>
      <c r="T89" s="42"/>
      <c r="U89" s="42"/>
      <c r="V89" s="42"/>
      <c r="W89" s="42"/>
      <c r="X89" s="42"/>
      <c r="Y89" s="42"/>
      <c r="Z89" s="42"/>
      <c r="AA89" s="42"/>
      <c r="AB89" s="42"/>
      <c r="AC89" s="42"/>
      <c r="AD89" s="43"/>
    </row>
    <row r="90" spans="2:30" x14ac:dyDescent="0.3">
      <c r="B90" s="223"/>
      <c r="C90" s="99" t="s">
        <v>3</v>
      </c>
      <c r="D90" s="20">
        <f t="shared" ref="D90:D100" si="62">F89</f>
        <v>334.57698198319122</v>
      </c>
      <c r="E90" s="20">
        <f t="shared" si="5"/>
        <v>1.672884909915956</v>
      </c>
      <c r="F90" s="20">
        <f t="shared" si="59"/>
        <v>328.79446007499433</v>
      </c>
      <c r="G90" s="20">
        <f t="shared" ref="G90:G100" si="63">K89</f>
        <v>553.93488310800819</v>
      </c>
      <c r="H90" s="20">
        <f t="shared" si="6"/>
        <v>3.6928992207200548</v>
      </c>
      <c r="I90" s="45"/>
      <c r="J90" s="45"/>
      <c r="K90" s="20">
        <f t="shared" si="60"/>
        <v>557.62778232872824</v>
      </c>
      <c r="L90" s="11">
        <f>L89*(1+$H$8/12)</f>
        <v>7.4554068181128752</v>
      </c>
      <c r="M90" s="45"/>
      <c r="N90" s="11">
        <f t="shared" si="61"/>
        <v>886.42224240372252</v>
      </c>
      <c r="O90" s="46"/>
      <c r="P90" s="46"/>
      <c r="Q90" s="46"/>
      <c r="R90" s="46"/>
      <c r="S90" s="46"/>
      <c r="T90" s="46"/>
      <c r="U90" s="46"/>
      <c r="V90" s="46"/>
      <c r="W90" s="46"/>
      <c r="X90" s="46"/>
      <c r="Y90" s="46"/>
      <c r="Z90" s="46"/>
      <c r="AA90" s="46"/>
      <c r="AB90" s="46"/>
      <c r="AC90" s="46"/>
      <c r="AD90" s="47"/>
    </row>
    <row r="91" spans="2:30" x14ac:dyDescent="0.3">
      <c r="B91" s="223"/>
      <c r="C91" s="99" t="s">
        <v>4</v>
      </c>
      <c r="D91" s="20">
        <f t="shared" si="62"/>
        <v>328.79446007499433</v>
      </c>
      <c r="E91" s="20">
        <f t="shared" si="5"/>
        <v>1.6439723003749716</v>
      </c>
      <c r="F91" s="20">
        <f>D91+E91-L91-M91</f>
        <v>320.37795109553679</v>
      </c>
      <c r="G91" s="20">
        <f t="shared" si="63"/>
        <v>557.62778232872824</v>
      </c>
      <c r="H91" s="20">
        <f t="shared" si="6"/>
        <v>3.7175185488581888</v>
      </c>
      <c r="I91" s="45"/>
      <c r="J91" s="45"/>
      <c r="K91" s="20">
        <f t="shared" si="60"/>
        <v>561.3453008775864</v>
      </c>
      <c r="L91" s="11">
        <f t="shared" ref="L91:L100" si="64">L90*(1+$H$8/12)</f>
        <v>7.4690750639460823</v>
      </c>
      <c r="M91" s="59">
        <f>U84+V84</f>
        <v>2.5914062158864177</v>
      </c>
      <c r="N91" s="11">
        <f t="shared" si="61"/>
        <v>881.72325197312318</v>
      </c>
      <c r="O91" s="46"/>
      <c r="P91" s="46"/>
      <c r="Q91" s="46"/>
      <c r="R91" s="46"/>
      <c r="S91" s="46"/>
      <c r="T91" s="46"/>
      <c r="U91" s="46"/>
      <c r="V91" s="46"/>
      <c r="W91" s="46"/>
      <c r="X91" s="46"/>
      <c r="Y91" s="46"/>
      <c r="Z91" s="46"/>
      <c r="AA91" s="46"/>
      <c r="AB91" s="46"/>
      <c r="AC91" s="46"/>
      <c r="AD91" s="47"/>
    </row>
    <row r="92" spans="2:30" x14ac:dyDescent="0.3">
      <c r="B92" s="223"/>
      <c r="C92" s="99" t="s">
        <v>5</v>
      </c>
      <c r="D92" s="20">
        <f t="shared" si="62"/>
        <v>320.37795109553679</v>
      </c>
      <c r="E92" s="20">
        <f t="shared" si="5"/>
        <v>1.6018897554776839</v>
      </c>
      <c r="F92" s="20">
        <f t="shared" si="59"/>
        <v>314.49707248278446</v>
      </c>
      <c r="G92" s="20">
        <f t="shared" si="63"/>
        <v>561.3453008775864</v>
      </c>
      <c r="H92" s="20">
        <f t="shared" si="6"/>
        <v>3.742302005850576</v>
      </c>
      <c r="I92" s="45"/>
      <c r="J92" s="45"/>
      <c r="K92" s="20">
        <f t="shared" si="60"/>
        <v>565.08760288343694</v>
      </c>
      <c r="L92" s="11">
        <f t="shared" si="64"/>
        <v>7.4827683682299835</v>
      </c>
      <c r="M92" s="45"/>
      <c r="N92" s="11">
        <f t="shared" si="61"/>
        <v>879.5846753662214</v>
      </c>
      <c r="O92" s="46"/>
      <c r="P92" s="46"/>
      <c r="Q92" s="46"/>
      <c r="R92" s="46"/>
      <c r="S92" s="46"/>
      <c r="T92" s="46"/>
      <c r="U92" s="46"/>
      <c r="V92" s="46"/>
      <c r="W92" s="46"/>
      <c r="X92" s="46"/>
      <c r="Y92" s="46"/>
      <c r="Z92" s="46"/>
      <c r="AA92" s="46"/>
      <c r="AB92" s="46"/>
      <c r="AC92" s="46"/>
      <c r="AD92" s="47"/>
    </row>
    <row r="93" spans="2:30" x14ac:dyDescent="0.3">
      <c r="B93" s="223"/>
      <c r="C93" s="99" t="s">
        <v>6</v>
      </c>
      <c r="D93" s="20">
        <f t="shared" si="62"/>
        <v>314.49707248278446</v>
      </c>
      <c r="E93" s="20">
        <f t="shared" si="5"/>
        <v>1.5724853624139223</v>
      </c>
      <c r="F93" s="20">
        <f t="shared" si="59"/>
        <v>308.57307106829336</v>
      </c>
      <c r="G93" s="20">
        <f t="shared" si="63"/>
        <v>565.08760288343694</v>
      </c>
      <c r="H93" s="20">
        <f t="shared" si="6"/>
        <v>3.76725068588958</v>
      </c>
      <c r="I93" s="45"/>
      <c r="J93" s="45"/>
      <c r="K93" s="20">
        <f t="shared" si="60"/>
        <v>568.85485356932656</v>
      </c>
      <c r="L93" s="11">
        <f t="shared" si="64"/>
        <v>7.4964867769050718</v>
      </c>
      <c r="M93" s="45"/>
      <c r="N93" s="11">
        <f t="shared" si="61"/>
        <v>877.42792463761998</v>
      </c>
      <c r="O93" s="46"/>
      <c r="P93" s="46"/>
      <c r="Q93" s="46"/>
      <c r="R93" s="46"/>
      <c r="S93" s="46"/>
      <c r="T93" s="46"/>
      <c r="U93" s="46"/>
      <c r="V93" s="46"/>
      <c r="W93" s="46"/>
      <c r="X93" s="46"/>
      <c r="Y93" s="46"/>
      <c r="Z93" s="46"/>
      <c r="AA93" s="46"/>
      <c r="AB93" s="46"/>
      <c r="AC93" s="46"/>
      <c r="AD93" s="47"/>
    </row>
    <row r="94" spans="2:30" x14ac:dyDescent="0.3">
      <c r="B94" s="223"/>
      <c r="C94" s="99" t="s">
        <v>7</v>
      </c>
      <c r="D94" s="20">
        <f t="shared" si="62"/>
        <v>308.57307106829336</v>
      </c>
      <c r="E94" s="20">
        <f t="shared" si="5"/>
        <v>1.5428653553414666</v>
      </c>
      <c r="F94" s="20">
        <f t="shared" si="59"/>
        <v>302.60570608763874</v>
      </c>
      <c r="G94" s="20">
        <f t="shared" si="63"/>
        <v>568.85485356932656</v>
      </c>
      <c r="H94" s="20">
        <f t="shared" si="6"/>
        <v>3.792365690462177</v>
      </c>
      <c r="I94" s="45"/>
      <c r="J94" s="45"/>
      <c r="K94" s="20">
        <f t="shared" si="60"/>
        <v>572.6472192597887</v>
      </c>
      <c r="L94" s="11">
        <f t="shared" si="64"/>
        <v>7.5102303359960647</v>
      </c>
      <c r="M94" s="45"/>
      <c r="N94" s="11">
        <f t="shared" si="61"/>
        <v>875.25292534742744</v>
      </c>
      <c r="O94" s="46"/>
      <c r="P94" s="46"/>
      <c r="Q94" s="46"/>
      <c r="R94" s="46"/>
      <c r="S94" s="46"/>
      <c r="T94" s="46"/>
      <c r="U94" s="46"/>
      <c r="V94" s="46"/>
      <c r="W94" s="46"/>
      <c r="X94" s="46"/>
      <c r="Y94" s="46"/>
      <c r="Z94" s="46"/>
      <c r="AA94" s="46"/>
      <c r="AB94" s="46"/>
      <c r="AC94" s="46"/>
      <c r="AD94" s="47"/>
    </row>
    <row r="95" spans="2:30" x14ac:dyDescent="0.3">
      <c r="B95" s="223"/>
      <c r="C95" s="99" t="s">
        <v>8</v>
      </c>
      <c r="D95" s="20">
        <f t="shared" si="62"/>
        <v>302.60570608763874</v>
      </c>
      <c r="E95" s="20">
        <f t="shared" si="5"/>
        <v>1.5130285304381934</v>
      </c>
      <c r="F95" s="20">
        <f t="shared" si="59"/>
        <v>296.59473552646489</v>
      </c>
      <c r="G95" s="20">
        <f t="shared" si="63"/>
        <v>572.6472192597887</v>
      </c>
      <c r="H95" s="20">
        <f t="shared" si="6"/>
        <v>3.8176481283985915</v>
      </c>
      <c r="I95" s="45"/>
      <c r="J95" s="45"/>
      <c r="K95" s="20">
        <f t="shared" si="60"/>
        <v>576.46486738818726</v>
      </c>
      <c r="L95" s="11">
        <f t="shared" si="64"/>
        <v>7.5239990916120574</v>
      </c>
      <c r="M95" s="45"/>
      <c r="N95" s="11">
        <f t="shared" si="61"/>
        <v>873.05960291465215</v>
      </c>
      <c r="O95" s="46"/>
      <c r="P95" s="46"/>
      <c r="Q95" s="46"/>
      <c r="R95" s="46"/>
      <c r="S95" s="46"/>
      <c r="T95" s="46"/>
      <c r="U95" s="46"/>
      <c r="V95" s="46"/>
      <c r="W95" s="46"/>
      <c r="X95" s="46"/>
      <c r="Y95" s="46"/>
      <c r="Z95" s="46"/>
      <c r="AA95" s="46"/>
      <c r="AB95" s="46"/>
      <c r="AC95" s="46"/>
      <c r="AD95" s="47"/>
    </row>
    <row r="96" spans="2:30" x14ac:dyDescent="0.3">
      <c r="B96" s="223"/>
      <c r="C96" s="99" t="s">
        <v>9</v>
      </c>
      <c r="D96" s="20">
        <f t="shared" si="62"/>
        <v>296.59473552646489</v>
      </c>
      <c r="E96" s="20">
        <f t="shared" si="5"/>
        <v>1.4829736776323246</v>
      </c>
      <c r="F96" s="20">
        <f t="shared" si="59"/>
        <v>290.53991611415057</v>
      </c>
      <c r="G96" s="20">
        <f t="shared" si="63"/>
        <v>576.46486738818726</v>
      </c>
      <c r="H96" s="20">
        <f t="shared" si="6"/>
        <v>3.8430991159212482</v>
      </c>
      <c r="I96" s="45"/>
      <c r="J96" s="45"/>
      <c r="K96" s="20">
        <f t="shared" si="60"/>
        <v>580.30796650410855</v>
      </c>
      <c r="L96" s="11">
        <f t="shared" si="64"/>
        <v>7.5377930899466801</v>
      </c>
      <c r="M96" s="45"/>
      <c r="N96" s="11">
        <f t="shared" si="61"/>
        <v>870.84788261825906</v>
      </c>
      <c r="O96" s="46"/>
      <c r="P96" s="46"/>
      <c r="Q96" s="46"/>
      <c r="R96" s="46"/>
      <c r="S96" s="46"/>
      <c r="T96" s="46"/>
      <c r="U96" s="46"/>
      <c r="V96" s="46"/>
      <c r="W96" s="46"/>
      <c r="X96" s="46"/>
      <c r="Y96" s="46"/>
      <c r="Z96" s="46"/>
      <c r="AA96" s="46"/>
      <c r="AB96" s="46"/>
      <c r="AC96" s="46"/>
      <c r="AD96" s="47"/>
    </row>
    <row r="97" spans="2:30" x14ac:dyDescent="0.3">
      <c r="B97" s="223"/>
      <c r="C97" s="99" t="s">
        <v>10</v>
      </c>
      <c r="D97" s="20">
        <f t="shared" si="62"/>
        <v>290.53991611415057</v>
      </c>
      <c r="E97" s="20">
        <f t="shared" si="5"/>
        <v>1.452699580570753</v>
      </c>
      <c r="F97" s="20">
        <f t="shared" si="59"/>
        <v>284.44100331744306</v>
      </c>
      <c r="G97" s="20">
        <f t="shared" si="63"/>
        <v>580.30796650410855</v>
      </c>
      <c r="H97" s="20">
        <f t="shared" si="6"/>
        <v>3.8687197766940571</v>
      </c>
      <c r="I97" s="45"/>
      <c r="J97" s="45"/>
      <c r="K97" s="20">
        <f t="shared" si="60"/>
        <v>584.17668628080264</v>
      </c>
      <c r="L97" s="11">
        <f t="shared" si="64"/>
        <v>7.5516123772782491</v>
      </c>
      <c r="M97" s="45"/>
      <c r="N97" s="11">
        <f t="shared" si="61"/>
        <v>868.61768959824576</v>
      </c>
      <c r="O97" s="46"/>
      <c r="P97" s="46"/>
      <c r="Q97" s="46"/>
      <c r="R97" s="46"/>
      <c r="S97" s="46"/>
      <c r="T97" s="46"/>
      <c r="U97" s="46"/>
      <c r="V97" s="46"/>
      <c r="W97" s="46"/>
      <c r="X97" s="46"/>
      <c r="Y97" s="46"/>
      <c r="Z97" s="46"/>
      <c r="AA97" s="46"/>
      <c r="AB97" s="46"/>
      <c r="AC97" s="46"/>
      <c r="AD97" s="47"/>
    </row>
    <row r="98" spans="2:30" x14ac:dyDescent="0.3">
      <c r="B98" s="223"/>
      <c r="C98" s="99" t="s">
        <v>11</v>
      </c>
      <c r="D98" s="20">
        <f t="shared" si="62"/>
        <v>284.44100331744306</v>
      </c>
      <c r="E98" s="20">
        <f t="shared" si="5"/>
        <v>1.4222050165872153</v>
      </c>
      <c r="F98" s="20">
        <f t="shared" si="59"/>
        <v>278.29775133406037</v>
      </c>
      <c r="G98" s="20">
        <f t="shared" si="63"/>
        <v>584.17668628080264</v>
      </c>
      <c r="H98" s="20">
        <f t="shared" si="6"/>
        <v>3.8945112418720176</v>
      </c>
      <c r="I98" s="45"/>
      <c r="J98" s="45"/>
      <c r="K98" s="20">
        <f t="shared" si="60"/>
        <v>588.07119752267465</v>
      </c>
      <c r="L98" s="11">
        <f t="shared" si="64"/>
        <v>7.5654569999699257</v>
      </c>
      <c r="M98" s="45"/>
      <c r="N98" s="11">
        <f t="shared" si="61"/>
        <v>866.36894885673496</v>
      </c>
      <c r="O98" s="46"/>
      <c r="P98" s="46"/>
      <c r="Q98" s="46"/>
      <c r="R98" s="46"/>
      <c r="S98" s="46"/>
      <c r="T98" s="46"/>
      <c r="U98" s="46"/>
      <c r="V98" s="46"/>
      <c r="W98" s="46"/>
      <c r="X98" s="46"/>
      <c r="Y98" s="46"/>
      <c r="Z98" s="46"/>
      <c r="AA98" s="46"/>
      <c r="AB98" s="46"/>
      <c r="AC98" s="46"/>
      <c r="AD98" s="47"/>
    </row>
    <row r="99" spans="2:30" x14ac:dyDescent="0.3">
      <c r="B99" s="223"/>
      <c r="C99" s="99" t="s">
        <v>12</v>
      </c>
      <c r="D99" s="20">
        <f t="shared" si="62"/>
        <v>278.29775133406037</v>
      </c>
      <c r="E99" s="20">
        <f t="shared" si="5"/>
        <v>1.3914887566703016</v>
      </c>
      <c r="F99" s="20">
        <f t="shared" si="59"/>
        <v>272.1099130862608</v>
      </c>
      <c r="G99" s="20">
        <f t="shared" si="63"/>
        <v>588.07119752267465</v>
      </c>
      <c r="H99" s="20">
        <f t="shared" si="6"/>
        <v>3.920474650151164</v>
      </c>
      <c r="I99" s="45"/>
      <c r="J99" s="45"/>
      <c r="K99" s="20">
        <f t="shared" si="60"/>
        <v>591.99167217282582</v>
      </c>
      <c r="L99" s="11">
        <f t="shared" si="64"/>
        <v>7.5793270044698708</v>
      </c>
      <c r="M99" s="45"/>
      <c r="N99" s="11">
        <f t="shared" si="61"/>
        <v>864.10158525908662</v>
      </c>
      <c r="O99" s="46"/>
      <c r="P99" s="46"/>
      <c r="Q99" s="46"/>
      <c r="R99" s="46"/>
      <c r="S99" s="46"/>
      <c r="T99" s="46"/>
      <c r="U99" s="46"/>
      <c r="V99" s="46"/>
      <c r="W99" s="46"/>
      <c r="X99" s="46"/>
      <c r="Y99" s="46"/>
      <c r="Z99" s="46"/>
      <c r="AA99" s="46"/>
      <c r="AB99" s="46"/>
      <c r="AC99" s="46"/>
      <c r="AD99" s="47"/>
    </row>
    <row r="100" spans="2:30" ht="15" thickBot="1" x14ac:dyDescent="0.35">
      <c r="B100" s="224"/>
      <c r="C100" s="100" t="s">
        <v>13</v>
      </c>
      <c r="D100" s="13">
        <f t="shared" si="62"/>
        <v>272.1099130862608</v>
      </c>
      <c r="E100" s="13">
        <f t="shared" si="5"/>
        <v>1.360549565431304</v>
      </c>
      <c r="F100" s="13">
        <f t="shared" si="59"/>
        <v>265.87724021438072</v>
      </c>
      <c r="G100" s="13">
        <f t="shared" si="63"/>
        <v>591.99167217282582</v>
      </c>
      <c r="H100" s="13">
        <f t="shared" si="6"/>
        <v>3.9466111478188388</v>
      </c>
      <c r="I100" s="48"/>
      <c r="J100" s="48"/>
      <c r="K100" s="13">
        <f t="shared" si="60"/>
        <v>595.9382833206447</v>
      </c>
      <c r="L100" s="11">
        <f t="shared" si="64"/>
        <v>7.5932224373113995</v>
      </c>
      <c r="M100" s="48"/>
      <c r="N100" s="16">
        <f t="shared" si="61"/>
        <v>861.81552353502548</v>
      </c>
      <c r="O100" s="49">
        <f>SUM(E89:E100)</f>
        <v>18.358628609700187</v>
      </c>
      <c r="P100" s="50">
        <f t="shared" si="28"/>
        <v>0</v>
      </c>
      <c r="Q100" s="50">
        <f t="shared" ref="Q100" si="65">VLOOKUP(O100,$R$11:$S$17,1,TRUE)</f>
        <v>0</v>
      </c>
      <c r="R100" s="50">
        <f t="shared" ref="R100" si="66">O100-Q100</f>
        <v>18.358628609700187</v>
      </c>
      <c r="S100" s="51">
        <f t="shared" ref="S100" si="67">VLOOKUP(O100,$R$11:$U$17,4,TRUE)</f>
        <v>0.1</v>
      </c>
      <c r="T100" s="50">
        <f t="shared" ref="T100" si="68">R100*S100</f>
        <v>1.8358628609700187</v>
      </c>
      <c r="U100" s="50">
        <f t="shared" ref="U100" si="69">P100+T100</f>
        <v>1.8358628609700187</v>
      </c>
      <c r="V100" s="50">
        <f t="shared" ref="V100" si="70">IF(AC100&gt;AD100,AD100,AC100)</f>
        <v>0.18853257219400374</v>
      </c>
      <c r="W100" s="56" t="str">
        <f t="shared" ref="W100" si="71">IF(AC100&gt;AD100,$V$15,$V$16)</f>
        <v>California</v>
      </c>
      <c r="X100" s="50">
        <f t="shared" ref="X100" si="72">VLOOKUP(O100,$X$11:$Z$19,3,TRUE)</f>
        <v>0.17864000000000002</v>
      </c>
      <c r="Y100" s="50">
        <f t="shared" ref="Y100" si="73">VLOOKUP(O100,$X$11:$Y$19,1,TRUE)</f>
        <v>17.864000000000001</v>
      </c>
      <c r="Z100" s="50">
        <f t="shared" ref="Z100" si="74">O100-Y100</f>
        <v>0.49462860970018596</v>
      </c>
      <c r="AA100" s="51">
        <f t="shared" ref="AA100" si="75">VLOOKUP(O100,$X$11:$AA$19,4,TRUE)</f>
        <v>0.02</v>
      </c>
      <c r="AB100" s="50">
        <f t="shared" ref="AB100" si="76">Z100*AA100</f>
        <v>9.8925721940037199E-3</v>
      </c>
      <c r="AC100" s="50">
        <f t="shared" ref="AC100" si="77">X100+AB100</f>
        <v>0.18853257219400374</v>
      </c>
      <c r="AD100" s="52">
        <f t="shared" ref="AD100" si="78">O100*$AD$9</f>
        <v>0.91793143048500936</v>
      </c>
    </row>
    <row r="101" spans="2:30" s="4" customFormat="1" ht="15" thickBot="1" x14ac:dyDescent="0.35">
      <c r="B101" s="79"/>
      <c r="C101" s="147" t="s">
        <v>26</v>
      </c>
      <c r="D101" s="125"/>
      <c r="E101" s="123">
        <f>SUM(E89:E100)</f>
        <v>18.358628609700187</v>
      </c>
      <c r="F101" s="125"/>
      <c r="G101" s="125"/>
      <c r="H101" s="123">
        <f>SUM(H89:H100)</f>
        <v>45.671843147126609</v>
      </c>
      <c r="I101" s="116"/>
      <c r="J101" s="116"/>
      <c r="K101" s="115"/>
      <c r="L101" s="124">
        <f>SUM(L89:L100)</f>
        <v>90.207141948652193</v>
      </c>
      <c r="M101" s="116"/>
      <c r="N101" s="126"/>
      <c r="O101" s="146"/>
      <c r="P101" s="127"/>
      <c r="Q101" s="127"/>
      <c r="R101" s="127"/>
      <c r="S101" s="73"/>
      <c r="T101" s="127"/>
      <c r="U101" s="127"/>
      <c r="V101" s="127"/>
      <c r="W101" s="128"/>
      <c r="X101" s="127"/>
      <c r="Y101" s="127"/>
      <c r="Z101" s="127"/>
      <c r="AA101" s="73"/>
      <c r="AB101" s="127"/>
      <c r="AC101" s="127"/>
      <c r="AD101" s="129"/>
    </row>
    <row r="102" spans="2:30" s="4" customFormat="1" x14ac:dyDescent="0.3">
      <c r="B102" s="79"/>
      <c r="C102" s="44"/>
      <c r="D102" s="20"/>
      <c r="E102" s="20"/>
      <c r="F102" s="20"/>
      <c r="G102" s="20"/>
      <c r="H102" s="20"/>
      <c r="I102" s="82"/>
      <c r="J102" s="82"/>
      <c r="K102" s="81"/>
      <c r="L102" s="82"/>
      <c r="M102" s="82"/>
      <c r="N102" s="11"/>
      <c r="O102" s="62"/>
      <c r="P102" s="60"/>
      <c r="Q102" s="60"/>
      <c r="R102" s="60"/>
      <c r="S102" s="8"/>
      <c r="T102" s="60"/>
      <c r="U102" s="60"/>
      <c r="V102" s="60"/>
      <c r="W102" s="61"/>
      <c r="X102" s="60"/>
      <c r="Y102" s="60"/>
      <c r="Z102" s="60"/>
      <c r="AA102" s="8"/>
      <c r="AB102" s="60"/>
      <c r="AC102" s="60"/>
      <c r="AD102" s="60"/>
    </row>
    <row r="103" spans="2:30" s="4" customFormat="1" ht="15" thickBot="1" x14ac:dyDescent="0.35">
      <c r="B103" s="79"/>
      <c r="C103" s="44"/>
      <c r="D103" s="233" t="s">
        <v>0</v>
      </c>
      <c r="E103" s="234"/>
      <c r="F103" s="235"/>
      <c r="G103" s="233" t="s">
        <v>28</v>
      </c>
      <c r="H103" s="234"/>
      <c r="I103" s="234"/>
      <c r="J103" s="234"/>
      <c r="K103" s="235"/>
      <c r="L103" s="137" t="s">
        <v>15</v>
      </c>
      <c r="M103" s="233" t="s">
        <v>55</v>
      </c>
      <c r="N103" s="235"/>
      <c r="O103" s="233" t="s">
        <v>19</v>
      </c>
      <c r="P103" s="234"/>
      <c r="Q103" s="234"/>
      <c r="R103" s="234"/>
      <c r="S103" s="234"/>
      <c r="T103" s="234"/>
      <c r="U103" s="234"/>
      <c r="V103" s="234"/>
      <c r="W103" s="234"/>
      <c r="X103" s="234"/>
      <c r="Y103" s="234"/>
      <c r="Z103" s="234"/>
      <c r="AA103" s="234"/>
      <c r="AB103" s="234"/>
      <c r="AC103" s="234"/>
      <c r="AD103" s="235"/>
    </row>
    <row r="104" spans="2:30" s="4" customFormat="1" ht="58.2" thickBot="1" x14ac:dyDescent="0.35">
      <c r="B104" s="228" t="s">
        <v>62</v>
      </c>
      <c r="C104" s="229"/>
      <c r="D104" s="53" t="s">
        <v>35</v>
      </c>
      <c r="E104" s="54" t="s">
        <v>41</v>
      </c>
      <c r="F104" s="54" t="s">
        <v>16</v>
      </c>
      <c r="G104" s="54" t="s">
        <v>36</v>
      </c>
      <c r="H104" s="54" t="s">
        <v>30</v>
      </c>
      <c r="I104" s="54" t="s">
        <v>45</v>
      </c>
      <c r="J104" s="54" t="s">
        <v>31</v>
      </c>
      <c r="K104" s="54" t="s">
        <v>37</v>
      </c>
      <c r="L104" s="54" t="s">
        <v>15</v>
      </c>
      <c r="M104" s="54" t="s">
        <v>14</v>
      </c>
      <c r="N104" s="54" t="s">
        <v>17</v>
      </c>
      <c r="O104" s="54" t="s">
        <v>18</v>
      </c>
      <c r="P104" s="54" t="s">
        <v>24</v>
      </c>
      <c r="Q104" s="54" t="s">
        <v>21</v>
      </c>
      <c r="R104" s="54" t="s">
        <v>25</v>
      </c>
      <c r="S104" s="54" t="s">
        <v>42</v>
      </c>
      <c r="T104" s="54" t="s">
        <v>43</v>
      </c>
      <c r="U104" s="54" t="s">
        <v>44</v>
      </c>
      <c r="V104" s="54" t="s">
        <v>47</v>
      </c>
      <c r="W104" s="54" t="s">
        <v>48</v>
      </c>
      <c r="X104" s="54" t="s">
        <v>24</v>
      </c>
      <c r="Y104" s="54" t="s">
        <v>21</v>
      </c>
      <c r="Z104" s="54" t="s">
        <v>25</v>
      </c>
      <c r="AA104" s="54" t="s">
        <v>42</v>
      </c>
      <c r="AB104" s="54" t="s">
        <v>43</v>
      </c>
      <c r="AC104" s="54" t="s">
        <v>46</v>
      </c>
      <c r="AD104" s="55" t="s">
        <v>49</v>
      </c>
    </row>
    <row r="105" spans="2:30" x14ac:dyDescent="0.3">
      <c r="B105" s="222">
        <v>2026</v>
      </c>
      <c r="C105" s="98" t="s">
        <v>2</v>
      </c>
      <c r="D105" s="17">
        <f>F100</f>
        <v>265.87724021438072</v>
      </c>
      <c r="E105" s="17">
        <f t="shared" si="5"/>
        <v>1.3293862010719035</v>
      </c>
      <c r="F105" s="17">
        <f t="shared" ref="F105:F116" si="79">D105+E105-L105</f>
        <v>259.60011583887592</v>
      </c>
      <c r="G105" s="17">
        <f>K100</f>
        <v>595.9382833206447</v>
      </c>
      <c r="H105" s="17">
        <f t="shared" si="6"/>
        <v>3.9729218888042976</v>
      </c>
      <c r="I105" s="41"/>
      <c r="J105" s="41"/>
      <c r="K105" s="17">
        <f t="shared" ref="K105:K116" si="80">G105+H105-J105</f>
        <v>599.91120520944901</v>
      </c>
      <c r="L105" s="10">
        <f>L100*(1+$H$9/12)</f>
        <v>7.606510576576694</v>
      </c>
      <c r="M105" s="41"/>
      <c r="N105" s="10">
        <f t="shared" ref="N105:N116" si="81">F105+K105</f>
        <v>859.51132104832493</v>
      </c>
      <c r="O105" s="42"/>
      <c r="P105" s="42"/>
      <c r="Q105" s="42"/>
      <c r="R105" s="42"/>
      <c r="S105" s="42"/>
      <c r="T105" s="42"/>
      <c r="U105" s="42"/>
      <c r="V105" s="42"/>
      <c r="W105" s="42"/>
      <c r="X105" s="42"/>
      <c r="Y105" s="42"/>
      <c r="Z105" s="42"/>
      <c r="AA105" s="42"/>
      <c r="AB105" s="42"/>
      <c r="AC105" s="42"/>
      <c r="AD105" s="43"/>
    </row>
    <row r="106" spans="2:30" x14ac:dyDescent="0.3">
      <c r="B106" s="223"/>
      <c r="C106" s="99" t="s">
        <v>3</v>
      </c>
      <c r="D106" s="20">
        <f t="shared" ref="D106:D116" si="82">F105</f>
        <v>259.60011583887592</v>
      </c>
      <c r="E106" s="20">
        <f t="shared" ref="E106:E176" si="83">D106*$D$14/12</f>
        <v>1.2980005791943796</v>
      </c>
      <c r="F106" s="20">
        <f t="shared" si="79"/>
        <v>253.27829444798459</v>
      </c>
      <c r="G106" s="20">
        <f t="shared" ref="G106:G116" si="84">K105</f>
        <v>599.91120520944901</v>
      </c>
      <c r="H106" s="20">
        <f t="shared" ref="H106:H176" si="85">G106*$D$16/12</f>
        <v>3.9994080347296599</v>
      </c>
      <c r="I106" s="45"/>
      <c r="J106" s="45"/>
      <c r="K106" s="20">
        <f t="shared" si="80"/>
        <v>603.91061324417865</v>
      </c>
      <c r="L106" s="11">
        <f>L105*(1+$H$9/12)</f>
        <v>7.6198219700857024</v>
      </c>
      <c r="M106" s="45"/>
      <c r="N106" s="11">
        <f t="shared" si="81"/>
        <v>857.18890769216318</v>
      </c>
      <c r="O106" s="46"/>
      <c r="P106" s="46"/>
      <c r="Q106" s="46"/>
      <c r="R106" s="46"/>
      <c r="S106" s="46"/>
      <c r="T106" s="46"/>
      <c r="U106" s="46"/>
      <c r="V106" s="46"/>
      <c r="W106" s="46"/>
      <c r="X106" s="46"/>
      <c r="Y106" s="46"/>
      <c r="Z106" s="46"/>
      <c r="AA106" s="46"/>
      <c r="AB106" s="46"/>
      <c r="AC106" s="46"/>
      <c r="AD106" s="47"/>
    </row>
    <row r="107" spans="2:30" x14ac:dyDescent="0.3">
      <c r="B107" s="223"/>
      <c r="C107" s="99" t="s">
        <v>4</v>
      </c>
      <c r="D107" s="20">
        <f t="shared" si="82"/>
        <v>253.27829444798459</v>
      </c>
      <c r="E107" s="20">
        <f t="shared" si="83"/>
        <v>1.266391472239923</v>
      </c>
      <c r="F107" s="20">
        <f>D107+E107-L107-M107</f>
        <v>244.88713382852714</v>
      </c>
      <c r="G107" s="20">
        <f t="shared" si="84"/>
        <v>603.91061324417865</v>
      </c>
      <c r="H107" s="20">
        <f t="shared" si="85"/>
        <v>4.0260707549611912</v>
      </c>
      <c r="I107" s="45"/>
      <c r="J107" s="45"/>
      <c r="K107" s="20">
        <f t="shared" si="80"/>
        <v>607.93668399913986</v>
      </c>
      <c r="L107" s="11">
        <f t="shared" ref="L107:L116" si="86">L106*(1+$H$9/12)</f>
        <v>7.6331566585333519</v>
      </c>
      <c r="M107" s="59">
        <f>U100+V100</f>
        <v>2.0243954331640226</v>
      </c>
      <c r="N107" s="11">
        <f t="shared" si="81"/>
        <v>852.82381782766697</v>
      </c>
      <c r="O107" s="46"/>
      <c r="P107" s="46"/>
      <c r="Q107" s="46"/>
      <c r="R107" s="46"/>
      <c r="S107" s="46"/>
      <c r="T107" s="46"/>
      <c r="U107" s="46"/>
      <c r="V107" s="46"/>
      <c r="W107" s="46"/>
      <c r="X107" s="46"/>
      <c r="Y107" s="46"/>
      <c r="Z107" s="46"/>
      <c r="AA107" s="46"/>
      <c r="AB107" s="46"/>
      <c r="AC107" s="46"/>
      <c r="AD107" s="47"/>
    </row>
    <row r="108" spans="2:30" x14ac:dyDescent="0.3">
      <c r="B108" s="223"/>
      <c r="C108" s="99" t="s">
        <v>5</v>
      </c>
      <c r="D108" s="20">
        <f t="shared" si="82"/>
        <v>244.88713382852714</v>
      </c>
      <c r="E108" s="20">
        <f t="shared" si="83"/>
        <v>1.2244356691426357</v>
      </c>
      <c r="F108" s="20">
        <f t="shared" si="79"/>
        <v>238.46505481498397</v>
      </c>
      <c r="G108" s="20">
        <f t="shared" si="84"/>
        <v>607.93668399913986</v>
      </c>
      <c r="H108" s="20">
        <f t="shared" si="85"/>
        <v>4.0529112266609326</v>
      </c>
      <c r="I108" s="45"/>
      <c r="J108" s="45"/>
      <c r="K108" s="20">
        <f t="shared" si="80"/>
        <v>611.98959522580083</v>
      </c>
      <c r="L108" s="11">
        <f t="shared" si="86"/>
        <v>7.646514682685785</v>
      </c>
      <c r="M108" s="45"/>
      <c r="N108" s="11">
        <f t="shared" si="81"/>
        <v>850.45465004078483</v>
      </c>
      <c r="O108" s="46"/>
      <c r="P108" s="46"/>
      <c r="Q108" s="46"/>
      <c r="R108" s="46"/>
      <c r="S108" s="46"/>
      <c r="T108" s="46"/>
      <c r="U108" s="46"/>
      <c r="V108" s="46"/>
      <c r="W108" s="46"/>
      <c r="X108" s="46"/>
      <c r="Y108" s="46"/>
      <c r="Z108" s="46"/>
      <c r="AA108" s="46"/>
      <c r="AB108" s="46"/>
      <c r="AC108" s="46"/>
      <c r="AD108" s="47"/>
    </row>
    <row r="109" spans="2:30" x14ac:dyDescent="0.3">
      <c r="B109" s="223"/>
      <c r="C109" s="99" t="s">
        <v>6</v>
      </c>
      <c r="D109" s="20">
        <f t="shared" si="82"/>
        <v>238.46505481498397</v>
      </c>
      <c r="E109" s="20">
        <f t="shared" si="83"/>
        <v>1.1923252740749197</v>
      </c>
      <c r="F109" s="20">
        <f t="shared" si="79"/>
        <v>231.99748400567842</v>
      </c>
      <c r="G109" s="20">
        <f t="shared" si="84"/>
        <v>611.98959522580083</v>
      </c>
      <c r="H109" s="20">
        <f t="shared" si="85"/>
        <v>4.0799306348386724</v>
      </c>
      <c r="I109" s="45"/>
      <c r="J109" s="45"/>
      <c r="K109" s="20">
        <f t="shared" si="80"/>
        <v>616.06952586063949</v>
      </c>
      <c r="L109" s="11">
        <f t="shared" si="86"/>
        <v>7.6598960833804846</v>
      </c>
      <c r="M109" s="45"/>
      <c r="N109" s="11">
        <f t="shared" si="81"/>
        <v>848.0670098663179</v>
      </c>
      <c r="O109" s="46"/>
      <c r="P109" s="46"/>
      <c r="Q109" s="46"/>
      <c r="R109" s="46"/>
      <c r="S109" s="46"/>
      <c r="T109" s="46"/>
      <c r="U109" s="46"/>
      <c r="V109" s="46"/>
      <c r="W109" s="46"/>
      <c r="X109" s="46"/>
      <c r="Y109" s="46"/>
      <c r="Z109" s="46"/>
      <c r="AA109" s="46"/>
      <c r="AB109" s="46"/>
      <c r="AC109" s="46"/>
      <c r="AD109" s="47"/>
    </row>
    <row r="110" spans="2:30" x14ac:dyDescent="0.3">
      <c r="B110" s="223"/>
      <c r="C110" s="99" t="s">
        <v>7</v>
      </c>
      <c r="D110" s="20">
        <f t="shared" si="82"/>
        <v>231.99748400567842</v>
      </c>
      <c r="E110" s="20">
        <f t="shared" si="83"/>
        <v>1.1599874200283919</v>
      </c>
      <c r="F110" s="20">
        <f t="shared" si="79"/>
        <v>225.4841705241804</v>
      </c>
      <c r="G110" s="20">
        <f t="shared" si="84"/>
        <v>616.06952586063949</v>
      </c>
      <c r="H110" s="20">
        <f t="shared" si="85"/>
        <v>4.1071301724042639</v>
      </c>
      <c r="I110" s="45"/>
      <c r="J110" s="45"/>
      <c r="K110" s="20">
        <f t="shared" si="80"/>
        <v>620.17665603304374</v>
      </c>
      <c r="L110" s="11">
        <f t="shared" si="86"/>
        <v>7.6733009015263995</v>
      </c>
      <c r="M110" s="45"/>
      <c r="N110" s="11">
        <f t="shared" si="81"/>
        <v>845.66082655722414</v>
      </c>
      <c r="O110" s="46"/>
      <c r="P110" s="46"/>
      <c r="Q110" s="46"/>
      <c r="R110" s="46"/>
      <c r="S110" s="46"/>
      <c r="T110" s="46"/>
      <c r="U110" s="46"/>
      <c r="V110" s="46"/>
      <c r="W110" s="46"/>
      <c r="X110" s="46"/>
      <c r="Y110" s="46"/>
      <c r="Z110" s="46"/>
      <c r="AA110" s="46"/>
      <c r="AB110" s="46"/>
      <c r="AC110" s="46"/>
      <c r="AD110" s="47"/>
    </row>
    <row r="111" spans="2:30" x14ac:dyDescent="0.3">
      <c r="B111" s="223"/>
      <c r="C111" s="99" t="s">
        <v>8</v>
      </c>
      <c r="D111" s="20">
        <f t="shared" si="82"/>
        <v>225.4841705241804</v>
      </c>
      <c r="E111" s="20">
        <f t="shared" si="83"/>
        <v>1.127420852620902</v>
      </c>
      <c r="F111" s="20">
        <f t="shared" si="79"/>
        <v>218.92486219869724</v>
      </c>
      <c r="G111" s="20">
        <f t="shared" si="84"/>
        <v>620.17665603304374</v>
      </c>
      <c r="H111" s="20">
        <f t="shared" si="85"/>
        <v>4.1345110402202918</v>
      </c>
      <c r="I111" s="45"/>
      <c r="J111" s="45"/>
      <c r="K111" s="20">
        <f t="shared" si="80"/>
        <v>624.31116707326407</v>
      </c>
      <c r="L111" s="11">
        <f t="shared" si="86"/>
        <v>7.6867291781040699</v>
      </c>
      <c r="M111" s="45"/>
      <c r="N111" s="11">
        <f t="shared" si="81"/>
        <v>843.23602927196134</v>
      </c>
      <c r="O111" s="46"/>
      <c r="P111" s="46"/>
      <c r="Q111" s="46"/>
      <c r="R111" s="46"/>
      <c r="S111" s="46"/>
      <c r="T111" s="46"/>
      <c r="U111" s="46"/>
      <c r="V111" s="46"/>
      <c r="W111" s="46"/>
      <c r="X111" s="46"/>
      <c r="Y111" s="46"/>
      <c r="Z111" s="46"/>
      <c r="AA111" s="46"/>
      <c r="AB111" s="46"/>
      <c r="AC111" s="46"/>
      <c r="AD111" s="47"/>
    </row>
    <row r="112" spans="2:30" x14ac:dyDescent="0.3">
      <c r="B112" s="223"/>
      <c r="C112" s="99" t="s">
        <v>9</v>
      </c>
      <c r="D112" s="20">
        <f t="shared" si="82"/>
        <v>218.92486219869724</v>
      </c>
      <c r="E112" s="20">
        <f t="shared" si="83"/>
        <v>1.0946243109934861</v>
      </c>
      <c r="F112" s="20">
        <f t="shared" si="79"/>
        <v>212.31930555552498</v>
      </c>
      <c r="G112" s="20">
        <f t="shared" si="84"/>
        <v>624.31116707326407</v>
      </c>
      <c r="H112" s="20">
        <f t="shared" si="85"/>
        <v>4.1620744471550939</v>
      </c>
      <c r="I112" s="45"/>
      <c r="J112" s="45"/>
      <c r="K112" s="20">
        <f t="shared" si="80"/>
        <v>628.47324152041915</v>
      </c>
      <c r="L112" s="11">
        <f t="shared" si="86"/>
        <v>7.7001809541657513</v>
      </c>
      <c r="M112" s="45"/>
      <c r="N112" s="11">
        <f t="shared" si="81"/>
        <v>840.79254707594419</v>
      </c>
      <c r="O112" s="46"/>
      <c r="P112" s="46"/>
      <c r="Q112" s="46"/>
      <c r="R112" s="46"/>
      <c r="S112" s="46"/>
      <c r="T112" s="46"/>
      <c r="U112" s="46"/>
      <c r="V112" s="46"/>
      <c r="W112" s="46"/>
      <c r="X112" s="46"/>
      <c r="Y112" s="46"/>
      <c r="Z112" s="46"/>
      <c r="AA112" s="46"/>
      <c r="AB112" s="46"/>
      <c r="AC112" s="46"/>
      <c r="AD112" s="47"/>
    </row>
    <row r="113" spans="2:30" x14ac:dyDescent="0.3">
      <c r="B113" s="223"/>
      <c r="C113" s="99" t="s">
        <v>10</v>
      </c>
      <c r="D113" s="20">
        <f t="shared" si="82"/>
        <v>212.31930555552498</v>
      </c>
      <c r="E113" s="20">
        <f t="shared" si="83"/>
        <v>1.0615965277776247</v>
      </c>
      <c r="F113" s="20">
        <f t="shared" si="79"/>
        <v>205.66724581246706</v>
      </c>
      <c r="G113" s="20">
        <f t="shared" si="84"/>
        <v>628.47324152041915</v>
      </c>
      <c r="H113" s="20">
        <f t="shared" si="85"/>
        <v>4.1898216101361276</v>
      </c>
      <c r="I113" s="45"/>
      <c r="J113" s="45"/>
      <c r="K113" s="20">
        <f t="shared" si="80"/>
        <v>632.66306313055532</v>
      </c>
      <c r="L113" s="11">
        <f t="shared" si="86"/>
        <v>7.713656270835541</v>
      </c>
      <c r="M113" s="45"/>
      <c r="N113" s="11">
        <f t="shared" si="81"/>
        <v>838.33030894302237</v>
      </c>
      <c r="O113" s="46"/>
      <c r="P113" s="46"/>
      <c r="Q113" s="46"/>
      <c r="R113" s="46"/>
      <c r="S113" s="46"/>
      <c r="T113" s="46"/>
      <c r="U113" s="46"/>
      <c r="V113" s="46"/>
      <c r="W113" s="46"/>
      <c r="X113" s="46"/>
      <c r="Y113" s="46"/>
      <c r="Z113" s="46"/>
      <c r="AA113" s="46"/>
      <c r="AB113" s="46"/>
      <c r="AC113" s="46"/>
      <c r="AD113" s="47"/>
    </row>
    <row r="114" spans="2:30" x14ac:dyDescent="0.3">
      <c r="B114" s="223"/>
      <c r="C114" s="99" t="s">
        <v>11</v>
      </c>
      <c r="D114" s="20">
        <f t="shared" si="82"/>
        <v>205.66724581246706</v>
      </c>
      <c r="E114" s="20">
        <f t="shared" si="83"/>
        <v>1.0283362290623352</v>
      </c>
      <c r="F114" s="20">
        <f t="shared" si="79"/>
        <v>198.96842687221991</v>
      </c>
      <c r="G114" s="20">
        <f t="shared" si="84"/>
        <v>632.66306313055532</v>
      </c>
      <c r="H114" s="20">
        <f t="shared" si="85"/>
        <v>4.2177537542037022</v>
      </c>
      <c r="I114" s="45"/>
      <c r="J114" s="45"/>
      <c r="K114" s="20">
        <f t="shared" si="80"/>
        <v>636.88081688475904</v>
      </c>
      <c r="L114" s="11">
        <f t="shared" si="86"/>
        <v>7.7271551693095022</v>
      </c>
      <c r="M114" s="45"/>
      <c r="N114" s="11">
        <f t="shared" si="81"/>
        <v>835.84924375697892</v>
      </c>
      <c r="O114" s="46"/>
      <c r="P114" s="46"/>
      <c r="Q114" s="46"/>
      <c r="R114" s="46"/>
      <c r="S114" s="46"/>
      <c r="T114" s="46"/>
      <c r="U114" s="46"/>
      <c r="V114" s="46"/>
      <c r="W114" s="46"/>
      <c r="X114" s="46"/>
      <c r="Y114" s="46"/>
      <c r="Z114" s="46"/>
      <c r="AA114" s="46"/>
      <c r="AB114" s="46"/>
      <c r="AC114" s="46"/>
      <c r="AD114" s="47"/>
    </row>
    <row r="115" spans="2:30" x14ac:dyDescent="0.3">
      <c r="B115" s="223"/>
      <c r="C115" s="99" t="s">
        <v>12</v>
      </c>
      <c r="D115" s="20">
        <f t="shared" si="82"/>
        <v>198.96842687221991</v>
      </c>
      <c r="E115" s="20">
        <f t="shared" si="83"/>
        <v>0.99484213436109947</v>
      </c>
      <c r="F115" s="20">
        <f t="shared" si="79"/>
        <v>192.22259131572523</v>
      </c>
      <c r="G115" s="20">
        <f t="shared" si="84"/>
        <v>636.88081688475904</v>
      </c>
      <c r="H115" s="20">
        <f t="shared" si="85"/>
        <v>4.2458721125650607</v>
      </c>
      <c r="I115" s="45"/>
      <c r="J115" s="45"/>
      <c r="K115" s="20">
        <f t="shared" si="80"/>
        <v>641.12668899732409</v>
      </c>
      <c r="L115" s="11">
        <f t="shared" si="86"/>
        <v>7.7406776908557928</v>
      </c>
      <c r="M115" s="45"/>
      <c r="N115" s="11">
        <f t="shared" si="81"/>
        <v>833.34928031304935</v>
      </c>
      <c r="O115" s="46"/>
      <c r="P115" s="46"/>
      <c r="Q115" s="46"/>
      <c r="R115" s="46"/>
      <c r="S115" s="46"/>
      <c r="T115" s="46"/>
      <c r="U115" s="46"/>
      <c r="V115" s="46"/>
      <c r="W115" s="46"/>
      <c r="X115" s="46"/>
      <c r="Y115" s="46"/>
      <c r="Z115" s="46"/>
      <c r="AA115" s="46"/>
      <c r="AB115" s="46"/>
      <c r="AC115" s="46"/>
      <c r="AD115" s="47"/>
    </row>
    <row r="116" spans="2:30" ht="15" thickBot="1" x14ac:dyDescent="0.35">
      <c r="B116" s="224"/>
      <c r="C116" s="100" t="s">
        <v>13</v>
      </c>
      <c r="D116" s="13">
        <f t="shared" si="82"/>
        <v>192.22259131572523</v>
      </c>
      <c r="E116" s="13">
        <f t="shared" si="83"/>
        <v>0.96111295657862605</v>
      </c>
      <c r="F116" s="13">
        <f t="shared" si="79"/>
        <v>185.42948039548907</v>
      </c>
      <c r="G116" s="13">
        <f t="shared" si="84"/>
        <v>641.12668899732409</v>
      </c>
      <c r="H116" s="13">
        <f t="shared" si="85"/>
        <v>4.2741779266488278</v>
      </c>
      <c r="I116" s="48"/>
      <c r="J116" s="48"/>
      <c r="K116" s="13">
        <f t="shared" si="80"/>
        <v>645.4008669239729</v>
      </c>
      <c r="L116" s="11">
        <f t="shared" si="86"/>
        <v>7.7542238768147902</v>
      </c>
      <c r="M116" s="48"/>
      <c r="N116" s="16">
        <f t="shared" si="81"/>
        <v>830.83034731946191</v>
      </c>
      <c r="O116" s="49">
        <f>SUM(E105:E116)</f>
        <v>13.738459627146227</v>
      </c>
      <c r="P116" s="50">
        <f t="shared" ref="P116:P165" si="87">VLOOKUP(O116,$R$11:$T$17,3,TRUE)</f>
        <v>0</v>
      </c>
      <c r="Q116" s="50">
        <f t="shared" ref="Q116" si="88">VLOOKUP(O116,$R$11:$S$17,1,TRUE)</f>
        <v>0</v>
      </c>
      <c r="R116" s="50">
        <f t="shared" ref="R116" si="89">O116-Q116</f>
        <v>13.738459627146227</v>
      </c>
      <c r="S116" s="51">
        <f t="shared" ref="S116" si="90">VLOOKUP(O116,$R$11:$U$17,4,TRUE)</f>
        <v>0.1</v>
      </c>
      <c r="T116" s="50">
        <f t="shared" ref="T116" si="91">R116*S116</f>
        <v>1.3738459627146229</v>
      </c>
      <c r="U116" s="50">
        <f t="shared" ref="U116" si="92">P116+T116</f>
        <v>1.3738459627146229</v>
      </c>
      <c r="V116" s="50">
        <f t="shared" ref="V116" si="93">IF(AC116&gt;AD116,AD116,AC116)</f>
        <v>0.13738459627146227</v>
      </c>
      <c r="W116" s="56" t="str">
        <f t="shared" ref="W116" si="94">IF(AC116&gt;AD116,$V$15,$V$16)</f>
        <v>California</v>
      </c>
      <c r="X116" s="50">
        <f t="shared" ref="X116" si="95">VLOOKUP(O116,$X$11:$Z$19,3,TRUE)</f>
        <v>0</v>
      </c>
      <c r="Y116" s="50">
        <f t="shared" ref="Y116" si="96">VLOOKUP(O116,$X$11:$Y$19,1,TRUE)</f>
        <v>0</v>
      </c>
      <c r="Z116" s="50">
        <f t="shared" ref="Z116" si="97">O116-Y116</f>
        <v>13.738459627146227</v>
      </c>
      <c r="AA116" s="51">
        <f t="shared" ref="AA116" si="98">VLOOKUP(O116,$X$11:$AA$19,4,TRUE)</f>
        <v>0.01</v>
      </c>
      <c r="AB116" s="50">
        <f t="shared" ref="AB116" si="99">Z116*AA116</f>
        <v>0.13738459627146227</v>
      </c>
      <c r="AC116" s="50">
        <f t="shared" ref="AC116" si="100">X116+AB116</f>
        <v>0.13738459627146227</v>
      </c>
      <c r="AD116" s="52">
        <f t="shared" ref="AD116" si="101">O116*$AD$9</f>
        <v>0.68692298135731145</v>
      </c>
    </row>
    <row r="117" spans="2:30" s="4" customFormat="1" ht="15" thickBot="1" x14ac:dyDescent="0.35">
      <c r="B117" s="79"/>
      <c r="C117" s="147" t="s">
        <v>26</v>
      </c>
      <c r="D117" s="115"/>
      <c r="E117" s="123">
        <f>SUM(E105:E116)</f>
        <v>13.738459627146227</v>
      </c>
      <c r="F117" s="115"/>
      <c r="G117" s="115"/>
      <c r="H117" s="123">
        <f>SUM(H105:H116)</f>
        <v>49.462583603328113</v>
      </c>
      <c r="I117" s="116"/>
      <c r="J117" s="116"/>
      <c r="K117" s="115"/>
      <c r="L117" s="124">
        <f>SUM(L105:L116)</f>
        <v>92.161824012873865</v>
      </c>
      <c r="M117" s="116"/>
      <c r="N117" s="116"/>
      <c r="O117" s="117"/>
      <c r="P117" s="118"/>
      <c r="Q117" s="118"/>
      <c r="R117" s="118"/>
      <c r="S117" s="119"/>
      <c r="T117" s="118"/>
      <c r="U117" s="118"/>
      <c r="V117" s="118"/>
      <c r="W117" s="120"/>
      <c r="X117" s="118"/>
      <c r="Y117" s="118"/>
      <c r="Z117" s="118"/>
      <c r="AA117" s="119"/>
      <c r="AB117" s="118"/>
      <c r="AC117" s="118"/>
      <c r="AD117" s="121"/>
    </row>
    <row r="118" spans="2:30" s="4" customFormat="1" x14ac:dyDescent="0.3">
      <c r="B118" s="79"/>
      <c r="C118" s="80"/>
      <c r="D118" s="81"/>
      <c r="E118" s="81"/>
      <c r="F118" s="81"/>
      <c r="G118" s="81"/>
      <c r="H118" s="81"/>
      <c r="I118" s="82"/>
      <c r="J118" s="82"/>
      <c r="K118" s="81"/>
      <c r="L118" s="82"/>
      <c r="M118" s="82"/>
      <c r="N118" s="82"/>
      <c r="O118" s="83"/>
      <c r="P118" s="84"/>
      <c r="Q118" s="84"/>
      <c r="R118" s="84"/>
      <c r="S118" s="85"/>
      <c r="T118" s="84"/>
      <c r="U118" s="84"/>
      <c r="V118" s="84"/>
      <c r="W118" s="86"/>
      <c r="X118" s="84"/>
      <c r="Y118" s="84"/>
      <c r="Z118" s="84"/>
      <c r="AA118" s="85"/>
      <c r="AB118" s="84"/>
      <c r="AC118" s="84"/>
      <c r="AD118" s="84"/>
    </row>
    <row r="119" spans="2:30" s="4" customFormat="1" ht="15" thickBot="1" x14ac:dyDescent="0.35">
      <c r="B119" s="79"/>
      <c r="C119" s="80"/>
      <c r="D119" s="233" t="s">
        <v>0</v>
      </c>
      <c r="E119" s="234"/>
      <c r="F119" s="235"/>
      <c r="G119" s="233" t="s">
        <v>28</v>
      </c>
      <c r="H119" s="234"/>
      <c r="I119" s="234"/>
      <c r="J119" s="234"/>
      <c r="K119" s="235"/>
      <c r="L119" s="137" t="s">
        <v>15</v>
      </c>
      <c r="M119" s="233" t="s">
        <v>55</v>
      </c>
      <c r="N119" s="235"/>
      <c r="O119" s="233" t="s">
        <v>19</v>
      </c>
      <c r="P119" s="234"/>
      <c r="Q119" s="234"/>
      <c r="R119" s="234"/>
      <c r="S119" s="234"/>
      <c r="T119" s="234"/>
      <c r="U119" s="234"/>
      <c r="V119" s="234"/>
      <c r="W119" s="234"/>
      <c r="X119" s="234"/>
      <c r="Y119" s="234"/>
      <c r="Z119" s="234"/>
      <c r="AA119" s="234"/>
      <c r="AB119" s="234"/>
      <c r="AC119" s="234"/>
      <c r="AD119" s="235"/>
    </row>
    <row r="120" spans="2:30" s="4" customFormat="1" ht="58.2" thickBot="1" x14ac:dyDescent="0.35">
      <c r="B120" s="228" t="s">
        <v>62</v>
      </c>
      <c r="C120" s="229"/>
      <c r="D120" s="53" t="s">
        <v>35</v>
      </c>
      <c r="E120" s="54" t="s">
        <v>41</v>
      </c>
      <c r="F120" s="54" t="s">
        <v>16</v>
      </c>
      <c r="G120" s="54" t="s">
        <v>36</v>
      </c>
      <c r="H120" s="54" t="s">
        <v>30</v>
      </c>
      <c r="I120" s="54" t="s">
        <v>45</v>
      </c>
      <c r="J120" s="54" t="s">
        <v>31</v>
      </c>
      <c r="K120" s="54" t="s">
        <v>37</v>
      </c>
      <c r="L120" s="54" t="s">
        <v>15</v>
      </c>
      <c r="M120" s="54" t="s">
        <v>14</v>
      </c>
      <c r="N120" s="54" t="s">
        <v>17</v>
      </c>
      <c r="O120" s="54" t="s">
        <v>18</v>
      </c>
      <c r="P120" s="54" t="s">
        <v>24</v>
      </c>
      <c r="Q120" s="54" t="s">
        <v>21</v>
      </c>
      <c r="R120" s="54" t="s">
        <v>25</v>
      </c>
      <c r="S120" s="54" t="s">
        <v>42</v>
      </c>
      <c r="T120" s="54" t="s">
        <v>43</v>
      </c>
      <c r="U120" s="54" t="s">
        <v>44</v>
      </c>
      <c r="V120" s="54" t="s">
        <v>47</v>
      </c>
      <c r="W120" s="54" t="s">
        <v>48</v>
      </c>
      <c r="X120" s="54" t="s">
        <v>24</v>
      </c>
      <c r="Y120" s="54" t="s">
        <v>21</v>
      </c>
      <c r="Z120" s="54" t="s">
        <v>25</v>
      </c>
      <c r="AA120" s="54" t="s">
        <v>42</v>
      </c>
      <c r="AB120" s="54" t="s">
        <v>43</v>
      </c>
      <c r="AC120" s="54" t="s">
        <v>46</v>
      </c>
      <c r="AD120" s="55" t="s">
        <v>49</v>
      </c>
    </row>
    <row r="121" spans="2:30" x14ac:dyDescent="0.3">
      <c r="B121" s="222">
        <v>2027</v>
      </c>
      <c r="C121" s="98" t="s">
        <v>2</v>
      </c>
      <c r="D121" s="17">
        <f>F116</f>
        <v>185.42948039548907</v>
      </c>
      <c r="E121" s="17">
        <f t="shared" si="83"/>
        <v>0.92714740197744527</v>
      </c>
      <c r="F121" s="17">
        <f t="shared" ref="F121:F132" si="102">D121+E121-L121</f>
        <v>178.5888340288673</v>
      </c>
      <c r="G121" s="17">
        <f>K116</f>
        <v>645.4008669239729</v>
      </c>
      <c r="H121" s="17">
        <f t="shared" si="85"/>
        <v>4.3026724461598196</v>
      </c>
      <c r="I121" s="41"/>
      <c r="J121" s="41"/>
      <c r="K121" s="17">
        <f t="shared" ref="K121:K132" si="103">G121+H121-J121</f>
        <v>649.70353937013272</v>
      </c>
      <c r="L121" s="10">
        <f>L116*(1+$H$10/12)</f>
        <v>7.7677937685992156</v>
      </c>
      <c r="M121" s="42"/>
      <c r="N121" s="10">
        <f t="shared" ref="N121:N132" si="104">F121+K121</f>
        <v>828.29237339899998</v>
      </c>
      <c r="O121" s="42"/>
      <c r="P121" s="42"/>
      <c r="Q121" s="42"/>
      <c r="R121" s="42"/>
      <c r="S121" s="42"/>
      <c r="T121" s="42"/>
      <c r="U121" s="42"/>
      <c r="V121" s="42"/>
      <c r="W121" s="42"/>
      <c r="X121" s="42"/>
      <c r="Y121" s="42"/>
      <c r="Z121" s="42"/>
      <c r="AA121" s="42"/>
      <c r="AB121" s="42"/>
      <c r="AC121" s="42"/>
      <c r="AD121" s="43"/>
    </row>
    <row r="122" spans="2:30" x14ac:dyDescent="0.3">
      <c r="B122" s="223"/>
      <c r="C122" s="99" t="s">
        <v>3</v>
      </c>
      <c r="D122" s="20">
        <f t="shared" ref="D122:D132" si="105">F121</f>
        <v>178.5888340288673</v>
      </c>
      <c r="E122" s="20">
        <f t="shared" si="83"/>
        <v>0.89294417014433647</v>
      </c>
      <c r="F122" s="20">
        <f t="shared" si="102"/>
        <v>171.70039079131737</v>
      </c>
      <c r="G122" s="20">
        <f t="shared" ref="G122:G132" si="106">K121</f>
        <v>649.70353937013272</v>
      </c>
      <c r="H122" s="20">
        <f t="shared" si="85"/>
        <v>4.331356929134218</v>
      </c>
      <c r="I122" s="45"/>
      <c r="J122" s="45"/>
      <c r="K122" s="20">
        <f t="shared" si="103"/>
        <v>654.03489629926696</v>
      </c>
      <c r="L122" s="11">
        <f>L121*(1+$H$10/12)</f>
        <v>7.7813874076942637</v>
      </c>
      <c r="M122" s="46"/>
      <c r="N122" s="11">
        <f t="shared" si="104"/>
        <v>825.73528709058428</v>
      </c>
      <c r="O122" s="46"/>
      <c r="P122" s="46"/>
      <c r="Q122" s="46"/>
      <c r="R122" s="46"/>
      <c r="S122" s="46"/>
      <c r="T122" s="46"/>
      <c r="U122" s="46"/>
      <c r="V122" s="46"/>
      <c r="W122" s="46"/>
      <c r="X122" s="46"/>
      <c r="Y122" s="46"/>
      <c r="Z122" s="46"/>
      <c r="AA122" s="46"/>
      <c r="AB122" s="46"/>
      <c r="AC122" s="46"/>
      <c r="AD122" s="47"/>
    </row>
    <row r="123" spans="2:30" x14ac:dyDescent="0.3">
      <c r="B123" s="223"/>
      <c r="C123" s="99" t="s">
        <v>4</v>
      </c>
      <c r="D123" s="20">
        <f t="shared" si="105"/>
        <v>171.70039079131737</v>
      </c>
      <c r="E123" s="20">
        <f t="shared" si="83"/>
        <v>0.85850195395658691</v>
      </c>
      <c r="F123" s="20">
        <f>D123+E123-L123-M123</f>
        <v>163.25265735063016</v>
      </c>
      <c r="G123" s="20">
        <f t="shared" si="106"/>
        <v>654.03489629926696</v>
      </c>
      <c r="H123" s="20">
        <f t="shared" si="85"/>
        <v>4.360232641995113</v>
      </c>
      <c r="I123" s="45"/>
      <c r="J123" s="45"/>
      <c r="K123" s="20">
        <f t="shared" si="103"/>
        <v>658.3951289412621</v>
      </c>
      <c r="L123" s="11">
        <f t="shared" ref="L123:L132" si="107">L122*(1+$H$10/12)</f>
        <v>7.7950048356577284</v>
      </c>
      <c r="M123" s="59">
        <f>U116+V116</f>
        <v>1.5112305589860853</v>
      </c>
      <c r="N123" s="11">
        <f t="shared" si="104"/>
        <v>821.64778629189232</v>
      </c>
      <c r="O123" s="46"/>
      <c r="P123" s="46"/>
      <c r="Q123" s="46"/>
      <c r="R123" s="46"/>
      <c r="S123" s="46"/>
      <c r="T123" s="46"/>
      <c r="U123" s="46"/>
      <c r="V123" s="46"/>
      <c r="W123" s="46"/>
      <c r="X123" s="46"/>
      <c r="Y123" s="46"/>
      <c r="Z123" s="46"/>
      <c r="AA123" s="46"/>
      <c r="AB123" s="46"/>
      <c r="AC123" s="46"/>
      <c r="AD123" s="47"/>
    </row>
    <row r="124" spans="2:30" x14ac:dyDescent="0.3">
      <c r="B124" s="223"/>
      <c r="C124" s="99" t="s">
        <v>5</v>
      </c>
      <c r="D124" s="20">
        <f t="shared" si="105"/>
        <v>163.25265735063016</v>
      </c>
      <c r="E124" s="20">
        <f t="shared" si="83"/>
        <v>0.81626328675315074</v>
      </c>
      <c r="F124" s="20">
        <f t="shared" si="102"/>
        <v>156.26027454326319</v>
      </c>
      <c r="G124" s="20">
        <f t="shared" si="106"/>
        <v>658.3951289412621</v>
      </c>
      <c r="H124" s="20">
        <f t="shared" si="85"/>
        <v>4.3893008596084142</v>
      </c>
      <c r="I124" s="45"/>
      <c r="J124" s="45"/>
      <c r="K124" s="20">
        <f t="shared" si="103"/>
        <v>662.7844298008705</v>
      </c>
      <c r="L124" s="11">
        <f t="shared" si="107"/>
        <v>7.808646094120129</v>
      </c>
      <c r="M124" s="46"/>
      <c r="N124" s="11">
        <f t="shared" si="104"/>
        <v>819.04470434413372</v>
      </c>
      <c r="O124" s="46"/>
      <c r="P124" s="46"/>
      <c r="Q124" s="46"/>
      <c r="R124" s="46"/>
      <c r="S124" s="46"/>
      <c r="T124" s="46"/>
      <c r="U124" s="46"/>
      <c r="V124" s="46"/>
      <c r="W124" s="46"/>
      <c r="X124" s="46"/>
      <c r="Y124" s="46"/>
      <c r="Z124" s="46"/>
      <c r="AA124" s="46"/>
      <c r="AB124" s="46"/>
      <c r="AC124" s="46"/>
      <c r="AD124" s="47"/>
    </row>
    <row r="125" spans="2:30" x14ac:dyDescent="0.3">
      <c r="B125" s="223"/>
      <c r="C125" s="99" t="s">
        <v>6</v>
      </c>
      <c r="D125" s="20">
        <f t="shared" si="105"/>
        <v>156.26027454326319</v>
      </c>
      <c r="E125" s="20">
        <f t="shared" si="83"/>
        <v>0.78130137271631594</v>
      </c>
      <c r="F125" s="20">
        <f t="shared" si="102"/>
        <v>149.21926469119467</v>
      </c>
      <c r="G125" s="20">
        <f t="shared" si="106"/>
        <v>662.7844298008705</v>
      </c>
      <c r="H125" s="20">
        <f t="shared" si="85"/>
        <v>4.4185628653391369</v>
      </c>
      <c r="I125" s="45"/>
      <c r="J125" s="45"/>
      <c r="K125" s="20">
        <f t="shared" si="103"/>
        <v>667.20299266620964</v>
      </c>
      <c r="L125" s="11">
        <f t="shared" si="107"/>
        <v>7.8223112247848388</v>
      </c>
      <c r="M125" s="46"/>
      <c r="N125" s="11">
        <f t="shared" si="104"/>
        <v>816.42225735740431</v>
      </c>
      <c r="O125" s="46"/>
      <c r="P125" s="46"/>
      <c r="Q125" s="46"/>
      <c r="R125" s="46"/>
      <c r="S125" s="46"/>
      <c r="T125" s="46"/>
      <c r="U125" s="46"/>
      <c r="V125" s="46"/>
      <c r="W125" s="46"/>
      <c r="X125" s="46"/>
      <c r="Y125" s="46"/>
      <c r="Z125" s="46"/>
      <c r="AA125" s="46"/>
      <c r="AB125" s="46"/>
      <c r="AC125" s="46"/>
      <c r="AD125" s="47"/>
    </row>
    <row r="126" spans="2:30" x14ac:dyDescent="0.3">
      <c r="B126" s="223"/>
      <c r="C126" s="99" t="s">
        <v>7</v>
      </c>
      <c r="D126" s="20">
        <f t="shared" si="105"/>
        <v>149.21926469119467</v>
      </c>
      <c r="E126" s="20">
        <f t="shared" si="83"/>
        <v>0.74609632345597332</v>
      </c>
      <c r="F126" s="20">
        <f t="shared" si="102"/>
        <v>142.12936074522244</v>
      </c>
      <c r="G126" s="20">
        <f t="shared" si="106"/>
        <v>667.20299266620964</v>
      </c>
      <c r="H126" s="20">
        <f t="shared" si="85"/>
        <v>4.4480199511080647</v>
      </c>
      <c r="I126" s="45"/>
      <c r="J126" s="45"/>
      <c r="K126" s="20">
        <f t="shared" si="103"/>
        <v>671.65101261731775</v>
      </c>
      <c r="L126" s="11">
        <f t="shared" si="107"/>
        <v>7.8360002694282116</v>
      </c>
      <c r="M126" s="46"/>
      <c r="N126" s="11">
        <f t="shared" si="104"/>
        <v>813.78037336254022</v>
      </c>
      <c r="O126" s="46"/>
      <c r="P126" s="46"/>
      <c r="Q126" s="46"/>
      <c r="R126" s="46"/>
      <c r="S126" s="46"/>
      <c r="T126" s="46"/>
      <c r="U126" s="46"/>
      <c r="V126" s="46"/>
      <c r="W126" s="46"/>
      <c r="X126" s="46"/>
      <c r="Y126" s="46"/>
      <c r="Z126" s="46"/>
      <c r="AA126" s="46"/>
      <c r="AB126" s="46"/>
      <c r="AC126" s="46"/>
      <c r="AD126" s="47"/>
    </row>
    <row r="127" spans="2:30" x14ac:dyDescent="0.3">
      <c r="B127" s="223"/>
      <c r="C127" s="99" t="s">
        <v>8</v>
      </c>
      <c r="D127" s="20">
        <f t="shared" si="105"/>
        <v>142.12936074522244</v>
      </c>
      <c r="E127" s="20">
        <f t="shared" si="83"/>
        <v>0.71064680372611211</v>
      </c>
      <c r="F127" s="20">
        <f t="shared" si="102"/>
        <v>134.99029427904884</v>
      </c>
      <c r="G127" s="20">
        <f t="shared" si="106"/>
        <v>671.65101261731775</v>
      </c>
      <c r="H127" s="20">
        <f t="shared" si="85"/>
        <v>4.4776734174487851</v>
      </c>
      <c r="I127" s="45"/>
      <c r="J127" s="45"/>
      <c r="K127" s="20">
        <f t="shared" si="103"/>
        <v>676.12868603476659</v>
      </c>
      <c r="L127" s="11">
        <f t="shared" si="107"/>
        <v>7.8497132698997101</v>
      </c>
      <c r="M127" s="46"/>
      <c r="N127" s="11">
        <f t="shared" si="104"/>
        <v>811.11898031381543</v>
      </c>
      <c r="O127" s="46"/>
      <c r="P127" s="46"/>
      <c r="Q127" s="46"/>
      <c r="R127" s="46"/>
      <c r="S127" s="46"/>
      <c r="T127" s="46"/>
      <c r="U127" s="46"/>
      <c r="V127" s="46"/>
      <c r="W127" s="46"/>
      <c r="X127" s="46"/>
      <c r="Y127" s="46"/>
      <c r="Z127" s="46"/>
      <c r="AA127" s="46"/>
      <c r="AB127" s="46"/>
      <c r="AC127" s="46"/>
      <c r="AD127" s="47"/>
    </row>
    <row r="128" spans="2:30" x14ac:dyDescent="0.3">
      <c r="B128" s="223"/>
      <c r="C128" s="99" t="s">
        <v>9</v>
      </c>
      <c r="D128" s="20">
        <f t="shared" si="105"/>
        <v>134.99029427904884</v>
      </c>
      <c r="E128" s="20">
        <f t="shared" si="83"/>
        <v>0.67495147139524414</v>
      </c>
      <c r="F128" s="20">
        <f t="shared" si="102"/>
        <v>127.80179548232205</v>
      </c>
      <c r="G128" s="20">
        <f t="shared" si="106"/>
        <v>676.12868603476659</v>
      </c>
      <c r="H128" s="20">
        <f t="shared" si="85"/>
        <v>4.507524573565111</v>
      </c>
      <c r="I128" s="45"/>
      <c r="J128" s="45"/>
      <c r="K128" s="20">
        <f t="shared" si="103"/>
        <v>680.63621060833168</v>
      </c>
      <c r="L128" s="11">
        <f t="shared" si="107"/>
        <v>7.8634502681220342</v>
      </c>
      <c r="M128" s="46"/>
      <c r="N128" s="11">
        <f t="shared" si="104"/>
        <v>808.43800609065374</v>
      </c>
      <c r="O128" s="46"/>
      <c r="P128" s="46"/>
      <c r="Q128" s="46"/>
      <c r="R128" s="46"/>
      <c r="S128" s="46"/>
      <c r="T128" s="46"/>
      <c r="U128" s="46"/>
      <c r="V128" s="46"/>
      <c r="W128" s="46"/>
      <c r="X128" s="46"/>
      <c r="Y128" s="46"/>
      <c r="Z128" s="46"/>
      <c r="AA128" s="46"/>
      <c r="AB128" s="46"/>
      <c r="AC128" s="46"/>
      <c r="AD128" s="47"/>
    </row>
    <row r="129" spans="2:37" x14ac:dyDescent="0.3">
      <c r="B129" s="223"/>
      <c r="C129" s="99" t="s">
        <v>10</v>
      </c>
      <c r="D129" s="20">
        <f t="shared" si="105"/>
        <v>127.80179548232205</v>
      </c>
      <c r="E129" s="20">
        <f t="shared" si="83"/>
        <v>0.63900897741161022</v>
      </c>
      <c r="F129" s="20">
        <f t="shared" si="102"/>
        <v>120.56359315364242</v>
      </c>
      <c r="G129" s="20">
        <f t="shared" si="106"/>
        <v>680.63621060833168</v>
      </c>
      <c r="H129" s="20">
        <f t="shared" si="85"/>
        <v>4.5375747373888782</v>
      </c>
      <c r="I129" s="45"/>
      <c r="J129" s="45"/>
      <c r="K129" s="20">
        <f t="shared" si="103"/>
        <v>685.1737853457206</v>
      </c>
      <c r="L129" s="11">
        <f t="shared" si="107"/>
        <v>7.8772113060912474</v>
      </c>
      <c r="M129" s="46"/>
      <c r="N129" s="11">
        <f t="shared" si="104"/>
        <v>805.73737849936299</v>
      </c>
      <c r="O129" s="46"/>
      <c r="P129" s="46"/>
      <c r="Q129" s="46"/>
      <c r="R129" s="46"/>
      <c r="S129" s="46"/>
      <c r="T129" s="46"/>
      <c r="U129" s="46"/>
      <c r="V129" s="46"/>
      <c r="W129" s="46"/>
      <c r="X129" s="46"/>
      <c r="Y129" s="46"/>
      <c r="Z129" s="46"/>
      <c r="AA129" s="46"/>
      <c r="AB129" s="46"/>
      <c r="AC129" s="46"/>
      <c r="AD129" s="47"/>
    </row>
    <row r="130" spans="2:37" x14ac:dyDescent="0.3">
      <c r="B130" s="223"/>
      <c r="C130" s="99" t="s">
        <v>11</v>
      </c>
      <c r="D130" s="20">
        <f t="shared" si="105"/>
        <v>120.56359315364242</v>
      </c>
      <c r="E130" s="20">
        <f t="shared" si="83"/>
        <v>0.60281796576821212</v>
      </c>
      <c r="F130" s="20">
        <f t="shared" si="102"/>
        <v>113.27541469353372</v>
      </c>
      <c r="G130" s="20">
        <f t="shared" si="106"/>
        <v>685.1737853457206</v>
      </c>
      <c r="H130" s="20">
        <f t="shared" si="85"/>
        <v>4.5678252356381375</v>
      </c>
      <c r="I130" s="45"/>
      <c r="J130" s="45"/>
      <c r="K130" s="20">
        <f t="shared" si="103"/>
        <v>689.74161058135871</v>
      </c>
      <c r="L130" s="11">
        <f t="shared" si="107"/>
        <v>7.8909964258769065</v>
      </c>
      <c r="M130" s="46"/>
      <c r="N130" s="11">
        <f t="shared" si="104"/>
        <v>803.01702527489238</v>
      </c>
      <c r="O130" s="46"/>
      <c r="P130" s="46"/>
      <c r="Q130" s="46"/>
      <c r="R130" s="46"/>
      <c r="S130" s="46"/>
      <c r="T130" s="46"/>
      <c r="U130" s="46"/>
      <c r="V130" s="46"/>
      <c r="W130" s="46"/>
      <c r="X130" s="46"/>
      <c r="Y130" s="46"/>
      <c r="Z130" s="46"/>
      <c r="AA130" s="46"/>
      <c r="AB130" s="46"/>
      <c r="AC130" s="46"/>
      <c r="AD130" s="47"/>
    </row>
    <row r="131" spans="2:37" x14ac:dyDescent="0.3">
      <c r="B131" s="223"/>
      <c r="C131" s="99" t="s">
        <v>12</v>
      </c>
      <c r="D131" s="20">
        <f t="shared" si="105"/>
        <v>113.27541469353372</v>
      </c>
      <c r="E131" s="20">
        <f t="shared" si="83"/>
        <v>0.56637707346766863</v>
      </c>
      <c r="F131" s="20">
        <f t="shared" si="102"/>
        <v>105.93698609737919</v>
      </c>
      <c r="G131" s="20">
        <f t="shared" si="106"/>
        <v>689.74161058135871</v>
      </c>
      <c r="H131" s="20">
        <f t="shared" si="85"/>
        <v>4.5982774038757244</v>
      </c>
      <c r="I131" s="45"/>
      <c r="J131" s="45"/>
      <c r="K131" s="20">
        <f t="shared" si="103"/>
        <v>694.33988798523444</v>
      </c>
      <c r="L131" s="11">
        <f t="shared" si="107"/>
        <v>7.9048056696221902</v>
      </c>
      <c r="M131" s="46"/>
      <c r="N131" s="11">
        <f t="shared" si="104"/>
        <v>800.27687408261363</v>
      </c>
      <c r="O131" s="46"/>
      <c r="P131" s="46"/>
      <c r="Q131" s="46"/>
      <c r="R131" s="46"/>
      <c r="S131" s="46"/>
      <c r="T131" s="46"/>
      <c r="U131" s="46"/>
      <c r="V131" s="46"/>
      <c r="W131" s="46"/>
      <c r="X131" s="46"/>
      <c r="Y131" s="46"/>
      <c r="Z131" s="46"/>
      <c r="AA131" s="46"/>
      <c r="AB131" s="46"/>
      <c r="AC131" s="46"/>
      <c r="AD131" s="47"/>
    </row>
    <row r="132" spans="2:37" ht="15" thickBot="1" x14ac:dyDescent="0.35">
      <c r="B132" s="224"/>
      <c r="C132" s="100" t="s">
        <v>13</v>
      </c>
      <c r="D132" s="13">
        <f t="shared" si="105"/>
        <v>105.93698609737919</v>
      </c>
      <c r="E132" s="13">
        <f t="shared" si="83"/>
        <v>0.52968493048689591</v>
      </c>
      <c r="F132" s="13">
        <f t="shared" si="102"/>
        <v>98.548031948322063</v>
      </c>
      <c r="G132" s="13">
        <f t="shared" si="106"/>
        <v>694.33988798523444</v>
      </c>
      <c r="H132" s="13">
        <f t="shared" si="85"/>
        <v>4.6289325865682303</v>
      </c>
      <c r="I132" s="48"/>
      <c r="J132" s="48"/>
      <c r="K132" s="13">
        <f t="shared" si="103"/>
        <v>698.96882057180267</v>
      </c>
      <c r="L132" s="11">
        <f t="shared" si="107"/>
        <v>7.918639079544028</v>
      </c>
      <c r="M132" s="63"/>
      <c r="N132" s="16">
        <f t="shared" si="104"/>
        <v>797.51685252012476</v>
      </c>
      <c r="O132" s="49">
        <f>SUM(E121:E132)</f>
        <v>8.7457417312595513</v>
      </c>
      <c r="P132" s="50">
        <f t="shared" si="87"/>
        <v>0</v>
      </c>
      <c r="Q132" s="50">
        <f t="shared" ref="Q132" si="108">VLOOKUP(O132,$R$11:$S$17,1,TRUE)</f>
        <v>0</v>
      </c>
      <c r="R132" s="50">
        <f t="shared" ref="R132" si="109">O132-Q132</f>
        <v>8.7457417312595513</v>
      </c>
      <c r="S132" s="51">
        <f t="shared" ref="S132" si="110">VLOOKUP(O132,$R$11:$U$17,4,TRUE)</f>
        <v>0.1</v>
      </c>
      <c r="T132" s="50">
        <f t="shared" ref="T132" si="111">R132*S132</f>
        <v>0.8745741731259552</v>
      </c>
      <c r="U132" s="50">
        <f t="shared" ref="U132" si="112">P132+T132</f>
        <v>0.8745741731259552</v>
      </c>
      <c r="V132" s="50">
        <f t="shared" ref="V132" si="113">IF(AC132&gt;AD132,AD132,AC132)</f>
        <v>8.7457417312595515E-2</v>
      </c>
      <c r="W132" s="56" t="str">
        <f t="shared" ref="W132" si="114">IF(AC132&gt;AD132,$V$15,$V$16)</f>
        <v>California</v>
      </c>
      <c r="X132" s="50">
        <f t="shared" ref="X132" si="115">VLOOKUP(O132,$X$11:$Z$19,3,TRUE)</f>
        <v>0</v>
      </c>
      <c r="Y132" s="50">
        <f t="shared" ref="Y132" si="116">VLOOKUP(O132,$X$11:$Y$19,1,TRUE)</f>
        <v>0</v>
      </c>
      <c r="Z132" s="50">
        <f t="shared" ref="Z132" si="117">O132-Y132</f>
        <v>8.7457417312595513</v>
      </c>
      <c r="AA132" s="51">
        <f t="shared" ref="AA132" si="118">VLOOKUP(O132,$X$11:$AA$19,4,TRUE)</f>
        <v>0.01</v>
      </c>
      <c r="AB132" s="50">
        <f t="shared" ref="AB132" si="119">Z132*AA132</f>
        <v>8.7457417312595515E-2</v>
      </c>
      <c r="AC132" s="50">
        <f t="shared" ref="AC132" si="120">X132+AB132</f>
        <v>8.7457417312595515E-2</v>
      </c>
      <c r="AD132" s="52">
        <f t="shared" ref="AD132" si="121">O132*$AD$9</f>
        <v>0.4372870865629776</v>
      </c>
    </row>
    <row r="133" spans="2:37" s="4" customFormat="1" ht="15" thickBot="1" x14ac:dyDescent="0.35">
      <c r="B133" s="79"/>
      <c r="C133" s="147" t="s">
        <v>26</v>
      </c>
      <c r="D133" s="125"/>
      <c r="E133" s="123">
        <f>SUM(E121:E132)</f>
        <v>8.7457417312595513</v>
      </c>
      <c r="F133" s="125"/>
      <c r="G133" s="125"/>
      <c r="H133" s="123">
        <f>SUM(H121:H132)</f>
        <v>53.56795364782964</v>
      </c>
      <c r="I133" s="116"/>
      <c r="J133" s="116"/>
      <c r="K133" s="115"/>
      <c r="L133" s="124">
        <f>SUM(L121:L132)</f>
        <v>94.115959619440503</v>
      </c>
      <c r="M133" s="148"/>
      <c r="N133" s="126"/>
      <c r="O133" s="146"/>
      <c r="P133" s="127"/>
      <c r="Q133" s="127"/>
      <c r="R133" s="127"/>
      <c r="S133" s="73"/>
      <c r="T133" s="127"/>
      <c r="U133" s="127"/>
      <c r="V133" s="127"/>
      <c r="W133" s="128"/>
      <c r="X133" s="127"/>
      <c r="Y133" s="127"/>
      <c r="Z133" s="127"/>
      <c r="AA133" s="73"/>
      <c r="AB133" s="127"/>
      <c r="AC133" s="127"/>
      <c r="AD133" s="129"/>
    </row>
    <row r="134" spans="2:37" s="4" customFormat="1" x14ac:dyDescent="0.3">
      <c r="B134" s="79"/>
      <c r="C134" s="44"/>
      <c r="D134" s="20"/>
      <c r="E134" s="20"/>
      <c r="F134" s="20"/>
      <c r="G134" s="20"/>
      <c r="H134" s="20"/>
      <c r="I134" s="82"/>
      <c r="J134" s="82"/>
      <c r="K134" s="81"/>
      <c r="L134" s="82"/>
      <c r="M134" s="34"/>
      <c r="N134" s="11"/>
      <c r="O134" s="62"/>
      <c r="P134" s="60"/>
      <c r="Q134" s="60"/>
      <c r="R134" s="60"/>
      <c r="S134" s="8"/>
      <c r="T134" s="60"/>
      <c r="U134" s="60"/>
      <c r="V134" s="60"/>
      <c r="W134" s="61"/>
      <c r="X134" s="60"/>
      <c r="Y134" s="60"/>
      <c r="Z134" s="60"/>
      <c r="AA134" s="8"/>
      <c r="AB134" s="60"/>
      <c r="AC134" s="60"/>
      <c r="AD134" s="60"/>
    </row>
    <row r="135" spans="2:37" s="4" customFormat="1" ht="16.2" customHeight="1" thickBot="1" x14ac:dyDescent="0.35">
      <c r="B135" s="79"/>
      <c r="C135" s="44"/>
      <c r="D135" s="233" t="s">
        <v>0</v>
      </c>
      <c r="E135" s="234"/>
      <c r="F135" s="235"/>
      <c r="G135" s="233" t="s">
        <v>28</v>
      </c>
      <c r="H135" s="234"/>
      <c r="I135" s="234"/>
      <c r="J135" s="234"/>
      <c r="K135" s="235"/>
      <c r="L135" s="137" t="s">
        <v>15</v>
      </c>
      <c r="M135" s="233" t="s">
        <v>55</v>
      </c>
      <c r="N135" s="235"/>
      <c r="O135" s="233" t="s">
        <v>19</v>
      </c>
      <c r="P135" s="234"/>
      <c r="Q135" s="234"/>
      <c r="R135" s="234"/>
      <c r="S135" s="234"/>
      <c r="T135" s="234"/>
      <c r="U135" s="234"/>
      <c r="V135" s="234"/>
      <c r="W135" s="234"/>
      <c r="X135" s="234"/>
      <c r="Y135" s="234"/>
      <c r="Z135" s="234"/>
      <c r="AA135" s="234"/>
      <c r="AB135" s="234"/>
      <c r="AC135" s="234"/>
      <c r="AD135" s="235"/>
      <c r="AF135" s="249" t="s">
        <v>72</v>
      </c>
      <c r="AG135" s="249"/>
      <c r="AH135" s="249"/>
      <c r="AI135" s="249"/>
      <c r="AJ135" s="249"/>
      <c r="AK135" s="249"/>
    </row>
    <row r="136" spans="2:37" s="4" customFormat="1" ht="58.2" thickBot="1" x14ac:dyDescent="0.35">
      <c r="B136" s="228" t="s">
        <v>62</v>
      </c>
      <c r="C136" s="229"/>
      <c r="D136" s="53" t="s">
        <v>35</v>
      </c>
      <c r="E136" s="54" t="s">
        <v>41</v>
      </c>
      <c r="F136" s="54" t="s">
        <v>16</v>
      </c>
      <c r="G136" s="54" t="s">
        <v>36</v>
      </c>
      <c r="H136" s="54" t="s">
        <v>30</v>
      </c>
      <c r="I136" s="54" t="s">
        <v>45</v>
      </c>
      <c r="J136" s="54" t="s">
        <v>31</v>
      </c>
      <c r="K136" s="54" t="s">
        <v>37</v>
      </c>
      <c r="L136" s="54" t="s">
        <v>15</v>
      </c>
      <c r="M136" s="54" t="s">
        <v>14</v>
      </c>
      <c r="N136" s="54" t="s">
        <v>17</v>
      </c>
      <c r="O136" s="54" t="s">
        <v>18</v>
      </c>
      <c r="P136" s="54" t="s">
        <v>24</v>
      </c>
      <c r="Q136" s="54" t="s">
        <v>21</v>
      </c>
      <c r="R136" s="54" t="s">
        <v>25</v>
      </c>
      <c r="S136" s="54" t="s">
        <v>42</v>
      </c>
      <c r="T136" s="54" t="s">
        <v>43</v>
      </c>
      <c r="U136" s="54" t="s">
        <v>44</v>
      </c>
      <c r="V136" s="54" t="s">
        <v>47</v>
      </c>
      <c r="W136" s="54" t="s">
        <v>48</v>
      </c>
      <c r="X136" s="54" t="s">
        <v>24</v>
      </c>
      <c r="Y136" s="54" t="s">
        <v>21</v>
      </c>
      <c r="Z136" s="54" t="s">
        <v>25</v>
      </c>
      <c r="AA136" s="54" t="s">
        <v>42</v>
      </c>
      <c r="AB136" s="54" t="s">
        <v>43</v>
      </c>
      <c r="AC136" s="54" t="s">
        <v>46</v>
      </c>
      <c r="AD136" s="55" t="s">
        <v>49</v>
      </c>
      <c r="AF136" s="249"/>
      <c r="AG136" s="249"/>
      <c r="AH136" s="249"/>
      <c r="AI136" s="249"/>
      <c r="AJ136" s="249"/>
      <c r="AK136" s="249"/>
    </row>
    <row r="137" spans="2:37" x14ac:dyDescent="0.3">
      <c r="B137" s="222">
        <v>2028</v>
      </c>
      <c r="C137" s="98" t="s">
        <v>2</v>
      </c>
      <c r="D137" s="17">
        <f>F132</f>
        <v>98.548031948322063</v>
      </c>
      <c r="E137" s="17">
        <f t="shared" si="83"/>
        <v>0.49274015974161028</v>
      </c>
      <c r="F137" s="17">
        <f t="shared" ref="F137:F148" si="122">D137+E137-L137</f>
        <v>91.108275410130446</v>
      </c>
      <c r="G137" s="17">
        <f>K132</f>
        <v>698.96882057180267</v>
      </c>
      <c r="H137" s="17">
        <f t="shared" si="85"/>
        <v>4.6597921371453515</v>
      </c>
      <c r="I137" s="41"/>
      <c r="J137" s="41"/>
      <c r="K137" s="17">
        <f t="shared" ref="K137:K148" si="123">G137+H137-J137</f>
        <v>703.62861270894803</v>
      </c>
      <c r="L137" s="10">
        <f>L132*(1+$H$11/12)</f>
        <v>7.932496697933229</v>
      </c>
      <c r="M137" s="42"/>
      <c r="N137" s="10">
        <f t="shared" ref="N137:N148" si="124">F137+K137</f>
        <v>794.73688811907846</v>
      </c>
      <c r="O137" s="42"/>
      <c r="P137" s="42"/>
      <c r="Q137" s="42"/>
      <c r="R137" s="42"/>
      <c r="S137" s="42"/>
      <c r="T137" s="42"/>
      <c r="U137" s="42"/>
      <c r="V137" s="42"/>
      <c r="W137" s="42"/>
      <c r="X137" s="42"/>
      <c r="Y137" s="42"/>
      <c r="Z137" s="42"/>
      <c r="AA137" s="42"/>
      <c r="AB137" s="42"/>
      <c r="AC137" s="42"/>
      <c r="AD137" s="43"/>
      <c r="AF137" s="249"/>
      <c r="AG137" s="249"/>
      <c r="AH137" s="249"/>
      <c r="AI137" s="249"/>
      <c r="AJ137" s="249"/>
      <c r="AK137" s="249"/>
    </row>
    <row r="138" spans="2:37" ht="15.6" customHeight="1" x14ac:dyDescent="0.3">
      <c r="B138" s="223"/>
      <c r="C138" s="99" t="s">
        <v>3</v>
      </c>
      <c r="D138" s="20">
        <f t="shared" ref="D138:D148" si="125">F137</f>
        <v>91.108275410130446</v>
      </c>
      <c r="E138" s="20">
        <f t="shared" si="83"/>
        <v>0.45554137705065223</v>
      </c>
      <c r="F138" s="20">
        <f t="shared" si="122"/>
        <v>83.617438220026486</v>
      </c>
      <c r="G138" s="20">
        <f t="shared" ref="G138:G148" si="126">K137</f>
        <v>703.62861270894803</v>
      </c>
      <c r="H138" s="20">
        <f t="shared" si="85"/>
        <v>4.6908574180596538</v>
      </c>
      <c r="I138" s="45"/>
      <c r="J138" s="45"/>
      <c r="K138" s="20">
        <f t="shared" si="123"/>
        <v>708.31947012700766</v>
      </c>
      <c r="L138" s="11">
        <f>L137*(1+$H$11/12)</f>
        <v>7.9463785671546114</v>
      </c>
      <c r="M138" s="46"/>
      <c r="N138" s="11">
        <f t="shared" si="124"/>
        <v>791.9369083470342</v>
      </c>
      <c r="O138" s="46"/>
      <c r="P138" s="46"/>
      <c r="Q138" s="46"/>
      <c r="R138" s="46"/>
      <c r="S138" s="46"/>
      <c r="T138" s="46"/>
      <c r="U138" s="46"/>
      <c r="V138" s="46"/>
      <c r="W138" s="46"/>
      <c r="X138" s="46"/>
      <c r="Y138" s="46"/>
      <c r="Z138" s="46"/>
      <c r="AA138" s="46"/>
      <c r="AB138" s="46"/>
      <c r="AC138" s="46"/>
      <c r="AD138" s="47"/>
      <c r="AF138" s="249"/>
      <c r="AG138" s="249"/>
      <c r="AH138" s="249"/>
      <c r="AI138" s="249"/>
      <c r="AJ138" s="249"/>
      <c r="AK138" s="249"/>
    </row>
    <row r="139" spans="2:37" ht="14.4" customHeight="1" x14ac:dyDescent="0.3">
      <c r="B139" s="223"/>
      <c r="C139" s="99" t="s">
        <v>4</v>
      </c>
      <c r="D139" s="20">
        <f t="shared" si="125"/>
        <v>83.617438220026486</v>
      </c>
      <c r="E139" s="20">
        <f t="shared" si="83"/>
        <v>0.41808719110013243</v>
      </c>
      <c r="F139" s="20">
        <f>D139+E139-L139-M139</f>
        <v>75.113209091040929</v>
      </c>
      <c r="G139" s="20">
        <f t="shared" si="126"/>
        <v>708.31947012700766</v>
      </c>
      <c r="H139" s="20">
        <f t="shared" si="85"/>
        <v>4.7221298008467176</v>
      </c>
      <c r="I139" s="45"/>
      <c r="J139" s="45"/>
      <c r="K139" s="20">
        <f t="shared" si="123"/>
        <v>713.04159992785435</v>
      </c>
      <c r="L139" s="11">
        <f t="shared" ref="L139:L148" si="127">L138*(1+$H$11/12)</f>
        <v>7.9602847296471317</v>
      </c>
      <c r="M139" s="64">
        <f>U132+V132</f>
        <v>0.96203159043855069</v>
      </c>
      <c r="N139" s="11">
        <f t="shared" si="124"/>
        <v>788.15480901889532</v>
      </c>
      <c r="O139" s="46"/>
      <c r="P139" s="46"/>
      <c r="Q139" s="46"/>
      <c r="R139" s="46"/>
      <c r="S139" s="46"/>
      <c r="T139" s="46"/>
      <c r="U139" s="46"/>
      <c r="V139" s="46"/>
      <c r="W139" s="46"/>
      <c r="X139" s="46"/>
      <c r="Y139" s="46"/>
      <c r="Z139" s="46"/>
      <c r="AA139" s="46"/>
      <c r="AB139" s="46"/>
      <c r="AC139" s="46"/>
      <c r="AD139" s="47"/>
      <c r="AF139" s="249"/>
      <c r="AG139" s="249"/>
      <c r="AH139" s="249"/>
      <c r="AI139" s="249"/>
      <c r="AJ139" s="249"/>
      <c r="AK139" s="249"/>
    </row>
    <row r="140" spans="2:37" x14ac:dyDescent="0.3">
      <c r="B140" s="223"/>
      <c r="C140" s="99" t="s">
        <v>5</v>
      </c>
      <c r="D140" s="20">
        <f t="shared" si="125"/>
        <v>75.113209091040929</v>
      </c>
      <c r="E140" s="20">
        <f t="shared" si="83"/>
        <v>0.37556604545520461</v>
      </c>
      <c r="F140" s="20">
        <f t="shared" si="122"/>
        <v>67.51455990857211</v>
      </c>
      <c r="G140" s="20">
        <f t="shared" si="126"/>
        <v>713.04159992785435</v>
      </c>
      <c r="H140" s="20">
        <f t="shared" si="85"/>
        <v>4.7536106661856961</v>
      </c>
      <c r="I140" s="45"/>
      <c r="J140" s="45"/>
      <c r="K140" s="20">
        <f t="shared" si="123"/>
        <v>717.7952105940401</v>
      </c>
      <c r="L140" s="11">
        <f t="shared" si="127"/>
        <v>7.9742152279240139</v>
      </c>
      <c r="M140" s="46"/>
      <c r="N140" s="11">
        <f t="shared" si="124"/>
        <v>785.3097705026122</v>
      </c>
      <c r="O140" s="46"/>
      <c r="P140" s="46"/>
      <c r="Q140" s="46"/>
      <c r="R140" s="46"/>
      <c r="S140" s="46"/>
      <c r="T140" s="46"/>
      <c r="U140" s="46"/>
      <c r="V140" s="46"/>
      <c r="W140" s="46"/>
      <c r="X140" s="46"/>
      <c r="Y140" s="46"/>
      <c r="Z140" s="46"/>
      <c r="AA140" s="46"/>
      <c r="AB140" s="46"/>
      <c r="AC140" s="46"/>
      <c r="AD140" s="47"/>
      <c r="AF140" s="249"/>
      <c r="AG140" s="249"/>
      <c r="AH140" s="249"/>
      <c r="AI140" s="249"/>
      <c r="AJ140" s="249"/>
      <c r="AK140" s="249"/>
    </row>
    <row r="141" spans="2:37" x14ac:dyDescent="0.3">
      <c r="B141" s="223"/>
      <c r="C141" s="99" t="s">
        <v>6</v>
      </c>
      <c r="D141" s="20">
        <f t="shared" si="125"/>
        <v>67.51455990857211</v>
      </c>
      <c r="E141" s="20">
        <f t="shared" si="83"/>
        <v>0.33757279954286057</v>
      </c>
      <c r="F141" s="20">
        <f t="shared" si="122"/>
        <v>59.863962603542085</v>
      </c>
      <c r="G141" s="20">
        <f t="shared" si="126"/>
        <v>717.7952105940401</v>
      </c>
      <c r="H141" s="20">
        <f t="shared" si="85"/>
        <v>4.7853014039602675</v>
      </c>
      <c r="I141" s="45"/>
      <c r="J141" s="45"/>
      <c r="K141" s="20">
        <f t="shared" si="123"/>
        <v>722.58051199800036</v>
      </c>
      <c r="L141" s="11">
        <f t="shared" si="127"/>
        <v>7.9881701045728803</v>
      </c>
      <c r="M141" s="46"/>
      <c r="N141" s="11">
        <f t="shared" si="124"/>
        <v>782.44447460154242</v>
      </c>
      <c r="O141" s="46"/>
      <c r="P141" s="46"/>
      <c r="Q141" s="46"/>
      <c r="R141" s="46"/>
      <c r="S141" s="46"/>
      <c r="T141" s="46"/>
      <c r="U141" s="46"/>
      <c r="V141" s="46"/>
      <c r="W141" s="46"/>
      <c r="X141" s="46"/>
      <c r="Y141" s="46"/>
      <c r="Z141" s="46"/>
      <c r="AA141" s="46"/>
      <c r="AB141" s="46"/>
      <c r="AC141" s="46"/>
      <c r="AD141" s="47"/>
      <c r="AF141" s="249"/>
      <c r="AG141" s="249"/>
      <c r="AH141" s="249"/>
      <c r="AI141" s="249"/>
      <c r="AJ141" s="249"/>
      <c r="AK141" s="249"/>
    </row>
    <row r="142" spans="2:37" x14ac:dyDescent="0.3">
      <c r="B142" s="223"/>
      <c r="C142" s="99" t="s">
        <v>7</v>
      </c>
      <c r="D142" s="20">
        <f t="shared" si="125"/>
        <v>59.863962603542085</v>
      </c>
      <c r="E142" s="20">
        <f t="shared" si="83"/>
        <v>0.29931981301771043</v>
      </c>
      <c r="F142" s="20">
        <f t="shared" si="122"/>
        <v>52.161133014303914</v>
      </c>
      <c r="G142" s="20">
        <f t="shared" si="126"/>
        <v>722.58051199800036</v>
      </c>
      <c r="H142" s="20">
        <f t="shared" si="85"/>
        <v>4.8172034133200023</v>
      </c>
      <c r="I142" s="45"/>
      <c r="J142" s="45"/>
      <c r="K142" s="20">
        <f t="shared" si="123"/>
        <v>727.39771541132041</v>
      </c>
      <c r="L142" s="11">
        <f t="shared" si="127"/>
        <v>8.002149402255883</v>
      </c>
      <c r="M142" s="46"/>
      <c r="N142" s="11">
        <f t="shared" si="124"/>
        <v>779.55884842562432</v>
      </c>
      <c r="O142" s="46"/>
      <c r="P142" s="46"/>
      <c r="Q142" s="46"/>
      <c r="R142" s="46"/>
      <c r="S142" s="46"/>
      <c r="T142" s="46"/>
      <c r="U142" s="46"/>
      <c r="V142" s="46"/>
      <c r="W142" s="46"/>
      <c r="X142" s="46"/>
      <c r="Y142" s="46"/>
      <c r="Z142" s="46"/>
      <c r="AA142" s="46"/>
      <c r="AB142" s="46"/>
      <c r="AC142" s="46"/>
      <c r="AD142" s="47"/>
      <c r="AF142" s="249"/>
      <c r="AG142" s="249"/>
      <c r="AH142" s="249"/>
      <c r="AI142" s="249"/>
      <c r="AJ142" s="249"/>
      <c r="AK142" s="249"/>
    </row>
    <row r="143" spans="2:37" x14ac:dyDescent="0.3">
      <c r="B143" s="223"/>
      <c r="C143" s="99" t="s">
        <v>8</v>
      </c>
      <c r="D143" s="20">
        <f t="shared" si="125"/>
        <v>52.161133014303914</v>
      </c>
      <c r="E143" s="20">
        <f t="shared" si="83"/>
        <v>0.26080566507151953</v>
      </c>
      <c r="F143" s="20">
        <f t="shared" si="122"/>
        <v>44.405785515665606</v>
      </c>
      <c r="G143" s="20">
        <f t="shared" si="126"/>
        <v>727.39771541132041</v>
      </c>
      <c r="H143" s="20">
        <f t="shared" si="85"/>
        <v>4.8493181027421359</v>
      </c>
      <c r="I143" s="45"/>
      <c r="J143" s="45"/>
      <c r="K143" s="20">
        <f t="shared" si="123"/>
        <v>732.24703351406254</v>
      </c>
      <c r="L143" s="11">
        <f t="shared" si="127"/>
        <v>8.0161531637098307</v>
      </c>
      <c r="M143" s="46"/>
      <c r="N143" s="11">
        <f t="shared" si="124"/>
        <v>776.65281902972811</v>
      </c>
      <c r="O143" s="46"/>
      <c r="P143" s="46"/>
      <c r="Q143" s="46"/>
      <c r="R143" s="46"/>
      <c r="S143" s="46"/>
      <c r="T143" s="46"/>
      <c r="U143" s="46"/>
      <c r="V143" s="46"/>
      <c r="W143" s="46"/>
      <c r="X143" s="46"/>
      <c r="Y143" s="46"/>
      <c r="Z143" s="46"/>
      <c r="AA143" s="46"/>
      <c r="AB143" s="46"/>
      <c r="AC143" s="46"/>
      <c r="AD143" s="47"/>
      <c r="AF143" s="249"/>
      <c r="AG143" s="249"/>
      <c r="AH143" s="249"/>
      <c r="AI143" s="249"/>
      <c r="AJ143" s="249"/>
      <c r="AK143" s="249"/>
    </row>
    <row r="144" spans="2:37" x14ac:dyDescent="0.3">
      <c r="B144" s="223"/>
      <c r="C144" s="99" t="s">
        <v>9</v>
      </c>
      <c r="D144" s="20">
        <f t="shared" si="125"/>
        <v>44.405785515665606</v>
      </c>
      <c r="E144" s="20">
        <f t="shared" si="83"/>
        <v>0.22202892757832804</v>
      </c>
      <c r="F144" s="20">
        <f t="shared" si="122"/>
        <v>36.597633011497614</v>
      </c>
      <c r="G144" s="20">
        <f t="shared" si="126"/>
        <v>732.24703351406254</v>
      </c>
      <c r="H144" s="20">
        <f t="shared" si="85"/>
        <v>4.8816468900937506</v>
      </c>
      <c r="I144" s="45"/>
      <c r="J144" s="45"/>
      <c r="K144" s="20">
        <f t="shared" si="123"/>
        <v>737.12868040415628</v>
      </c>
      <c r="L144" s="11">
        <f t="shared" si="127"/>
        <v>8.0301814317463229</v>
      </c>
      <c r="M144" s="46"/>
      <c r="N144" s="11">
        <f t="shared" si="124"/>
        <v>773.72631341565386</v>
      </c>
      <c r="O144" s="46"/>
      <c r="P144" s="46"/>
      <c r="Q144" s="46"/>
      <c r="R144" s="46"/>
      <c r="S144" s="46"/>
      <c r="T144" s="46"/>
      <c r="U144" s="46"/>
      <c r="V144" s="46"/>
      <c r="W144" s="46"/>
      <c r="X144" s="46"/>
      <c r="Y144" s="46"/>
      <c r="Z144" s="46"/>
      <c r="AA144" s="46"/>
      <c r="AB144" s="46"/>
      <c r="AC144" s="46"/>
      <c r="AD144" s="47"/>
      <c r="AF144" s="249"/>
      <c r="AG144" s="249"/>
      <c r="AH144" s="249"/>
      <c r="AI144" s="249"/>
      <c r="AJ144" s="249"/>
      <c r="AK144" s="249"/>
    </row>
    <row r="145" spans="2:37" x14ac:dyDescent="0.3">
      <c r="B145" s="223"/>
      <c r="C145" s="99" t="s">
        <v>10</v>
      </c>
      <c r="D145" s="20">
        <f t="shared" si="125"/>
        <v>36.597633011497614</v>
      </c>
      <c r="E145" s="20">
        <f t="shared" si="83"/>
        <v>0.18298816505748805</v>
      </c>
      <c r="F145" s="20">
        <f t="shared" si="122"/>
        <v>28.736386927303222</v>
      </c>
      <c r="G145" s="20">
        <f t="shared" si="126"/>
        <v>737.12868040415628</v>
      </c>
      <c r="H145" s="20">
        <f t="shared" si="85"/>
        <v>4.9141912026943748</v>
      </c>
      <c r="I145" s="45"/>
      <c r="J145" s="45"/>
      <c r="K145" s="20">
        <f t="shared" si="123"/>
        <v>742.04287160685067</v>
      </c>
      <c r="L145" s="11">
        <f t="shared" si="127"/>
        <v>8.044234249251879</v>
      </c>
      <c r="M145" s="46"/>
      <c r="N145" s="11">
        <f t="shared" si="124"/>
        <v>770.77925853415388</v>
      </c>
      <c r="O145" s="46"/>
      <c r="P145" s="46"/>
      <c r="Q145" s="46"/>
      <c r="R145" s="46"/>
      <c r="S145" s="46"/>
      <c r="T145" s="46"/>
      <c r="U145" s="46"/>
      <c r="V145" s="46"/>
      <c r="W145" s="46"/>
      <c r="X145" s="46"/>
      <c r="Y145" s="46"/>
      <c r="Z145" s="46"/>
      <c r="AA145" s="46"/>
      <c r="AB145" s="46"/>
      <c r="AC145" s="46"/>
      <c r="AD145" s="47"/>
      <c r="AF145" s="249"/>
      <c r="AG145" s="249"/>
      <c r="AH145" s="249"/>
      <c r="AI145" s="249"/>
      <c r="AJ145" s="249"/>
      <c r="AK145" s="249"/>
    </row>
    <row r="146" spans="2:37" x14ac:dyDescent="0.3">
      <c r="B146" s="223"/>
      <c r="C146" s="99" t="s">
        <v>11</v>
      </c>
      <c r="D146" s="20">
        <f t="shared" si="125"/>
        <v>28.736386927303222</v>
      </c>
      <c r="E146" s="20">
        <f t="shared" si="83"/>
        <v>0.1436819346365161</v>
      </c>
      <c r="F146" s="20">
        <f t="shared" si="122"/>
        <v>20.82175720275167</v>
      </c>
      <c r="G146" s="20">
        <f t="shared" si="126"/>
        <v>742.04287160685067</v>
      </c>
      <c r="H146" s="20">
        <f t="shared" si="85"/>
        <v>4.9469524773790043</v>
      </c>
      <c r="I146" s="45"/>
      <c r="J146" s="45"/>
      <c r="K146" s="20">
        <f t="shared" si="123"/>
        <v>746.98982408422967</v>
      </c>
      <c r="L146" s="11">
        <f t="shared" si="127"/>
        <v>8.0583116591880692</v>
      </c>
      <c r="M146" s="46"/>
      <c r="N146" s="11">
        <f t="shared" si="124"/>
        <v>767.81158128698132</v>
      </c>
      <c r="O146" s="46"/>
      <c r="P146" s="46"/>
      <c r="Q146" s="46"/>
      <c r="R146" s="46"/>
      <c r="S146" s="46"/>
      <c r="T146" s="46"/>
      <c r="U146" s="46"/>
      <c r="V146" s="46"/>
      <c r="W146" s="46"/>
      <c r="X146" s="46"/>
      <c r="Y146" s="46"/>
      <c r="Z146" s="46"/>
      <c r="AA146" s="46"/>
      <c r="AB146" s="46"/>
      <c r="AC146" s="46"/>
      <c r="AD146" s="47"/>
      <c r="AF146" s="249"/>
      <c r="AG146" s="249"/>
      <c r="AH146" s="249"/>
      <c r="AI146" s="249"/>
      <c r="AJ146" s="249"/>
      <c r="AK146" s="249"/>
    </row>
    <row r="147" spans="2:37" x14ac:dyDescent="0.3">
      <c r="B147" s="223"/>
      <c r="C147" s="99" t="s">
        <v>12</v>
      </c>
      <c r="D147" s="20">
        <f t="shared" si="125"/>
        <v>20.82175720275167</v>
      </c>
      <c r="E147" s="20">
        <f t="shared" si="83"/>
        <v>0.10410878601375834</v>
      </c>
      <c r="F147" s="20">
        <f t="shared" si="122"/>
        <v>12.853452284173779</v>
      </c>
      <c r="G147" s="20">
        <f t="shared" si="126"/>
        <v>746.98982408422967</v>
      </c>
      <c r="H147" s="20">
        <f t="shared" si="85"/>
        <v>4.979932160561531</v>
      </c>
      <c r="I147" s="45"/>
      <c r="J147" s="45"/>
      <c r="K147" s="20">
        <f t="shared" si="123"/>
        <v>751.96975624479114</v>
      </c>
      <c r="L147" s="11">
        <f t="shared" si="127"/>
        <v>8.0724137045916482</v>
      </c>
      <c r="M147" s="46"/>
      <c r="N147" s="11">
        <f t="shared" si="124"/>
        <v>764.82320852896487</v>
      </c>
      <c r="O147" s="46"/>
      <c r="P147" s="46"/>
      <c r="Q147" s="46"/>
      <c r="R147" s="46"/>
      <c r="S147" s="46"/>
      <c r="T147" s="46"/>
      <c r="U147" s="46"/>
      <c r="V147" s="46"/>
      <c r="W147" s="46"/>
      <c r="X147" s="46"/>
      <c r="Y147" s="46"/>
      <c r="Z147" s="46"/>
      <c r="AA147" s="46"/>
      <c r="AB147" s="46"/>
      <c r="AC147" s="46"/>
      <c r="AD147" s="47"/>
      <c r="AF147" s="249"/>
      <c r="AG147" s="249"/>
      <c r="AH147" s="249"/>
      <c r="AI147" s="249"/>
      <c r="AJ147" s="249"/>
      <c r="AK147" s="249"/>
    </row>
    <row r="148" spans="2:37" ht="15" thickBot="1" x14ac:dyDescent="0.35">
      <c r="B148" s="224"/>
      <c r="C148" s="100" t="s">
        <v>13</v>
      </c>
      <c r="D148" s="13">
        <f t="shared" si="125"/>
        <v>12.853452284173779</v>
      </c>
      <c r="E148" s="13">
        <f t="shared" si="83"/>
        <v>6.4267261420868887E-2</v>
      </c>
      <c r="F148" s="65">
        <f t="shared" si="122"/>
        <v>4.8311791170199641</v>
      </c>
      <c r="G148" s="13">
        <f t="shared" si="126"/>
        <v>751.96975624479114</v>
      </c>
      <c r="H148" s="13">
        <f t="shared" si="85"/>
        <v>5.0131317082986078</v>
      </c>
      <c r="I148" s="48"/>
      <c r="J148" s="48"/>
      <c r="K148" s="13">
        <f t="shared" si="123"/>
        <v>756.98288795308974</v>
      </c>
      <c r="L148" s="11">
        <f t="shared" si="127"/>
        <v>8.0865404285746827</v>
      </c>
      <c r="M148" s="63"/>
      <c r="N148" s="16">
        <f t="shared" si="124"/>
        <v>761.81406707010967</v>
      </c>
      <c r="O148" s="49">
        <f>SUM(E137:E148)</f>
        <v>3.3567081256866498</v>
      </c>
      <c r="P148" s="50">
        <f t="shared" si="87"/>
        <v>0</v>
      </c>
      <c r="Q148" s="50">
        <f t="shared" ref="Q148" si="128">VLOOKUP(O148,$R$11:$S$17,1,TRUE)</f>
        <v>0</v>
      </c>
      <c r="R148" s="50">
        <f t="shared" ref="R148" si="129">O148-Q148</f>
        <v>3.3567081256866498</v>
      </c>
      <c r="S148" s="51">
        <f t="shared" ref="S148" si="130">VLOOKUP(O148,$R$11:$U$17,4,TRUE)</f>
        <v>0.1</v>
      </c>
      <c r="T148" s="50">
        <f t="shared" ref="T148" si="131">R148*S148</f>
        <v>0.33567081256866499</v>
      </c>
      <c r="U148" s="50">
        <f t="shared" ref="U148" si="132">P148+T148</f>
        <v>0.33567081256866499</v>
      </c>
      <c r="V148" s="50">
        <f t="shared" ref="V148" si="133">IF(AC148&gt;AD148,AD148,AC148)</f>
        <v>3.3567081256866499E-2</v>
      </c>
      <c r="W148" s="56" t="str">
        <f t="shared" ref="W148" si="134">IF(AC148&gt;AD148,$V$15,$V$16)</f>
        <v>California</v>
      </c>
      <c r="X148" s="50">
        <f t="shared" ref="X148" si="135">VLOOKUP(O148,$X$11:$Z$19,3,TRUE)</f>
        <v>0</v>
      </c>
      <c r="Y148" s="50">
        <f t="shared" ref="Y148" si="136">VLOOKUP(O148,$X$11:$Y$19,1,TRUE)</f>
        <v>0</v>
      </c>
      <c r="Z148" s="50">
        <f t="shared" ref="Z148" si="137">O148-Y148</f>
        <v>3.3567081256866498</v>
      </c>
      <c r="AA148" s="51">
        <f t="shared" ref="AA148" si="138">VLOOKUP(O148,$X$11:$AA$19,4,TRUE)</f>
        <v>0.01</v>
      </c>
      <c r="AB148" s="50">
        <f t="shared" ref="AB148" si="139">Z148*AA148</f>
        <v>3.3567081256866499E-2</v>
      </c>
      <c r="AC148" s="50">
        <f t="shared" ref="AC148" si="140">X148+AB148</f>
        <v>3.3567081256866499E-2</v>
      </c>
      <c r="AD148" s="52">
        <f t="shared" ref="AD148" si="141">O148*$AD$9</f>
        <v>0.16783540628433249</v>
      </c>
      <c r="AF148" s="249"/>
      <c r="AG148" s="249"/>
      <c r="AH148" s="249"/>
      <c r="AI148" s="249"/>
      <c r="AJ148" s="249"/>
      <c r="AK148" s="249"/>
    </row>
    <row r="149" spans="2:37" s="4" customFormat="1" ht="15" thickBot="1" x14ac:dyDescent="0.35">
      <c r="B149" s="37"/>
      <c r="C149" s="147" t="s">
        <v>26</v>
      </c>
      <c r="D149" s="125"/>
      <c r="E149" s="123">
        <f>SUM(E137:E148)</f>
        <v>3.3567081256866498</v>
      </c>
      <c r="F149" s="125"/>
      <c r="G149" s="125"/>
      <c r="H149" s="123">
        <f>SUM(H137:H148)</f>
        <v>58.014067381287099</v>
      </c>
      <c r="I149" s="126"/>
      <c r="J149" s="126"/>
      <c r="K149" s="125"/>
      <c r="L149" s="165">
        <f>SUM(L137:L148)</f>
        <v>96.111529366550172</v>
      </c>
      <c r="M149" s="71"/>
      <c r="N149" s="149"/>
      <c r="O149" s="125"/>
      <c r="P149" s="71"/>
      <c r="Q149" s="71"/>
      <c r="R149" s="71"/>
      <c r="S149" s="71"/>
      <c r="T149" s="71"/>
      <c r="U149" s="71"/>
      <c r="V149" s="71"/>
      <c r="W149" s="71"/>
      <c r="X149" s="71"/>
      <c r="Y149" s="71"/>
      <c r="Z149" s="71"/>
      <c r="AA149" s="71"/>
      <c r="AB149" s="71"/>
      <c r="AC149" s="71"/>
      <c r="AD149" s="72"/>
      <c r="AF149" s="249"/>
      <c r="AG149" s="249"/>
      <c r="AH149" s="249"/>
      <c r="AI149" s="249"/>
      <c r="AJ149" s="249"/>
      <c r="AK149" s="249"/>
    </row>
    <row r="150" spans="2:37" s="4" customFormat="1" x14ac:dyDescent="0.3">
      <c r="B150" s="37"/>
      <c r="C150" s="25"/>
      <c r="D150" s="1"/>
      <c r="E150" s="1"/>
      <c r="F150" s="1"/>
      <c r="G150" s="1"/>
      <c r="H150" s="1"/>
      <c r="I150" s="9"/>
      <c r="J150" s="9"/>
      <c r="K150" s="1"/>
      <c r="L150" s="35"/>
      <c r="N150" s="35"/>
      <c r="O150" s="1"/>
    </row>
    <row r="151" spans="2:37" s="4" customFormat="1" x14ac:dyDescent="0.3">
      <c r="B151" s="37"/>
      <c r="C151" s="25"/>
      <c r="D151" s="1"/>
      <c r="E151" s="1"/>
      <c r="F151" s="1"/>
      <c r="G151" s="1"/>
      <c r="H151" s="1"/>
      <c r="I151" s="9"/>
      <c r="J151" s="9"/>
      <c r="K151" s="1"/>
      <c r="L151" s="35"/>
      <c r="N151" s="35"/>
      <c r="O151" s="1"/>
    </row>
    <row r="152" spans="2:37" s="4" customFormat="1" ht="15" thickBot="1" x14ac:dyDescent="0.35">
      <c r="B152" s="37"/>
      <c r="C152" s="25"/>
      <c r="D152" s="233" t="s">
        <v>0</v>
      </c>
      <c r="E152" s="234"/>
      <c r="F152" s="235"/>
      <c r="G152" s="233" t="s">
        <v>28</v>
      </c>
      <c r="H152" s="234"/>
      <c r="I152" s="234"/>
      <c r="J152" s="234"/>
      <c r="K152" s="235"/>
      <c r="L152" s="137" t="s">
        <v>15</v>
      </c>
      <c r="M152" s="233" t="s">
        <v>55</v>
      </c>
      <c r="N152" s="235"/>
      <c r="O152" s="233" t="s">
        <v>19</v>
      </c>
      <c r="P152" s="234"/>
      <c r="Q152" s="234"/>
      <c r="R152" s="234"/>
      <c r="S152" s="234"/>
      <c r="T152" s="234"/>
      <c r="U152" s="234"/>
      <c r="V152" s="234"/>
      <c r="W152" s="234"/>
      <c r="X152" s="234"/>
      <c r="Y152" s="234"/>
      <c r="Z152" s="234"/>
      <c r="AA152" s="234"/>
      <c r="AB152" s="234"/>
      <c r="AC152" s="234"/>
      <c r="AD152" s="235"/>
    </row>
    <row r="153" spans="2:37" s="4" customFormat="1" ht="58.2" thickBot="1" x14ac:dyDescent="0.35">
      <c r="B153" s="228" t="s">
        <v>62</v>
      </c>
      <c r="C153" s="229"/>
      <c r="D153" s="53" t="s">
        <v>35</v>
      </c>
      <c r="E153" s="54" t="s">
        <v>41</v>
      </c>
      <c r="F153" s="54" t="s">
        <v>16</v>
      </c>
      <c r="G153" s="54" t="s">
        <v>36</v>
      </c>
      <c r="H153" s="54" t="s">
        <v>30</v>
      </c>
      <c r="I153" s="54" t="s">
        <v>54</v>
      </c>
      <c r="J153" s="54" t="s">
        <v>31</v>
      </c>
      <c r="K153" s="54" t="s">
        <v>37</v>
      </c>
      <c r="L153" s="54" t="s">
        <v>15</v>
      </c>
      <c r="M153" s="54" t="s">
        <v>14</v>
      </c>
      <c r="N153" s="54" t="s">
        <v>17</v>
      </c>
      <c r="O153" s="54" t="s">
        <v>18</v>
      </c>
      <c r="P153" s="54" t="s">
        <v>24</v>
      </c>
      <c r="Q153" s="54" t="s">
        <v>21</v>
      </c>
      <c r="R153" s="54" t="s">
        <v>25</v>
      </c>
      <c r="S153" s="54" t="s">
        <v>42</v>
      </c>
      <c r="T153" s="54" t="s">
        <v>43</v>
      </c>
      <c r="U153" s="54" t="s">
        <v>44</v>
      </c>
      <c r="V153" s="54" t="s">
        <v>47</v>
      </c>
      <c r="W153" s="54" t="s">
        <v>48</v>
      </c>
      <c r="X153" s="54" t="s">
        <v>24</v>
      </c>
      <c r="Y153" s="54" t="s">
        <v>21</v>
      </c>
      <c r="Z153" s="54" t="s">
        <v>25</v>
      </c>
      <c r="AA153" s="54" t="s">
        <v>42</v>
      </c>
      <c r="AB153" s="54" t="s">
        <v>43</v>
      </c>
      <c r="AC153" s="54" t="s">
        <v>46</v>
      </c>
      <c r="AD153" s="55" t="s">
        <v>49</v>
      </c>
    </row>
    <row r="154" spans="2:37" x14ac:dyDescent="0.3">
      <c r="B154" s="222">
        <v>2029</v>
      </c>
      <c r="C154" s="98" t="s">
        <v>2</v>
      </c>
      <c r="D154" s="17">
        <f>F148</f>
        <v>4.8311791170199641</v>
      </c>
      <c r="E154" s="17">
        <f t="shared" si="83"/>
        <v>2.4155895585099816E-2</v>
      </c>
      <c r="F154" s="57">
        <f>D154+E154-(L154-J154)</f>
        <v>0</v>
      </c>
      <c r="G154" s="17">
        <f>K148</f>
        <v>756.98288795308974</v>
      </c>
      <c r="H154" s="17">
        <f t="shared" si="85"/>
        <v>5.0465525863539318</v>
      </c>
      <c r="I154" s="70">
        <f>K148/K4</f>
        <v>27.627112699017875</v>
      </c>
      <c r="J154" s="10">
        <f>L154-(D154+E154)</f>
        <v>3.2453568617196247</v>
      </c>
      <c r="K154" s="17">
        <f>G154+H154-J154</f>
        <v>758.78408367772408</v>
      </c>
      <c r="L154" s="10">
        <f>L148*(1+$H$12/12)</f>
        <v>8.1006918743246885</v>
      </c>
      <c r="M154" s="42"/>
      <c r="N154" s="10">
        <f>F154+K154</f>
        <v>758.78408367772408</v>
      </c>
      <c r="O154" s="42"/>
      <c r="P154" s="42"/>
      <c r="Q154" s="42"/>
      <c r="R154" s="42"/>
      <c r="S154" s="42"/>
      <c r="T154" s="42"/>
      <c r="U154" s="42"/>
      <c r="V154" s="42"/>
      <c r="W154" s="42"/>
      <c r="X154" s="42"/>
      <c r="Y154" s="42"/>
      <c r="Z154" s="42"/>
      <c r="AA154" s="42"/>
      <c r="AB154" s="42"/>
      <c r="AC154" s="42"/>
      <c r="AD154" s="43"/>
    </row>
    <row r="155" spans="2:37" x14ac:dyDescent="0.3">
      <c r="B155" s="223"/>
      <c r="C155" s="99" t="s">
        <v>3</v>
      </c>
      <c r="D155" s="58">
        <f t="shared" ref="D155:D165" si="142">F154</f>
        <v>0</v>
      </c>
      <c r="E155" s="58">
        <f>D155*$D$14/12</f>
        <v>0</v>
      </c>
      <c r="F155" s="58">
        <f>D155+E155</f>
        <v>0</v>
      </c>
      <c r="G155" s="20">
        <f>K154</f>
        <v>758.78408367772408</v>
      </c>
      <c r="H155" s="20">
        <f t="shared" si="85"/>
        <v>5.0585605578514938</v>
      </c>
      <c r="I155" s="45"/>
      <c r="J155" s="11">
        <f>L155</f>
        <v>8.1148680851047565</v>
      </c>
      <c r="K155" s="20">
        <f>G155+H155-J155</f>
        <v>755.72777615047085</v>
      </c>
      <c r="L155" s="11">
        <f>L154*(1+$H$12/12)</f>
        <v>8.1148680851047565</v>
      </c>
      <c r="M155" s="46"/>
      <c r="N155" s="11">
        <f t="shared" ref="N155:N165" si="143">F155+K155</f>
        <v>755.72777615047085</v>
      </c>
      <c r="O155" s="46"/>
      <c r="P155" s="46"/>
      <c r="Q155" s="46"/>
      <c r="R155" s="46"/>
      <c r="S155" s="46"/>
      <c r="T155" s="46"/>
      <c r="U155" s="46"/>
      <c r="V155" s="46"/>
      <c r="W155" s="46"/>
      <c r="X155" s="46"/>
      <c r="Y155" s="46"/>
      <c r="Z155" s="46"/>
      <c r="AA155" s="46"/>
      <c r="AB155" s="46"/>
      <c r="AC155" s="46"/>
      <c r="AD155" s="47"/>
    </row>
    <row r="156" spans="2:37" x14ac:dyDescent="0.3">
      <c r="B156" s="223"/>
      <c r="C156" s="99" t="s">
        <v>4</v>
      </c>
      <c r="D156" s="58">
        <f t="shared" si="142"/>
        <v>0</v>
      </c>
      <c r="E156" s="58">
        <f t="shared" si="83"/>
        <v>0</v>
      </c>
      <c r="F156" s="58">
        <f t="shared" ref="F156:F165" si="144">D156+E156</f>
        <v>0</v>
      </c>
      <c r="G156" s="20">
        <f t="shared" ref="G156:G165" si="145">K155</f>
        <v>755.72777615047085</v>
      </c>
      <c r="H156" s="20">
        <f t="shared" si="85"/>
        <v>5.0381851743364718</v>
      </c>
      <c r="I156" s="45"/>
      <c r="J156" s="11">
        <f>L156+M156</f>
        <v>8.4983069980792205</v>
      </c>
      <c r="K156" s="20">
        <f t="shared" ref="K156:K165" si="146">G156+H156-J156</f>
        <v>752.26765432672812</v>
      </c>
      <c r="L156" s="11">
        <f t="shared" ref="L156:L165" si="147">L155*(1+$H$12/12)</f>
        <v>8.1290691042536896</v>
      </c>
      <c r="M156" s="59">
        <f>U148+V148</f>
        <v>0.36923789382553152</v>
      </c>
      <c r="N156" s="11">
        <f t="shared" si="143"/>
        <v>752.26765432672812</v>
      </c>
      <c r="O156" s="46"/>
      <c r="P156" s="46"/>
      <c r="Q156" s="46"/>
      <c r="R156" s="46"/>
      <c r="S156" s="46"/>
      <c r="T156" s="46"/>
      <c r="U156" s="46"/>
      <c r="V156" s="46"/>
      <c r="W156" s="46"/>
      <c r="X156" s="46"/>
      <c r="Y156" s="46"/>
      <c r="Z156" s="46"/>
      <c r="AA156" s="46"/>
      <c r="AB156" s="46"/>
      <c r="AC156" s="46"/>
      <c r="AD156" s="47"/>
    </row>
    <row r="157" spans="2:37" x14ac:dyDescent="0.3">
      <c r="B157" s="223"/>
      <c r="C157" s="99" t="s">
        <v>5</v>
      </c>
      <c r="D157" s="58">
        <f t="shared" si="142"/>
        <v>0</v>
      </c>
      <c r="E157" s="58">
        <f t="shared" si="83"/>
        <v>0</v>
      </c>
      <c r="F157" s="58">
        <f t="shared" si="144"/>
        <v>0</v>
      </c>
      <c r="G157" s="20">
        <f t="shared" si="145"/>
        <v>752.26765432672812</v>
      </c>
      <c r="H157" s="20">
        <f t="shared" si="85"/>
        <v>5.0151176955115213</v>
      </c>
      <c r="I157" s="45"/>
      <c r="J157" s="11">
        <f>L157</f>
        <v>8.1432949751861337</v>
      </c>
      <c r="K157" s="20">
        <f t="shared" si="146"/>
        <v>749.13947704705356</v>
      </c>
      <c r="L157" s="11">
        <f t="shared" si="147"/>
        <v>8.1432949751861337</v>
      </c>
      <c r="M157" s="46"/>
      <c r="N157" s="11">
        <f t="shared" si="143"/>
        <v>749.13947704705356</v>
      </c>
      <c r="O157" s="46"/>
      <c r="P157" s="46"/>
      <c r="Q157" s="46"/>
      <c r="R157" s="46"/>
      <c r="S157" s="46"/>
      <c r="T157" s="46"/>
      <c r="U157" s="46"/>
      <c r="V157" s="46"/>
      <c r="W157" s="46"/>
      <c r="X157" s="46"/>
      <c r="Y157" s="46"/>
      <c r="Z157" s="46"/>
      <c r="AA157" s="46"/>
      <c r="AB157" s="46"/>
      <c r="AC157" s="46"/>
      <c r="AD157" s="47"/>
    </row>
    <row r="158" spans="2:37" x14ac:dyDescent="0.3">
      <c r="B158" s="223"/>
      <c r="C158" s="99" t="s">
        <v>6</v>
      </c>
      <c r="D158" s="58">
        <f t="shared" si="142"/>
        <v>0</v>
      </c>
      <c r="E158" s="58">
        <f t="shared" si="83"/>
        <v>0</v>
      </c>
      <c r="F158" s="58">
        <f t="shared" si="144"/>
        <v>0</v>
      </c>
      <c r="G158" s="20">
        <f t="shared" si="145"/>
        <v>749.13947704705356</v>
      </c>
      <c r="H158" s="20">
        <f t="shared" si="85"/>
        <v>4.9942631803136903</v>
      </c>
      <c r="I158" s="45"/>
      <c r="J158" s="11">
        <f t="shared" ref="J158:J165" si="148">L158</f>
        <v>8.1575457413927079</v>
      </c>
      <c r="K158" s="20">
        <f t="shared" si="146"/>
        <v>745.97619448597459</v>
      </c>
      <c r="L158" s="11">
        <f t="shared" si="147"/>
        <v>8.1575457413927079</v>
      </c>
      <c r="M158" s="46"/>
      <c r="N158" s="11">
        <f t="shared" si="143"/>
        <v>745.97619448597459</v>
      </c>
      <c r="O158" s="46"/>
      <c r="P158" s="46"/>
      <c r="Q158" s="46"/>
      <c r="R158" s="46"/>
      <c r="S158" s="46"/>
      <c r="T158" s="46"/>
      <c r="U158" s="46"/>
      <c r="V158" s="46"/>
      <c r="W158" s="46"/>
      <c r="X158" s="46"/>
      <c r="Y158" s="46"/>
      <c r="Z158" s="46"/>
      <c r="AA158" s="46"/>
      <c r="AB158" s="46"/>
      <c r="AC158" s="46"/>
      <c r="AD158" s="47"/>
      <c r="AF158" s="248" t="s">
        <v>67</v>
      </c>
      <c r="AG158" s="252"/>
      <c r="AH158" s="252"/>
      <c r="AI158" s="252"/>
    </row>
    <row r="159" spans="2:37" x14ac:dyDescent="0.3">
      <c r="B159" s="223"/>
      <c r="C159" s="99" t="s">
        <v>7</v>
      </c>
      <c r="D159" s="58">
        <f t="shared" si="142"/>
        <v>0</v>
      </c>
      <c r="E159" s="58">
        <f t="shared" si="83"/>
        <v>0</v>
      </c>
      <c r="F159" s="58">
        <f t="shared" si="144"/>
        <v>0</v>
      </c>
      <c r="G159" s="20">
        <f t="shared" si="145"/>
        <v>745.97619448597459</v>
      </c>
      <c r="H159" s="20">
        <f t="shared" si="85"/>
        <v>4.9731746299064978</v>
      </c>
      <c r="I159" s="45"/>
      <c r="J159" s="11">
        <f t="shared" si="148"/>
        <v>8.1718214464401449</v>
      </c>
      <c r="K159" s="20">
        <f t="shared" si="146"/>
        <v>742.77754766944088</v>
      </c>
      <c r="L159" s="11">
        <f t="shared" si="147"/>
        <v>8.1718214464401449</v>
      </c>
      <c r="M159" s="46"/>
      <c r="N159" s="11">
        <f t="shared" si="143"/>
        <v>742.77754766944088</v>
      </c>
      <c r="O159" s="46"/>
      <c r="P159" s="46"/>
      <c r="Q159" s="46"/>
      <c r="R159" s="46"/>
      <c r="S159" s="46"/>
      <c r="T159" s="46"/>
      <c r="U159" s="46"/>
      <c r="V159" s="46"/>
      <c r="W159" s="46"/>
      <c r="X159" s="46"/>
      <c r="Y159" s="46"/>
      <c r="Z159" s="46"/>
      <c r="AA159" s="46"/>
      <c r="AB159" s="46"/>
      <c r="AC159" s="46"/>
      <c r="AD159" s="47"/>
      <c r="AF159" s="252"/>
      <c r="AG159" s="252"/>
      <c r="AH159" s="252"/>
      <c r="AI159" s="252"/>
    </row>
    <row r="160" spans="2:37" x14ac:dyDescent="0.3">
      <c r="B160" s="223"/>
      <c r="C160" s="99" t="s">
        <v>8</v>
      </c>
      <c r="D160" s="58">
        <f t="shared" si="142"/>
        <v>0</v>
      </c>
      <c r="E160" s="58">
        <f t="shared" si="83"/>
        <v>0</v>
      </c>
      <c r="F160" s="58">
        <f t="shared" si="144"/>
        <v>0</v>
      </c>
      <c r="G160" s="20">
        <f t="shared" si="145"/>
        <v>742.77754766944088</v>
      </c>
      <c r="H160" s="20">
        <f t="shared" si="85"/>
        <v>4.9518503177962723</v>
      </c>
      <c r="I160" s="45"/>
      <c r="J160" s="11">
        <f t="shared" si="148"/>
        <v>8.1861221339714145</v>
      </c>
      <c r="K160" s="20">
        <f t="shared" si="146"/>
        <v>739.54327585326575</v>
      </c>
      <c r="L160" s="11">
        <f t="shared" si="147"/>
        <v>8.1861221339714145</v>
      </c>
      <c r="M160" s="46"/>
      <c r="N160" s="11">
        <f t="shared" si="143"/>
        <v>739.54327585326575</v>
      </c>
      <c r="O160" s="46"/>
      <c r="P160" s="46"/>
      <c r="Q160" s="46"/>
      <c r="R160" s="46"/>
      <c r="S160" s="46"/>
      <c r="T160" s="46"/>
      <c r="U160" s="46"/>
      <c r="V160" s="46"/>
      <c r="W160" s="46"/>
      <c r="X160" s="46"/>
      <c r="Y160" s="46"/>
      <c r="Z160" s="46"/>
      <c r="AA160" s="46"/>
      <c r="AB160" s="46"/>
      <c r="AC160" s="46"/>
      <c r="AD160" s="47"/>
      <c r="AF160" s="252"/>
      <c r="AG160" s="252"/>
      <c r="AH160" s="252"/>
      <c r="AI160" s="252"/>
    </row>
    <row r="161" spans="2:35" x14ac:dyDescent="0.3">
      <c r="B161" s="223"/>
      <c r="C161" s="99" t="s">
        <v>9</v>
      </c>
      <c r="D161" s="58">
        <f t="shared" si="142"/>
        <v>0</v>
      </c>
      <c r="E161" s="58">
        <f t="shared" si="83"/>
        <v>0</v>
      </c>
      <c r="F161" s="58">
        <f t="shared" si="144"/>
        <v>0</v>
      </c>
      <c r="G161" s="20">
        <f t="shared" si="145"/>
        <v>739.54327585326575</v>
      </c>
      <c r="H161" s="20">
        <f t="shared" si="85"/>
        <v>4.9302885056884387</v>
      </c>
      <c r="I161" s="45"/>
      <c r="J161" s="11">
        <f t="shared" si="148"/>
        <v>8.2004478477058633</v>
      </c>
      <c r="K161" s="20">
        <f t="shared" si="146"/>
        <v>736.2731165112483</v>
      </c>
      <c r="L161" s="11">
        <f t="shared" si="147"/>
        <v>8.2004478477058633</v>
      </c>
      <c r="M161" s="46"/>
      <c r="N161" s="11">
        <f t="shared" si="143"/>
        <v>736.2731165112483</v>
      </c>
      <c r="O161" s="46"/>
      <c r="P161" s="46"/>
      <c r="Q161" s="46"/>
      <c r="R161" s="46"/>
      <c r="S161" s="46"/>
      <c r="T161" s="46"/>
      <c r="U161" s="46"/>
      <c r="V161" s="46"/>
      <c r="W161" s="46"/>
      <c r="X161" s="46"/>
      <c r="Y161" s="46"/>
      <c r="Z161" s="46"/>
      <c r="AA161" s="46"/>
      <c r="AB161" s="46"/>
      <c r="AC161" s="46"/>
      <c r="AD161" s="47"/>
      <c r="AF161" s="252"/>
      <c r="AG161" s="252"/>
      <c r="AH161" s="252"/>
      <c r="AI161" s="252"/>
    </row>
    <row r="162" spans="2:35" x14ac:dyDescent="0.3">
      <c r="B162" s="223"/>
      <c r="C162" s="99" t="s">
        <v>10</v>
      </c>
      <c r="D162" s="58">
        <f t="shared" si="142"/>
        <v>0</v>
      </c>
      <c r="E162" s="58">
        <f t="shared" si="83"/>
        <v>0</v>
      </c>
      <c r="F162" s="58">
        <f t="shared" si="144"/>
        <v>0</v>
      </c>
      <c r="G162" s="20">
        <f t="shared" si="145"/>
        <v>736.2731165112483</v>
      </c>
      <c r="H162" s="20">
        <f t="shared" si="85"/>
        <v>4.9084874434083217</v>
      </c>
      <c r="I162" s="45"/>
      <c r="J162" s="11">
        <f t="shared" si="148"/>
        <v>8.2147986314393471</v>
      </c>
      <c r="K162" s="20">
        <f t="shared" si="146"/>
        <v>732.96680532321739</v>
      </c>
      <c r="L162" s="11">
        <f t="shared" si="147"/>
        <v>8.2147986314393471</v>
      </c>
      <c r="M162" s="46"/>
      <c r="N162" s="11">
        <f t="shared" si="143"/>
        <v>732.96680532321739</v>
      </c>
      <c r="O162" s="46"/>
      <c r="P162" s="46"/>
      <c r="Q162" s="46"/>
      <c r="R162" s="46"/>
      <c r="S162" s="46"/>
      <c r="T162" s="46"/>
      <c r="U162" s="46"/>
      <c r="V162" s="46"/>
      <c r="W162" s="46"/>
      <c r="X162" s="46"/>
      <c r="Y162" s="46"/>
      <c r="Z162" s="46"/>
      <c r="AA162" s="46"/>
      <c r="AB162" s="46"/>
      <c r="AC162" s="46"/>
      <c r="AD162" s="47"/>
      <c r="AF162" s="252"/>
      <c r="AG162" s="252"/>
      <c r="AH162" s="252"/>
      <c r="AI162" s="252"/>
    </row>
    <row r="163" spans="2:35" x14ac:dyDescent="0.3">
      <c r="B163" s="223"/>
      <c r="C163" s="99" t="s">
        <v>11</v>
      </c>
      <c r="D163" s="58">
        <f t="shared" si="142"/>
        <v>0</v>
      </c>
      <c r="E163" s="58">
        <f t="shared" si="83"/>
        <v>0</v>
      </c>
      <c r="F163" s="58">
        <f t="shared" si="144"/>
        <v>0</v>
      </c>
      <c r="G163" s="20">
        <f t="shared" si="145"/>
        <v>732.96680532321739</v>
      </c>
      <c r="H163" s="20">
        <f t="shared" si="85"/>
        <v>4.8864453688214491</v>
      </c>
      <c r="I163" s="45"/>
      <c r="J163" s="11">
        <f t="shared" si="148"/>
        <v>8.2291745290443661</v>
      </c>
      <c r="K163" s="20">
        <f t="shared" si="146"/>
        <v>729.62407616299447</v>
      </c>
      <c r="L163" s="11">
        <f t="shared" si="147"/>
        <v>8.2291745290443661</v>
      </c>
      <c r="M163" s="46"/>
      <c r="N163" s="11">
        <f t="shared" si="143"/>
        <v>729.62407616299447</v>
      </c>
      <c r="O163" s="46"/>
      <c r="P163" s="46"/>
      <c r="Q163" s="46"/>
      <c r="R163" s="46"/>
      <c r="S163" s="46"/>
      <c r="T163" s="46"/>
      <c r="U163" s="46"/>
      <c r="V163" s="46"/>
      <c r="W163" s="46"/>
      <c r="X163" s="46"/>
      <c r="Y163" s="46"/>
      <c r="Z163" s="46"/>
      <c r="AA163" s="46"/>
      <c r="AB163" s="46"/>
      <c r="AC163" s="46"/>
      <c r="AD163" s="47"/>
      <c r="AF163" s="252"/>
      <c r="AG163" s="252"/>
      <c r="AH163" s="252"/>
      <c r="AI163" s="252"/>
    </row>
    <row r="164" spans="2:35" x14ac:dyDescent="0.3">
      <c r="B164" s="223"/>
      <c r="C164" s="99" t="s">
        <v>12</v>
      </c>
      <c r="D164" s="58">
        <f t="shared" si="142"/>
        <v>0</v>
      </c>
      <c r="E164" s="58">
        <f t="shared" si="83"/>
        <v>0</v>
      </c>
      <c r="F164" s="58">
        <f t="shared" si="144"/>
        <v>0</v>
      </c>
      <c r="G164" s="20">
        <f t="shared" si="145"/>
        <v>729.62407616299447</v>
      </c>
      <c r="H164" s="20">
        <f t="shared" si="85"/>
        <v>4.8641605077532963</v>
      </c>
      <c r="I164" s="45"/>
      <c r="J164" s="11">
        <f t="shared" si="148"/>
        <v>8.243575584470193</v>
      </c>
      <c r="K164" s="20">
        <f t="shared" si="146"/>
        <v>726.24466108627757</v>
      </c>
      <c r="L164" s="11">
        <f t="shared" si="147"/>
        <v>8.243575584470193</v>
      </c>
      <c r="M164" s="46"/>
      <c r="N164" s="11">
        <f t="shared" si="143"/>
        <v>726.24466108627757</v>
      </c>
      <c r="O164" s="46"/>
      <c r="P164" s="46"/>
      <c r="Q164" s="46"/>
      <c r="R164" s="46"/>
      <c r="S164" s="46"/>
      <c r="T164" s="46"/>
      <c r="U164" s="46"/>
      <c r="V164" s="46"/>
      <c r="W164" s="46"/>
      <c r="X164" s="46"/>
      <c r="Y164" s="46"/>
      <c r="Z164" s="46"/>
      <c r="AA164" s="46"/>
      <c r="AB164" s="46"/>
      <c r="AC164" s="46"/>
      <c r="AD164" s="47"/>
      <c r="AF164" s="252"/>
      <c r="AG164" s="252"/>
      <c r="AH164" s="252"/>
      <c r="AI164" s="252"/>
    </row>
    <row r="165" spans="2:35" ht="15" thickBot="1" x14ac:dyDescent="0.35">
      <c r="B165" s="224"/>
      <c r="C165" s="100" t="s">
        <v>13</v>
      </c>
      <c r="D165" s="66">
        <f t="shared" si="142"/>
        <v>0</v>
      </c>
      <c r="E165" s="66">
        <f t="shared" si="83"/>
        <v>0</v>
      </c>
      <c r="F165" s="66">
        <f t="shared" si="144"/>
        <v>0</v>
      </c>
      <c r="G165" s="13">
        <f t="shared" si="145"/>
        <v>726.24466108627757</v>
      </c>
      <c r="H165" s="13">
        <f t="shared" si="85"/>
        <v>4.8416310739085171</v>
      </c>
      <c r="I165" s="48"/>
      <c r="J165" s="16">
        <f t="shared" si="148"/>
        <v>8.258001841743015</v>
      </c>
      <c r="K165" s="13">
        <f t="shared" si="146"/>
        <v>722.82829031844301</v>
      </c>
      <c r="L165" s="11">
        <f t="shared" si="147"/>
        <v>8.258001841743015</v>
      </c>
      <c r="M165" s="63"/>
      <c r="N165" s="16">
        <f t="shared" si="143"/>
        <v>722.82829031844301</v>
      </c>
      <c r="O165" s="49">
        <f>SUM(H154:H165,J154:J165,E154:E165)</f>
        <v>153.19618761353178</v>
      </c>
      <c r="P165" s="50">
        <f t="shared" si="87"/>
        <v>9.3279999999999994</v>
      </c>
      <c r="Q165" s="50">
        <f t="shared" ref="Q165" si="149">VLOOKUP(O165,$R$11:$S$17,1,TRUE)</f>
        <v>81.05</v>
      </c>
      <c r="R165" s="50">
        <f t="shared" ref="R165" si="150">O165-Q165</f>
        <v>72.146187613531779</v>
      </c>
      <c r="S165" s="51">
        <f t="shared" ref="S165" si="151">VLOOKUP(O165,$R$11:$U$17,4,TRUE)</f>
        <v>0.22</v>
      </c>
      <c r="T165" s="50">
        <f t="shared" ref="T165" si="152">R165*S165</f>
        <v>15.872161274976991</v>
      </c>
      <c r="U165" s="50">
        <f t="shared" ref="U165" si="153">P165+T165</f>
        <v>25.200161274976992</v>
      </c>
      <c r="V165" s="50">
        <f t="shared" ref="V165" si="154">IF(AC165&gt;AD165,AD165,AC165)</f>
        <v>7.659809380676589</v>
      </c>
      <c r="W165" s="56" t="str">
        <f t="shared" ref="W165" si="155">IF(AC165&gt;AD165,$V$15,$V$16)</f>
        <v>Massachussets</v>
      </c>
      <c r="X165" s="50">
        <f t="shared" ref="X165" si="156">VLOOKUP(O165,$X$11:$Z$19,3,TRUE)</f>
        <v>5.1631999999999998</v>
      </c>
      <c r="Y165" s="50">
        <f t="shared" ref="Y165" si="157">VLOOKUP(O165,$X$11:$Y$19,1,TRUE)</f>
        <v>117.268</v>
      </c>
      <c r="Z165" s="50">
        <f t="shared" ref="Z165" si="158">O165-Y165</f>
        <v>35.928187613531776</v>
      </c>
      <c r="AA165" s="51">
        <f t="shared" ref="AA165" si="159">VLOOKUP(O165,$X$11:$AA$19,4,TRUE)</f>
        <v>9.2999999999999999E-2</v>
      </c>
      <c r="AB165" s="50">
        <f t="shared" ref="AB165" si="160">Z165*AA165</f>
        <v>3.341321448058455</v>
      </c>
      <c r="AC165" s="50">
        <f t="shared" ref="AC165" si="161">X165+AB165</f>
        <v>8.5045214480584548</v>
      </c>
      <c r="AD165" s="52">
        <f t="shared" ref="AD165" si="162">O165*$AD$9</f>
        <v>7.659809380676589</v>
      </c>
    </row>
    <row r="166" spans="2:35" s="4" customFormat="1" ht="15" thickBot="1" x14ac:dyDescent="0.35">
      <c r="B166" s="113"/>
      <c r="C166" s="122" t="s">
        <v>26</v>
      </c>
      <c r="D166" s="115"/>
      <c r="E166" s="123">
        <f>SUM(E154:E165)</f>
        <v>2.4155895585099816E-2</v>
      </c>
      <c r="F166" s="115"/>
      <c r="G166" s="115"/>
      <c r="H166" s="123">
        <f>SUM(H154:H165)</f>
        <v>59.508717041649902</v>
      </c>
      <c r="I166" s="116"/>
      <c r="J166" s="124">
        <f>SUM(J154:J165)</f>
        <v>93.663314676296793</v>
      </c>
      <c r="K166" s="115"/>
      <c r="L166" s="124">
        <f>SUM(L154:L165)</f>
        <v>98.149411795076333</v>
      </c>
      <c r="M166" s="148"/>
      <c r="N166" s="116"/>
      <c r="O166" s="117"/>
      <c r="P166" s="118"/>
      <c r="Q166" s="118"/>
      <c r="R166" s="118"/>
      <c r="S166" s="119"/>
      <c r="T166" s="118"/>
      <c r="U166" s="118"/>
      <c r="V166" s="118"/>
      <c r="W166" s="120"/>
      <c r="X166" s="118"/>
      <c r="Y166" s="118"/>
      <c r="Z166" s="118"/>
      <c r="AA166" s="119"/>
      <c r="AB166" s="118"/>
      <c r="AC166" s="118"/>
      <c r="AD166" s="121"/>
    </row>
    <row r="167" spans="2:35" s="4" customFormat="1" x14ac:dyDescent="0.3">
      <c r="B167" s="79"/>
      <c r="C167" s="80"/>
      <c r="D167" s="81"/>
      <c r="E167" s="81"/>
      <c r="F167" s="81"/>
      <c r="G167" s="81"/>
      <c r="H167" s="81"/>
      <c r="I167" s="82"/>
      <c r="J167" s="82"/>
      <c r="K167" s="81"/>
      <c r="L167" s="82"/>
      <c r="M167" s="34"/>
      <c r="N167" s="82"/>
      <c r="O167" s="83"/>
      <c r="P167" s="84"/>
      <c r="Q167" s="84"/>
      <c r="R167" s="84"/>
      <c r="S167" s="85"/>
      <c r="T167" s="84"/>
      <c r="U167" s="84"/>
      <c r="V167" s="84"/>
      <c r="W167" s="86"/>
      <c r="X167" s="84"/>
      <c r="Y167" s="84"/>
      <c r="Z167" s="84"/>
      <c r="AA167" s="85"/>
      <c r="AB167" s="84"/>
      <c r="AC167" s="84"/>
      <c r="AD167" s="84"/>
    </row>
    <row r="168" spans="2:35" s="4" customFormat="1" ht="15" thickBot="1" x14ac:dyDescent="0.35">
      <c r="B168" s="79"/>
      <c r="C168" s="44"/>
      <c r="D168" s="233" t="s">
        <v>0</v>
      </c>
      <c r="E168" s="234"/>
      <c r="F168" s="235"/>
      <c r="G168" s="233" t="s">
        <v>28</v>
      </c>
      <c r="H168" s="234"/>
      <c r="I168" s="234"/>
      <c r="J168" s="234"/>
      <c r="K168" s="235"/>
      <c r="L168" s="137" t="s">
        <v>15</v>
      </c>
      <c r="M168" s="233" t="s">
        <v>55</v>
      </c>
      <c r="N168" s="235"/>
      <c r="O168" s="233" t="s">
        <v>19</v>
      </c>
      <c r="P168" s="234"/>
      <c r="Q168" s="234"/>
      <c r="R168" s="234"/>
      <c r="S168" s="234"/>
      <c r="T168" s="234"/>
      <c r="U168" s="234"/>
      <c r="V168" s="234"/>
      <c r="W168" s="234"/>
      <c r="X168" s="234"/>
      <c r="Y168" s="234"/>
      <c r="Z168" s="234"/>
      <c r="AA168" s="234"/>
      <c r="AB168" s="234"/>
      <c r="AC168" s="234"/>
      <c r="AD168" s="235"/>
    </row>
    <row r="169" spans="2:35" s="4" customFormat="1" ht="58.2" thickBot="1" x14ac:dyDescent="0.35">
      <c r="B169" s="228" t="s">
        <v>62</v>
      </c>
      <c r="C169" s="229"/>
      <c r="D169" s="53" t="s">
        <v>35</v>
      </c>
      <c r="E169" s="54" t="s">
        <v>41</v>
      </c>
      <c r="F169" s="54" t="s">
        <v>16</v>
      </c>
      <c r="G169" s="54" t="s">
        <v>36</v>
      </c>
      <c r="H169" s="54" t="s">
        <v>30</v>
      </c>
      <c r="I169" s="54" t="s">
        <v>54</v>
      </c>
      <c r="J169" s="54" t="s">
        <v>31</v>
      </c>
      <c r="K169" s="54" t="s">
        <v>37</v>
      </c>
      <c r="L169" s="54" t="s">
        <v>15</v>
      </c>
      <c r="M169" s="54" t="s">
        <v>14</v>
      </c>
      <c r="N169" s="54" t="s">
        <v>17</v>
      </c>
      <c r="O169" s="54" t="s">
        <v>18</v>
      </c>
      <c r="P169" s="54" t="s">
        <v>24</v>
      </c>
      <c r="Q169" s="54" t="s">
        <v>21</v>
      </c>
      <c r="R169" s="54" t="s">
        <v>25</v>
      </c>
      <c r="S169" s="54" t="s">
        <v>42</v>
      </c>
      <c r="T169" s="54" t="s">
        <v>43</v>
      </c>
      <c r="U169" s="54" t="s">
        <v>44</v>
      </c>
      <c r="V169" s="54" t="s">
        <v>47</v>
      </c>
      <c r="W169" s="54" t="s">
        <v>48</v>
      </c>
      <c r="X169" s="54" t="s">
        <v>24</v>
      </c>
      <c r="Y169" s="54" t="s">
        <v>21</v>
      </c>
      <c r="Z169" s="54" t="s">
        <v>25</v>
      </c>
      <c r="AA169" s="54" t="s">
        <v>42</v>
      </c>
      <c r="AB169" s="54" t="s">
        <v>43</v>
      </c>
      <c r="AC169" s="54" t="s">
        <v>46</v>
      </c>
      <c r="AD169" s="55" t="s">
        <v>49</v>
      </c>
    </row>
    <row r="170" spans="2:35" x14ac:dyDescent="0.3">
      <c r="B170" s="222">
        <v>2030</v>
      </c>
      <c r="C170" s="98" t="s">
        <v>2</v>
      </c>
      <c r="D170" s="57">
        <f>F165</f>
        <v>0</v>
      </c>
      <c r="E170" s="57">
        <f t="shared" si="83"/>
        <v>0</v>
      </c>
      <c r="F170" s="57">
        <f t="shared" ref="F170:F181" si="163">D170+E170</f>
        <v>0</v>
      </c>
      <c r="G170" s="17">
        <f>K165</f>
        <v>722.82829031844301</v>
      </c>
      <c r="H170" s="17">
        <f t="shared" si="85"/>
        <v>4.81885526878962</v>
      </c>
      <c r="I170" s="70">
        <f>K165/K5</f>
        <v>27.276539257299735</v>
      </c>
      <c r="J170" s="10">
        <f t="shared" ref="J170:J181" si="164">L170</f>
        <v>8.2724533449660651</v>
      </c>
      <c r="K170" s="17">
        <f t="shared" ref="K170:K181" si="165">G170+H170-J170</f>
        <v>719.37469224226663</v>
      </c>
      <c r="L170" s="10">
        <f>L165*(1+$H$13/12)</f>
        <v>8.2724533449660651</v>
      </c>
      <c r="M170" s="41"/>
      <c r="N170" s="10">
        <f t="shared" ref="N170:N181" si="166">F170+K170</f>
        <v>719.37469224226663</v>
      </c>
      <c r="O170" s="57"/>
      <c r="P170" s="42"/>
      <c r="Q170" s="42"/>
      <c r="R170" s="42"/>
      <c r="S170" s="42"/>
      <c r="T170" s="42"/>
      <c r="U170" s="42"/>
      <c r="V170" s="42"/>
      <c r="W170" s="42"/>
      <c r="X170" s="42"/>
      <c r="Y170" s="42"/>
      <c r="Z170" s="42"/>
      <c r="AA170" s="42"/>
      <c r="AB170" s="42"/>
      <c r="AC170" s="42"/>
      <c r="AD170" s="43"/>
    </row>
    <row r="171" spans="2:35" x14ac:dyDescent="0.3">
      <c r="B171" s="223"/>
      <c r="C171" s="99" t="s">
        <v>3</v>
      </c>
      <c r="D171" s="58">
        <f t="shared" ref="D171:D181" si="167">F170</f>
        <v>0</v>
      </c>
      <c r="E171" s="58">
        <f t="shared" si="83"/>
        <v>0</v>
      </c>
      <c r="F171" s="58">
        <f t="shared" si="163"/>
        <v>0</v>
      </c>
      <c r="G171" s="20">
        <f t="shared" ref="G171:G181" si="168">K170</f>
        <v>719.37469224226663</v>
      </c>
      <c r="H171" s="20">
        <f t="shared" si="85"/>
        <v>4.7958312816151105</v>
      </c>
      <c r="I171" s="45"/>
      <c r="J171" s="11">
        <f t="shared" si="164"/>
        <v>8.2869301383197556</v>
      </c>
      <c r="K171" s="20">
        <f t="shared" si="165"/>
        <v>715.88359338556199</v>
      </c>
      <c r="L171" s="11">
        <f>L170*(1+$H$13/12)</f>
        <v>8.2869301383197556</v>
      </c>
      <c r="M171" s="45"/>
      <c r="N171" s="11">
        <f t="shared" si="166"/>
        <v>715.88359338556199</v>
      </c>
      <c r="O171" s="58"/>
      <c r="P171" s="46"/>
      <c r="Q171" s="46"/>
      <c r="R171" s="46"/>
      <c r="S171" s="46"/>
      <c r="T171" s="46"/>
      <c r="U171" s="46"/>
      <c r="V171" s="46"/>
      <c r="W171" s="46"/>
      <c r="X171" s="46"/>
      <c r="Y171" s="46"/>
      <c r="Z171" s="46"/>
      <c r="AA171" s="46"/>
      <c r="AB171" s="46"/>
      <c r="AC171" s="46"/>
      <c r="AD171" s="47"/>
    </row>
    <row r="172" spans="2:35" x14ac:dyDescent="0.3">
      <c r="B172" s="223"/>
      <c r="C172" s="99" t="s">
        <v>4</v>
      </c>
      <c r="D172" s="58">
        <f t="shared" si="167"/>
        <v>0</v>
      </c>
      <c r="E172" s="58">
        <f t="shared" si="83"/>
        <v>0</v>
      </c>
      <c r="F172" s="58">
        <f t="shared" si="163"/>
        <v>0</v>
      </c>
      <c r="G172" s="20">
        <f t="shared" si="168"/>
        <v>715.88359338556199</v>
      </c>
      <c r="H172" s="20">
        <f t="shared" si="85"/>
        <v>4.7725572892370804</v>
      </c>
      <c r="I172" s="45"/>
      <c r="J172" s="11">
        <f>L172+M172</f>
        <v>41.1614029217154</v>
      </c>
      <c r="K172" s="20">
        <f t="shared" si="165"/>
        <v>679.49474775308363</v>
      </c>
      <c r="L172" s="11">
        <f t="shared" ref="L172:L181" si="169">L171*(1+$H$13/12)</f>
        <v>8.3014322660618145</v>
      </c>
      <c r="M172" s="59">
        <f>U165+V165</f>
        <v>32.859970655653584</v>
      </c>
      <c r="N172" s="11">
        <f t="shared" si="166"/>
        <v>679.49474775308363</v>
      </c>
      <c r="O172" s="58"/>
      <c r="P172" s="46"/>
      <c r="Q172" s="46"/>
      <c r="R172" s="46"/>
      <c r="S172" s="46"/>
      <c r="T172" s="46"/>
      <c r="U172" s="46"/>
      <c r="V172" s="46"/>
      <c r="W172" s="46"/>
      <c r="X172" s="46"/>
      <c r="Y172" s="46"/>
      <c r="Z172" s="46"/>
      <c r="AA172" s="46"/>
      <c r="AB172" s="46"/>
      <c r="AC172" s="46"/>
      <c r="AD172" s="47"/>
    </row>
    <row r="173" spans="2:35" x14ac:dyDescent="0.3">
      <c r="B173" s="223"/>
      <c r="C173" s="99" t="s">
        <v>5</v>
      </c>
      <c r="D173" s="58">
        <f t="shared" si="167"/>
        <v>0</v>
      </c>
      <c r="E173" s="58">
        <f t="shared" si="83"/>
        <v>0</v>
      </c>
      <c r="F173" s="58">
        <f t="shared" si="163"/>
        <v>0</v>
      </c>
      <c r="G173" s="20">
        <f t="shared" si="168"/>
        <v>679.49474775308363</v>
      </c>
      <c r="H173" s="20">
        <f t="shared" si="85"/>
        <v>4.5299649850205581</v>
      </c>
      <c r="I173" s="45"/>
      <c r="J173" s="11">
        <f t="shared" si="164"/>
        <v>8.3159597725274228</v>
      </c>
      <c r="K173" s="20">
        <f t="shared" si="165"/>
        <v>675.70875296557676</v>
      </c>
      <c r="L173" s="11">
        <f t="shared" si="169"/>
        <v>8.3159597725274228</v>
      </c>
      <c r="M173" s="45"/>
      <c r="N173" s="11">
        <f t="shared" si="166"/>
        <v>675.70875296557676</v>
      </c>
      <c r="O173" s="58"/>
      <c r="P173" s="46"/>
      <c r="Q173" s="46"/>
      <c r="R173" s="46"/>
      <c r="S173" s="46"/>
      <c r="T173" s="46"/>
      <c r="U173" s="46"/>
      <c r="V173" s="46"/>
      <c r="W173" s="46"/>
      <c r="X173" s="46"/>
      <c r="Y173" s="46"/>
      <c r="Z173" s="46"/>
      <c r="AA173" s="46"/>
      <c r="AB173" s="46"/>
      <c r="AC173" s="46"/>
      <c r="AD173" s="47"/>
    </row>
    <row r="174" spans="2:35" x14ac:dyDescent="0.3">
      <c r="B174" s="223"/>
      <c r="C174" s="99" t="s">
        <v>6</v>
      </c>
      <c r="D174" s="58">
        <f t="shared" si="167"/>
        <v>0</v>
      </c>
      <c r="E174" s="58">
        <f t="shared" si="83"/>
        <v>0</v>
      </c>
      <c r="F174" s="58">
        <f t="shared" si="163"/>
        <v>0</v>
      </c>
      <c r="G174" s="20">
        <f t="shared" si="168"/>
        <v>675.70875296557676</v>
      </c>
      <c r="H174" s="20">
        <f t="shared" si="85"/>
        <v>4.504725019770512</v>
      </c>
      <c r="I174" s="45"/>
      <c r="J174" s="11">
        <f t="shared" si="164"/>
        <v>8.3305127021293455</v>
      </c>
      <c r="K174" s="20">
        <f t="shared" si="165"/>
        <v>671.88296528321791</v>
      </c>
      <c r="L174" s="11">
        <f t="shared" si="169"/>
        <v>8.3305127021293455</v>
      </c>
      <c r="M174" s="45"/>
      <c r="N174" s="11">
        <f t="shared" si="166"/>
        <v>671.88296528321791</v>
      </c>
      <c r="O174" s="58"/>
      <c r="P174" s="46"/>
      <c r="Q174" s="46"/>
      <c r="R174" s="46"/>
      <c r="S174" s="46"/>
      <c r="T174" s="46"/>
      <c r="U174" s="46"/>
      <c r="V174" s="46"/>
      <c r="W174" s="46"/>
      <c r="X174" s="46"/>
      <c r="Y174" s="46"/>
      <c r="Z174" s="46"/>
      <c r="AA174" s="46"/>
      <c r="AB174" s="46"/>
      <c r="AC174" s="46"/>
      <c r="AD174" s="47"/>
    </row>
    <row r="175" spans="2:35" x14ac:dyDescent="0.3">
      <c r="B175" s="223"/>
      <c r="C175" s="99" t="s">
        <v>7</v>
      </c>
      <c r="D175" s="58">
        <f t="shared" si="167"/>
        <v>0</v>
      </c>
      <c r="E175" s="58">
        <f t="shared" si="83"/>
        <v>0</v>
      </c>
      <c r="F175" s="58">
        <f t="shared" si="163"/>
        <v>0</v>
      </c>
      <c r="G175" s="20">
        <f t="shared" si="168"/>
        <v>671.88296528321791</v>
      </c>
      <c r="H175" s="20">
        <f t="shared" si="85"/>
        <v>4.4792197685547857</v>
      </c>
      <c r="I175" s="45"/>
      <c r="J175" s="11">
        <f t="shared" si="164"/>
        <v>8.345091099358072</v>
      </c>
      <c r="K175" s="20">
        <f t="shared" si="165"/>
        <v>668.0170939524146</v>
      </c>
      <c r="L175" s="11">
        <f t="shared" si="169"/>
        <v>8.345091099358072</v>
      </c>
      <c r="M175" s="45"/>
      <c r="N175" s="11">
        <f t="shared" si="166"/>
        <v>668.0170939524146</v>
      </c>
      <c r="O175" s="58"/>
      <c r="P175" s="46"/>
      <c r="Q175" s="46"/>
      <c r="R175" s="46"/>
      <c r="S175" s="46"/>
      <c r="T175" s="46"/>
      <c r="U175" s="46"/>
      <c r="V175" s="46"/>
      <c r="W175" s="46"/>
      <c r="X175" s="46"/>
      <c r="Y175" s="46"/>
      <c r="Z175" s="46"/>
      <c r="AA175" s="46"/>
      <c r="AB175" s="46"/>
      <c r="AC175" s="46"/>
      <c r="AD175" s="47"/>
    </row>
    <row r="176" spans="2:35" x14ac:dyDescent="0.3">
      <c r="B176" s="223"/>
      <c r="C176" s="99" t="s">
        <v>8</v>
      </c>
      <c r="D176" s="58">
        <f t="shared" si="167"/>
        <v>0</v>
      </c>
      <c r="E176" s="58">
        <f t="shared" si="83"/>
        <v>0</v>
      </c>
      <c r="F176" s="58">
        <f t="shared" si="163"/>
        <v>0</v>
      </c>
      <c r="G176" s="20">
        <f t="shared" si="168"/>
        <v>668.0170939524146</v>
      </c>
      <c r="H176" s="20">
        <f t="shared" si="85"/>
        <v>4.4534472930160973</v>
      </c>
      <c r="I176" s="45"/>
      <c r="J176" s="11">
        <f t="shared" si="164"/>
        <v>8.3596950087819479</v>
      </c>
      <c r="K176" s="20">
        <f t="shared" si="165"/>
        <v>664.11084623664874</v>
      </c>
      <c r="L176" s="11">
        <f t="shared" si="169"/>
        <v>8.3596950087819479</v>
      </c>
      <c r="M176" s="45"/>
      <c r="N176" s="11">
        <f t="shared" si="166"/>
        <v>664.11084623664874</v>
      </c>
      <c r="O176" s="58"/>
      <c r="P176" s="46"/>
      <c r="Q176" s="46"/>
      <c r="R176" s="46"/>
      <c r="S176" s="46"/>
      <c r="T176" s="46"/>
      <c r="U176" s="46"/>
      <c r="V176" s="46"/>
      <c r="W176" s="46"/>
      <c r="X176" s="46"/>
      <c r="Y176" s="46"/>
      <c r="Z176" s="46"/>
      <c r="AA176" s="46"/>
      <c r="AB176" s="46"/>
      <c r="AC176" s="46"/>
      <c r="AD176" s="47"/>
    </row>
    <row r="177" spans="2:30" x14ac:dyDescent="0.3">
      <c r="B177" s="223"/>
      <c r="C177" s="99" t="s">
        <v>9</v>
      </c>
      <c r="D177" s="58">
        <f t="shared" si="167"/>
        <v>0</v>
      </c>
      <c r="E177" s="58">
        <f t="shared" ref="E177:E256" si="170">D177*$D$14/12</f>
        <v>0</v>
      </c>
      <c r="F177" s="58">
        <f t="shared" si="163"/>
        <v>0</v>
      </c>
      <c r="G177" s="20">
        <f t="shared" si="168"/>
        <v>664.11084623664874</v>
      </c>
      <c r="H177" s="20">
        <f t="shared" ref="H177:H256" si="171">G177*$D$16/12</f>
        <v>4.4274056415776579</v>
      </c>
      <c r="I177" s="45"/>
      <c r="J177" s="11">
        <f t="shared" si="164"/>
        <v>8.3743244750473149</v>
      </c>
      <c r="K177" s="20">
        <f t="shared" si="165"/>
        <v>660.16392740317917</v>
      </c>
      <c r="L177" s="11">
        <f t="shared" si="169"/>
        <v>8.3743244750473149</v>
      </c>
      <c r="M177" s="45"/>
      <c r="N177" s="11">
        <f t="shared" si="166"/>
        <v>660.16392740317917</v>
      </c>
      <c r="O177" s="58"/>
      <c r="P177" s="46"/>
      <c r="Q177" s="46"/>
      <c r="R177" s="46"/>
      <c r="S177" s="46"/>
      <c r="T177" s="46"/>
      <c r="U177" s="46"/>
      <c r="V177" s="46"/>
      <c r="W177" s="46"/>
      <c r="X177" s="46"/>
      <c r="Y177" s="46"/>
      <c r="Z177" s="46"/>
      <c r="AA177" s="46"/>
      <c r="AB177" s="46"/>
      <c r="AC177" s="46"/>
      <c r="AD177" s="47"/>
    </row>
    <row r="178" spans="2:30" x14ac:dyDescent="0.3">
      <c r="B178" s="223"/>
      <c r="C178" s="99" t="s">
        <v>10</v>
      </c>
      <c r="D178" s="58">
        <f t="shared" si="167"/>
        <v>0</v>
      </c>
      <c r="E178" s="58">
        <f t="shared" si="170"/>
        <v>0</v>
      </c>
      <c r="F178" s="58">
        <f t="shared" si="163"/>
        <v>0</v>
      </c>
      <c r="G178" s="20">
        <f t="shared" si="168"/>
        <v>660.16392740317917</v>
      </c>
      <c r="H178" s="20">
        <f t="shared" si="171"/>
        <v>4.4010928493545274</v>
      </c>
      <c r="I178" s="45"/>
      <c r="J178" s="11">
        <f t="shared" si="164"/>
        <v>8.3889795428786478</v>
      </c>
      <c r="K178" s="20">
        <f t="shared" si="165"/>
        <v>656.17604070965501</v>
      </c>
      <c r="L178" s="11">
        <f t="shared" si="169"/>
        <v>8.3889795428786478</v>
      </c>
      <c r="M178" s="45"/>
      <c r="N178" s="11">
        <f t="shared" si="166"/>
        <v>656.17604070965501</v>
      </c>
      <c r="O178" s="58"/>
      <c r="P178" s="46"/>
      <c r="Q178" s="46"/>
      <c r="R178" s="46"/>
      <c r="S178" s="46"/>
      <c r="T178" s="46"/>
      <c r="U178" s="46"/>
      <c r="V178" s="46"/>
      <c r="W178" s="46"/>
      <c r="X178" s="46"/>
      <c r="Y178" s="46"/>
      <c r="Z178" s="46"/>
      <c r="AA178" s="46"/>
      <c r="AB178" s="46"/>
      <c r="AC178" s="46"/>
      <c r="AD178" s="47"/>
    </row>
    <row r="179" spans="2:30" x14ac:dyDescent="0.3">
      <c r="B179" s="223"/>
      <c r="C179" s="99" t="s">
        <v>11</v>
      </c>
      <c r="D179" s="58">
        <f>F178</f>
        <v>0</v>
      </c>
      <c r="E179" s="58">
        <f t="shared" si="170"/>
        <v>0</v>
      </c>
      <c r="F179" s="58">
        <f t="shared" si="163"/>
        <v>0</v>
      </c>
      <c r="G179" s="20">
        <f t="shared" si="168"/>
        <v>656.17604070965501</v>
      </c>
      <c r="H179" s="20">
        <f t="shared" si="171"/>
        <v>4.3745069380643669</v>
      </c>
      <c r="I179" s="45"/>
      <c r="J179" s="11">
        <f t="shared" si="164"/>
        <v>8.403660257078684</v>
      </c>
      <c r="K179" s="20">
        <f t="shared" si="165"/>
        <v>652.14688739064059</v>
      </c>
      <c r="L179" s="11">
        <f t="shared" si="169"/>
        <v>8.403660257078684</v>
      </c>
      <c r="M179" s="45"/>
      <c r="N179" s="11">
        <f t="shared" si="166"/>
        <v>652.14688739064059</v>
      </c>
      <c r="O179" s="58"/>
      <c r="P179" s="46"/>
      <c r="Q179" s="46"/>
      <c r="R179" s="46"/>
      <c r="S179" s="46"/>
      <c r="T179" s="46"/>
      <c r="U179" s="46"/>
      <c r="V179" s="46"/>
      <c r="W179" s="46"/>
      <c r="X179" s="46"/>
      <c r="Y179" s="46"/>
      <c r="Z179" s="46"/>
      <c r="AA179" s="46"/>
      <c r="AB179" s="46"/>
      <c r="AC179" s="46"/>
      <c r="AD179" s="47"/>
    </row>
    <row r="180" spans="2:30" x14ac:dyDescent="0.3">
      <c r="B180" s="223"/>
      <c r="C180" s="99" t="s">
        <v>12</v>
      </c>
      <c r="D180" s="58">
        <f t="shared" si="167"/>
        <v>0</v>
      </c>
      <c r="E180" s="58">
        <f t="shared" si="170"/>
        <v>0</v>
      </c>
      <c r="F180" s="58">
        <f t="shared" si="163"/>
        <v>0</v>
      </c>
      <c r="G180" s="20">
        <f t="shared" si="168"/>
        <v>652.14688739064059</v>
      </c>
      <c r="H180" s="20">
        <f t="shared" si="171"/>
        <v>4.347645915937604</v>
      </c>
      <c r="I180" s="45"/>
      <c r="J180" s="11">
        <f t="shared" si="164"/>
        <v>8.4183666625285714</v>
      </c>
      <c r="K180" s="20">
        <f t="shared" si="165"/>
        <v>648.07616664404964</v>
      </c>
      <c r="L180" s="11">
        <f t="shared" si="169"/>
        <v>8.4183666625285714</v>
      </c>
      <c r="M180" s="45"/>
      <c r="N180" s="11">
        <f t="shared" si="166"/>
        <v>648.07616664404964</v>
      </c>
      <c r="O180" s="58"/>
      <c r="P180" s="46"/>
      <c r="Q180" s="46"/>
      <c r="R180" s="46"/>
      <c r="S180" s="46"/>
      <c r="T180" s="46"/>
      <c r="U180" s="46"/>
      <c r="V180" s="46"/>
      <c r="W180" s="46"/>
      <c r="X180" s="46"/>
      <c r="Y180" s="46"/>
      <c r="Z180" s="46"/>
      <c r="AA180" s="46"/>
      <c r="AB180" s="46"/>
      <c r="AC180" s="46"/>
      <c r="AD180" s="47"/>
    </row>
    <row r="181" spans="2:30" ht="15" thickBot="1" x14ac:dyDescent="0.35">
      <c r="B181" s="224"/>
      <c r="C181" s="100" t="s">
        <v>13</v>
      </c>
      <c r="D181" s="66">
        <f t="shared" si="167"/>
        <v>0</v>
      </c>
      <c r="E181" s="66">
        <f t="shared" si="170"/>
        <v>0</v>
      </c>
      <c r="F181" s="66">
        <f t="shared" si="163"/>
        <v>0</v>
      </c>
      <c r="G181" s="13">
        <f t="shared" si="168"/>
        <v>648.07616664404964</v>
      </c>
      <c r="H181" s="13">
        <f t="shared" si="171"/>
        <v>4.3205077776269976</v>
      </c>
      <c r="I181" s="48"/>
      <c r="J181" s="16">
        <f t="shared" si="164"/>
        <v>8.4330988041879955</v>
      </c>
      <c r="K181" s="13">
        <f t="shared" si="165"/>
        <v>643.96357561748857</v>
      </c>
      <c r="L181" s="11">
        <f t="shared" si="169"/>
        <v>8.4330988041879955</v>
      </c>
      <c r="M181" s="48"/>
      <c r="N181" s="16">
        <f t="shared" si="166"/>
        <v>643.96357561748857</v>
      </c>
      <c r="O181" s="49">
        <f>SUM(H170:H181,J170:J181)</f>
        <v>187.31623475808414</v>
      </c>
      <c r="P181" s="50">
        <f t="shared" ref="P181:P245" si="172">VLOOKUP(O181,$R$11:$T$17,3,TRUE)</f>
        <v>29.501999999999999</v>
      </c>
      <c r="Q181" s="50">
        <f t="shared" ref="Q181" si="173">VLOOKUP(O181,$R$11:$S$17,1,TRUE)</f>
        <v>172.75</v>
      </c>
      <c r="R181" s="50">
        <f t="shared" ref="R181" si="174">O181-Q181</f>
        <v>14.566234758084136</v>
      </c>
      <c r="S181" s="51">
        <f t="shared" ref="S181" si="175">VLOOKUP(O181,$R$11:$U$17,4,TRUE)</f>
        <v>0.24</v>
      </c>
      <c r="T181" s="50">
        <f t="shared" ref="T181" si="176">R181*S181</f>
        <v>3.4958963419401923</v>
      </c>
      <c r="U181" s="50">
        <f t="shared" ref="U181" si="177">P181+T181</f>
        <v>32.997896341940191</v>
      </c>
      <c r="V181" s="50">
        <f t="shared" ref="V181" si="178">IF(AC181&gt;AD181,AD181,AC181)</f>
        <v>9.3658117379042078</v>
      </c>
      <c r="W181" s="56" t="str">
        <f t="shared" ref="W181" si="179">IF(AC181&gt;AD181,$V$15,$V$16)</f>
        <v>Massachussets</v>
      </c>
      <c r="X181" s="50">
        <f t="shared" ref="X181" si="180">VLOOKUP(O181,$X$11:$Z$19,3,TRUE)</f>
        <v>5.1631999999999998</v>
      </c>
      <c r="Y181" s="50">
        <f t="shared" ref="Y181" si="181">VLOOKUP(O181,$X$11:$Y$19,1,TRUE)</f>
        <v>117.268</v>
      </c>
      <c r="Z181" s="50">
        <f t="shared" ref="Z181" si="182">O181-Y181</f>
        <v>70.048234758084135</v>
      </c>
      <c r="AA181" s="51">
        <f t="shared" ref="AA181" si="183">VLOOKUP(O181,$X$11:$AA$19,4,TRUE)</f>
        <v>9.2999999999999999E-2</v>
      </c>
      <c r="AB181" s="50">
        <f t="shared" ref="AB181" si="184">Z181*AA181</f>
        <v>6.5144858325018244</v>
      </c>
      <c r="AC181" s="50">
        <f t="shared" ref="AC181" si="185">X181+AB181</f>
        <v>11.677685832501824</v>
      </c>
      <c r="AD181" s="52">
        <f t="shared" ref="AD181" si="186">O181*$AD$9</f>
        <v>9.3658117379042078</v>
      </c>
    </row>
    <row r="182" spans="2:30" s="4" customFormat="1" ht="15" thickBot="1" x14ac:dyDescent="0.35">
      <c r="B182" s="113"/>
      <c r="C182" s="164" t="s">
        <v>26</v>
      </c>
      <c r="D182" s="157"/>
      <c r="E182" s="150"/>
      <c r="F182" s="150"/>
      <c r="G182" s="150"/>
      <c r="H182" s="69">
        <f>SUM(H170:H181)</f>
        <v>54.22576002856492</v>
      </c>
      <c r="I182" s="151"/>
      <c r="J182" s="166">
        <f>SUM(J170:J181)</f>
        <v>133.0904747295192</v>
      </c>
      <c r="K182" s="150"/>
      <c r="L182" s="166">
        <f>SUM(L170:L181)</f>
        <v>100.23050407386563</v>
      </c>
      <c r="M182" s="151"/>
      <c r="N182" s="151"/>
      <c r="O182" s="152"/>
      <c r="P182" s="153"/>
      <c r="Q182" s="153"/>
      <c r="R182" s="153"/>
      <c r="S182" s="154"/>
      <c r="T182" s="153"/>
      <c r="U182" s="153"/>
      <c r="V182" s="153"/>
      <c r="W182" s="155"/>
      <c r="X182" s="153"/>
      <c r="Y182" s="153"/>
      <c r="Z182" s="153"/>
      <c r="AA182" s="154"/>
      <c r="AB182" s="153"/>
      <c r="AC182" s="153"/>
      <c r="AD182" s="156"/>
    </row>
    <row r="183" spans="2:30" s="4" customFormat="1" ht="15" thickBot="1" x14ac:dyDescent="0.35">
      <c r="B183" s="113"/>
      <c r="C183" s="114"/>
      <c r="D183" s="150"/>
      <c r="E183" s="150"/>
      <c r="F183" s="150"/>
      <c r="G183" s="150"/>
      <c r="H183" s="150"/>
      <c r="I183" s="151"/>
      <c r="J183" s="151"/>
      <c r="K183" s="150"/>
      <c r="L183" s="151"/>
      <c r="M183" s="151"/>
      <c r="N183" s="151"/>
      <c r="O183" s="152"/>
      <c r="P183" s="153"/>
      <c r="Q183" s="153"/>
      <c r="R183" s="153"/>
      <c r="S183" s="154"/>
      <c r="T183" s="153"/>
      <c r="U183" s="153"/>
      <c r="V183" s="153"/>
      <c r="W183" s="155"/>
      <c r="X183" s="153"/>
      <c r="Y183" s="153"/>
      <c r="Z183" s="153"/>
      <c r="AA183" s="154"/>
      <c r="AB183" s="153"/>
      <c r="AC183" s="153"/>
      <c r="AD183" s="156"/>
    </row>
    <row r="184" spans="2:30" s="4" customFormat="1" ht="15" thickBot="1" x14ac:dyDescent="0.35">
      <c r="B184" s="37"/>
      <c r="C184" s="38"/>
      <c r="D184" s="233" t="s">
        <v>0</v>
      </c>
      <c r="E184" s="234"/>
      <c r="F184" s="235"/>
      <c r="G184" s="233" t="s">
        <v>28</v>
      </c>
      <c r="H184" s="234"/>
      <c r="I184" s="234"/>
      <c r="J184" s="234"/>
      <c r="K184" s="235"/>
      <c r="L184" s="137" t="s">
        <v>15</v>
      </c>
      <c r="M184" s="233" t="s">
        <v>55</v>
      </c>
      <c r="N184" s="235"/>
      <c r="O184" s="233" t="s">
        <v>19</v>
      </c>
      <c r="P184" s="234"/>
      <c r="Q184" s="234"/>
      <c r="R184" s="234"/>
      <c r="S184" s="234"/>
      <c r="T184" s="234"/>
      <c r="U184" s="234"/>
      <c r="V184" s="234"/>
      <c r="W184" s="234"/>
      <c r="X184" s="234"/>
      <c r="Y184" s="234"/>
      <c r="Z184" s="234"/>
      <c r="AA184" s="234"/>
      <c r="AB184" s="234"/>
      <c r="AC184" s="234"/>
      <c r="AD184" s="235"/>
    </row>
    <row r="185" spans="2:30" s="4" customFormat="1" ht="58.2" thickBot="1" x14ac:dyDescent="0.35">
      <c r="B185" s="228" t="s">
        <v>62</v>
      </c>
      <c r="C185" s="229"/>
      <c r="D185" s="53" t="s">
        <v>35</v>
      </c>
      <c r="E185" s="54" t="s">
        <v>41</v>
      </c>
      <c r="F185" s="54" t="s">
        <v>16</v>
      </c>
      <c r="G185" s="54" t="s">
        <v>36</v>
      </c>
      <c r="H185" s="54" t="s">
        <v>30</v>
      </c>
      <c r="I185" s="54" t="s">
        <v>54</v>
      </c>
      <c r="J185" s="54" t="s">
        <v>31</v>
      </c>
      <c r="K185" s="54" t="s">
        <v>37</v>
      </c>
      <c r="L185" s="54" t="s">
        <v>15</v>
      </c>
      <c r="M185" s="54" t="s">
        <v>14</v>
      </c>
      <c r="N185" s="54" t="s">
        <v>17</v>
      </c>
      <c r="O185" s="54" t="s">
        <v>18</v>
      </c>
      <c r="P185" s="54" t="s">
        <v>24</v>
      </c>
      <c r="Q185" s="54" t="s">
        <v>21</v>
      </c>
      <c r="R185" s="54" t="s">
        <v>25</v>
      </c>
      <c r="S185" s="54" t="s">
        <v>42</v>
      </c>
      <c r="T185" s="54" t="s">
        <v>43</v>
      </c>
      <c r="U185" s="54" t="s">
        <v>44</v>
      </c>
      <c r="V185" s="54" t="s">
        <v>47</v>
      </c>
      <c r="W185" s="54" t="s">
        <v>48</v>
      </c>
      <c r="X185" s="54" t="s">
        <v>24</v>
      </c>
      <c r="Y185" s="54" t="s">
        <v>21</v>
      </c>
      <c r="Z185" s="54" t="s">
        <v>25</v>
      </c>
      <c r="AA185" s="54" t="s">
        <v>42</v>
      </c>
      <c r="AB185" s="54" t="s">
        <v>43</v>
      </c>
      <c r="AC185" s="54" t="s">
        <v>46</v>
      </c>
      <c r="AD185" s="55" t="s">
        <v>49</v>
      </c>
    </row>
    <row r="186" spans="2:30" x14ac:dyDescent="0.3">
      <c r="B186" s="222">
        <v>2031</v>
      </c>
      <c r="C186" s="98" t="s">
        <v>2</v>
      </c>
      <c r="D186" s="57">
        <f>F181</f>
        <v>0</v>
      </c>
      <c r="E186" s="57">
        <f t="shared" si="170"/>
        <v>0</v>
      </c>
      <c r="F186" s="57">
        <f t="shared" ref="F186:F197" si="187">D186+E186</f>
        <v>0</v>
      </c>
      <c r="G186" s="17">
        <f>K181</f>
        <v>643.96357561748857</v>
      </c>
      <c r="H186" s="17">
        <f t="shared" si="171"/>
        <v>4.2930905041165905</v>
      </c>
      <c r="I186" s="70">
        <f>K181/K6</f>
        <v>25.154827172558146</v>
      </c>
      <c r="J186" s="10">
        <f t="shared" ref="J186:J197" si="188">L186</f>
        <v>8.4478567270953242</v>
      </c>
      <c r="K186" s="17">
        <f t="shared" ref="K186:K197" si="189">G186+H186-J186</f>
        <v>639.80880939450981</v>
      </c>
      <c r="L186" s="10">
        <f>L181*(1+$H$14/12)</f>
        <v>8.4478567270953242</v>
      </c>
      <c r="M186" s="41"/>
      <c r="N186" s="10">
        <f t="shared" ref="N186:N197" si="190">F186+K186</f>
        <v>639.80880939450981</v>
      </c>
      <c r="O186" s="57"/>
      <c r="P186" s="42"/>
      <c r="Q186" s="42"/>
      <c r="R186" s="42"/>
      <c r="S186" s="42"/>
      <c r="T186" s="42"/>
      <c r="U186" s="42"/>
      <c r="V186" s="42"/>
      <c r="W186" s="42"/>
      <c r="X186" s="42"/>
      <c r="Y186" s="42"/>
      <c r="Z186" s="42"/>
      <c r="AA186" s="42"/>
      <c r="AB186" s="42"/>
      <c r="AC186" s="42"/>
      <c r="AD186" s="43"/>
    </row>
    <row r="187" spans="2:30" x14ac:dyDescent="0.3">
      <c r="B187" s="223"/>
      <c r="C187" s="99" t="s">
        <v>3</v>
      </c>
      <c r="D187" s="58">
        <f t="shared" ref="D187:D196" si="191">F186</f>
        <v>0</v>
      </c>
      <c r="E187" s="58">
        <f t="shared" si="170"/>
        <v>0</v>
      </c>
      <c r="F187" s="58">
        <f t="shared" si="187"/>
        <v>0</v>
      </c>
      <c r="G187" s="20">
        <f t="shared" ref="G187:G196" si="192">K186</f>
        <v>639.80880939450981</v>
      </c>
      <c r="H187" s="20">
        <f t="shared" si="171"/>
        <v>4.2653920626300659</v>
      </c>
      <c r="I187" s="45"/>
      <c r="J187" s="11">
        <f t="shared" si="188"/>
        <v>8.4626404763677403</v>
      </c>
      <c r="K187" s="20">
        <f t="shared" si="189"/>
        <v>635.6115609807722</v>
      </c>
      <c r="L187" s="11">
        <f>L186*(1+$H$14/12)</f>
        <v>8.4626404763677403</v>
      </c>
      <c r="M187" s="45"/>
      <c r="N187" s="11">
        <f t="shared" si="190"/>
        <v>635.6115609807722</v>
      </c>
      <c r="O187" s="58"/>
      <c r="P187" s="46"/>
      <c r="Q187" s="46"/>
      <c r="R187" s="46"/>
      <c r="S187" s="46"/>
      <c r="T187" s="46"/>
      <c r="U187" s="46"/>
      <c r="V187" s="46"/>
      <c r="W187" s="46"/>
      <c r="X187" s="46"/>
      <c r="Y187" s="46"/>
      <c r="Z187" s="46"/>
      <c r="AA187" s="46"/>
      <c r="AB187" s="46"/>
      <c r="AC187" s="46"/>
      <c r="AD187" s="47"/>
    </row>
    <row r="188" spans="2:30" x14ac:dyDescent="0.3">
      <c r="B188" s="223"/>
      <c r="C188" s="99" t="s">
        <v>4</v>
      </c>
      <c r="D188" s="58">
        <f t="shared" si="191"/>
        <v>0</v>
      </c>
      <c r="E188" s="58">
        <f t="shared" si="170"/>
        <v>0</v>
      </c>
      <c r="F188" s="58">
        <f t="shared" si="187"/>
        <v>0</v>
      </c>
      <c r="G188" s="20">
        <f t="shared" si="192"/>
        <v>635.6115609807722</v>
      </c>
      <c r="H188" s="20">
        <f t="shared" si="171"/>
        <v>4.2374104065384817</v>
      </c>
      <c r="I188" s="45"/>
      <c r="J188" s="11">
        <f>L188+M188</f>
        <v>50.841158177045784</v>
      </c>
      <c r="K188" s="20">
        <f t="shared" si="189"/>
        <v>589.00781321026489</v>
      </c>
      <c r="L188" s="11">
        <f t="shared" ref="L188:L197" si="193">L187*(1+$H$14/12)</f>
        <v>8.477450097201384</v>
      </c>
      <c r="M188" s="59">
        <f>U181+V181</f>
        <v>42.3637080798444</v>
      </c>
      <c r="N188" s="11">
        <f t="shared" si="190"/>
        <v>589.00781321026489</v>
      </c>
      <c r="O188" s="58"/>
      <c r="P188" s="46"/>
      <c r="Q188" s="46"/>
      <c r="R188" s="46"/>
      <c r="S188" s="46"/>
      <c r="T188" s="46"/>
      <c r="U188" s="46"/>
      <c r="V188" s="46"/>
      <c r="W188" s="46"/>
      <c r="X188" s="46"/>
      <c r="Y188" s="46"/>
      <c r="Z188" s="46"/>
      <c r="AA188" s="46"/>
      <c r="AB188" s="46"/>
      <c r="AC188" s="46"/>
      <c r="AD188" s="47"/>
    </row>
    <row r="189" spans="2:30" x14ac:dyDescent="0.3">
      <c r="B189" s="223"/>
      <c r="C189" s="99" t="s">
        <v>5</v>
      </c>
      <c r="D189" s="58">
        <f t="shared" si="191"/>
        <v>0</v>
      </c>
      <c r="E189" s="58">
        <f t="shared" si="170"/>
        <v>0</v>
      </c>
      <c r="F189" s="58">
        <f t="shared" si="187"/>
        <v>0</v>
      </c>
      <c r="G189" s="20">
        <f t="shared" si="192"/>
        <v>589.00781321026489</v>
      </c>
      <c r="H189" s="20">
        <f t="shared" si="171"/>
        <v>3.926718754735099</v>
      </c>
      <c r="I189" s="45"/>
      <c r="J189" s="11">
        <f t="shared" si="188"/>
        <v>8.4922856348714859</v>
      </c>
      <c r="K189" s="20">
        <f t="shared" si="189"/>
        <v>584.44224633012857</v>
      </c>
      <c r="L189" s="11">
        <f t="shared" si="193"/>
        <v>8.4922856348714859</v>
      </c>
      <c r="M189" s="45"/>
      <c r="N189" s="11">
        <f t="shared" si="190"/>
        <v>584.44224633012857</v>
      </c>
      <c r="O189" s="58"/>
      <c r="P189" s="46"/>
      <c r="Q189" s="46"/>
      <c r="R189" s="46"/>
      <c r="S189" s="46"/>
      <c r="T189" s="46"/>
      <c r="U189" s="46"/>
      <c r="V189" s="46"/>
      <c r="W189" s="46"/>
      <c r="X189" s="46"/>
      <c r="Y189" s="46"/>
      <c r="Z189" s="46"/>
      <c r="AA189" s="46"/>
      <c r="AB189" s="46"/>
      <c r="AC189" s="46"/>
      <c r="AD189" s="47"/>
    </row>
    <row r="190" spans="2:30" x14ac:dyDescent="0.3">
      <c r="B190" s="223"/>
      <c r="C190" s="99" t="s">
        <v>6</v>
      </c>
      <c r="D190" s="58">
        <f t="shared" si="191"/>
        <v>0</v>
      </c>
      <c r="E190" s="58">
        <f t="shared" si="170"/>
        <v>0</v>
      </c>
      <c r="F190" s="58">
        <f t="shared" si="187"/>
        <v>0</v>
      </c>
      <c r="G190" s="20">
        <f t="shared" si="192"/>
        <v>584.44224633012857</v>
      </c>
      <c r="H190" s="20">
        <f t="shared" si="171"/>
        <v>3.8962816422008575</v>
      </c>
      <c r="I190" s="45"/>
      <c r="J190" s="11">
        <f t="shared" si="188"/>
        <v>8.5071471347325112</v>
      </c>
      <c r="K190" s="20">
        <f t="shared" si="189"/>
        <v>579.83138083759695</v>
      </c>
      <c r="L190" s="11">
        <f t="shared" si="193"/>
        <v>8.5071471347325112</v>
      </c>
      <c r="M190" s="45"/>
      <c r="N190" s="11">
        <f t="shared" si="190"/>
        <v>579.83138083759695</v>
      </c>
      <c r="O190" s="58"/>
      <c r="P190" s="46"/>
      <c r="Q190" s="46"/>
      <c r="R190" s="46"/>
      <c r="S190" s="46"/>
      <c r="T190" s="46"/>
      <c r="U190" s="46"/>
      <c r="V190" s="46"/>
      <c r="W190" s="46"/>
      <c r="X190" s="46"/>
      <c r="Y190" s="46"/>
      <c r="Z190" s="46"/>
      <c r="AA190" s="46"/>
      <c r="AB190" s="46"/>
      <c r="AC190" s="46"/>
      <c r="AD190" s="47"/>
    </row>
    <row r="191" spans="2:30" x14ac:dyDescent="0.3">
      <c r="B191" s="223"/>
      <c r="C191" s="99" t="s">
        <v>7</v>
      </c>
      <c r="D191" s="58">
        <f t="shared" si="191"/>
        <v>0</v>
      </c>
      <c r="E191" s="58">
        <f t="shared" si="170"/>
        <v>0</v>
      </c>
      <c r="F191" s="58">
        <f t="shared" si="187"/>
        <v>0</v>
      </c>
      <c r="G191" s="20">
        <f t="shared" si="192"/>
        <v>579.83138083759695</v>
      </c>
      <c r="H191" s="20">
        <f t="shared" si="171"/>
        <v>3.8655425389173135</v>
      </c>
      <c r="I191" s="45"/>
      <c r="J191" s="11">
        <f t="shared" si="188"/>
        <v>8.5220346422182924</v>
      </c>
      <c r="K191" s="20">
        <f t="shared" si="189"/>
        <v>575.17488873429602</v>
      </c>
      <c r="L191" s="11">
        <f t="shared" si="193"/>
        <v>8.5220346422182924</v>
      </c>
      <c r="M191" s="45"/>
      <c r="N191" s="11">
        <f t="shared" si="190"/>
        <v>575.17488873429602</v>
      </c>
      <c r="O191" s="58"/>
      <c r="P191" s="46"/>
      <c r="Q191" s="46"/>
      <c r="R191" s="46"/>
      <c r="S191" s="46"/>
      <c r="T191" s="46"/>
      <c r="U191" s="46"/>
      <c r="V191" s="46"/>
      <c r="W191" s="46"/>
      <c r="X191" s="46"/>
      <c r="Y191" s="46"/>
      <c r="Z191" s="46"/>
      <c r="AA191" s="46"/>
      <c r="AB191" s="46"/>
      <c r="AC191" s="46"/>
      <c r="AD191" s="47"/>
    </row>
    <row r="192" spans="2:30" x14ac:dyDescent="0.3">
      <c r="B192" s="223"/>
      <c r="C192" s="99" t="s">
        <v>8</v>
      </c>
      <c r="D192" s="58">
        <f t="shared" si="191"/>
        <v>0</v>
      </c>
      <c r="E192" s="58">
        <f t="shared" si="170"/>
        <v>0</v>
      </c>
      <c r="F192" s="58">
        <f t="shared" si="187"/>
        <v>0</v>
      </c>
      <c r="G192" s="20">
        <f t="shared" si="192"/>
        <v>575.17488873429602</v>
      </c>
      <c r="H192" s="20">
        <f t="shared" si="171"/>
        <v>3.8344992582286399</v>
      </c>
      <c r="I192" s="45"/>
      <c r="J192" s="11">
        <f t="shared" si="188"/>
        <v>8.5369482028421739</v>
      </c>
      <c r="K192" s="20">
        <f t="shared" si="189"/>
        <v>570.47243978968254</v>
      </c>
      <c r="L192" s="11">
        <f t="shared" si="193"/>
        <v>8.5369482028421739</v>
      </c>
      <c r="M192" s="45"/>
      <c r="N192" s="11">
        <f t="shared" si="190"/>
        <v>570.47243978968254</v>
      </c>
      <c r="O192" s="58"/>
      <c r="P192" s="46"/>
      <c r="Q192" s="46"/>
      <c r="R192" s="46"/>
      <c r="S192" s="46"/>
      <c r="T192" s="46"/>
      <c r="U192" s="46"/>
      <c r="V192" s="46"/>
      <c r="W192" s="46"/>
      <c r="X192" s="46"/>
      <c r="Y192" s="46"/>
      <c r="Z192" s="46"/>
      <c r="AA192" s="46"/>
      <c r="AB192" s="46"/>
      <c r="AC192" s="46"/>
      <c r="AD192" s="47"/>
    </row>
    <row r="193" spans="2:30" x14ac:dyDescent="0.3">
      <c r="B193" s="223"/>
      <c r="C193" s="99" t="s">
        <v>9</v>
      </c>
      <c r="D193" s="58">
        <f t="shared" si="191"/>
        <v>0</v>
      </c>
      <c r="E193" s="58">
        <f t="shared" si="170"/>
        <v>0</v>
      </c>
      <c r="F193" s="58">
        <f t="shared" si="187"/>
        <v>0</v>
      </c>
      <c r="G193" s="20">
        <f t="shared" si="192"/>
        <v>570.47243978968254</v>
      </c>
      <c r="H193" s="20">
        <f t="shared" si="171"/>
        <v>3.8031495985978836</v>
      </c>
      <c r="I193" s="45"/>
      <c r="J193" s="11">
        <f t="shared" si="188"/>
        <v>8.5518878621971464</v>
      </c>
      <c r="K193" s="20">
        <f t="shared" si="189"/>
        <v>565.72370152608323</v>
      </c>
      <c r="L193" s="11">
        <f t="shared" si="193"/>
        <v>8.5518878621971464</v>
      </c>
      <c r="M193" s="45"/>
      <c r="N193" s="11">
        <f t="shared" si="190"/>
        <v>565.72370152608323</v>
      </c>
      <c r="O193" s="58"/>
      <c r="P193" s="46"/>
      <c r="Q193" s="46"/>
      <c r="R193" s="46"/>
      <c r="S193" s="46"/>
      <c r="T193" s="46"/>
      <c r="U193" s="46"/>
      <c r="V193" s="46"/>
      <c r="W193" s="46"/>
      <c r="X193" s="46"/>
      <c r="Y193" s="46"/>
      <c r="Z193" s="46"/>
      <c r="AA193" s="46"/>
      <c r="AB193" s="46"/>
      <c r="AC193" s="46"/>
      <c r="AD193" s="47"/>
    </row>
    <row r="194" spans="2:30" x14ac:dyDescent="0.3">
      <c r="B194" s="223"/>
      <c r="C194" s="99" t="s">
        <v>10</v>
      </c>
      <c r="D194" s="58">
        <f t="shared" si="191"/>
        <v>0</v>
      </c>
      <c r="E194" s="58">
        <f t="shared" si="170"/>
        <v>0</v>
      </c>
      <c r="F194" s="58">
        <f t="shared" si="187"/>
        <v>0</v>
      </c>
      <c r="G194" s="20">
        <f t="shared" si="192"/>
        <v>565.72370152608323</v>
      </c>
      <c r="H194" s="20">
        <f t="shared" si="171"/>
        <v>3.7714913435072215</v>
      </c>
      <c r="I194" s="45"/>
      <c r="J194" s="11">
        <f t="shared" si="188"/>
        <v>8.5668536659559908</v>
      </c>
      <c r="K194" s="20">
        <f t="shared" si="189"/>
        <v>560.92833920363444</v>
      </c>
      <c r="L194" s="11">
        <f t="shared" si="193"/>
        <v>8.5668536659559908</v>
      </c>
      <c r="M194" s="45"/>
      <c r="N194" s="11">
        <f t="shared" si="190"/>
        <v>560.92833920363444</v>
      </c>
      <c r="O194" s="58"/>
      <c r="P194" s="46"/>
      <c r="Q194" s="46"/>
      <c r="R194" s="46"/>
      <c r="S194" s="46"/>
      <c r="T194" s="46"/>
      <c r="U194" s="46"/>
      <c r="V194" s="46"/>
      <c r="W194" s="46"/>
      <c r="X194" s="46"/>
      <c r="Y194" s="46"/>
      <c r="Z194" s="46"/>
      <c r="AA194" s="46"/>
      <c r="AB194" s="46"/>
      <c r="AC194" s="46"/>
      <c r="AD194" s="47"/>
    </row>
    <row r="195" spans="2:30" x14ac:dyDescent="0.3">
      <c r="B195" s="223"/>
      <c r="C195" s="99" t="s">
        <v>11</v>
      </c>
      <c r="D195" s="58">
        <f t="shared" si="191"/>
        <v>0</v>
      </c>
      <c r="E195" s="58">
        <f t="shared" si="170"/>
        <v>0</v>
      </c>
      <c r="F195" s="58">
        <f t="shared" si="187"/>
        <v>0</v>
      </c>
      <c r="G195" s="20">
        <f t="shared" si="192"/>
        <v>560.92833920363444</v>
      </c>
      <c r="H195" s="20">
        <f t="shared" si="171"/>
        <v>3.7395222613575627</v>
      </c>
      <c r="I195" s="45"/>
      <c r="J195" s="11">
        <f t="shared" si="188"/>
        <v>8.5818456598714139</v>
      </c>
      <c r="K195" s="20">
        <f t="shared" si="189"/>
        <v>556.08601580512061</v>
      </c>
      <c r="L195" s="11">
        <f t="shared" si="193"/>
        <v>8.5818456598714139</v>
      </c>
      <c r="M195" s="45"/>
      <c r="N195" s="11">
        <f t="shared" si="190"/>
        <v>556.08601580512061</v>
      </c>
      <c r="O195" s="58"/>
      <c r="P195" s="46"/>
      <c r="Q195" s="46"/>
      <c r="R195" s="46"/>
      <c r="S195" s="46"/>
      <c r="T195" s="46"/>
      <c r="U195" s="46"/>
      <c r="V195" s="46"/>
      <c r="W195" s="46"/>
      <c r="X195" s="46"/>
      <c r="Y195" s="46"/>
      <c r="Z195" s="46"/>
      <c r="AA195" s="46"/>
      <c r="AB195" s="46"/>
      <c r="AC195" s="46"/>
      <c r="AD195" s="47"/>
    </row>
    <row r="196" spans="2:30" x14ac:dyDescent="0.3">
      <c r="B196" s="223"/>
      <c r="C196" s="99" t="s">
        <v>12</v>
      </c>
      <c r="D196" s="58">
        <f t="shared" si="191"/>
        <v>0</v>
      </c>
      <c r="E196" s="58">
        <f t="shared" si="170"/>
        <v>0</v>
      </c>
      <c r="F196" s="58">
        <f t="shared" si="187"/>
        <v>0</v>
      </c>
      <c r="G196" s="20">
        <f t="shared" si="192"/>
        <v>556.08601580512061</v>
      </c>
      <c r="H196" s="20">
        <f t="shared" si="171"/>
        <v>3.7072401053674704</v>
      </c>
      <c r="I196" s="45"/>
      <c r="J196" s="11">
        <f t="shared" si="188"/>
        <v>8.5968638897761878</v>
      </c>
      <c r="K196" s="20">
        <f t="shared" si="189"/>
        <v>551.19639202071187</v>
      </c>
      <c r="L196" s="11">
        <f t="shared" si="193"/>
        <v>8.5968638897761878</v>
      </c>
      <c r="M196" s="45"/>
      <c r="N196" s="11">
        <f t="shared" si="190"/>
        <v>551.19639202071187</v>
      </c>
      <c r="O196" s="58"/>
      <c r="P196" s="46"/>
      <c r="Q196" s="46"/>
      <c r="R196" s="46"/>
      <c r="S196" s="46"/>
      <c r="T196" s="46"/>
      <c r="U196" s="46"/>
      <c r="V196" s="46"/>
      <c r="W196" s="46"/>
      <c r="X196" s="46"/>
      <c r="Y196" s="46"/>
      <c r="Z196" s="46"/>
      <c r="AA196" s="46"/>
      <c r="AB196" s="46"/>
      <c r="AC196" s="46"/>
      <c r="AD196" s="47"/>
    </row>
    <row r="197" spans="2:30" ht="15" thickBot="1" x14ac:dyDescent="0.35">
      <c r="B197" s="224"/>
      <c r="C197" s="100" t="s">
        <v>13</v>
      </c>
      <c r="D197" s="66">
        <f>F196</f>
        <v>0</v>
      </c>
      <c r="E197" s="66">
        <f t="shared" si="170"/>
        <v>0</v>
      </c>
      <c r="F197" s="66">
        <f t="shared" si="187"/>
        <v>0</v>
      </c>
      <c r="G197" s="13">
        <f>K196</f>
        <v>551.19639202071187</v>
      </c>
      <c r="H197" s="13">
        <f t="shared" si="171"/>
        <v>3.6746426134714127</v>
      </c>
      <c r="I197" s="48"/>
      <c r="J197" s="16">
        <f t="shared" si="188"/>
        <v>8.6119084015832961</v>
      </c>
      <c r="K197" s="16">
        <f t="shared" si="189"/>
        <v>546.25912623260001</v>
      </c>
      <c r="L197" s="11">
        <f t="shared" si="193"/>
        <v>8.6119084015832961</v>
      </c>
      <c r="M197" s="48"/>
      <c r="N197" s="16">
        <f t="shared" si="190"/>
        <v>546.25912623260001</v>
      </c>
      <c r="O197" s="49">
        <f>SUM(H186:H197,J186:J197)</f>
        <v>191.73441156422595</v>
      </c>
      <c r="P197" s="50">
        <f t="shared" si="172"/>
        <v>29.501999999999999</v>
      </c>
      <c r="Q197" s="50">
        <f t="shared" ref="Q197" si="194">VLOOKUP(O197,$R$11:$S$17,1,TRUE)</f>
        <v>172.75</v>
      </c>
      <c r="R197" s="50">
        <f t="shared" ref="R197" si="195">O197-Q197</f>
        <v>18.984411564225951</v>
      </c>
      <c r="S197" s="51">
        <f t="shared" ref="S197" si="196">VLOOKUP(O197,$R$11:$U$17,4,TRUE)</f>
        <v>0.24</v>
      </c>
      <c r="T197" s="50">
        <f t="shared" ref="T197" si="197">R197*S197</f>
        <v>4.5562587754142276</v>
      </c>
      <c r="U197" s="50">
        <f t="shared" ref="U197" si="198">P197+T197</f>
        <v>34.058258775414224</v>
      </c>
      <c r="V197" s="50">
        <f t="shared" ref="V197" si="199">IF(AC197&gt;AD197,AD197,AC197)</f>
        <v>9.5867205782112972</v>
      </c>
      <c r="W197" s="56" t="str">
        <f t="shared" ref="W197" si="200">IF(AC197&gt;AD197,$V$15,$V$16)</f>
        <v>Massachussets</v>
      </c>
      <c r="X197" s="50">
        <f t="shared" ref="X197" si="201">VLOOKUP(O197,$X$11:$Z$19,3,TRUE)</f>
        <v>5.1631999999999998</v>
      </c>
      <c r="Y197" s="50">
        <f t="shared" ref="Y197" si="202">VLOOKUP(O197,$X$11:$Y$19,1,TRUE)</f>
        <v>117.268</v>
      </c>
      <c r="Z197" s="50">
        <f t="shared" ref="Z197" si="203">O197-Y197</f>
        <v>74.46641156422595</v>
      </c>
      <c r="AA197" s="51">
        <f t="shared" ref="AA197" si="204">VLOOKUP(O197,$X$11:$AA$19,4,TRUE)</f>
        <v>9.2999999999999999E-2</v>
      </c>
      <c r="AB197" s="50">
        <f t="shared" ref="AB197" si="205">Z197*AA197</f>
        <v>6.9253762754730133</v>
      </c>
      <c r="AC197" s="50">
        <f t="shared" ref="AC197" si="206">X197+AB197</f>
        <v>12.088576275473013</v>
      </c>
      <c r="AD197" s="52">
        <f t="shared" ref="AD197" si="207">O197*$AD$9</f>
        <v>9.5867205782112972</v>
      </c>
    </row>
    <row r="198" spans="2:30" s="4" customFormat="1" ht="15" thickBot="1" x14ac:dyDescent="0.35">
      <c r="B198" s="113"/>
      <c r="C198" s="122" t="s">
        <v>26</v>
      </c>
      <c r="D198" s="115"/>
      <c r="E198" s="115"/>
      <c r="F198" s="115"/>
      <c r="G198" s="115"/>
      <c r="H198" s="123">
        <f>SUM(H186:H197)</f>
        <v>47.014981089668595</v>
      </c>
      <c r="I198" s="116"/>
      <c r="J198" s="124">
        <f>SUM(J186:J197)</f>
        <v>144.71943047455733</v>
      </c>
      <c r="K198" s="116"/>
      <c r="L198" s="124">
        <f>SUM(L186:L197)</f>
        <v>102.35572239471296</v>
      </c>
      <c r="M198" s="116"/>
      <c r="N198" s="116"/>
      <c r="O198" s="117"/>
      <c r="P198" s="118"/>
      <c r="Q198" s="118"/>
      <c r="R198" s="118"/>
      <c r="S198" s="119"/>
      <c r="T198" s="118"/>
      <c r="U198" s="118"/>
      <c r="V198" s="118"/>
      <c r="W198" s="120"/>
      <c r="X198" s="118"/>
      <c r="Y198" s="118"/>
      <c r="Z198" s="118"/>
      <c r="AA198" s="119"/>
      <c r="AB198" s="118"/>
      <c r="AC198" s="118"/>
      <c r="AD198" s="121"/>
    </row>
    <row r="199" spans="2:30" s="4" customFormat="1" x14ac:dyDescent="0.3">
      <c r="B199" s="37"/>
      <c r="C199" s="25"/>
      <c r="D199" s="1"/>
      <c r="E199" s="1"/>
      <c r="F199" s="1"/>
      <c r="G199" s="1"/>
      <c r="H199" s="1"/>
      <c r="I199" s="9"/>
      <c r="J199" s="9"/>
      <c r="K199" s="1"/>
      <c r="L199" s="35"/>
      <c r="N199" s="35"/>
      <c r="O199" s="1"/>
    </row>
    <row r="200" spans="2:30" s="4" customFormat="1" ht="15" thickBot="1" x14ac:dyDescent="0.35">
      <c r="B200" s="37"/>
      <c r="C200" s="25"/>
      <c r="D200" s="233" t="s">
        <v>0</v>
      </c>
      <c r="E200" s="234"/>
      <c r="F200" s="235"/>
      <c r="G200" s="233" t="s">
        <v>28</v>
      </c>
      <c r="H200" s="234"/>
      <c r="I200" s="234"/>
      <c r="J200" s="234"/>
      <c r="K200" s="235"/>
      <c r="L200" s="137" t="s">
        <v>15</v>
      </c>
      <c r="M200" s="233" t="s">
        <v>55</v>
      </c>
      <c r="N200" s="235"/>
      <c r="O200" s="233" t="s">
        <v>19</v>
      </c>
      <c r="P200" s="234"/>
      <c r="Q200" s="234"/>
      <c r="R200" s="234"/>
      <c r="S200" s="234"/>
      <c r="T200" s="234"/>
      <c r="U200" s="234"/>
      <c r="V200" s="234"/>
      <c r="W200" s="234"/>
      <c r="X200" s="234"/>
      <c r="Y200" s="234"/>
      <c r="Z200" s="234"/>
      <c r="AA200" s="234"/>
      <c r="AB200" s="234"/>
      <c r="AC200" s="234"/>
      <c r="AD200" s="235"/>
    </row>
    <row r="201" spans="2:30" s="4" customFormat="1" ht="58.2" thickBot="1" x14ac:dyDescent="0.35">
      <c r="B201" s="228" t="s">
        <v>62</v>
      </c>
      <c r="C201" s="229"/>
      <c r="D201" s="53" t="s">
        <v>35</v>
      </c>
      <c r="E201" s="54" t="s">
        <v>41</v>
      </c>
      <c r="F201" s="54" t="s">
        <v>16</v>
      </c>
      <c r="G201" s="54" t="s">
        <v>36</v>
      </c>
      <c r="H201" s="54" t="s">
        <v>30</v>
      </c>
      <c r="I201" s="54" t="s">
        <v>54</v>
      </c>
      <c r="J201" s="54" t="s">
        <v>31</v>
      </c>
      <c r="K201" s="54" t="s">
        <v>37</v>
      </c>
      <c r="L201" s="54" t="s">
        <v>15</v>
      </c>
      <c r="M201" s="54" t="s">
        <v>14</v>
      </c>
      <c r="N201" s="54" t="s">
        <v>17</v>
      </c>
      <c r="O201" s="54" t="s">
        <v>18</v>
      </c>
      <c r="P201" s="54" t="s">
        <v>24</v>
      </c>
      <c r="Q201" s="54" t="s">
        <v>21</v>
      </c>
      <c r="R201" s="54" t="s">
        <v>25</v>
      </c>
      <c r="S201" s="54" t="s">
        <v>42</v>
      </c>
      <c r="T201" s="54" t="s">
        <v>43</v>
      </c>
      <c r="U201" s="54" t="s">
        <v>44</v>
      </c>
      <c r="V201" s="54" t="s">
        <v>47</v>
      </c>
      <c r="W201" s="54" t="s">
        <v>48</v>
      </c>
      <c r="X201" s="54" t="s">
        <v>24</v>
      </c>
      <c r="Y201" s="54" t="s">
        <v>21</v>
      </c>
      <c r="Z201" s="54" t="s">
        <v>25</v>
      </c>
      <c r="AA201" s="54" t="s">
        <v>42</v>
      </c>
      <c r="AB201" s="54" t="s">
        <v>43</v>
      </c>
      <c r="AC201" s="54" t="s">
        <v>46</v>
      </c>
      <c r="AD201" s="55" t="s">
        <v>49</v>
      </c>
    </row>
    <row r="202" spans="2:30" x14ac:dyDescent="0.3">
      <c r="B202" s="222">
        <v>2032</v>
      </c>
      <c r="C202" s="98" t="s">
        <v>2</v>
      </c>
      <c r="D202" s="57">
        <f>F197</f>
        <v>0</v>
      </c>
      <c r="E202" s="57">
        <f t="shared" si="170"/>
        <v>0</v>
      </c>
      <c r="F202" s="57">
        <f t="shared" ref="F202:F213" si="208">D202+E202</f>
        <v>0</v>
      </c>
      <c r="G202" s="17">
        <f>K197</f>
        <v>546.25912623260001</v>
      </c>
      <c r="H202" s="17">
        <f t="shared" si="171"/>
        <v>3.641727508217333</v>
      </c>
      <c r="I202" s="70">
        <f>K197/K7</f>
        <v>22.11575409848583</v>
      </c>
      <c r="J202" s="10">
        <f t="shared" ref="J202:J213" si="209">L202</f>
        <v>8.627696900319533</v>
      </c>
      <c r="K202" s="17">
        <f t="shared" ref="K202:K213" si="210">G202+H202-J202</f>
        <v>541.27315684049779</v>
      </c>
      <c r="L202" s="10">
        <f>L197*(1+$H$15/12)</f>
        <v>8.627696900319533</v>
      </c>
      <c r="M202" s="41"/>
      <c r="N202" s="10">
        <f t="shared" ref="N202:N213" si="211">F202+K202</f>
        <v>541.27315684049779</v>
      </c>
      <c r="O202" s="57"/>
      <c r="P202" s="42"/>
      <c r="Q202" s="42"/>
      <c r="R202" s="42"/>
      <c r="S202" s="42"/>
      <c r="T202" s="42"/>
      <c r="U202" s="42"/>
      <c r="V202" s="42"/>
      <c r="W202" s="42"/>
      <c r="X202" s="42"/>
      <c r="Y202" s="42"/>
      <c r="Z202" s="42"/>
      <c r="AA202" s="42"/>
      <c r="AB202" s="42"/>
      <c r="AC202" s="42"/>
      <c r="AD202" s="43"/>
    </row>
    <row r="203" spans="2:30" x14ac:dyDescent="0.3">
      <c r="B203" s="223"/>
      <c r="C203" s="99" t="s">
        <v>3</v>
      </c>
      <c r="D203" s="58">
        <f t="shared" ref="D203:D212" si="212">F202</f>
        <v>0</v>
      </c>
      <c r="E203" s="58">
        <f t="shared" si="170"/>
        <v>0</v>
      </c>
      <c r="F203" s="58">
        <f t="shared" si="208"/>
        <v>0</v>
      </c>
      <c r="G203" s="20">
        <f t="shared" ref="G203:G212" si="213">K202</f>
        <v>541.27315684049779</v>
      </c>
      <c r="H203" s="20">
        <f t="shared" si="171"/>
        <v>3.6084877122699854</v>
      </c>
      <c r="I203" s="45"/>
      <c r="J203" s="11">
        <f t="shared" si="209"/>
        <v>8.6435143446367864</v>
      </c>
      <c r="K203" s="20">
        <f t="shared" si="210"/>
        <v>536.238130208131</v>
      </c>
      <c r="L203" s="11">
        <f>L202*(1+$H$15/12)</f>
        <v>8.6435143446367864</v>
      </c>
      <c r="M203" s="45"/>
      <c r="N203" s="11">
        <f t="shared" si="211"/>
        <v>536.238130208131</v>
      </c>
      <c r="O203" s="58"/>
      <c r="P203" s="46"/>
      <c r="Q203" s="46"/>
      <c r="R203" s="46"/>
      <c r="S203" s="46"/>
      <c r="T203" s="46"/>
      <c r="U203" s="46"/>
      <c r="V203" s="46"/>
      <c r="W203" s="46"/>
      <c r="X203" s="46"/>
      <c r="Y203" s="46"/>
      <c r="Z203" s="46"/>
      <c r="AA203" s="46"/>
      <c r="AB203" s="46"/>
      <c r="AC203" s="46"/>
      <c r="AD203" s="47"/>
    </row>
    <row r="204" spans="2:30" x14ac:dyDescent="0.3">
      <c r="B204" s="223"/>
      <c r="C204" s="99" t="s">
        <v>4</v>
      </c>
      <c r="D204" s="58">
        <f t="shared" si="212"/>
        <v>0</v>
      </c>
      <c r="E204" s="58">
        <f t="shared" si="170"/>
        <v>0</v>
      </c>
      <c r="F204" s="58">
        <f t="shared" si="208"/>
        <v>0</v>
      </c>
      <c r="G204" s="20">
        <f t="shared" si="213"/>
        <v>536.238130208131</v>
      </c>
      <c r="H204" s="20">
        <f t="shared" si="171"/>
        <v>3.5749208680542068</v>
      </c>
      <c r="I204" s="45"/>
      <c r="J204" s="11">
        <f>L204+M204</f>
        <v>52.304340141227478</v>
      </c>
      <c r="K204" s="20">
        <f t="shared" si="210"/>
        <v>487.50871093495766</v>
      </c>
      <c r="L204" s="11">
        <f t="shared" ref="L204:L213" si="214">L203*(1+$H$15/12)</f>
        <v>8.6593607876019547</v>
      </c>
      <c r="M204" s="59">
        <f>U197+V197</f>
        <v>43.644979353625523</v>
      </c>
      <c r="N204" s="11">
        <f t="shared" si="211"/>
        <v>487.50871093495766</v>
      </c>
      <c r="O204" s="58"/>
      <c r="P204" s="46"/>
      <c r="Q204" s="46"/>
      <c r="R204" s="46"/>
      <c r="S204" s="46"/>
      <c r="T204" s="46"/>
      <c r="U204" s="46"/>
      <c r="V204" s="46"/>
      <c r="W204" s="46"/>
      <c r="X204" s="46"/>
      <c r="Y204" s="46"/>
      <c r="Z204" s="46"/>
      <c r="AA204" s="46"/>
      <c r="AB204" s="46"/>
      <c r="AC204" s="46"/>
      <c r="AD204" s="47"/>
    </row>
    <row r="205" spans="2:30" x14ac:dyDescent="0.3">
      <c r="B205" s="223"/>
      <c r="C205" s="99" t="s">
        <v>5</v>
      </c>
      <c r="D205" s="58">
        <f t="shared" si="212"/>
        <v>0</v>
      </c>
      <c r="E205" s="58">
        <f t="shared" si="170"/>
        <v>0</v>
      </c>
      <c r="F205" s="58">
        <f t="shared" si="208"/>
        <v>0</v>
      </c>
      <c r="G205" s="20">
        <f t="shared" si="213"/>
        <v>487.50871093495766</v>
      </c>
      <c r="H205" s="20">
        <f t="shared" si="171"/>
        <v>3.2500580728997179</v>
      </c>
      <c r="I205" s="45"/>
      <c r="J205" s="11">
        <f t="shared" si="209"/>
        <v>8.6752362823792257</v>
      </c>
      <c r="K205" s="20">
        <f t="shared" si="210"/>
        <v>482.08353272547816</v>
      </c>
      <c r="L205" s="11">
        <f t="shared" si="214"/>
        <v>8.6752362823792257</v>
      </c>
      <c r="M205" s="45"/>
      <c r="N205" s="11">
        <f t="shared" si="211"/>
        <v>482.08353272547816</v>
      </c>
      <c r="O205" s="58"/>
      <c r="P205" s="46"/>
      <c r="Q205" s="46"/>
      <c r="R205" s="46"/>
      <c r="S205" s="46"/>
      <c r="T205" s="46"/>
      <c r="U205" s="46"/>
      <c r="V205" s="46"/>
      <c r="W205" s="46"/>
      <c r="X205" s="46"/>
      <c r="Y205" s="46"/>
      <c r="Z205" s="46"/>
      <c r="AA205" s="46"/>
      <c r="AB205" s="46"/>
      <c r="AC205" s="46"/>
      <c r="AD205" s="47"/>
    </row>
    <row r="206" spans="2:30" x14ac:dyDescent="0.3">
      <c r="B206" s="223"/>
      <c r="C206" s="99" t="s">
        <v>6</v>
      </c>
      <c r="D206" s="58">
        <f t="shared" si="212"/>
        <v>0</v>
      </c>
      <c r="E206" s="58">
        <f t="shared" si="170"/>
        <v>0</v>
      </c>
      <c r="F206" s="58">
        <f t="shared" si="208"/>
        <v>0</v>
      </c>
      <c r="G206" s="20">
        <f t="shared" si="213"/>
        <v>482.08353272547816</v>
      </c>
      <c r="H206" s="20">
        <f t="shared" si="171"/>
        <v>3.2138902181698548</v>
      </c>
      <c r="I206" s="45"/>
      <c r="J206" s="11">
        <f t="shared" si="209"/>
        <v>8.6911408822302541</v>
      </c>
      <c r="K206" s="20">
        <f t="shared" si="210"/>
        <v>476.6062820614178</v>
      </c>
      <c r="L206" s="11">
        <f t="shared" si="214"/>
        <v>8.6911408822302541</v>
      </c>
      <c r="M206" s="45"/>
      <c r="N206" s="11">
        <f t="shared" si="211"/>
        <v>476.6062820614178</v>
      </c>
      <c r="O206" s="58"/>
      <c r="P206" s="46"/>
      <c r="Q206" s="46"/>
      <c r="R206" s="46"/>
      <c r="S206" s="46"/>
      <c r="T206" s="46"/>
      <c r="U206" s="46"/>
      <c r="V206" s="46"/>
      <c r="W206" s="46"/>
      <c r="X206" s="46"/>
      <c r="Y206" s="46"/>
      <c r="Z206" s="46"/>
      <c r="AA206" s="46"/>
      <c r="AB206" s="46"/>
      <c r="AC206" s="46"/>
      <c r="AD206" s="47"/>
    </row>
    <row r="207" spans="2:30" x14ac:dyDescent="0.3">
      <c r="B207" s="223"/>
      <c r="C207" s="99" t="s">
        <v>7</v>
      </c>
      <c r="D207" s="58">
        <f t="shared" si="212"/>
        <v>0</v>
      </c>
      <c r="E207" s="58">
        <f t="shared" si="170"/>
        <v>0</v>
      </c>
      <c r="F207" s="58">
        <f t="shared" si="208"/>
        <v>0</v>
      </c>
      <c r="G207" s="20">
        <f t="shared" si="213"/>
        <v>476.6062820614178</v>
      </c>
      <c r="H207" s="20">
        <f t="shared" si="171"/>
        <v>3.1773752137427853</v>
      </c>
      <c r="I207" s="45"/>
      <c r="J207" s="11">
        <f t="shared" si="209"/>
        <v>8.7070746405143424</v>
      </c>
      <c r="K207" s="20">
        <f t="shared" si="210"/>
        <v>471.07658263464623</v>
      </c>
      <c r="L207" s="11">
        <f t="shared" si="214"/>
        <v>8.7070746405143424</v>
      </c>
      <c r="M207" s="45"/>
      <c r="N207" s="11">
        <f t="shared" si="211"/>
        <v>471.07658263464623</v>
      </c>
      <c r="O207" s="58"/>
      <c r="P207" s="46"/>
      <c r="Q207" s="46"/>
      <c r="R207" s="46"/>
      <c r="S207" s="46"/>
      <c r="T207" s="46"/>
      <c r="U207" s="46"/>
      <c r="V207" s="46"/>
      <c r="W207" s="46"/>
      <c r="X207" s="46"/>
      <c r="Y207" s="46"/>
      <c r="Z207" s="46"/>
      <c r="AA207" s="46"/>
      <c r="AB207" s="46"/>
      <c r="AC207" s="46"/>
      <c r="AD207" s="47"/>
    </row>
    <row r="208" spans="2:30" x14ac:dyDescent="0.3">
      <c r="B208" s="223"/>
      <c r="C208" s="99" t="s">
        <v>8</v>
      </c>
      <c r="D208" s="58">
        <f t="shared" si="212"/>
        <v>0</v>
      </c>
      <c r="E208" s="58">
        <f t="shared" si="170"/>
        <v>0</v>
      </c>
      <c r="F208" s="58">
        <f t="shared" si="208"/>
        <v>0</v>
      </c>
      <c r="G208" s="20">
        <f t="shared" si="213"/>
        <v>471.07658263464623</v>
      </c>
      <c r="H208" s="20">
        <f t="shared" si="171"/>
        <v>3.1405105508976416</v>
      </c>
      <c r="I208" s="45"/>
      <c r="J208" s="11">
        <f t="shared" si="209"/>
        <v>8.7230376106886194</v>
      </c>
      <c r="K208" s="20">
        <f t="shared" si="210"/>
        <v>465.49405557485528</v>
      </c>
      <c r="L208" s="11">
        <f t="shared" si="214"/>
        <v>8.7230376106886194</v>
      </c>
      <c r="M208" s="45"/>
      <c r="N208" s="11">
        <f t="shared" si="211"/>
        <v>465.49405557485528</v>
      </c>
      <c r="O208" s="58"/>
      <c r="P208" s="46"/>
      <c r="Q208" s="46"/>
      <c r="R208" s="46"/>
      <c r="S208" s="46"/>
      <c r="T208" s="46"/>
      <c r="U208" s="46"/>
      <c r="V208" s="46"/>
      <c r="W208" s="46"/>
      <c r="X208" s="46"/>
      <c r="Y208" s="46"/>
      <c r="Z208" s="46"/>
      <c r="AA208" s="46"/>
      <c r="AB208" s="46"/>
      <c r="AC208" s="46"/>
      <c r="AD208" s="47"/>
    </row>
    <row r="209" spans="2:30" x14ac:dyDescent="0.3">
      <c r="B209" s="223"/>
      <c r="C209" s="99" t="s">
        <v>9</v>
      </c>
      <c r="D209" s="58">
        <f t="shared" si="212"/>
        <v>0</v>
      </c>
      <c r="E209" s="58">
        <f t="shared" si="170"/>
        <v>0</v>
      </c>
      <c r="F209" s="58">
        <f t="shared" si="208"/>
        <v>0</v>
      </c>
      <c r="G209" s="20">
        <f t="shared" si="213"/>
        <v>465.49405557485528</v>
      </c>
      <c r="H209" s="20">
        <f t="shared" si="171"/>
        <v>3.1032937038323687</v>
      </c>
      <c r="I209" s="45"/>
      <c r="J209" s="11">
        <f t="shared" si="209"/>
        <v>8.739029846308215</v>
      </c>
      <c r="K209" s="20">
        <f t="shared" si="210"/>
        <v>459.85831943237946</v>
      </c>
      <c r="L209" s="11">
        <f t="shared" si="214"/>
        <v>8.739029846308215</v>
      </c>
      <c r="M209" s="45"/>
      <c r="N209" s="11">
        <f t="shared" si="211"/>
        <v>459.85831943237946</v>
      </c>
      <c r="O209" s="58"/>
      <c r="P209" s="46"/>
      <c r="Q209" s="46"/>
      <c r="R209" s="46"/>
      <c r="S209" s="46"/>
      <c r="T209" s="46"/>
      <c r="U209" s="46"/>
      <c r="V209" s="46"/>
      <c r="W209" s="46"/>
      <c r="X209" s="46"/>
      <c r="Y209" s="46"/>
      <c r="Z209" s="46"/>
      <c r="AA209" s="46"/>
      <c r="AB209" s="46"/>
      <c r="AC209" s="46"/>
      <c r="AD209" s="47"/>
    </row>
    <row r="210" spans="2:30" x14ac:dyDescent="0.3">
      <c r="B210" s="223"/>
      <c r="C210" s="99" t="s">
        <v>10</v>
      </c>
      <c r="D210" s="58">
        <f t="shared" si="212"/>
        <v>0</v>
      </c>
      <c r="E210" s="58">
        <f t="shared" si="170"/>
        <v>0</v>
      </c>
      <c r="F210" s="58">
        <f t="shared" si="208"/>
        <v>0</v>
      </c>
      <c r="G210" s="20">
        <f t="shared" si="213"/>
        <v>459.85831943237946</v>
      </c>
      <c r="H210" s="20">
        <f t="shared" si="171"/>
        <v>3.0657221295491968</v>
      </c>
      <c r="I210" s="45"/>
      <c r="J210" s="11">
        <f t="shared" si="209"/>
        <v>8.7550514010264475</v>
      </c>
      <c r="K210" s="20">
        <f t="shared" si="210"/>
        <v>454.16899016090224</v>
      </c>
      <c r="L210" s="11">
        <f t="shared" si="214"/>
        <v>8.7550514010264475</v>
      </c>
      <c r="M210" s="45"/>
      <c r="N210" s="11">
        <f t="shared" si="211"/>
        <v>454.16899016090224</v>
      </c>
      <c r="O210" s="58"/>
      <c r="P210" s="46"/>
      <c r="Q210" s="46"/>
      <c r="R210" s="46"/>
      <c r="S210" s="46"/>
      <c r="T210" s="46"/>
      <c r="U210" s="46"/>
      <c r="V210" s="46"/>
      <c r="W210" s="46"/>
      <c r="X210" s="46"/>
      <c r="Y210" s="46"/>
      <c r="Z210" s="46"/>
      <c r="AA210" s="46"/>
      <c r="AB210" s="46"/>
      <c r="AC210" s="46"/>
      <c r="AD210" s="47"/>
    </row>
    <row r="211" spans="2:30" x14ac:dyDescent="0.3">
      <c r="B211" s="223"/>
      <c r="C211" s="99" t="s">
        <v>11</v>
      </c>
      <c r="D211" s="58">
        <f t="shared" si="212"/>
        <v>0</v>
      </c>
      <c r="E211" s="58">
        <f t="shared" si="170"/>
        <v>0</v>
      </c>
      <c r="F211" s="58">
        <f t="shared" si="208"/>
        <v>0</v>
      </c>
      <c r="G211" s="20">
        <f t="shared" si="213"/>
        <v>454.16899016090224</v>
      </c>
      <c r="H211" s="20">
        <f t="shared" si="171"/>
        <v>3.0277932677393484</v>
      </c>
      <c r="I211" s="45"/>
      <c r="J211" s="11">
        <f t="shared" si="209"/>
        <v>8.7711023285949956</v>
      </c>
      <c r="K211" s="20">
        <f t="shared" si="210"/>
        <v>448.42568110004657</v>
      </c>
      <c r="L211" s="11">
        <f t="shared" si="214"/>
        <v>8.7711023285949956</v>
      </c>
      <c r="M211" s="45"/>
      <c r="N211" s="11">
        <f t="shared" si="211"/>
        <v>448.42568110004657</v>
      </c>
      <c r="O211" s="58"/>
      <c r="P211" s="46"/>
      <c r="Q211" s="46"/>
      <c r="R211" s="46"/>
      <c r="S211" s="46"/>
      <c r="T211" s="46"/>
      <c r="U211" s="46"/>
      <c r="V211" s="46"/>
      <c r="W211" s="46"/>
      <c r="X211" s="46"/>
      <c r="Y211" s="46"/>
      <c r="Z211" s="46"/>
      <c r="AA211" s="46"/>
      <c r="AB211" s="46"/>
      <c r="AC211" s="46"/>
      <c r="AD211" s="47"/>
    </row>
    <row r="212" spans="2:30" x14ac:dyDescent="0.3">
      <c r="B212" s="223"/>
      <c r="C212" s="99" t="s">
        <v>12</v>
      </c>
      <c r="D212" s="58">
        <f t="shared" si="212"/>
        <v>0</v>
      </c>
      <c r="E212" s="58">
        <f t="shared" si="170"/>
        <v>0</v>
      </c>
      <c r="F212" s="58">
        <f t="shared" si="208"/>
        <v>0</v>
      </c>
      <c r="G212" s="20">
        <f t="shared" si="213"/>
        <v>448.42568110004657</v>
      </c>
      <c r="H212" s="20">
        <f t="shared" si="171"/>
        <v>2.9895045406669776</v>
      </c>
      <c r="I212" s="45"/>
      <c r="J212" s="11">
        <f t="shared" si="209"/>
        <v>8.7871826828640867</v>
      </c>
      <c r="K212" s="20">
        <f t="shared" si="210"/>
        <v>442.62800295784945</v>
      </c>
      <c r="L212" s="11">
        <f t="shared" si="214"/>
        <v>8.7871826828640867</v>
      </c>
      <c r="M212" s="45"/>
      <c r="N212" s="11">
        <f t="shared" si="211"/>
        <v>442.62800295784945</v>
      </c>
      <c r="O212" s="58"/>
      <c r="P212" s="46"/>
      <c r="Q212" s="46"/>
      <c r="R212" s="46"/>
      <c r="S212" s="46"/>
      <c r="T212" s="46"/>
      <c r="U212" s="46"/>
      <c r="V212" s="46"/>
      <c r="W212" s="46"/>
      <c r="X212" s="46"/>
      <c r="Y212" s="46"/>
      <c r="Z212" s="46"/>
      <c r="AA212" s="46"/>
      <c r="AB212" s="46"/>
      <c r="AC212" s="46"/>
      <c r="AD212" s="47"/>
    </row>
    <row r="213" spans="2:30" ht="15" thickBot="1" x14ac:dyDescent="0.35">
      <c r="B213" s="224"/>
      <c r="C213" s="100" t="s">
        <v>13</v>
      </c>
      <c r="D213" s="66">
        <f>F212</f>
        <v>0</v>
      </c>
      <c r="E213" s="66">
        <f t="shared" si="170"/>
        <v>0</v>
      </c>
      <c r="F213" s="66">
        <f t="shared" si="208"/>
        <v>0</v>
      </c>
      <c r="G213" s="13">
        <f>K212</f>
        <v>442.62800295784945</v>
      </c>
      <c r="H213" s="13">
        <f t="shared" si="171"/>
        <v>2.9508533530523295</v>
      </c>
      <c r="I213" s="48"/>
      <c r="J213" s="16">
        <f t="shared" si="209"/>
        <v>8.8032925177826709</v>
      </c>
      <c r="K213" s="13">
        <f t="shared" si="210"/>
        <v>436.77556379311909</v>
      </c>
      <c r="L213" s="11">
        <f t="shared" si="214"/>
        <v>8.8032925177826709</v>
      </c>
      <c r="M213" s="48"/>
      <c r="N213" s="16">
        <f t="shared" si="211"/>
        <v>436.77556379311909</v>
      </c>
      <c r="O213" s="49">
        <f>SUM(H202:H213,J202:J213)</f>
        <v>186.97183671766439</v>
      </c>
      <c r="P213" s="50">
        <f t="shared" si="172"/>
        <v>29.501999999999999</v>
      </c>
      <c r="Q213" s="50">
        <f t="shared" ref="Q213" si="215">VLOOKUP(O213,$R$11:$S$17,1,TRUE)</f>
        <v>172.75</v>
      </c>
      <c r="R213" s="50">
        <f t="shared" ref="R213" si="216">O213-Q213</f>
        <v>14.221836717664388</v>
      </c>
      <c r="S213" s="51">
        <f t="shared" ref="S213" si="217">VLOOKUP(O213,$R$11:$U$17,4,TRUE)</f>
        <v>0.24</v>
      </c>
      <c r="T213" s="50">
        <f t="shared" ref="T213" si="218">R213*S213</f>
        <v>3.4132408122394531</v>
      </c>
      <c r="U213" s="50">
        <f t="shared" ref="U213" si="219">P213+T213</f>
        <v>32.915240812239453</v>
      </c>
      <c r="V213" s="50">
        <f t="shared" ref="V213" si="220">IF(AC213&gt;AD213,AD213,AC213)</f>
        <v>9.3485918358832194</v>
      </c>
      <c r="W213" s="56" t="str">
        <f t="shared" ref="W213" si="221">IF(AC213&gt;AD213,$V$15,$V$16)</f>
        <v>Massachussets</v>
      </c>
      <c r="X213" s="50">
        <f t="shared" ref="X213" si="222">VLOOKUP(O213,$X$11:$Z$19,3,TRUE)</f>
        <v>5.1631999999999998</v>
      </c>
      <c r="Y213" s="50">
        <f t="shared" ref="Y213" si="223">VLOOKUP(O213,$X$11:$Y$19,1,TRUE)</f>
        <v>117.268</v>
      </c>
      <c r="Z213" s="50">
        <f t="shared" ref="Z213" si="224">O213-Y213</f>
        <v>69.703836717664387</v>
      </c>
      <c r="AA213" s="51">
        <f t="shared" ref="AA213" si="225">VLOOKUP(O213,$X$11:$AA$19,4,TRUE)</f>
        <v>9.2999999999999999E-2</v>
      </c>
      <c r="AB213" s="50">
        <f t="shared" ref="AB213" si="226">Z213*AA213</f>
        <v>6.4824568147427879</v>
      </c>
      <c r="AC213" s="50">
        <f t="shared" ref="AC213" si="227">X213+AB213</f>
        <v>11.645656814742788</v>
      </c>
      <c r="AD213" s="52">
        <f t="shared" ref="AD213" si="228">O213*$AD$9</f>
        <v>9.3485918358832194</v>
      </c>
    </row>
    <row r="214" spans="2:30" ht="15" thickBot="1" x14ac:dyDescent="0.35">
      <c r="C214" s="163" t="s">
        <v>26</v>
      </c>
      <c r="D214" s="71"/>
      <c r="E214" s="71"/>
      <c r="F214" s="71"/>
      <c r="G214" s="71"/>
      <c r="H214" s="123">
        <f>SUM(H202:H213)</f>
        <v>38.744137139091748</v>
      </c>
      <c r="I214" s="71"/>
      <c r="J214" s="123">
        <f>SUM(J202:J213)</f>
        <v>148.22769957857267</v>
      </c>
      <c r="K214" s="71"/>
      <c r="L214" s="123">
        <f>SUM(L202:L213)</f>
        <v>104.58272022494712</v>
      </c>
      <c r="M214" s="71"/>
      <c r="N214" s="71"/>
      <c r="O214" s="71"/>
      <c r="P214" s="71"/>
      <c r="Q214" s="71"/>
      <c r="R214" s="71"/>
      <c r="S214" s="71"/>
      <c r="T214" s="71"/>
      <c r="U214" s="71"/>
      <c r="V214" s="71"/>
      <c r="W214" s="71"/>
      <c r="X214" s="71"/>
      <c r="Y214" s="71"/>
      <c r="Z214" s="71"/>
      <c r="AA214" s="71"/>
      <c r="AB214" s="71"/>
      <c r="AC214" s="71"/>
      <c r="AD214" s="72"/>
    </row>
    <row r="215" spans="2:30" s="78" customFormat="1" ht="13.8" customHeight="1" x14ac:dyDescent="0.3">
      <c r="B215" s="113"/>
      <c r="C215" s="114"/>
      <c r="D215" s="81"/>
      <c r="E215" s="81"/>
      <c r="F215" s="81"/>
      <c r="G215" s="81"/>
      <c r="H215" s="81"/>
      <c r="I215" s="82"/>
      <c r="J215" s="82"/>
      <c r="K215" s="81"/>
      <c r="L215" s="82"/>
      <c r="M215" s="82"/>
      <c r="N215" s="82"/>
      <c r="O215" s="83"/>
      <c r="P215" s="84"/>
      <c r="Q215" s="84"/>
      <c r="R215" s="84"/>
      <c r="S215" s="85"/>
      <c r="T215" s="84"/>
      <c r="U215" s="84"/>
      <c r="V215" s="84"/>
      <c r="W215" s="86"/>
      <c r="X215" s="84"/>
      <c r="Y215" s="84"/>
      <c r="Z215" s="84"/>
      <c r="AA215" s="85"/>
      <c r="AB215" s="84"/>
      <c r="AC215" s="84"/>
      <c r="AD215" s="84"/>
    </row>
    <row r="216" spans="2:30" s="4" customFormat="1" ht="15" thickBot="1" x14ac:dyDescent="0.35">
      <c r="B216" s="79"/>
      <c r="C216" s="44"/>
      <c r="D216" s="233" t="s">
        <v>0</v>
      </c>
      <c r="E216" s="234"/>
      <c r="F216" s="235"/>
      <c r="G216" s="233" t="s">
        <v>28</v>
      </c>
      <c r="H216" s="234"/>
      <c r="I216" s="234"/>
      <c r="J216" s="234"/>
      <c r="K216" s="235"/>
      <c r="L216" s="137" t="s">
        <v>15</v>
      </c>
      <c r="M216" s="233" t="s">
        <v>55</v>
      </c>
      <c r="N216" s="235"/>
      <c r="O216" s="233" t="s">
        <v>19</v>
      </c>
      <c r="P216" s="234"/>
      <c r="Q216" s="234"/>
      <c r="R216" s="234"/>
      <c r="S216" s="234"/>
      <c r="T216" s="234"/>
      <c r="U216" s="234"/>
      <c r="V216" s="234"/>
      <c r="W216" s="234"/>
      <c r="X216" s="234"/>
      <c r="Y216" s="234"/>
      <c r="Z216" s="234"/>
      <c r="AA216" s="234"/>
      <c r="AB216" s="234"/>
      <c r="AC216" s="234"/>
      <c r="AD216" s="235"/>
    </row>
    <row r="217" spans="2:30" s="4" customFormat="1" ht="58.2" thickBot="1" x14ac:dyDescent="0.35">
      <c r="B217" s="228" t="s">
        <v>62</v>
      </c>
      <c r="C217" s="229"/>
      <c r="D217" s="53" t="s">
        <v>35</v>
      </c>
      <c r="E217" s="54" t="s">
        <v>41</v>
      </c>
      <c r="F217" s="54" t="s">
        <v>16</v>
      </c>
      <c r="G217" s="54" t="s">
        <v>36</v>
      </c>
      <c r="H217" s="54" t="s">
        <v>30</v>
      </c>
      <c r="I217" s="54" t="s">
        <v>54</v>
      </c>
      <c r="J217" s="54" t="s">
        <v>31</v>
      </c>
      <c r="K217" s="54" t="s">
        <v>37</v>
      </c>
      <c r="L217" s="54" t="s">
        <v>15</v>
      </c>
      <c r="M217" s="54" t="s">
        <v>14</v>
      </c>
      <c r="N217" s="54" t="s">
        <v>17</v>
      </c>
      <c r="O217" s="54" t="s">
        <v>18</v>
      </c>
      <c r="P217" s="54" t="s">
        <v>24</v>
      </c>
      <c r="Q217" s="54" t="s">
        <v>21</v>
      </c>
      <c r="R217" s="54" t="s">
        <v>25</v>
      </c>
      <c r="S217" s="54" t="s">
        <v>42</v>
      </c>
      <c r="T217" s="54" t="s">
        <v>43</v>
      </c>
      <c r="U217" s="54" t="s">
        <v>44</v>
      </c>
      <c r="V217" s="54" t="s">
        <v>47</v>
      </c>
      <c r="W217" s="54" t="s">
        <v>48</v>
      </c>
      <c r="X217" s="54" t="s">
        <v>24</v>
      </c>
      <c r="Y217" s="54" t="s">
        <v>21</v>
      </c>
      <c r="Z217" s="54" t="s">
        <v>25</v>
      </c>
      <c r="AA217" s="54" t="s">
        <v>42</v>
      </c>
      <c r="AB217" s="54" t="s">
        <v>43</v>
      </c>
      <c r="AC217" s="54" t="s">
        <v>46</v>
      </c>
      <c r="AD217" s="55" t="s">
        <v>49</v>
      </c>
    </row>
    <row r="218" spans="2:30" x14ac:dyDescent="0.3">
      <c r="B218" s="222">
        <v>2033</v>
      </c>
      <c r="C218" s="98" t="s">
        <v>2</v>
      </c>
      <c r="D218" s="57">
        <f>F213</f>
        <v>0</v>
      </c>
      <c r="E218" s="57">
        <f t="shared" si="170"/>
        <v>0</v>
      </c>
      <c r="F218" s="57">
        <f t="shared" ref="F218:F229" si="229">D218+E218</f>
        <v>0</v>
      </c>
      <c r="G218" s="17">
        <f>K213</f>
        <v>436.77556379311909</v>
      </c>
      <c r="H218" s="17">
        <f t="shared" si="171"/>
        <v>2.9118370919541277</v>
      </c>
      <c r="I218" s="70">
        <f>K213/K8</f>
        <v>18.351914445089037</v>
      </c>
      <c r="J218" s="10">
        <f t="shared" ref="J218:J229" si="230">L218</f>
        <v>8.819431887398606</v>
      </c>
      <c r="K218" s="17">
        <f t="shared" ref="K218:K229" si="231">G218+H218-J218</f>
        <v>430.86796899767461</v>
      </c>
      <c r="L218" s="10">
        <f>L213*(1+$H$16/12)</f>
        <v>8.819431887398606</v>
      </c>
      <c r="M218" s="41"/>
      <c r="N218" s="10">
        <f t="shared" ref="N218:N229" si="232">F218+K218</f>
        <v>430.86796899767461</v>
      </c>
      <c r="O218" s="57"/>
      <c r="P218" s="42"/>
      <c r="Q218" s="42"/>
      <c r="R218" s="42"/>
      <c r="S218" s="42"/>
      <c r="T218" s="42"/>
      <c r="U218" s="42"/>
      <c r="V218" s="42"/>
      <c r="W218" s="42"/>
      <c r="X218" s="42"/>
      <c r="Y218" s="42"/>
      <c r="Z218" s="42"/>
      <c r="AA218" s="42"/>
      <c r="AB218" s="42"/>
      <c r="AC218" s="42"/>
      <c r="AD218" s="43"/>
    </row>
    <row r="219" spans="2:30" x14ac:dyDescent="0.3">
      <c r="B219" s="223"/>
      <c r="C219" s="99" t="s">
        <v>3</v>
      </c>
      <c r="D219" s="58">
        <f t="shared" ref="D219:D229" si="233">F218</f>
        <v>0</v>
      </c>
      <c r="E219" s="58">
        <f t="shared" si="170"/>
        <v>0</v>
      </c>
      <c r="F219" s="58">
        <f t="shared" si="229"/>
        <v>0</v>
      </c>
      <c r="G219" s="20">
        <f t="shared" ref="G219:G229" si="234">K218</f>
        <v>430.86796899767461</v>
      </c>
      <c r="H219" s="20">
        <f t="shared" si="171"/>
        <v>2.8724531266511644</v>
      </c>
      <c r="I219" s="45"/>
      <c r="J219" s="11">
        <f t="shared" si="230"/>
        <v>8.8356008458588366</v>
      </c>
      <c r="K219" s="20">
        <f t="shared" si="231"/>
        <v>424.90482127846695</v>
      </c>
      <c r="L219" s="11">
        <f>L218*(1+$H$16/12)</f>
        <v>8.8356008458588366</v>
      </c>
      <c r="M219" s="45"/>
      <c r="N219" s="11">
        <f t="shared" si="232"/>
        <v>424.90482127846695</v>
      </c>
      <c r="O219" s="58"/>
      <c r="P219" s="46"/>
      <c r="Q219" s="46"/>
      <c r="R219" s="46"/>
      <c r="S219" s="46"/>
      <c r="T219" s="46"/>
      <c r="U219" s="46"/>
      <c r="V219" s="46"/>
      <c r="W219" s="46"/>
      <c r="X219" s="46"/>
      <c r="Y219" s="46"/>
      <c r="Z219" s="46"/>
      <c r="AA219" s="46"/>
      <c r="AB219" s="46"/>
      <c r="AC219" s="46"/>
      <c r="AD219" s="47"/>
    </row>
    <row r="220" spans="2:30" x14ac:dyDescent="0.3">
      <c r="B220" s="223"/>
      <c r="C220" s="99" t="s">
        <v>4</v>
      </c>
      <c r="D220" s="58">
        <f t="shared" si="233"/>
        <v>0</v>
      </c>
      <c r="E220" s="58">
        <f t="shared" si="170"/>
        <v>0</v>
      </c>
      <c r="F220" s="58">
        <f t="shared" si="229"/>
        <v>0</v>
      </c>
      <c r="G220" s="20">
        <f t="shared" si="234"/>
        <v>424.90482127846695</v>
      </c>
      <c r="H220" s="20">
        <f t="shared" si="171"/>
        <v>2.8326988085231135</v>
      </c>
      <c r="I220" s="45"/>
      <c r="J220" s="11">
        <f>L220+M220</f>
        <v>51.115632095532249</v>
      </c>
      <c r="K220" s="20">
        <f t="shared" si="231"/>
        <v>376.62188799145781</v>
      </c>
      <c r="L220" s="11">
        <f t="shared" ref="L220:L229" si="235">L219*(1+$H$16/12)</f>
        <v>8.8517994474095776</v>
      </c>
      <c r="M220" s="59">
        <f>U213+V213</f>
        <v>42.263832648122673</v>
      </c>
      <c r="N220" s="11">
        <f t="shared" si="232"/>
        <v>376.62188799145781</v>
      </c>
      <c r="O220" s="58"/>
      <c r="P220" s="46"/>
      <c r="Q220" s="46"/>
      <c r="R220" s="46"/>
      <c r="S220" s="46"/>
      <c r="T220" s="46"/>
      <c r="U220" s="46"/>
      <c r="V220" s="46"/>
      <c r="W220" s="46"/>
      <c r="X220" s="46"/>
      <c r="Y220" s="46"/>
      <c r="Z220" s="46"/>
      <c r="AA220" s="46"/>
      <c r="AB220" s="46"/>
      <c r="AC220" s="46"/>
      <c r="AD220" s="47"/>
    </row>
    <row r="221" spans="2:30" x14ac:dyDescent="0.3">
      <c r="B221" s="223"/>
      <c r="C221" s="99" t="s">
        <v>5</v>
      </c>
      <c r="D221" s="58">
        <f t="shared" si="233"/>
        <v>0</v>
      </c>
      <c r="E221" s="58">
        <f t="shared" si="170"/>
        <v>0</v>
      </c>
      <c r="F221" s="58">
        <f t="shared" si="229"/>
        <v>0</v>
      </c>
      <c r="G221" s="20">
        <f t="shared" si="234"/>
        <v>376.62188799145781</v>
      </c>
      <c r="H221" s="20">
        <f t="shared" si="171"/>
        <v>2.5108125866097191</v>
      </c>
      <c r="I221" s="45"/>
      <c r="J221" s="11">
        <f t="shared" si="230"/>
        <v>8.8680277463964945</v>
      </c>
      <c r="K221" s="20">
        <f t="shared" si="231"/>
        <v>370.26467283167108</v>
      </c>
      <c r="L221" s="11">
        <f t="shared" si="235"/>
        <v>8.8680277463964945</v>
      </c>
      <c r="M221" s="45"/>
      <c r="N221" s="11">
        <f t="shared" si="232"/>
        <v>370.26467283167108</v>
      </c>
      <c r="O221" s="58"/>
      <c r="P221" s="46"/>
      <c r="Q221" s="46"/>
      <c r="R221" s="46"/>
      <c r="S221" s="46"/>
      <c r="T221" s="46"/>
      <c r="U221" s="46"/>
      <c r="V221" s="46"/>
      <c r="W221" s="46"/>
      <c r="X221" s="46"/>
      <c r="Y221" s="46"/>
      <c r="Z221" s="46"/>
      <c r="AA221" s="46"/>
      <c r="AB221" s="46"/>
      <c r="AC221" s="46"/>
      <c r="AD221" s="47"/>
    </row>
    <row r="222" spans="2:30" x14ac:dyDescent="0.3">
      <c r="B222" s="223"/>
      <c r="C222" s="99" t="s">
        <v>6</v>
      </c>
      <c r="D222" s="58">
        <f t="shared" si="233"/>
        <v>0</v>
      </c>
      <c r="E222" s="58">
        <f t="shared" si="170"/>
        <v>0</v>
      </c>
      <c r="F222" s="58">
        <f t="shared" si="229"/>
        <v>0</v>
      </c>
      <c r="G222" s="20">
        <f t="shared" si="234"/>
        <v>370.26467283167108</v>
      </c>
      <c r="H222" s="20">
        <f t="shared" si="171"/>
        <v>2.4684311522111408</v>
      </c>
      <c r="I222" s="45"/>
      <c r="J222" s="11">
        <f t="shared" si="230"/>
        <v>8.884285797264889</v>
      </c>
      <c r="K222" s="20">
        <f t="shared" si="231"/>
        <v>363.84881818661734</v>
      </c>
      <c r="L222" s="11">
        <f t="shared" si="235"/>
        <v>8.884285797264889</v>
      </c>
      <c r="M222" s="45"/>
      <c r="N222" s="11">
        <f t="shared" si="232"/>
        <v>363.84881818661734</v>
      </c>
      <c r="O222" s="58"/>
      <c r="P222" s="46"/>
      <c r="Q222" s="46"/>
      <c r="R222" s="46"/>
      <c r="S222" s="46"/>
      <c r="T222" s="46"/>
      <c r="U222" s="46"/>
      <c r="V222" s="46"/>
      <c r="W222" s="46"/>
      <c r="X222" s="46"/>
      <c r="Y222" s="46"/>
      <c r="Z222" s="46"/>
      <c r="AA222" s="46"/>
      <c r="AB222" s="46"/>
      <c r="AC222" s="46"/>
      <c r="AD222" s="47"/>
    </row>
    <row r="223" spans="2:30" x14ac:dyDescent="0.3">
      <c r="B223" s="223"/>
      <c r="C223" s="99" t="s">
        <v>7</v>
      </c>
      <c r="D223" s="58">
        <f t="shared" si="233"/>
        <v>0</v>
      </c>
      <c r="E223" s="58">
        <f t="shared" si="170"/>
        <v>0</v>
      </c>
      <c r="F223" s="58">
        <f t="shared" si="229"/>
        <v>0</v>
      </c>
      <c r="G223" s="20">
        <f t="shared" si="234"/>
        <v>363.84881818661734</v>
      </c>
      <c r="H223" s="20">
        <f t="shared" si="171"/>
        <v>2.4256587879107823</v>
      </c>
      <c r="I223" s="45"/>
      <c r="J223" s="11">
        <f t="shared" si="230"/>
        <v>8.9005736545598744</v>
      </c>
      <c r="K223" s="20">
        <f t="shared" si="231"/>
        <v>357.37390331996824</v>
      </c>
      <c r="L223" s="11">
        <f t="shared" si="235"/>
        <v>8.9005736545598744</v>
      </c>
      <c r="M223" s="45"/>
      <c r="N223" s="11">
        <f t="shared" si="232"/>
        <v>357.37390331996824</v>
      </c>
      <c r="O223" s="58"/>
      <c r="P223" s="46"/>
      <c r="Q223" s="46"/>
      <c r="R223" s="46"/>
      <c r="S223" s="46"/>
      <c r="T223" s="46"/>
      <c r="U223" s="46"/>
      <c r="V223" s="46"/>
      <c r="W223" s="46"/>
      <c r="X223" s="46"/>
      <c r="Y223" s="46"/>
      <c r="Z223" s="46"/>
      <c r="AA223" s="46"/>
      <c r="AB223" s="46"/>
      <c r="AC223" s="46"/>
      <c r="AD223" s="47"/>
    </row>
    <row r="224" spans="2:30" x14ac:dyDescent="0.3">
      <c r="B224" s="223"/>
      <c r="C224" s="99" t="s">
        <v>8</v>
      </c>
      <c r="D224" s="58">
        <f t="shared" si="233"/>
        <v>0</v>
      </c>
      <c r="E224" s="58">
        <f t="shared" si="170"/>
        <v>0</v>
      </c>
      <c r="F224" s="58">
        <f t="shared" si="229"/>
        <v>0</v>
      </c>
      <c r="G224" s="20">
        <f t="shared" si="234"/>
        <v>357.37390331996824</v>
      </c>
      <c r="H224" s="20">
        <f t="shared" si="171"/>
        <v>2.3824926887997884</v>
      </c>
      <c r="I224" s="45"/>
      <c r="J224" s="11">
        <f t="shared" si="230"/>
        <v>8.9168913729265675</v>
      </c>
      <c r="K224" s="20">
        <f t="shared" si="231"/>
        <v>350.83950463584148</v>
      </c>
      <c r="L224" s="11">
        <f t="shared" si="235"/>
        <v>8.9168913729265675</v>
      </c>
      <c r="M224" s="45"/>
      <c r="N224" s="11">
        <f t="shared" si="232"/>
        <v>350.83950463584148</v>
      </c>
      <c r="O224" s="58"/>
      <c r="P224" s="46"/>
      <c r="Q224" s="46"/>
      <c r="R224" s="46"/>
      <c r="S224" s="46"/>
      <c r="T224" s="46"/>
      <c r="U224" s="46"/>
      <c r="V224" s="46"/>
      <c r="W224" s="46"/>
      <c r="X224" s="46"/>
      <c r="Y224" s="46"/>
      <c r="Z224" s="46"/>
      <c r="AA224" s="46"/>
      <c r="AB224" s="46"/>
      <c r="AC224" s="46"/>
      <c r="AD224" s="47"/>
    </row>
    <row r="225" spans="2:30" x14ac:dyDescent="0.3">
      <c r="B225" s="223"/>
      <c r="C225" s="99" t="s">
        <v>9</v>
      </c>
      <c r="D225" s="58">
        <f t="shared" si="233"/>
        <v>0</v>
      </c>
      <c r="E225" s="58">
        <f t="shared" si="170"/>
        <v>0</v>
      </c>
      <c r="F225" s="58">
        <f t="shared" si="229"/>
        <v>0</v>
      </c>
      <c r="G225" s="20">
        <f t="shared" si="234"/>
        <v>350.83950463584148</v>
      </c>
      <c r="H225" s="20">
        <f t="shared" si="171"/>
        <v>2.33893003090561</v>
      </c>
      <c r="I225" s="45"/>
      <c r="J225" s="11">
        <f t="shared" si="230"/>
        <v>8.9332390071102665</v>
      </c>
      <c r="K225" s="20">
        <f t="shared" si="231"/>
        <v>344.24519565963681</v>
      </c>
      <c r="L225" s="11">
        <f t="shared" si="235"/>
        <v>8.9332390071102665</v>
      </c>
      <c r="M225" s="45"/>
      <c r="N225" s="11">
        <f t="shared" si="232"/>
        <v>344.24519565963681</v>
      </c>
      <c r="O225" s="58"/>
      <c r="P225" s="46"/>
      <c r="Q225" s="46"/>
      <c r="R225" s="46"/>
      <c r="S225" s="46"/>
      <c r="T225" s="46"/>
      <c r="U225" s="46"/>
      <c r="V225" s="46"/>
      <c r="W225" s="46"/>
      <c r="X225" s="46"/>
      <c r="Y225" s="46"/>
      <c r="Z225" s="46"/>
      <c r="AA225" s="46"/>
      <c r="AB225" s="46"/>
      <c r="AC225" s="46"/>
      <c r="AD225" s="47"/>
    </row>
    <row r="226" spans="2:30" x14ac:dyDescent="0.3">
      <c r="B226" s="223"/>
      <c r="C226" s="99" t="s">
        <v>10</v>
      </c>
      <c r="D226" s="58">
        <f t="shared" si="233"/>
        <v>0</v>
      </c>
      <c r="E226" s="58">
        <f t="shared" si="170"/>
        <v>0</v>
      </c>
      <c r="F226" s="58">
        <f t="shared" si="229"/>
        <v>0</v>
      </c>
      <c r="G226" s="20">
        <f t="shared" si="234"/>
        <v>344.24519565963681</v>
      </c>
      <c r="H226" s="20">
        <f t="shared" si="171"/>
        <v>2.2949679710642452</v>
      </c>
      <c r="I226" s="45"/>
      <c r="J226" s="11">
        <f t="shared" si="230"/>
        <v>8.9496166119566354</v>
      </c>
      <c r="K226" s="20">
        <f t="shared" si="231"/>
        <v>337.59054701874442</v>
      </c>
      <c r="L226" s="11">
        <f t="shared" si="235"/>
        <v>8.9496166119566354</v>
      </c>
      <c r="M226" s="45"/>
      <c r="N226" s="11">
        <f t="shared" si="232"/>
        <v>337.59054701874442</v>
      </c>
      <c r="O226" s="58"/>
      <c r="P226" s="46"/>
      <c r="Q226" s="46"/>
      <c r="R226" s="46"/>
      <c r="S226" s="46"/>
      <c r="T226" s="46"/>
      <c r="U226" s="46"/>
      <c r="V226" s="46"/>
      <c r="W226" s="46"/>
      <c r="X226" s="46"/>
      <c r="Y226" s="46"/>
      <c r="Z226" s="46"/>
      <c r="AA226" s="46"/>
      <c r="AB226" s="46"/>
      <c r="AC226" s="46"/>
      <c r="AD226" s="47"/>
    </row>
    <row r="227" spans="2:30" x14ac:dyDescent="0.3">
      <c r="B227" s="223"/>
      <c r="C227" s="99" t="s">
        <v>11</v>
      </c>
      <c r="D227" s="58">
        <f t="shared" si="233"/>
        <v>0</v>
      </c>
      <c r="E227" s="58">
        <f t="shared" si="170"/>
        <v>0</v>
      </c>
      <c r="F227" s="58">
        <f t="shared" si="229"/>
        <v>0</v>
      </c>
      <c r="G227" s="20">
        <f t="shared" si="234"/>
        <v>337.59054701874442</v>
      </c>
      <c r="H227" s="20">
        <f t="shared" si="171"/>
        <v>2.2506036467916295</v>
      </c>
      <c r="I227" s="45"/>
      <c r="J227" s="11">
        <f t="shared" si="230"/>
        <v>8.9660242424118888</v>
      </c>
      <c r="K227" s="20">
        <f t="shared" si="231"/>
        <v>330.87512642312413</v>
      </c>
      <c r="L227" s="11">
        <f t="shared" si="235"/>
        <v>8.9660242424118888</v>
      </c>
      <c r="M227" s="45"/>
      <c r="N227" s="11">
        <f t="shared" si="232"/>
        <v>330.87512642312413</v>
      </c>
      <c r="O227" s="58"/>
      <c r="P227" s="46"/>
      <c r="Q227" s="46"/>
      <c r="R227" s="46"/>
      <c r="S227" s="46"/>
      <c r="T227" s="46"/>
      <c r="U227" s="46"/>
      <c r="V227" s="46"/>
      <c r="W227" s="46"/>
      <c r="X227" s="46"/>
      <c r="Y227" s="46"/>
      <c r="Z227" s="46"/>
      <c r="AA227" s="46"/>
      <c r="AB227" s="46"/>
      <c r="AC227" s="46"/>
      <c r="AD227" s="47"/>
    </row>
    <row r="228" spans="2:30" x14ac:dyDescent="0.3">
      <c r="B228" s="223"/>
      <c r="C228" s="99" t="s">
        <v>12</v>
      </c>
      <c r="D228" s="58">
        <f t="shared" si="233"/>
        <v>0</v>
      </c>
      <c r="E228" s="58">
        <f t="shared" si="170"/>
        <v>0</v>
      </c>
      <c r="F228" s="58">
        <f t="shared" si="229"/>
        <v>0</v>
      </c>
      <c r="G228" s="20">
        <f t="shared" si="234"/>
        <v>330.87512642312413</v>
      </c>
      <c r="H228" s="20">
        <f t="shared" si="171"/>
        <v>2.2058341761541609</v>
      </c>
      <c r="I228" s="45"/>
      <c r="J228" s="11">
        <f t="shared" si="230"/>
        <v>8.9824619535229768</v>
      </c>
      <c r="K228" s="20">
        <f t="shared" si="231"/>
        <v>324.09849864575528</v>
      </c>
      <c r="L228" s="11">
        <f t="shared" si="235"/>
        <v>8.9824619535229768</v>
      </c>
      <c r="M228" s="45"/>
      <c r="N228" s="11">
        <f t="shared" si="232"/>
        <v>324.09849864575528</v>
      </c>
      <c r="O228" s="58"/>
      <c r="P228" s="46"/>
      <c r="Q228" s="46"/>
      <c r="R228" s="46"/>
      <c r="S228" s="46"/>
      <c r="T228" s="46"/>
      <c r="U228" s="46"/>
      <c r="V228" s="46"/>
      <c r="W228" s="46"/>
      <c r="X228" s="46"/>
      <c r="Y228" s="46"/>
      <c r="Z228" s="46"/>
      <c r="AA228" s="46"/>
      <c r="AB228" s="46"/>
      <c r="AC228" s="46"/>
      <c r="AD228" s="47"/>
    </row>
    <row r="229" spans="2:30" ht="15" thickBot="1" x14ac:dyDescent="0.35">
      <c r="B229" s="224"/>
      <c r="C229" s="100" t="s">
        <v>13</v>
      </c>
      <c r="D229" s="66">
        <f t="shared" si="233"/>
        <v>0</v>
      </c>
      <c r="E229" s="66">
        <f t="shared" si="170"/>
        <v>0</v>
      </c>
      <c r="F229" s="66">
        <f t="shared" si="229"/>
        <v>0</v>
      </c>
      <c r="G229" s="13">
        <f t="shared" si="234"/>
        <v>324.09849864575528</v>
      </c>
      <c r="H229" s="13">
        <f t="shared" si="171"/>
        <v>2.1606566576383686</v>
      </c>
      <c r="I229" s="48"/>
      <c r="J229" s="16">
        <f t="shared" si="230"/>
        <v>8.9989298004377698</v>
      </c>
      <c r="K229" s="13">
        <f t="shared" si="231"/>
        <v>317.26022550295585</v>
      </c>
      <c r="L229" s="11">
        <f t="shared" si="235"/>
        <v>8.9989298004377698</v>
      </c>
      <c r="M229" s="48"/>
      <c r="N229" s="16">
        <f t="shared" si="232"/>
        <v>317.26022550295585</v>
      </c>
      <c r="O229" s="49">
        <f>SUM(H218:H229,J218:J229)</f>
        <v>178.8260917405909</v>
      </c>
      <c r="P229" s="50">
        <f t="shared" si="172"/>
        <v>29.501999999999999</v>
      </c>
      <c r="Q229" s="50">
        <f t="shared" ref="Q229" si="236">VLOOKUP(O229,$R$11:$S$17,1,TRUE)</f>
        <v>172.75</v>
      </c>
      <c r="R229" s="50">
        <f t="shared" ref="R229" si="237">O229-Q229</f>
        <v>6.076091740590897</v>
      </c>
      <c r="S229" s="51">
        <f t="shared" ref="S229" si="238">VLOOKUP(O229,$R$11:$U$17,4,TRUE)</f>
        <v>0.24</v>
      </c>
      <c r="T229" s="50">
        <f t="shared" ref="T229" si="239">R229*S229</f>
        <v>1.4582620177418153</v>
      </c>
      <c r="U229" s="50">
        <f t="shared" ref="U229" si="240">P229+T229</f>
        <v>30.960262017741815</v>
      </c>
      <c r="V229" s="50">
        <f t="shared" ref="V229" si="241">IF(AC229&gt;AD229,AD229,AC229)</f>
        <v>8.9413045870295456</v>
      </c>
      <c r="W229" s="56" t="str">
        <f t="shared" ref="W229" si="242">IF(AC229&gt;AD229,$V$15,$V$16)</f>
        <v>Massachussets</v>
      </c>
      <c r="X229" s="50">
        <f t="shared" ref="X229" si="243">VLOOKUP(O229,$X$11:$Z$19,3,TRUE)</f>
        <v>5.1631999999999998</v>
      </c>
      <c r="Y229" s="50">
        <f t="shared" ref="Y229" si="244">VLOOKUP(O229,$X$11:$Y$19,1,TRUE)</f>
        <v>117.268</v>
      </c>
      <c r="Z229" s="50">
        <f t="shared" ref="Z229" si="245">O229-Y229</f>
        <v>61.558091740590896</v>
      </c>
      <c r="AA229" s="51">
        <f t="shared" ref="AA229" si="246">VLOOKUP(O229,$X$11:$AA$19,4,TRUE)</f>
        <v>9.2999999999999999E-2</v>
      </c>
      <c r="AB229" s="50">
        <f t="shared" ref="AB229" si="247">Z229*AA229</f>
        <v>5.7249025318749531</v>
      </c>
      <c r="AC229" s="50">
        <f t="shared" ref="AC229" si="248">X229+AB229</f>
        <v>10.888102531874953</v>
      </c>
      <c r="AD229" s="52">
        <f t="shared" ref="AD229" si="249">O229*$AD$9</f>
        <v>8.9413045870295456</v>
      </c>
    </row>
    <row r="230" spans="2:30" s="78" customFormat="1" ht="15" thickBot="1" x14ac:dyDescent="0.35">
      <c r="B230" s="113"/>
      <c r="C230" s="122" t="s">
        <v>26</v>
      </c>
      <c r="D230" s="115"/>
      <c r="E230" s="115"/>
      <c r="F230" s="115"/>
      <c r="G230" s="115"/>
      <c r="H230" s="123">
        <f>SUM(H218:H229)</f>
        <v>29.655376725213848</v>
      </c>
      <c r="I230" s="116"/>
      <c r="J230" s="124">
        <f>SUM(J218:J229)</f>
        <v>149.17071501537706</v>
      </c>
      <c r="K230" s="115"/>
      <c r="L230" s="124">
        <f>SUM(L218:L229)</f>
        <v>106.90688236725435</v>
      </c>
      <c r="M230" s="116"/>
      <c r="N230" s="116"/>
      <c r="O230" s="117"/>
      <c r="P230" s="118"/>
      <c r="Q230" s="118"/>
      <c r="R230" s="118"/>
      <c r="S230" s="119"/>
      <c r="T230" s="118"/>
      <c r="U230" s="118"/>
      <c r="V230" s="118"/>
      <c r="W230" s="120"/>
      <c r="X230" s="118"/>
      <c r="Y230" s="118"/>
      <c r="Z230" s="118"/>
      <c r="AA230" s="119"/>
      <c r="AB230" s="118"/>
      <c r="AC230" s="118"/>
      <c r="AD230" s="121"/>
    </row>
    <row r="231" spans="2:30" s="78" customFormat="1" x14ac:dyDescent="0.3">
      <c r="B231" s="79"/>
      <c r="C231" s="80"/>
      <c r="D231" s="81"/>
      <c r="E231" s="81"/>
      <c r="F231" s="81"/>
      <c r="G231" s="81"/>
      <c r="H231" s="81"/>
      <c r="I231" s="82"/>
      <c r="J231" s="82"/>
      <c r="K231" s="81"/>
      <c r="L231" s="82"/>
      <c r="M231" s="82"/>
      <c r="N231" s="82"/>
      <c r="O231" s="83"/>
      <c r="P231" s="84"/>
      <c r="Q231" s="84"/>
      <c r="R231" s="84"/>
      <c r="S231" s="85"/>
      <c r="T231" s="84"/>
      <c r="U231" s="84"/>
      <c r="V231" s="84"/>
      <c r="W231" s="86"/>
      <c r="X231" s="84"/>
      <c r="Y231" s="84"/>
      <c r="Z231" s="84"/>
      <c r="AA231" s="85"/>
      <c r="AB231" s="84"/>
      <c r="AC231" s="84"/>
      <c r="AD231" s="84"/>
    </row>
    <row r="232" spans="2:30" s="4" customFormat="1" ht="15" thickBot="1" x14ac:dyDescent="0.35">
      <c r="B232" s="79"/>
      <c r="C232" s="44"/>
      <c r="D232" s="233" t="s">
        <v>0</v>
      </c>
      <c r="E232" s="234"/>
      <c r="F232" s="235"/>
      <c r="G232" s="233" t="s">
        <v>28</v>
      </c>
      <c r="H232" s="234"/>
      <c r="I232" s="234"/>
      <c r="J232" s="234"/>
      <c r="K232" s="235"/>
      <c r="L232" s="137" t="s">
        <v>15</v>
      </c>
      <c r="M232" s="233" t="s">
        <v>55</v>
      </c>
      <c r="N232" s="235"/>
      <c r="O232" s="233" t="s">
        <v>19</v>
      </c>
      <c r="P232" s="234"/>
      <c r="Q232" s="234"/>
      <c r="R232" s="234"/>
      <c r="S232" s="234"/>
      <c r="T232" s="234"/>
      <c r="U232" s="234"/>
      <c r="V232" s="234"/>
      <c r="W232" s="234"/>
      <c r="X232" s="234"/>
      <c r="Y232" s="234"/>
      <c r="Z232" s="234"/>
      <c r="AA232" s="234"/>
      <c r="AB232" s="234"/>
      <c r="AC232" s="234"/>
      <c r="AD232" s="235"/>
    </row>
    <row r="233" spans="2:30" s="4" customFormat="1" ht="58.2" thickBot="1" x14ac:dyDescent="0.35">
      <c r="B233" s="228" t="s">
        <v>62</v>
      </c>
      <c r="C233" s="229"/>
      <c r="D233" s="53" t="s">
        <v>35</v>
      </c>
      <c r="E233" s="54" t="s">
        <v>41</v>
      </c>
      <c r="F233" s="54" t="s">
        <v>16</v>
      </c>
      <c r="G233" s="54" t="s">
        <v>36</v>
      </c>
      <c r="H233" s="54" t="s">
        <v>30</v>
      </c>
      <c r="I233" s="54" t="s">
        <v>54</v>
      </c>
      <c r="J233" s="54" t="s">
        <v>31</v>
      </c>
      <c r="K233" s="54" t="s">
        <v>37</v>
      </c>
      <c r="L233" s="54" t="s">
        <v>15</v>
      </c>
      <c r="M233" s="54" t="s">
        <v>14</v>
      </c>
      <c r="N233" s="54" t="s">
        <v>17</v>
      </c>
      <c r="O233" s="54" t="s">
        <v>18</v>
      </c>
      <c r="P233" s="54" t="s">
        <v>24</v>
      </c>
      <c r="Q233" s="54" t="s">
        <v>21</v>
      </c>
      <c r="R233" s="54" t="s">
        <v>25</v>
      </c>
      <c r="S233" s="54" t="s">
        <v>42</v>
      </c>
      <c r="T233" s="54" t="s">
        <v>43</v>
      </c>
      <c r="U233" s="54" t="s">
        <v>44</v>
      </c>
      <c r="V233" s="54" t="s">
        <v>47</v>
      </c>
      <c r="W233" s="54" t="s">
        <v>48</v>
      </c>
      <c r="X233" s="54" t="s">
        <v>24</v>
      </c>
      <c r="Y233" s="54" t="s">
        <v>21</v>
      </c>
      <c r="Z233" s="54" t="s">
        <v>25</v>
      </c>
      <c r="AA233" s="54" t="s">
        <v>42</v>
      </c>
      <c r="AB233" s="54" t="s">
        <v>43</v>
      </c>
      <c r="AC233" s="54" t="s">
        <v>46</v>
      </c>
      <c r="AD233" s="55" t="s">
        <v>49</v>
      </c>
    </row>
    <row r="234" spans="2:30" x14ac:dyDescent="0.3">
      <c r="B234" s="222">
        <v>2034</v>
      </c>
      <c r="C234" s="98" t="s">
        <v>2</v>
      </c>
      <c r="D234" s="57">
        <f>F229</f>
        <v>0</v>
      </c>
      <c r="E234" s="57">
        <f t="shared" si="170"/>
        <v>0</v>
      </c>
      <c r="F234" s="57">
        <f t="shared" ref="F234:F245" si="250">D234+E234</f>
        <v>0</v>
      </c>
      <c r="G234" s="17">
        <f>K229</f>
        <v>317.26022550295585</v>
      </c>
      <c r="H234" s="17">
        <f t="shared" si="171"/>
        <v>2.1150681700197058</v>
      </c>
      <c r="I234" s="70">
        <f>K229/K9</f>
        <v>13.85415831890637</v>
      </c>
      <c r="J234" s="10">
        <f t="shared" ref="J234:J245" si="251">L234</f>
        <v>9.0154278384052393</v>
      </c>
      <c r="K234" s="17">
        <f t="shared" ref="K234:K245" si="252">G234+H234-J234</f>
        <v>310.35986583457031</v>
      </c>
      <c r="L234" s="10">
        <f>L229*(1+$H$17/12)</f>
        <v>9.0154278384052393</v>
      </c>
      <c r="M234" s="41"/>
      <c r="N234" s="10">
        <f t="shared" ref="N234:N245" si="253">F234+K234</f>
        <v>310.35986583457031</v>
      </c>
      <c r="O234" s="57"/>
      <c r="P234" s="42"/>
      <c r="Q234" s="42"/>
      <c r="R234" s="42"/>
      <c r="S234" s="42"/>
      <c r="T234" s="42"/>
      <c r="U234" s="42"/>
      <c r="V234" s="42"/>
      <c r="W234" s="42"/>
      <c r="X234" s="42"/>
      <c r="Y234" s="42"/>
      <c r="Z234" s="42"/>
      <c r="AA234" s="42"/>
      <c r="AB234" s="42"/>
      <c r="AC234" s="42"/>
      <c r="AD234" s="43"/>
    </row>
    <row r="235" spans="2:30" x14ac:dyDescent="0.3">
      <c r="B235" s="223"/>
      <c r="C235" s="99" t="s">
        <v>3</v>
      </c>
      <c r="D235" s="58">
        <f t="shared" ref="D235:D245" si="254">F234</f>
        <v>0</v>
      </c>
      <c r="E235" s="58">
        <f t="shared" si="170"/>
        <v>0</v>
      </c>
      <c r="F235" s="58">
        <f t="shared" si="250"/>
        <v>0</v>
      </c>
      <c r="G235" s="20">
        <f t="shared" ref="G235:G245" si="255">K234</f>
        <v>310.35986583457031</v>
      </c>
      <c r="H235" s="20">
        <f t="shared" si="171"/>
        <v>2.0690657722304686</v>
      </c>
      <c r="I235" s="45"/>
      <c r="J235" s="11">
        <f t="shared" si="251"/>
        <v>9.0319561227756484</v>
      </c>
      <c r="K235" s="20">
        <f t="shared" si="252"/>
        <v>303.39697548402518</v>
      </c>
      <c r="L235" s="11">
        <f>L234*(1+$H$17/12)</f>
        <v>9.0319561227756484</v>
      </c>
      <c r="M235" s="45"/>
      <c r="N235" s="11">
        <f t="shared" si="253"/>
        <v>303.39697548402518</v>
      </c>
      <c r="O235" s="58"/>
      <c r="P235" s="46"/>
      <c r="Q235" s="46"/>
      <c r="R235" s="46"/>
      <c r="S235" s="46"/>
      <c r="T235" s="46"/>
      <c r="U235" s="46"/>
      <c r="V235" s="46"/>
      <c r="W235" s="46"/>
      <c r="X235" s="46"/>
      <c r="Y235" s="46"/>
      <c r="Z235" s="46"/>
      <c r="AA235" s="46"/>
      <c r="AB235" s="46"/>
      <c r="AC235" s="46"/>
      <c r="AD235" s="47"/>
    </row>
    <row r="236" spans="2:30" x14ac:dyDescent="0.3">
      <c r="B236" s="223"/>
      <c r="C236" s="99" t="s">
        <v>4</v>
      </c>
      <c r="D236" s="58">
        <f t="shared" si="254"/>
        <v>0</v>
      </c>
      <c r="E236" s="58">
        <f t="shared" si="170"/>
        <v>0</v>
      </c>
      <c r="F236" s="58">
        <f t="shared" si="250"/>
        <v>0</v>
      </c>
      <c r="G236" s="20">
        <f t="shared" si="255"/>
        <v>303.39697548402518</v>
      </c>
      <c r="H236" s="20">
        <f t="shared" si="171"/>
        <v>2.0226465032268348</v>
      </c>
      <c r="I236" s="45"/>
      <c r="J236" s="11">
        <f>L236+M236</f>
        <v>48.950081313772102</v>
      </c>
      <c r="K236" s="20">
        <f t="shared" si="252"/>
        <v>256.46954067347991</v>
      </c>
      <c r="L236" s="11">
        <f t="shared" ref="L236:L245" si="256">L235*(1+$H$17/12)</f>
        <v>9.0485147090007381</v>
      </c>
      <c r="M236" s="59">
        <f>U229+V229</f>
        <v>39.901566604771361</v>
      </c>
      <c r="N236" s="11">
        <f t="shared" si="253"/>
        <v>256.46954067347991</v>
      </c>
      <c r="O236" s="58"/>
      <c r="P236" s="46"/>
      <c r="Q236" s="46"/>
      <c r="R236" s="46"/>
      <c r="S236" s="46"/>
      <c r="T236" s="46"/>
      <c r="U236" s="46"/>
      <c r="V236" s="46"/>
      <c r="W236" s="46"/>
      <c r="X236" s="46"/>
      <c r="Y236" s="46"/>
      <c r="Z236" s="46"/>
      <c r="AA236" s="46"/>
      <c r="AB236" s="46"/>
      <c r="AC236" s="46"/>
      <c r="AD236" s="47"/>
    </row>
    <row r="237" spans="2:30" x14ac:dyDescent="0.3">
      <c r="B237" s="223"/>
      <c r="C237" s="99" t="s">
        <v>5</v>
      </c>
      <c r="D237" s="58">
        <f t="shared" si="254"/>
        <v>0</v>
      </c>
      <c r="E237" s="58">
        <f t="shared" si="170"/>
        <v>0</v>
      </c>
      <c r="F237" s="58">
        <f t="shared" si="250"/>
        <v>0</v>
      </c>
      <c r="G237" s="20">
        <f t="shared" si="255"/>
        <v>256.46954067347991</v>
      </c>
      <c r="H237" s="20">
        <f t="shared" si="171"/>
        <v>1.7097969378231994</v>
      </c>
      <c r="I237" s="45"/>
      <c r="J237" s="11">
        <f t="shared" si="251"/>
        <v>9.0651036526339066</v>
      </c>
      <c r="K237" s="20">
        <f t="shared" si="252"/>
        <v>249.11423395866925</v>
      </c>
      <c r="L237" s="11">
        <f t="shared" si="256"/>
        <v>9.0651036526339066</v>
      </c>
      <c r="M237" s="45"/>
      <c r="N237" s="11">
        <f t="shared" si="253"/>
        <v>249.11423395866925</v>
      </c>
      <c r="O237" s="58"/>
      <c r="P237" s="46"/>
      <c r="Q237" s="46"/>
      <c r="R237" s="46"/>
      <c r="S237" s="46"/>
      <c r="T237" s="46"/>
      <c r="U237" s="46"/>
      <c r="V237" s="46"/>
      <c r="W237" s="46"/>
      <c r="X237" s="46"/>
      <c r="Y237" s="46"/>
      <c r="Z237" s="46"/>
      <c r="AA237" s="46"/>
      <c r="AB237" s="46"/>
      <c r="AC237" s="46"/>
      <c r="AD237" s="47"/>
    </row>
    <row r="238" spans="2:30" x14ac:dyDescent="0.3">
      <c r="B238" s="223"/>
      <c r="C238" s="99" t="s">
        <v>6</v>
      </c>
      <c r="D238" s="58">
        <f t="shared" si="254"/>
        <v>0</v>
      </c>
      <c r="E238" s="58">
        <f t="shared" si="170"/>
        <v>0</v>
      </c>
      <c r="F238" s="58">
        <f t="shared" si="250"/>
        <v>0</v>
      </c>
      <c r="G238" s="20">
        <f t="shared" si="255"/>
        <v>249.11423395866925</v>
      </c>
      <c r="H238" s="20">
        <f t="shared" si="171"/>
        <v>1.6607615597244616</v>
      </c>
      <c r="I238" s="45"/>
      <c r="J238" s="11">
        <f t="shared" si="251"/>
        <v>9.0817230093304016</v>
      </c>
      <c r="K238" s="20">
        <f t="shared" si="252"/>
        <v>241.69327250906329</v>
      </c>
      <c r="L238" s="11">
        <f t="shared" si="256"/>
        <v>9.0817230093304016</v>
      </c>
      <c r="M238" s="45"/>
      <c r="N238" s="11">
        <f t="shared" si="253"/>
        <v>241.69327250906329</v>
      </c>
      <c r="O238" s="58"/>
      <c r="P238" s="46"/>
      <c r="Q238" s="46"/>
      <c r="R238" s="46"/>
      <c r="S238" s="46"/>
      <c r="T238" s="46"/>
      <c r="U238" s="46"/>
      <c r="V238" s="46"/>
      <c r="W238" s="46"/>
      <c r="X238" s="46"/>
      <c r="Y238" s="46"/>
      <c r="Z238" s="46"/>
      <c r="AA238" s="46"/>
      <c r="AB238" s="46"/>
      <c r="AC238" s="46"/>
      <c r="AD238" s="47"/>
    </row>
    <row r="239" spans="2:30" x14ac:dyDescent="0.3">
      <c r="B239" s="223"/>
      <c r="C239" s="99" t="s">
        <v>7</v>
      </c>
      <c r="D239" s="58">
        <f t="shared" si="254"/>
        <v>0</v>
      </c>
      <c r="E239" s="58">
        <f t="shared" si="170"/>
        <v>0</v>
      </c>
      <c r="F239" s="58">
        <f t="shared" si="250"/>
        <v>0</v>
      </c>
      <c r="G239" s="20">
        <f t="shared" si="255"/>
        <v>241.69327250906329</v>
      </c>
      <c r="H239" s="20">
        <f t="shared" si="171"/>
        <v>1.6112884833937553</v>
      </c>
      <c r="I239" s="45"/>
      <c r="J239" s="11">
        <f t="shared" si="251"/>
        <v>9.0983728348475079</v>
      </c>
      <c r="K239" s="20">
        <f t="shared" si="252"/>
        <v>234.20618815760955</v>
      </c>
      <c r="L239" s="11">
        <f t="shared" si="256"/>
        <v>9.0983728348475079</v>
      </c>
      <c r="M239" s="45"/>
      <c r="N239" s="11">
        <f t="shared" si="253"/>
        <v>234.20618815760955</v>
      </c>
      <c r="O239" s="58"/>
      <c r="P239" s="46"/>
      <c r="Q239" s="46"/>
      <c r="R239" s="46"/>
      <c r="S239" s="46"/>
      <c r="T239" s="46"/>
      <c r="U239" s="46"/>
      <c r="V239" s="46"/>
      <c r="W239" s="46"/>
      <c r="X239" s="46"/>
      <c r="Y239" s="46"/>
      <c r="Z239" s="46"/>
      <c r="AA239" s="46"/>
      <c r="AB239" s="46"/>
      <c r="AC239" s="46"/>
      <c r="AD239" s="47"/>
    </row>
    <row r="240" spans="2:30" x14ac:dyDescent="0.3">
      <c r="B240" s="223"/>
      <c r="C240" s="99" t="s">
        <v>8</v>
      </c>
      <c r="D240" s="58">
        <f t="shared" si="254"/>
        <v>0</v>
      </c>
      <c r="E240" s="58">
        <f t="shared" si="170"/>
        <v>0</v>
      </c>
      <c r="F240" s="58">
        <f t="shared" si="250"/>
        <v>0</v>
      </c>
      <c r="G240" s="20">
        <f t="shared" si="255"/>
        <v>234.20618815760955</v>
      </c>
      <c r="H240" s="20">
        <f t="shared" si="171"/>
        <v>1.561374587717397</v>
      </c>
      <c r="I240" s="45"/>
      <c r="J240" s="11">
        <f t="shared" si="251"/>
        <v>9.1150531850447294</v>
      </c>
      <c r="K240" s="20">
        <f t="shared" si="252"/>
        <v>226.65250956028223</v>
      </c>
      <c r="L240" s="11">
        <f t="shared" si="256"/>
        <v>9.1150531850447294</v>
      </c>
      <c r="M240" s="45"/>
      <c r="N240" s="11">
        <f t="shared" si="253"/>
        <v>226.65250956028223</v>
      </c>
      <c r="O240" s="58"/>
      <c r="P240" s="46"/>
      <c r="Q240" s="46"/>
      <c r="R240" s="46"/>
      <c r="S240" s="46"/>
      <c r="T240" s="46"/>
      <c r="U240" s="46"/>
      <c r="V240" s="46"/>
      <c r="W240" s="46"/>
      <c r="X240" s="46"/>
      <c r="Y240" s="46"/>
      <c r="Z240" s="46"/>
      <c r="AA240" s="46"/>
      <c r="AB240" s="46"/>
      <c r="AC240" s="46"/>
      <c r="AD240" s="47"/>
    </row>
    <row r="241" spans="2:30" x14ac:dyDescent="0.3">
      <c r="B241" s="223"/>
      <c r="C241" s="99" t="s">
        <v>9</v>
      </c>
      <c r="D241" s="58">
        <f t="shared" si="254"/>
        <v>0</v>
      </c>
      <c r="E241" s="58">
        <f t="shared" si="170"/>
        <v>0</v>
      </c>
      <c r="F241" s="58">
        <f t="shared" si="250"/>
        <v>0</v>
      </c>
      <c r="G241" s="20">
        <f t="shared" si="255"/>
        <v>226.65250956028223</v>
      </c>
      <c r="H241" s="20">
        <f t="shared" si="171"/>
        <v>1.5110167304018816</v>
      </c>
      <c r="I241" s="45"/>
      <c r="J241" s="11">
        <f t="shared" si="251"/>
        <v>9.1317641158839784</v>
      </c>
      <c r="K241" s="20">
        <f t="shared" si="252"/>
        <v>219.03176217480012</v>
      </c>
      <c r="L241" s="11">
        <f t="shared" si="256"/>
        <v>9.1317641158839784</v>
      </c>
      <c r="M241" s="45"/>
      <c r="N241" s="11">
        <f t="shared" si="253"/>
        <v>219.03176217480012</v>
      </c>
      <c r="O241" s="58"/>
      <c r="P241" s="46"/>
      <c r="Q241" s="46"/>
      <c r="R241" s="46"/>
      <c r="S241" s="46"/>
      <c r="T241" s="46"/>
      <c r="U241" s="46"/>
      <c r="V241" s="46"/>
      <c r="W241" s="46"/>
      <c r="X241" s="46"/>
      <c r="Y241" s="46"/>
      <c r="Z241" s="46"/>
      <c r="AA241" s="46"/>
      <c r="AB241" s="46"/>
      <c r="AC241" s="46"/>
      <c r="AD241" s="47"/>
    </row>
    <row r="242" spans="2:30" x14ac:dyDescent="0.3">
      <c r="B242" s="223"/>
      <c r="C242" s="99" t="s">
        <v>10</v>
      </c>
      <c r="D242" s="58">
        <f t="shared" si="254"/>
        <v>0</v>
      </c>
      <c r="E242" s="58">
        <f t="shared" si="170"/>
        <v>0</v>
      </c>
      <c r="F242" s="58">
        <f t="shared" si="250"/>
        <v>0</v>
      </c>
      <c r="G242" s="20">
        <f t="shared" si="255"/>
        <v>219.03176217480012</v>
      </c>
      <c r="H242" s="20">
        <f t="shared" si="171"/>
        <v>1.4602117478320009</v>
      </c>
      <c r="I242" s="45"/>
      <c r="J242" s="11">
        <f t="shared" si="251"/>
        <v>9.1485056834297662</v>
      </c>
      <c r="K242" s="20">
        <f t="shared" si="252"/>
        <v>211.34346823920237</v>
      </c>
      <c r="L242" s="11">
        <f t="shared" si="256"/>
        <v>9.1485056834297662</v>
      </c>
      <c r="M242" s="45"/>
      <c r="N242" s="11">
        <f t="shared" si="253"/>
        <v>211.34346823920237</v>
      </c>
      <c r="O242" s="58"/>
      <c r="P242" s="46"/>
      <c r="Q242" s="46"/>
      <c r="R242" s="46"/>
      <c r="S242" s="46"/>
      <c r="T242" s="46"/>
      <c r="U242" s="46"/>
      <c r="V242" s="46"/>
      <c r="W242" s="46"/>
      <c r="X242" s="46"/>
      <c r="Y242" s="46"/>
      <c r="Z242" s="46"/>
      <c r="AA242" s="46"/>
      <c r="AB242" s="46"/>
      <c r="AC242" s="46"/>
      <c r="AD242" s="47"/>
    </row>
    <row r="243" spans="2:30" x14ac:dyDescent="0.3">
      <c r="B243" s="223"/>
      <c r="C243" s="99" t="s">
        <v>11</v>
      </c>
      <c r="D243" s="58">
        <f t="shared" si="254"/>
        <v>0</v>
      </c>
      <c r="E243" s="58">
        <f t="shared" si="170"/>
        <v>0</v>
      </c>
      <c r="F243" s="58">
        <f t="shared" si="250"/>
        <v>0</v>
      </c>
      <c r="G243" s="20">
        <f t="shared" si="255"/>
        <v>211.34346823920237</v>
      </c>
      <c r="H243" s="20">
        <f t="shared" si="171"/>
        <v>1.4089564549280158</v>
      </c>
      <c r="I243" s="45"/>
      <c r="J243" s="11">
        <f t="shared" si="251"/>
        <v>9.1652779438493877</v>
      </c>
      <c r="K243" s="20">
        <f t="shared" si="252"/>
        <v>203.58714675028099</v>
      </c>
      <c r="L243" s="11">
        <f t="shared" si="256"/>
        <v>9.1652779438493877</v>
      </c>
      <c r="M243" s="45"/>
      <c r="N243" s="11">
        <f t="shared" si="253"/>
        <v>203.58714675028099</v>
      </c>
      <c r="O243" s="58"/>
      <c r="P243" s="46"/>
      <c r="Q243" s="46"/>
      <c r="R243" s="46"/>
      <c r="S243" s="46"/>
      <c r="T243" s="46"/>
      <c r="U243" s="46"/>
      <c r="V243" s="46"/>
      <c r="W243" s="46"/>
      <c r="X243" s="46"/>
      <c r="Y243" s="46"/>
      <c r="Z243" s="46"/>
      <c r="AA243" s="46"/>
      <c r="AB243" s="46"/>
      <c r="AC243" s="46"/>
      <c r="AD243" s="47"/>
    </row>
    <row r="244" spans="2:30" x14ac:dyDescent="0.3">
      <c r="B244" s="223"/>
      <c r="C244" s="99" t="s">
        <v>12</v>
      </c>
      <c r="D244" s="58">
        <f t="shared" si="254"/>
        <v>0</v>
      </c>
      <c r="E244" s="58">
        <f t="shared" si="170"/>
        <v>0</v>
      </c>
      <c r="F244" s="58">
        <f t="shared" si="250"/>
        <v>0</v>
      </c>
      <c r="G244" s="20">
        <f t="shared" si="255"/>
        <v>203.58714675028099</v>
      </c>
      <c r="H244" s="20">
        <f t="shared" si="171"/>
        <v>1.3572476450018733</v>
      </c>
      <c r="I244" s="45"/>
      <c r="J244" s="11">
        <f t="shared" si="251"/>
        <v>9.1820809534131111</v>
      </c>
      <c r="K244" s="20">
        <f t="shared" si="252"/>
        <v>195.76231344186976</v>
      </c>
      <c r="L244" s="11">
        <f t="shared" si="256"/>
        <v>9.1820809534131111</v>
      </c>
      <c r="M244" s="45"/>
      <c r="N244" s="11">
        <f t="shared" si="253"/>
        <v>195.76231344186976</v>
      </c>
      <c r="O244" s="58"/>
      <c r="P244" s="46"/>
      <c r="Q244" s="46"/>
      <c r="R244" s="46"/>
      <c r="S244" s="46"/>
      <c r="T244" s="46"/>
      <c r="U244" s="46"/>
      <c r="V244" s="46"/>
      <c r="W244" s="46"/>
      <c r="X244" s="46"/>
      <c r="Y244" s="46"/>
      <c r="Z244" s="46"/>
      <c r="AA244" s="46"/>
      <c r="AB244" s="46"/>
      <c r="AC244" s="46"/>
      <c r="AD244" s="47"/>
    </row>
    <row r="245" spans="2:30" ht="15" thickBot="1" x14ac:dyDescent="0.35">
      <c r="B245" s="224"/>
      <c r="C245" s="100" t="s">
        <v>13</v>
      </c>
      <c r="D245" s="66">
        <f t="shared" si="254"/>
        <v>0</v>
      </c>
      <c r="E245" s="66">
        <f t="shared" si="170"/>
        <v>0</v>
      </c>
      <c r="F245" s="66">
        <f t="shared" si="250"/>
        <v>0</v>
      </c>
      <c r="G245" s="13">
        <f t="shared" si="255"/>
        <v>195.76231344186976</v>
      </c>
      <c r="H245" s="13">
        <f t="shared" si="171"/>
        <v>1.3050820896124651</v>
      </c>
      <c r="I245" s="48"/>
      <c r="J245" s="16">
        <f t="shared" si="251"/>
        <v>9.1989147684943688</v>
      </c>
      <c r="K245" s="13">
        <f t="shared" si="252"/>
        <v>187.86848076298784</v>
      </c>
      <c r="L245" s="11">
        <f t="shared" si="256"/>
        <v>9.1989147684943688</v>
      </c>
      <c r="M245" s="48"/>
      <c r="N245" s="16">
        <f t="shared" si="253"/>
        <v>187.86848076298784</v>
      </c>
      <c r="O245" s="49">
        <f>SUM(H234:H245,J234:J245)</f>
        <v>168.97677810379221</v>
      </c>
      <c r="P245" s="50">
        <f t="shared" si="172"/>
        <v>9.3279999999999994</v>
      </c>
      <c r="Q245" s="50">
        <f t="shared" ref="Q245" si="257">VLOOKUP(O245,$R$11:$S$17,1,TRUE)</f>
        <v>81.05</v>
      </c>
      <c r="R245" s="50">
        <f t="shared" ref="R245" si="258">O245-Q245</f>
        <v>87.926778103792216</v>
      </c>
      <c r="S245" s="51">
        <f t="shared" ref="S245" si="259">VLOOKUP(O245,$R$11:$U$17,4,TRUE)</f>
        <v>0.22</v>
      </c>
      <c r="T245" s="50">
        <f t="shared" ref="T245" si="260">R245*S245</f>
        <v>19.343891182834287</v>
      </c>
      <c r="U245" s="50">
        <f t="shared" ref="U245" si="261">P245+T245</f>
        <v>28.671891182834287</v>
      </c>
      <c r="V245" s="50">
        <f t="shared" ref="V245" si="262">IF(AC245&gt;AD245,AD245,AC245)</f>
        <v>8.4488389051896107</v>
      </c>
      <c r="W245" s="56" t="str">
        <f t="shared" ref="W245" si="263">IF(AC245&gt;AD245,$V$15,$V$16)</f>
        <v>Massachussets</v>
      </c>
      <c r="X245" s="50">
        <f t="shared" ref="X245" si="264">VLOOKUP(O245,$X$11:$Z$19,3,TRUE)</f>
        <v>5.1631999999999998</v>
      </c>
      <c r="Y245" s="50">
        <f t="shared" ref="Y245" si="265">VLOOKUP(O245,$X$11:$Y$19,1,TRUE)</f>
        <v>117.268</v>
      </c>
      <c r="Z245" s="50">
        <f t="shared" ref="Z245" si="266">O245-Y245</f>
        <v>51.708778103792213</v>
      </c>
      <c r="AA245" s="51">
        <f t="shared" ref="AA245" si="267">VLOOKUP(O245,$X$11:$AA$19,4,TRUE)</f>
        <v>9.2999999999999999E-2</v>
      </c>
      <c r="AB245" s="50">
        <f t="shared" ref="AB245" si="268">Z245*AA245</f>
        <v>4.8089163636526759</v>
      </c>
      <c r="AC245" s="50">
        <f t="shared" ref="AC245" si="269">X245+AB245</f>
        <v>9.9721163636526757</v>
      </c>
      <c r="AD245" s="52">
        <f t="shared" ref="AD245" si="270">O245*$AD$9</f>
        <v>8.4488389051896107</v>
      </c>
    </row>
    <row r="246" spans="2:30" s="78" customFormat="1" ht="15" thickBot="1" x14ac:dyDescent="0.35">
      <c r="B246" s="113"/>
      <c r="C246" s="122" t="s">
        <v>26</v>
      </c>
      <c r="D246" s="115"/>
      <c r="E246" s="115"/>
      <c r="F246" s="115"/>
      <c r="G246" s="115"/>
      <c r="H246" s="123">
        <f>SUM(H234:H245)</f>
        <v>19.792516681912058</v>
      </c>
      <c r="I246" s="116"/>
      <c r="J246" s="124">
        <f>SUM(J234:J245)</f>
        <v>149.18426142188014</v>
      </c>
      <c r="K246" s="115"/>
      <c r="L246" s="124">
        <f>SUM(L234:L245)</f>
        <v>109.28269481710879</v>
      </c>
      <c r="M246" s="116"/>
      <c r="N246" s="116"/>
      <c r="O246" s="117"/>
      <c r="P246" s="118"/>
      <c r="Q246" s="118"/>
      <c r="R246" s="118"/>
      <c r="S246" s="119"/>
      <c r="T246" s="118"/>
      <c r="U246" s="118"/>
      <c r="V246" s="118"/>
      <c r="W246" s="120"/>
      <c r="X246" s="118"/>
      <c r="Y246" s="118"/>
      <c r="Z246" s="118"/>
      <c r="AA246" s="119"/>
      <c r="AB246" s="118"/>
      <c r="AC246" s="118"/>
      <c r="AD246" s="121"/>
    </row>
    <row r="247" spans="2:30" s="78" customFormat="1" x14ac:dyDescent="0.3">
      <c r="B247" s="37"/>
      <c r="C247" s="38"/>
      <c r="D247" s="36"/>
      <c r="E247" s="36"/>
      <c r="F247" s="36"/>
      <c r="G247" s="36"/>
      <c r="H247" s="36"/>
      <c r="I247" s="158"/>
      <c r="J247" s="158"/>
      <c r="K247" s="36"/>
      <c r="L247" s="158"/>
      <c r="M247" s="158"/>
      <c r="N247" s="158"/>
      <c r="O247" s="159"/>
      <c r="P247" s="160"/>
      <c r="Q247" s="160"/>
      <c r="R247" s="160"/>
      <c r="S247" s="161"/>
      <c r="T247" s="160"/>
      <c r="U247" s="160"/>
      <c r="V247" s="160"/>
      <c r="W247" s="162"/>
      <c r="X247" s="160"/>
      <c r="Y247" s="160"/>
      <c r="Z247" s="160"/>
      <c r="AA247" s="161"/>
      <c r="AB247" s="160"/>
      <c r="AC247" s="160"/>
      <c r="AD247" s="160"/>
    </row>
    <row r="248" spans="2:30" s="4" customFormat="1" ht="15" thickBot="1" x14ac:dyDescent="0.35">
      <c r="B248" s="37"/>
      <c r="C248" s="25"/>
      <c r="D248" s="233" t="s">
        <v>0</v>
      </c>
      <c r="E248" s="234"/>
      <c r="F248" s="235"/>
      <c r="G248" s="233" t="s">
        <v>28</v>
      </c>
      <c r="H248" s="234"/>
      <c r="I248" s="234"/>
      <c r="J248" s="234"/>
      <c r="K248" s="235"/>
      <c r="L248" s="137" t="s">
        <v>15</v>
      </c>
      <c r="M248" s="233" t="s">
        <v>55</v>
      </c>
      <c r="N248" s="235"/>
      <c r="O248" s="233" t="s">
        <v>19</v>
      </c>
      <c r="P248" s="234"/>
      <c r="Q248" s="234"/>
      <c r="R248" s="234"/>
      <c r="S248" s="234"/>
      <c r="T248" s="234"/>
      <c r="U248" s="234"/>
      <c r="V248" s="234"/>
      <c r="W248" s="234"/>
      <c r="X248" s="234"/>
      <c r="Y248" s="234"/>
      <c r="Z248" s="234"/>
      <c r="AA248" s="234"/>
      <c r="AB248" s="234"/>
      <c r="AC248" s="234"/>
      <c r="AD248" s="235"/>
    </row>
    <row r="249" spans="2:30" s="4" customFormat="1" ht="58.2" thickBot="1" x14ac:dyDescent="0.35">
      <c r="B249" s="228" t="s">
        <v>62</v>
      </c>
      <c r="C249" s="229"/>
      <c r="D249" s="53" t="s">
        <v>35</v>
      </c>
      <c r="E249" s="54" t="s">
        <v>41</v>
      </c>
      <c r="F249" s="54" t="s">
        <v>16</v>
      </c>
      <c r="G249" s="54" t="s">
        <v>36</v>
      </c>
      <c r="H249" s="54" t="s">
        <v>30</v>
      </c>
      <c r="I249" s="54" t="s">
        <v>54</v>
      </c>
      <c r="J249" s="54" t="s">
        <v>31</v>
      </c>
      <c r="K249" s="54" t="s">
        <v>37</v>
      </c>
      <c r="L249" s="54" t="s">
        <v>15</v>
      </c>
      <c r="M249" s="54" t="s">
        <v>14</v>
      </c>
      <c r="N249" s="54" t="s">
        <v>17</v>
      </c>
      <c r="O249" s="54" t="s">
        <v>18</v>
      </c>
      <c r="P249" s="54" t="s">
        <v>24</v>
      </c>
      <c r="Q249" s="54" t="s">
        <v>21</v>
      </c>
      <c r="R249" s="54" t="s">
        <v>25</v>
      </c>
      <c r="S249" s="54" t="s">
        <v>42</v>
      </c>
      <c r="T249" s="54" t="s">
        <v>43</v>
      </c>
      <c r="U249" s="54" t="s">
        <v>44</v>
      </c>
      <c r="V249" s="54" t="s">
        <v>47</v>
      </c>
      <c r="W249" s="54" t="s">
        <v>48</v>
      </c>
      <c r="X249" s="54" t="s">
        <v>24</v>
      </c>
      <c r="Y249" s="54" t="s">
        <v>21</v>
      </c>
      <c r="Z249" s="54" t="s">
        <v>25</v>
      </c>
      <c r="AA249" s="54" t="s">
        <v>42</v>
      </c>
      <c r="AB249" s="54" t="s">
        <v>43</v>
      </c>
      <c r="AC249" s="54" t="s">
        <v>46</v>
      </c>
      <c r="AD249" s="55" t="s">
        <v>49</v>
      </c>
    </row>
    <row r="250" spans="2:30" x14ac:dyDescent="0.3">
      <c r="B250" s="222">
        <v>2035</v>
      </c>
      <c r="C250" s="98" t="s">
        <v>2</v>
      </c>
      <c r="D250" s="57">
        <f>F245</f>
        <v>0</v>
      </c>
      <c r="E250" s="57">
        <f t="shared" si="170"/>
        <v>0</v>
      </c>
      <c r="F250" s="57">
        <f t="shared" ref="F250:F261" si="271">D250+E250</f>
        <v>0</v>
      </c>
      <c r="G250" s="17">
        <f>K245</f>
        <v>187.86848076298784</v>
      </c>
      <c r="H250" s="17">
        <f t="shared" si="171"/>
        <v>1.2524565384199191</v>
      </c>
      <c r="I250" s="70">
        <f>K245/K10</f>
        <v>8.5394763983176301</v>
      </c>
      <c r="J250" s="10">
        <f t="shared" ref="J250:J261" si="272">L250</f>
        <v>9.2157794455699413</v>
      </c>
      <c r="K250" s="17">
        <f t="shared" ref="K250:K261" si="273">G250+H250-J250</f>
        <v>179.90515785583781</v>
      </c>
      <c r="L250" s="10">
        <f>L245*(1+$H$18/12)</f>
        <v>9.2157794455699413</v>
      </c>
      <c r="M250" s="41"/>
      <c r="N250" s="10">
        <f t="shared" ref="N250:N261" si="274">F250+K250</f>
        <v>179.90515785583781</v>
      </c>
      <c r="O250" s="57"/>
      <c r="P250" s="42"/>
      <c r="Q250" s="42"/>
      <c r="R250" s="42"/>
      <c r="S250" s="42"/>
      <c r="T250" s="42"/>
      <c r="U250" s="42"/>
      <c r="V250" s="42"/>
      <c r="W250" s="42"/>
      <c r="X250" s="42"/>
      <c r="Y250" s="42"/>
      <c r="Z250" s="42"/>
      <c r="AA250" s="42"/>
      <c r="AB250" s="42"/>
      <c r="AC250" s="42"/>
      <c r="AD250" s="43"/>
    </row>
    <row r="251" spans="2:30" x14ac:dyDescent="0.3">
      <c r="B251" s="223"/>
      <c r="C251" s="99" t="s">
        <v>3</v>
      </c>
      <c r="D251" s="58">
        <f t="shared" ref="D251:D261" si="275">F250</f>
        <v>0</v>
      </c>
      <c r="E251" s="58">
        <f t="shared" si="170"/>
        <v>0</v>
      </c>
      <c r="F251" s="58">
        <f t="shared" si="271"/>
        <v>0</v>
      </c>
      <c r="G251" s="20">
        <f t="shared" ref="G251:G261" si="276">K250</f>
        <v>179.90515785583781</v>
      </c>
      <c r="H251" s="20">
        <f t="shared" si="171"/>
        <v>1.1993677190389189</v>
      </c>
      <c r="I251" s="45"/>
      <c r="J251" s="11">
        <f t="shared" si="272"/>
        <v>9.232675041220153</v>
      </c>
      <c r="K251" s="20">
        <f t="shared" si="273"/>
        <v>171.87185053365658</v>
      </c>
      <c r="L251" s="11">
        <f>L250*(1+$H$18/12)</f>
        <v>9.232675041220153</v>
      </c>
      <c r="M251" s="45"/>
      <c r="N251" s="11">
        <f t="shared" si="274"/>
        <v>171.87185053365658</v>
      </c>
      <c r="O251" s="58"/>
      <c r="P251" s="46"/>
      <c r="Q251" s="46"/>
      <c r="R251" s="46"/>
      <c r="S251" s="46"/>
      <c r="T251" s="46"/>
      <c r="U251" s="46"/>
      <c r="V251" s="46"/>
      <c r="W251" s="46"/>
      <c r="X251" s="46"/>
      <c r="Y251" s="46"/>
      <c r="Z251" s="46"/>
      <c r="AA251" s="46"/>
      <c r="AB251" s="46"/>
      <c r="AC251" s="46"/>
      <c r="AD251" s="47"/>
    </row>
    <row r="252" spans="2:30" x14ac:dyDescent="0.3">
      <c r="B252" s="223"/>
      <c r="C252" s="99" t="s">
        <v>4</v>
      </c>
      <c r="D252" s="58">
        <f t="shared" si="275"/>
        <v>0</v>
      </c>
      <c r="E252" s="58">
        <f t="shared" si="170"/>
        <v>0</v>
      </c>
      <c r="F252" s="58">
        <f t="shared" si="271"/>
        <v>0</v>
      </c>
      <c r="G252" s="20">
        <f t="shared" si="276"/>
        <v>171.87185053365658</v>
      </c>
      <c r="H252" s="20">
        <f t="shared" si="171"/>
        <v>1.145812336891044</v>
      </c>
      <c r="I252" s="45"/>
      <c r="J252" s="11">
        <f>L252+M252</f>
        <v>46.370331700152953</v>
      </c>
      <c r="K252" s="20">
        <f t="shared" si="273"/>
        <v>126.64733117039469</v>
      </c>
      <c r="L252" s="11">
        <f t="shared" ref="L252:L261" si="277">L251*(1+$H$18/12)</f>
        <v>9.249601612129057</v>
      </c>
      <c r="M252" s="59">
        <f>U245+V245</f>
        <v>37.120730088023898</v>
      </c>
      <c r="N252" s="11">
        <f t="shared" si="274"/>
        <v>126.64733117039469</v>
      </c>
      <c r="O252" s="58"/>
      <c r="P252" s="46"/>
      <c r="Q252" s="46"/>
      <c r="R252" s="46"/>
      <c r="S252" s="46"/>
      <c r="T252" s="46"/>
      <c r="U252" s="46"/>
      <c r="V252" s="46"/>
      <c r="W252" s="46"/>
      <c r="X252" s="46"/>
      <c r="Y252" s="46"/>
      <c r="Z252" s="46"/>
      <c r="AA252" s="46"/>
      <c r="AB252" s="46"/>
      <c r="AC252" s="46"/>
      <c r="AD252" s="47"/>
    </row>
    <row r="253" spans="2:30" x14ac:dyDescent="0.3">
      <c r="B253" s="223"/>
      <c r="C253" s="99" t="s">
        <v>5</v>
      </c>
      <c r="D253" s="58">
        <f t="shared" si="275"/>
        <v>0</v>
      </c>
      <c r="E253" s="58">
        <f t="shared" si="170"/>
        <v>0</v>
      </c>
      <c r="F253" s="58">
        <f t="shared" si="271"/>
        <v>0</v>
      </c>
      <c r="G253" s="20">
        <f t="shared" si="276"/>
        <v>126.64733117039469</v>
      </c>
      <c r="H253" s="20">
        <f t="shared" si="171"/>
        <v>0.84431554113596474</v>
      </c>
      <c r="I253" s="45"/>
      <c r="J253" s="11">
        <f t="shared" si="272"/>
        <v>9.2665592150846265</v>
      </c>
      <c r="K253" s="20">
        <f t="shared" si="273"/>
        <v>118.22508749644604</v>
      </c>
      <c r="L253" s="11">
        <f t="shared" si="277"/>
        <v>9.2665592150846265</v>
      </c>
      <c r="M253" s="45"/>
      <c r="N253" s="11">
        <f t="shared" si="274"/>
        <v>118.22508749644604</v>
      </c>
      <c r="O253" s="58"/>
      <c r="P253" s="46"/>
      <c r="Q253" s="46"/>
      <c r="R253" s="46"/>
      <c r="S253" s="46"/>
      <c r="T253" s="46"/>
      <c r="U253" s="46"/>
      <c r="V253" s="46"/>
      <c r="W253" s="46"/>
      <c r="X253" s="46"/>
      <c r="Y253" s="46"/>
      <c r="Z253" s="46"/>
      <c r="AA253" s="46"/>
      <c r="AB253" s="46"/>
      <c r="AC253" s="46"/>
      <c r="AD253" s="47"/>
    </row>
    <row r="254" spans="2:30" x14ac:dyDescent="0.3">
      <c r="B254" s="223"/>
      <c r="C254" s="99" t="s">
        <v>6</v>
      </c>
      <c r="D254" s="58">
        <f t="shared" si="275"/>
        <v>0</v>
      </c>
      <c r="E254" s="58">
        <f t="shared" si="170"/>
        <v>0</v>
      </c>
      <c r="F254" s="58">
        <f t="shared" si="271"/>
        <v>0</v>
      </c>
      <c r="G254" s="20">
        <f t="shared" si="276"/>
        <v>118.22508749644604</v>
      </c>
      <c r="H254" s="20">
        <f t="shared" si="171"/>
        <v>0.78816724997630694</v>
      </c>
      <c r="I254" s="45"/>
      <c r="J254" s="11">
        <f t="shared" si="272"/>
        <v>9.2835479069789493</v>
      </c>
      <c r="K254" s="20">
        <f t="shared" si="273"/>
        <v>109.72970683944339</v>
      </c>
      <c r="L254" s="11">
        <f t="shared" si="277"/>
        <v>9.2835479069789493</v>
      </c>
      <c r="M254" s="45"/>
      <c r="N254" s="11">
        <f t="shared" si="274"/>
        <v>109.72970683944339</v>
      </c>
      <c r="O254" s="58"/>
      <c r="P254" s="46"/>
      <c r="Q254" s="46"/>
      <c r="R254" s="46"/>
      <c r="S254" s="46"/>
      <c r="T254" s="46"/>
      <c r="U254" s="46"/>
      <c r="V254" s="46"/>
      <c r="W254" s="46"/>
      <c r="X254" s="46"/>
      <c r="Y254" s="46"/>
      <c r="Z254" s="46"/>
      <c r="AA254" s="46"/>
      <c r="AB254" s="46"/>
      <c r="AC254" s="46"/>
      <c r="AD254" s="47"/>
    </row>
    <row r="255" spans="2:30" x14ac:dyDescent="0.3">
      <c r="B255" s="223"/>
      <c r="C255" s="99" t="s">
        <v>7</v>
      </c>
      <c r="D255" s="58">
        <f t="shared" si="275"/>
        <v>0</v>
      </c>
      <c r="E255" s="58">
        <f t="shared" si="170"/>
        <v>0</v>
      </c>
      <c r="F255" s="58">
        <f t="shared" si="271"/>
        <v>0</v>
      </c>
      <c r="G255" s="20">
        <f t="shared" si="276"/>
        <v>109.72970683944339</v>
      </c>
      <c r="H255" s="20">
        <f t="shared" si="171"/>
        <v>0.73153137892962272</v>
      </c>
      <c r="I255" s="45"/>
      <c r="J255" s="11">
        <f t="shared" si="272"/>
        <v>9.3005677448084114</v>
      </c>
      <c r="K255" s="20">
        <f t="shared" si="273"/>
        <v>101.16067047356461</v>
      </c>
      <c r="L255" s="11">
        <f t="shared" si="277"/>
        <v>9.3005677448084114</v>
      </c>
      <c r="M255" s="45"/>
      <c r="N255" s="11">
        <f t="shared" si="274"/>
        <v>101.16067047356461</v>
      </c>
      <c r="O255" s="58"/>
      <c r="P255" s="46"/>
      <c r="Q255" s="46"/>
      <c r="R255" s="46"/>
      <c r="S255" s="46"/>
      <c r="T255" s="46"/>
      <c r="U255" s="46"/>
      <c r="V255" s="46"/>
      <c r="W255" s="46"/>
      <c r="X255" s="46"/>
      <c r="Y255" s="46"/>
      <c r="Z255" s="46"/>
      <c r="AA255" s="46"/>
      <c r="AB255" s="46"/>
      <c r="AC255" s="46"/>
      <c r="AD255" s="47"/>
    </row>
    <row r="256" spans="2:30" x14ac:dyDescent="0.3">
      <c r="B256" s="223"/>
      <c r="C256" s="99" t="s">
        <v>8</v>
      </c>
      <c r="D256" s="58">
        <f t="shared" si="275"/>
        <v>0</v>
      </c>
      <c r="E256" s="58">
        <f t="shared" si="170"/>
        <v>0</v>
      </c>
      <c r="F256" s="58">
        <f t="shared" si="271"/>
        <v>0</v>
      </c>
      <c r="G256" s="20">
        <f t="shared" si="276"/>
        <v>101.16067047356461</v>
      </c>
      <c r="H256" s="20">
        <f t="shared" si="171"/>
        <v>0.67440446982376401</v>
      </c>
      <c r="I256" s="45"/>
      <c r="J256" s="11">
        <f t="shared" si="272"/>
        <v>9.3176187856738935</v>
      </c>
      <c r="K256" s="20">
        <f t="shared" si="273"/>
        <v>92.517456157714491</v>
      </c>
      <c r="L256" s="11">
        <f t="shared" si="277"/>
        <v>9.3176187856738935</v>
      </c>
      <c r="M256" s="45"/>
      <c r="N256" s="11">
        <f t="shared" si="274"/>
        <v>92.517456157714491</v>
      </c>
      <c r="O256" s="58"/>
      <c r="P256" s="46"/>
      <c r="Q256" s="46"/>
      <c r="R256" s="46"/>
      <c r="S256" s="46"/>
      <c r="T256" s="46"/>
      <c r="U256" s="46"/>
      <c r="V256" s="46"/>
      <c r="W256" s="46"/>
      <c r="X256" s="46"/>
      <c r="Y256" s="46"/>
      <c r="Z256" s="46"/>
      <c r="AA256" s="46"/>
      <c r="AB256" s="46"/>
      <c r="AC256" s="46"/>
      <c r="AD256" s="47"/>
    </row>
    <row r="257" spans="2:39" x14ac:dyDescent="0.3">
      <c r="B257" s="223"/>
      <c r="C257" s="99" t="s">
        <v>9</v>
      </c>
      <c r="D257" s="58">
        <f t="shared" si="275"/>
        <v>0</v>
      </c>
      <c r="E257" s="58">
        <f t="shared" ref="E257:E277" si="278">D257*$D$14/12</f>
        <v>0</v>
      </c>
      <c r="F257" s="58">
        <f t="shared" si="271"/>
        <v>0</v>
      </c>
      <c r="G257" s="20">
        <f t="shared" si="276"/>
        <v>92.517456157714491</v>
      </c>
      <c r="H257" s="20">
        <f t="shared" ref="H257:H277" si="279">G257*$D$16/12</f>
        <v>0.61678304105143</v>
      </c>
      <c r="I257" s="45"/>
      <c r="J257" s="11">
        <f t="shared" si="272"/>
        <v>9.3347010867809619</v>
      </c>
      <c r="K257" s="20">
        <f t="shared" si="273"/>
        <v>83.799538111984958</v>
      </c>
      <c r="L257" s="11">
        <f t="shared" si="277"/>
        <v>9.3347010867809619</v>
      </c>
      <c r="M257" s="45"/>
      <c r="N257" s="11">
        <f t="shared" si="274"/>
        <v>83.799538111984958</v>
      </c>
      <c r="O257" s="58"/>
      <c r="P257" s="46"/>
      <c r="Q257" s="46"/>
      <c r="R257" s="46"/>
      <c r="S257" s="46"/>
      <c r="T257" s="46"/>
      <c r="U257" s="46"/>
      <c r="V257" s="46"/>
      <c r="W257" s="46"/>
      <c r="X257" s="46"/>
      <c r="Y257" s="46"/>
      <c r="Z257" s="46"/>
      <c r="AA257" s="46"/>
      <c r="AB257" s="46"/>
      <c r="AC257" s="46"/>
      <c r="AD257" s="47"/>
    </row>
    <row r="258" spans="2:39" x14ac:dyDescent="0.3">
      <c r="B258" s="223"/>
      <c r="C258" s="99" t="s">
        <v>10</v>
      </c>
      <c r="D258" s="58">
        <f t="shared" si="275"/>
        <v>0</v>
      </c>
      <c r="E258" s="58">
        <f t="shared" si="278"/>
        <v>0</v>
      </c>
      <c r="F258" s="58">
        <f t="shared" si="271"/>
        <v>0</v>
      </c>
      <c r="G258" s="20">
        <f t="shared" si="276"/>
        <v>83.799538111984958</v>
      </c>
      <c r="H258" s="20">
        <f t="shared" si="279"/>
        <v>0.55866358741323308</v>
      </c>
      <c r="I258" s="45"/>
      <c r="J258" s="11">
        <f t="shared" si="272"/>
        <v>9.3518147054400611</v>
      </c>
      <c r="K258" s="20">
        <f t="shared" si="273"/>
        <v>75.006386993958131</v>
      </c>
      <c r="L258" s="11">
        <f t="shared" si="277"/>
        <v>9.3518147054400611</v>
      </c>
      <c r="M258" s="45"/>
      <c r="N258" s="11">
        <f t="shared" si="274"/>
        <v>75.006386993958131</v>
      </c>
      <c r="O258" s="58"/>
      <c r="P258" s="46"/>
      <c r="Q258" s="46"/>
      <c r="R258" s="46"/>
      <c r="S258" s="46"/>
      <c r="T258" s="46"/>
      <c r="U258" s="46"/>
      <c r="V258" s="46"/>
      <c r="W258" s="46"/>
      <c r="X258" s="46"/>
      <c r="Y258" s="46"/>
      <c r="Z258" s="46"/>
      <c r="AA258" s="46"/>
      <c r="AB258" s="46"/>
      <c r="AC258" s="46"/>
      <c r="AD258" s="47"/>
    </row>
    <row r="259" spans="2:39" x14ac:dyDescent="0.3">
      <c r="B259" s="223"/>
      <c r="C259" s="99" t="s">
        <v>11</v>
      </c>
      <c r="D259" s="58">
        <f t="shared" si="275"/>
        <v>0</v>
      </c>
      <c r="E259" s="58">
        <f t="shared" si="278"/>
        <v>0</v>
      </c>
      <c r="F259" s="58">
        <f t="shared" si="271"/>
        <v>0</v>
      </c>
      <c r="G259" s="20">
        <f t="shared" si="276"/>
        <v>75.006386993958131</v>
      </c>
      <c r="H259" s="20">
        <f t="shared" si="279"/>
        <v>0.5000425799597209</v>
      </c>
      <c r="I259" s="45"/>
      <c r="J259" s="11">
        <f t="shared" si="272"/>
        <v>9.3689596990667017</v>
      </c>
      <c r="K259" s="20">
        <f t="shared" si="273"/>
        <v>66.137469874851149</v>
      </c>
      <c r="L259" s="11">
        <f t="shared" si="277"/>
        <v>9.3689596990667017</v>
      </c>
      <c r="M259" s="45"/>
      <c r="N259" s="11">
        <f t="shared" si="274"/>
        <v>66.137469874851149</v>
      </c>
      <c r="O259" s="58"/>
      <c r="P259" s="46"/>
      <c r="Q259" s="46"/>
      <c r="R259" s="46"/>
      <c r="S259" s="46"/>
      <c r="T259" s="46"/>
      <c r="U259" s="46"/>
      <c r="V259" s="46"/>
      <c r="W259" s="46"/>
      <c r="X259" s="46"/>
      <c r="Y259" s="46"/>
      <c r="Z259" s="46"/>
      <c r="AA259" s="46"/>
      <c r="AB259" s="46"/>
      <c r="AC259" s="46"/>
      <c r="AD259" s="47"/>
    </row>
    <row r="260" spans="2:39" x14ac:dyDescent="0.3">
      <c r="B260" s="223"/>
      <c r="C260" s="99" t="s">
        <v>12</v>
      </c>
      <c r="D260" s="58">
        <f t="shared" si="275"/>
        <v>0</v>
      </c>
      <c r="E260" s="58">
        <f t="shared" si="278"/>
        <v>0</v>
      </c>
      <c r="F260" s="58">
        <f t="shared" si="271"/>
        <v>0</v>
      </c>
      <c r="G260" s="20">
        <f t="shared" si="276"/>
        <v>66.137469874851149</v>
      </c>
      <c r="H260" s="20">
        <f t="shared" si="279"/>
        <v>0.44091646583234101</v>
      </c>
      <c r="I260" s="45"/>
      <c r="J260" s="11">
        <f t="shared" si="272"/>
        <v>9.3861361251816575</v>
      </c>
      <c r="K260" s="20">
        <f t="shared" si="273"/>
        <v>57.192250215501836</v>
      </c>
      <c r="L260" s="11">
        <f t="shared" si="277"/>
        <v>9.3861361251816575</v>
      </c>
      <c r="M260" s="45"/>
      <c r="N260" s="11">
        <f t="shared" si="274"/>
        <v>57.192250215501836</v>
      </c>
      <c r="O260" s="58"/>
      <c r="P260" s="46"/>
      <c r="Q260" s="46"/>
      <c r="R260" s="46"/>
      <c r="S260" s="46"/>
      <c r="T260" s="46"/>
      <c r="U260" s="46"/>
      <c r="V260" s="46"/>
      <c r="W260" s="46"/>
      <c r="X260" s="46"/>
      <c r="Y260" s="46"/>
      <c r="Z260" s="46"/>
      <c r="AA260" s="46"/>
      <c r="AB260" s="46"/>
      <c r="AC260" s="46"/>
      <c r="AD260" s="47"/>
    </row>
    <row r="261" spans="2:39" ht="15" thickBot="1" x14ac:dyDescent="0.35">
      <c r="B261" s="224"/>
      <c r="C261" s="100" t="s">
        <v>13</v>
      </c>
      <c r="D261" s="66">
        <f t="shared" si="275"/>
        <v>0</v>
      </c>
      <c r="E261" s="66">
        <f t="shared" si="278"/>
        <v>0</v>
      </c>
      <c r="F261" s="66">
        <f t="shared" si="271"/>
        <v>0</v>
      </c>
      <c r="G261" s="13">
        <f t="shared" si="276"/>
        <v>57.192250215501836</v>
      </c>
      <c r="H261" s="13">
        <f t="shared" si="279"/>
        <v>0.38128166810334557</v>
      </c>
      <c r="I261" s="48"/>
      <c r="J261" s="16">
        <f t="shared" si="272"/>
        <v>9.4033440414111578</v>
      </c>
      <c r="K261" s="13">
        <f t="shared" si="273"/>
        <v>48.170187842194025</v>
      </c>
      <c r="L261" s="11">
        <f t="shared" si="277"/>
        <v>9.4033440414111578</v>
      </c>
      <c r="M261" s="48"/>
      <c r="N261" s="16">
        <f t="shared" si="274"/>
        <v>48.170187842194025</v>
      </c>
      <c r="O261" s="69">
        <f>SUM(H250:H261,J250:J261)</f>
        <v>157.96577807394505</v>
      </c>
      <c r="P261" s="50">
        <f>VLOOKUP(O261,$R$11:$T$17,3,TRUE)</f>
        <v>9.3279999999999994</v>
      </c>
      <c r="Q261" s="50">
        <f t="shared" ref="Q261" si="280">VLOOKUP(O261,$R$11:$S$17,1,TRUE)</f>
        <v>81.05</v>
      </c>
      <c r="R261" s="50">
        <f t="shared" ref="R261" si="281">O261-Q261</f>
        <v>76.915778073945049</v>
      </c>
      <c r="S261" s="51">
        <f t="shared" ref="S261" si="282">VLOOKUP(O261,$R$11:$U$17,4,TRUE)</f>
        <v>0.22</v>
      </c>
      <c r="T261" s="50">
        <f t="shared" ref="T261" si="283">R261*S261</f>
        <v>16.921471176267911</v>
      </c>
      <c r="U261" s="50">
        <f t="shared" ref="U261" si="284">P261+T261</f>
        <v>26.24947117626791</v>
      </c>
      <c r="V261" s="50">
        <f t="shared" ref="V261" si="285">IF(AC261&gt;AD261,AD261,AC261)</f>
        <v>7.898288903697253</v>
      </c>
      <c r="W261" s="56" t="str">
        <f t="shared" ref="W261" si="286">IF(AC261&gt;AD261,$V$15,$V$16)</f>
        <v>Massachussets</v>
      </c>
      <c r="X261" s="50">
        <f t="shared" ref="X261" si="287">VLOOKUP(O261,$X$11:$Z$19,3,TRUE)</f>
        <v>5.1631999999999998</v>
      </c>
      <c r="Y261" s="50">
        <f t="shared" ref="Y261" si="288">VLOOKUP(O261,$X$11:$Y$19,1,TRUE)</f>
        <v>117.268</v>
      </c>
      <c r="Z261" s="50">
        <f t="shared" ref="Z261" si="289">O261-Y261</f>
        <v>40.697778073945045</v>
      </c>
      <c r="AA261" s="51">
        <f t="shared" ref="AA261" si="290">VLOOKUP(O261,$X$11:$AA$19,4,TRUE)</f>
        <v>9.2999999999999999E-2</v>
      </c>
      <c r="AB261" s="50">
        <f t="shared" ref="AB261" si="291">Z261*AA261</f>
        <v>3.7848933608768891</v>
      </c>
      <c r="AC261" s="50">
        <f t="shared" ref="AC261" si="292">X261+AB261</f>
        <v>8.9480933608768893</v>
      </c>
      <c r="AD261" s="52">
        <f t="shared" ref="AD261" si="293">O261*$AD$9</f>
        <v>7.898288903697253</v>
      </c>
    </row>
    <row r="262" spans="2:39" s="78" customFormat="1" ht="15" thickBot="1" x14ac:dyDescent="0.35">
      <c r="B262" s="113"/>
      <c r="C262" s="122" t="s">
        <v>26</v>
      </c>
      <c r="D262" s="115"/>
      <c r="E262" s="115"/>
      <c r="F262" s="115"/>
      <c r="G262" s="115"/>
      <c r="H262" s="123">
        <f>SUM(H250:H261)</f>
        <v>9.1337425765756102</v>
      </c>
      <c r="I262" s="116"/>
      <c r="J262" s="124">
        <f>SUM(J250:J261)</f>
        <v>148.83203549736945</v>
      </c>
      <c r="K262" s="115"/>
      <c r="L262" s="124">
        <f>SUM(L250:L261)</f>
        <v>111.7113054093456</v>
      </c>
      <c r="M262" s="116"/>
      <c r="N262" s="116"/>
      <c r="O262" s="115"/>
      <c r="P262" s="118"/>
      <c r="Q262" s="118"/>
      <c r="R262" s="118"/>
      <c r="S262" s="119"/>
      <c r="T262" s="118"/>
      <c r="U262" s="118"/>
      <c r="V262" s="118"/>
      <c r="W262" s="120"/>
      <c r="X262" s="118"/>
      <c r="Y262" s="118"/>
      <c r="Z262" s="118"/>
      <c r="AA262" s="119"/>
      <c r="AB262" s="118"/>
      <c r="AC262" s="118"/>
      <c r="AD262" s="121"/>
    </row>
    <row r="263" spans="2:39" s="78" customFormat="1" x14ac:dyDescent="0.3">
      <c r="B263" s="37"/>
      <c r="C263" s="38"/>
      <c r="D263" s="36"/>
      <c r="E263" s="36"/>
      <c r="F263" s="36"/>
      <c r="G263" s="36"/>
      <c r="H263" s="36"/>
      <c r="I263" s="158"/>
      <c r="J263" s="158"/>
      <c r="K263" s="36"/>
      <c r="L263" s="158"/>
      <c r="M263" s="158"/>
      <c r="N263" s="158"/>
      <c r="O263" s="36"/>
      <c r="P263" s="160"/>
      <c r="Q263" s="160"/>
      <c r="R263" s="160"/>
      <c r="S263" s="161"/>
      <c r="T263" s="160"/>
      <c r="U263" s="160"/>
      <c r="V263" s="160"/>
      <c r="W263" s="162"/>
      <c r="X263" s="160"/>
      <c r="Y263" s="160"/>
      <c r="Z263" s="160"/>
      <c r="AA263" s="161"/>
      <c r="AB263" s="160"/>
      <c r="AC263" s="160"/>
      <c r="AD263" s="160"/>
    </row>
    <row r="264" spans="2:39" s="4" customFormat="1" ht="15" thickBot="1" x14ac:dyDescent="0.35">
      <c r="B264" s="37"/>
      <c r="C264" s="25"/>
      <c r="D264" s="233" t="s">
        <v>0</v>
      </c>
      <c r="E264" s="234"/>
      <c r="F264" s="235"/>
      <c r="G264" s="233" t="s">
        <v>28</v>
      </c>
      <c r="H264" s="234"/>
      <c r="I264" s="234"/>
      <c r="J264" s="234"/>
      <c r="K264" s="235"/>
      <c r="L264" s="137" t="s">
        <v>15</v>
      </c>
      <c r="M264" s="233" t="s">
        <v>55</v>
      </c>
      <c r="N264" s="235"/>
      <c r="O264" s="233" t="s">
        <v>19</v>
      </c>
      <c r="P264" s="234"/>
      <c r="Q264" s="234"/>
      <c r="R264" s="234"/>
      <c r="S264" s="234"/>
      <c r="T264" s="234"/>
      <c r="U264" s="234"/>
      <c r="V264" s="234"/>
      <c r="W264" s="234"/>
      <c r="X264" s="234"/>
      <c r="Y264" s="234"/>
      <c r="Z264" s="234"/>
      <c r="AA264" s="234"/>
      <c r="AB264" s="234"/>
      <c r="AC264" s="234"/>
      <c r="AD264" s="235"/>
    </row>
    <row r="265" spans="2:39" s="4" customFormat="1" ht="58.2" thickBot="1" x14ac:dyDescent="0.35">
      <c r="B265" s="228" t="s">
        <v>62</v>
      </c>
      <c r="C265" s="229"/>
      <c r="D265" s="53" t="s">
        <v>35</v>
      </c>
      <c r="E265" s="54" t="s">
        <v>41</v>
      </c>
      <c r="F265" s="54" t="s">
        <v>16</v>
      </c>
      <c r="G265" s="54" t="s">
        <v>36</v>
      </c>
      <c r="H265" s="54" t="s">
        <v>30</v>
      </c>
      <c r="I265" s="54" t="s">
        <v>54</v>
      </c>
      <c r="J265" s="54" t="s">
        <v>31</v>
      </c>
      <c r="K265" s="54" t="s">
        <v>37</v>
      </c>
      <c r="L265" s="54" t="s">
        <v>15</v>
      </c>
      <c r="M265" s="54" t="s">
        <v>14</v>
      </c>
      <c r="N265" s="54" t="s">
        <v>17</v>
      </c>
      <c r="O265" s="54" t="s">
        <v>18</v>
      </c>
      <c r="P265" s="54" t="s">
        <v>24</v>
      </c>
      <c r="Q265" s="54" t="s">
        <v>21</v>
      </c>
      <c r="R265" s="54" t="s">
        <v>25</v>
      </c>
      <c r="S265" s="54" t="s">
        <v>42</v>
      </c>
      <c r="T265" s="54" t="s">
        <v>43</v>
      </c>
      <c r="U265" s="54" t="s">
        <v>44</v>
      </c>
      <c r="V265" s="54" t="s">
        <v>47</v>
      </c>
      <c r="W265" s="54" t="s">
        <v>48</v>
      </c>
      <c r="X265" s="54" t="s">
        <v>24</v>
      </c>
      <c r="Y265" s="54" t="s">
        <v>21</v>
      </c>
      <c r="Z265" s="54" t="s">
        <v>25</v>
      </c>
      <c r="AA265" s="54" t="s">
        <v>42</v>
      </c>
      <c r="AB265" s="54" t="s">
        <v>43</v>
      </c>
      <c r="AC265" s="54" t="s">
        <v>46</v>
      </c>
      <c r="AD265" s="55" t="s">
        <v>49</v>
      </c>
      <c r="AF265" s="248" t="s">
        <v>71</v>
      </c>
      <c r="AG265" s="248"/>
      <c r="AH265" s="248"/>
      <c r="AI265" s="248"/>
      <c r="AJ265" s="248"/>
      <c r="AK265" s="248"/>
      <c r="AL265" s="248"/>
      <c r="AM265" s="248"/>
    </row>
    <row r="266" spans="2:39" ht="15.6" customHeight="1" x14ac:dyDescent="0.3">
      <c r="B266" s="222">
        <v>2036</v>
      </c>
      <c r="C266" s="95" t="s">
        <v>2</v>
      </c>
      <c r="D266" s="57">
        <f>F261</f>
        <v>0</v>
      </c>
      <c r="E266" s="57">
        <f t="shared" si="278"/>
        <v>0</v>
      </c>
      <c r="F266" s="57">
        <f t="shared" ref="F266:F277" si="294">D266+E266</f>
        <v>0</v>
      </c>
      <c r="G266" s="17">
        <f>K261</f>
        <v>48.170187842194025</v>
      </c>
      <c r="H266" s="17">
        <f t="shared" si="279"/>
        <v>0.32113458561462688</v>
      </c>
      <c r="I266" s="70">
        <f>K261/K11</f>
        <v>2.2721786718016048</v>
      </c>
      <c r="J266" s="10">
        <f t="shared" ref="J266:J277" si="295">L266</f>
        <v>9.4205835054870786</v>
      </c>
      <c r="K266" s="17">
        <f t="shared" ref="K266:K277" si="296">G266+H266-J266</f>
        <v>39.070738922321574</v>
      </c>
      <c r="L266" s="10">
        <f>L261*(1+$H$19/12)</f>
        <v>9.4205835054870786</v>
      </c>
      <c r="M266" s="41"/>
      <c r="N266" s="10">
        <f t="shared" ref="N266:N277" si="297">F266+K266</f>
        <v>39.070738922321574</v>
      </c>
      <c r="O266" s="57"/>
      <c r="P266" s="42"/>
      <c r="Q266" s="42"/>
      <c r="R266" s="42"/>
      <c r="S266" s="42"/>
      <c r="T266" s="42"/>
      <c r="U266" s="42"/>
      <c r="V266" s="42"/>
      <c r="W266" s="42"/>
      <c r="X266" s="42"/>
      <c r="Y266" s="42"/>
      <c r="Z266" s="42"/>
      <c r="AA266" s="42"/>
      <c r="AB266" s="42"/>
      <c r="AC266" s="42"/>
      <c r="AD266" s="43"/>
      <c r="AF266" s="248"/>
      <c r="AG266" s="248"/>
      <c r="AH266" s="248"/>
      <c r="AI266" s="248"/>
      <c r="AJ266" s="248"/>
      <c r="AK266" s="248"/>
      <c r="AL266" s="248"/>
      <c r="AM266" s="248"/>
    </row>
    <row r="267" spans="2:39" ht="15.6" customHeight="1" x14ac:dyDescent="0.3">
      <c r="B267" s="223"/>
      <c r="C267" s="96" t="s">
        <v>3</v>
      </c>
      <c r="D267" s="58">
        <f t="shared" ref="D267:D277" si="298">F266</f>
        <v>0</v>
      </c>
      <c r="E267" s="58">
        <f t="shared" si="278"/>
        <v>0</v>
      </c>
      <c r="F267" s="58">
        <f t="shared" si="294"/>
        <v>0</v>
      </c>
      <c r="G267" s="20">
        <f t="shared" ref="G267:G277" si="299">K266</f>
        <v>39.070738922321574</v>
      </c>
      <c r="H267" s="20">
        <f t="shared" si="279"/>
        <v>0.26047159281547716</v>
      </c>
      <c r="I267" s="45"/>
      <c r="J267" s="11">
        <f t="shared" si="295"/>
        <v>9.4378545752471386</v>
      </c>
      <c r="K267" s="20">
        <f t="shared" si="296"/>
        <v>29.893355939889915</v>
      </c>
      <c r="L267" s="11">
        <f>L266*(1+$H$19/12)</f>
        <v>9.4378545752471386</v>
      </c>
      <c r="M267" s="45"/>
      <c r="N267" s="11">
        <f t="shared" si="297"/>
        <v>29.893355939889915</v>
      </c>
      <c r="O267" s="58"/>
      <c r="P267" s="46"/>
      <c r="Q267" s="46"/>
      <c r="R267" s="46"/>
      <c r="S267" s="46"/>
      <c r="T267" s="46"/>
      <c r="U267" s="46"/>
      <c r="V267" s="46"/>
      <c r="W267" s="46"/>
      <c r="X267" s="46"/>
      <c r="Y267" s="46"/>
      <c r="Z267" s="46"/>
      <c r="AA267" s="46"/>
      <c r="AB267" s="46"/>
      <c r="AC267" s="46"/>
      <c r="AD267" s="47"/>
      <c r="AF267" s="248"/>
      <c r="AG267" s="248"/>
      <c r="AH267" s="248"/>
      <c r="AI267" s="248"/>
      <c r="AJ267" s="248"/>
      <c r="AK267" s="248"/>
      <c r="AL267" s="248"/>
      <c r="AM267" s="248"/>
    </row>
    <row r="268" spans="2:39" x14ac:dyDescent="0.3">
      <c r="B268" s="223"/>
      <c r="C268" s="96" t="s">
        <v>4</v>
      </c>
      <c r="D268" s="58">
        <f t="shared" si="298"/>
        <v>0</v>
      </c>
      <c r="E268" s="58">
        <f t="shared" si="278"/>
        <v>0</v>
      </c>
      <c r="F268" s="58">
        <f t="shared" si="294"/>
        <v>0</v>
      </c>
      <c r="G268" s="77">
        <f t="shared" si="299"/>
        <v>29.893355939889915</v>
      </c>
      <c r="H268" s="20">
        <f t="shared" si="279"/>
        <v>0.19928903959926611</v>
      </c>
      <c r="I268" s="45"/>
      <c r="J268" s="11">
        <f>L268+M268</f>
        <v>43.602917388600261</v>
      </c>
      <c r="K268" s="67">
        <f t="shared" si="296"/>
        <v>-13.510272409111082</v>
      </c>
      <c r="L268" s="11">
        <f t="shared" ref="L268:L277" si="300">L267*(1+$H$19/12)</f>
        <v>9.4551573086350924</v>
      </c>
      <c r="M268" s="59">
        <f>U261+V261</f>
        <v>34.147760079965167</v>
      </c>
      <c r="N268" s="18">
        <f t="shared" si="297"/>
        <v>-13.510272409111082</v>
      </c>
      <c r="O268" s="58"/>
      <c r="P268" s="46"/>
      <c r="Q268" s="46"/>
      <c r="R268" s="46"/>
      <c r="S268" s="46"/>
      <c r="T268" s="46"/>
      <c r="U268" s="46"/>
      <c r="V268" s="46"/>
      <c r="W268" s="46"/>
      <c r="X268" s="46"/>
      <c r="Y268" s="46"/>
      <c r="Z268" s="46"/>
      <c r="AA268" s="46"/>
      <c r="AB268" s="46"/>
      <c r="AC268" s="46"/>
      <c r="AD268" s="47"/>
      <c r="AF268" s="248"/>
      <c r="AG268" s="248"/>
      <c r="AH268" s="248"/>
      <c r="AI268" s="248"/>
      <c r="AJ268" s="248"/>
      <c r="AK268" s="248"/>
      <c r="AL268" s="248"/>
      <c r="AM268" s="248"/>
    </row>
    <row r="269" spans="2:39" x14ac:dyDescent="0.3">
      <c r="B269" s="223"/>
      <c r="C269" s="96" t="s">
        <v>5</v>
      </c>
      <c r="D269" s="58">
        <f t="shared" si="298"/>
        <v>0</v>
      </c>
      <c r="E269" s="58">
        <f t="shared" si="278"/>
        <v>0</v>
      </c>
      <c r="F269" s="58">
        <f t="shared" si="294"/>
        <v>0</v>
      </c>
      <c r="G269" s="67">
        <f t="shared" si="299"/>
        <v>-13.510272409111082</v>
      </c>
      <c r="H269" s="67">
        <f t="shared" si="279"/>
        <v>-9.0068482727407209E-2</v>
      </c>
      <c r="I269" s="45"/>
      <c r="J269" s="11">
        <f t="shared" si="295"/>
        <v>9.4724917637009227</v>
      </c>
      <c r="K269" s="67">
        <f t="shared" si="296"/>
        <v>-23.072832655539411</v>
      </c>
      <c r="L269" s="11">
        <f t="shared" si="300"/>
        <v>9.4724917637009227</v>
      </c>
      <c r="M269" s="45"/>
      <c r="N269" s="18">
        <f t="shared" si="297"/>
        <v>-23.072832655539411</v>
      </c>
      <c r="O269" s="58"/>
      <c r="P269" s="46"/>
      <c r="Q269" s="46"/>
      <c r="R269" s="46"/>
      <c r="S269" s="46"/>
      <c r="T269" s="46"/>
      <c r="U269" s="46"/>
      <c r="V269" s="46"/>
      <c r="W269" s="46"/>
      <c r="X269" s="46"/>
      <c r="Y269" s="46"/>
      <c r="Z269" s="46"/>
      <c r="AA269" s="46"/>
      <c r="AB269" s="46"/>
      <c r="AC269" s="46"/>
      <c r="AD269" s="47"/>
      <c r="AF269" s="248"/>
      <c r="AG269" s="248"/>
      <c r="AH269" s="248"/>
      <c r="AI269" s="248"/>
      <c r="AJ269" s="248"/>
      <c r="AK269" s="248"/>
      <c r="AL269" s="248"/>
      <c r="AM269" s="248"/>
    </row>
    <row r="270" spans="2:39" x14ac:dyDescent="0.3">
      <c r="B270" s="223"/>
      <c r="C270" s="96" t="s">
        <v>6</v>
      </c>
      <c r="D270" s="58">
        <f t="shared" si="298"/>
        <v>0</v>
      </c>
      <c r="E270" s="58">
        <f t="shared" si="278"/>
        <v>0</v>
      </c>
      <c r="F270" s="58">
        <f t="shared" si="294"/>
        <v>0</v>
      </c>
      <c r="G270" s="67">
        <f t="shared" si="299"/>
        <v>-23.072832655539411</v>
      </c>
      <c r="H270" s="67">
        <f t="shared" si="279"/>
        <v>-0.15381888437026273</v>
      </c>
      <c r="I270" s="45"/>
      <c r="J270" s="11">
        <f t="shared" si="295"/>
        <v>9.4898579986010407</v>
      </c>
      <c r="K270" s="67">
        <f t="shared" si="296"/>
        <v>-32.716509538510714</v>
      </c>
      <c r="L270" s="11">
        <f t="shared" si="300"/>
        <v>9.4898579986010407</v>
      </c>
      <c r="M270" s="45"/>
      <c r="N270" s="18">
        <f t="shared" si="297"/>
        <v>-32.716509538510714</v>
      </c>
      <c r="O270" s="58"/>
      <c r="P270" s="46"/>
      <c r="Q270" s="46"/>
      <c r="R270" s="46"/>
      <c r="S270" s="46"/>
      <c r="T270" s="46"/>
      <c r="U270" s="46"/>
      <c r="V270" s="46"/>
      <c r="W270" s="46"/>
      <c r="X270" s="46"/>
      <c r="Y270" s="46"/>
      <c r="Z270" s="46"/>
      <c r="AA270" s="46"/>
      <c r="AB270" s="46"/>
      <c r="AC270" s="46"/>
      <c r="AD270" s="47"/>
      <c r="AF270" s="248"/>
      <c r="AG270" s="248"/>
      <c r="AH270" s="248"/>
      <c r="AI270" s="248"/>
      <c r="AJ270" s="248"/>
      <c r="AK270" s="248"/>
      <c r="AL270" s="248"/>
      <c r="AM270" s="248"/>
    </row>
    <row r="271" spans="2:39" x14ac:dyDescent="0.3">
      <c r="B271" s="223"/>
      <c r="C271" s="96" t="s">
        <v>7</v>
      </c>
      <c r="D271" s="58">
        <f t="shared" si="298"/>
        <v>0</v>
      </c>
      <c r="E271" s="58">
        <f t="shared" si="278"/>
        <v>0</v>
      </c>
      <c r="F271" s="58">
        <f t="shared" si="294"/>
        <v>0</v>
      </c>
      <c r="G271" s="67">
        <f t="shared" si="299"/>
        <v>-32.716509538510714</v>
      </c>
      <c r="H271" s="67">
        <f t="shared" si="279"/>
        <v>-0.21811006359007143</v>
      </c>
      <c r="I271" s="45"/>
      <c r="J271" s="11">
        <f t="shared" si="295"/>
        <v>9.5072560715984764</v>
      </c>
      <c r="K271" s="67">
        <f t="shared" si="296"/>
        <v>-42.441875673699265</v>
      </c>
      <c r="L271" s="11">
        <f t="shared" si="300"/>
        <v>9.5072560715984764</v>
      </c>
      <c r="M271" s="45"/>
      <c r="N271" s="18">
        <f t="shared" si="297"/>
        <v>-42.441875673699265</v>
      </c>
      <c r="O271" s="58"/>
      <c r="P271" s="46"/>
      <c r="Q271" s="46"/>
      <c r="R271" s="46"/>
      <c r="S271" s="46"/>
      <c r="T271" s="46"/>
      <c r="U271" s="46"/>
      <c r="V271" s="46"/>
      <c r="W271" s="46"/>
      <c r="X271" s="46"/>
      <c r="Y271" s="46"/>
      <c r="Z271" s="46"/>
      <c r="AA271" s="46"/>
      <c r="AB271" s="46"/>
      <c r="AC271" s="46"/>
      <c r="AD271" s="47"/>
      <c r="AF271" s="248"/>
      <c r="AG271" s="248"/>
      <c r="AH271" s="248"/>
      <c r="AI271" s="248"/>
      <c r="AJ271" s="248"/>
      <c r="AK271" s="248"/>
      <c r="AL271" s="248"/>
      <c r="AM271" s="248"/>
    </row>
    <row r="272" spans="2:39" x14ac:dyDescent="0.3">
      <c r="B272" s="223"/>
      <c r="C272" s="96" t="s">
        <v>8</v>
      </c>
      <c r="D272" s="58">
        <f t="shared" si="298"/>
        <v>0</v>
      </c>
      <c r="E272" s="58">
        <f t="shared" si="278"/>
        <v>0</v>
      </c>
      <c r="F272" s="58">
        <f t="shared" si="294"/>
        <v>0</v>
      </c>
      <c r="G272" s="67">
        <f t="shared" si="299"/>
        <v>-42.441875673699265</v>
      </c>
      <c r="H272" s="67">
        <f t="shared" si="279"/>
        <v>-0.28294583782466176</v>
      </c>
      <c r="I272" s="45"/>
      <c r="J272" s="11">
        <f t="shared" si="295"/>
        <v>9.5246860410630738</v>
      </c>
      <c r="K272" s="67">
        <f t="shared" si="296"/>
        <v>-52.249507552587005</v>
      </c>
      <c r="L272" s="11">
        <f t="shared" si="300"/>
        <v>9.5246860410630738</v>
      </c>
      <c r="M272" s="45"/>
      <c r="N272" s="18">
        <f t="shared" si="297"/>
        <v>-52.249507552587005</v>
      </c>
      <c r="O272" s="58"/>
      <c r="P272" s="46"/>
      <c r="Q272" s="46"/>
      <c r="R272" s="46"/>
      <c r="S272" s="46"/>
      <c r="T272" s="46"/>
      <c r="U272" s="46"/>
      <c r="V272" s="46"/>
      <c r="W272" s="46"/>
      <c r="X272" s="46"/>
      <c r="Y272" s="46"/>
      <c r="Z272" s="46"/>
      <c r="AA272" s="46"/>
      <c r="AB272" s="46"/>
      <c r="AC272" s="46"/>
      <c r="AD272" s="47"/>
      <c r="AF272" s="248"/>
      <c r="AG272" s="248"/>
      <c r="AH272" s="248"/>
      <c r="AI272" s="248"/>
      <c r="AJ272" s="248"/>
      <c r="AK272" s="248"/>
      <c r="AL272" s="248"/>
      <c r="AM272" s="248"/>
    </row>
    <row r="273" spans="2:39" x14ac:dyDescent="0.3">
      <c r="B273" s="223"/>
      <c r="C273" s="96" t="s">
        <v>9</v>
      </c>
      <c r="D273" s="58">
        <f t="shared" si="298"/>
        <v>0</v>
      </c>
      <c r="E273" s="58">
        <f t="shared" si="278"/>
        <v>0</v>
      </c>
      <c r="F273" s="58">
        <f t="shared" si="294"/>
        <v>0</v>
      </c>
      <c r="G273" s="67">
        <f t="shared" si="299"/>
        <v>-52.249507552587005</v>
      </c>
      <c r="H273" s="67">
        <f t="shared" si="279"/>
        <v>-0.34833005035058001</v>
      </c>
      <c r="I273" s="45"/>
      <c r="J273" s="11">
        <f t="shared" si="295"/>
        <v>9.5421479654716901</v>
      </c>
      <c r="K273" s="67">
        <f t="shared" si="296"/>
        <v>-62.13998556840928</v>
      </c>
      <c r="L273" s="11">
        <f t="shared" si="300"/>
        <v>9.5421479654716901</v>
      </c>
      <c r="M273" s="45"/>
      <c r="N273" s="18">
        <f t="shared" si="297"/>
        <v>-62.13998556840928</v>
      </c>
      <c r="O273" s="58"/>
      <c r="P273" s="46"/>
      <c r="Q273" s="46"/>
      <c r="R273" s="46"/>
      <c r="S273" s="46"/>
      <c r="T273" s="46"/>
      <c r="U273" s="46"/>
      <c r="V273" s="46"/>
      <c r="W273" s="46"/>
      <c r="X273" s="46"/>
      <c r="Y273" s="46"/>
      <c r="Z273" s="46"/>
      <c r="AA273" s="46"/>
      <c r="AB273" s="46"/>
      <c r="AC273" s="46"/>
      <c r="AD273" s="47"/>
      <c r="AF273" s="248"/>
      <c r="AG273" s="248"/>
      <c r="AH273" s="248"/>
      <c r="AI273" s="248"/>
      <c r="AJ273" s="248"/>
      <c r="AK273" s="248"/>
      <c r="AL273" s="248"/>
      <c r="AM273" s="248"/>
    </row>
    <row r="274" spans="2:39" x14ac:dyDescent="0.3">
      <c r="B274" s="223"/>
      <c r="C274" s="96" t="s">
        <v>10</v>
      </c>
      <c r="D274" s="58">
        <f t="shared" si="298"/>
        <v>0</v>
      </c>
      <c r="E274" s="58">
        <f t="shared" si="278"/>
        <v>0</v>
      </c>
      <c r="F274" s="58">
        <f t="shared" si="294"/>
        <v>0</v>
      </c>
      <c r="G274" s="67">
        <f t="shared" si="299"/>
        <v>-62.13998556840928</v>
      </c>
      <c r="H274" s="67">
        <f t="shared" si="279"/>
        <v>-0.41426657045606191</v>
      </c>
      <c r="I274" s="45"/>
      <c r="J274" s="11">
        <f t="shared" si="295"/>
        <v>9.559641903408389</v>
      </c>
      <c r="K274" s="67">
        <f t="shared" si="296"/>
        <v>-72.113894042273728</v>
      </c>
      <c r="L274" s="11">
        <f t="shared" si="300"/>
        <v>9.559641903408389</v>
      </c>
      <c r="M274" s="45"/>
      <c r="N274" s="18">
        <f t="shared" si="297"/>
        <v>-72.113894042273728</v>
      </c>
      <c r="O274" s="58"/>
      <c r="P274" s="46"/>
      <c r="Q274" s="46"/>
      <c r="R274" s="46"/>
      <c r="S274" s="46"/>
      <c r="T274" s="46"/>
      <c r="U274" s="46"/>
      <c r="V274" s="46"/>
      <c r="W274" s="46"/>
      <c r="X274" s="46"/>
      <c r="Y274" s="46"/>
      <c r="Z274" s="46"/>
      <c r="AA274" s="46"/>
      <c r="AB274" s="46"/>
      <c r="AC274" s="46"/>
      <c r="AD274" s="47"/>
      <c r="AF274" s="248"/>
      <c r="AG274" s="248"/>
      <c r="AH274" s="248"/>
      <c r="AI274" s="248"/>
      <c r="AJ274" s="248"/>
      <c r="AK274" s="248"/>
      <c r="AL274" s="248"/>
      <c r="AM274" s="248"/>
    </row>
    <row r="275" spans="2:39" x14ac:dyDescent="0.3">
      <c r="B275" s="223"/>
      <c r="C275" s="96" t="s">
        <v>11</v>
      </c>
      <c r="D275" s="58">
        <f t="shared" si="298"/>
        <v>0</v>
      </c>
      <c r="E275" s="58">
        <f t="shared" si="278"/>
        <v>0</v>
      </c>
      <c r="F275" s="58">
        <f t="shared" si="294"/>
        <v>0</v>
      </c>
      <c r="G275" s="67">
        <f t="shared" si="299"/>
        <v>-72.113894042273728</v>
      </c>
      <c r="H275" s="67">
        <f t="shared" si="279"/>
        <v>-0.48075929361515818</v>
      </c>
      <c r="I275" s="45"/>
      <c r="J275" s="11">
        <f t="shared" si="295"/>
        <v>9.5771679135646384</v>
      </c>
      <c r="K275" s="67">
        <f t="shared" si="296"/>
        <v>-82.171821249453529</v>
      </c>
      <c r="L275" s="11">
        <f t="shared" si="300"/>
        <v>9.5771679135646384</v>
      </c>
      <c r="M275" s="45"/>
      <c r="N275" s="18">
        <f t="shared" si="297"/>
        <v>-82.171821249453529</v>
      </c>
      <c r="O275" s="58"/>
      <c r="P275" s="46"/>
      <c r="Q275" s="46"/>
      <c r="R275" s="46"/>
      <c r="S275" s="46"/>
      <c r="T275" s="46"/>
      <c r="U275" s="46"/>
      <c r="V275" s="46"/>
      <c r="W275" s="46"/>
      <c r="X275" s="46"/>
      <c r="Y275" s="46"/>
      <c r="Z275" s="46"/>
      <c r="AA275" s="46"/>
      <c r="AB275" s="46"/>
      <c r="AC275" s="46"/>
      <c r="AD275" s="47"/>
      <c r="AF275" s="248"/>
      <c r="AG275" s="248"/>
      <c r="AH275" s="248"/>
      <c r="AI275" s="248"/>
      <c r="AJ275" s="248"/>
      <c r="AK275" s="248"/>
      <c r="AL275" s="248"/>
      <c r="AM275" s="248"/>
    </row>
    <row r="276" spans="2:39" x14ac:dyDescent="0.3">
      <c r="B276" s="223"/>
      <c r="C276" s="96" t="s">
        <v>12</v>
      </c>
      <c r="D276" s="58">
        <f t="shared" si="298"/>
        <v>0</v>
      </c>
      <c r="E276" s="58">
        <f t="shared" si="278"/>
        <v>0</v>
      </c>
      <c r="F276" s="58">
        <f t="shared" si="294"/>
        <v>0</v>
      </c>
      <c r="G276" s="67">
        <f t="shared" si="299"/>
        <v>-82.171821249453529</v>
      </c>
      <c r="H276" s="67">
        <f t="shared" si="279"/>
        <v>-0.54781214166302361</v>
      </c>
      <c r="I276" s="45"/>
      <c r="J276" s="11">
        <f t="shared" si="295"/>
        <v>9.5947260547395068</v>
      </c>
      <c r="K276" s="67">
        <f t="shared" si="296"/>
        <v>-92.31435944585607</v>
      </c>
      <c r="L276" s="11">
        <f t="shared" si="300"/>
        <v>9.5947260547395068</v>
      </c>
      <c r="M276" s="45"/>
      <c r="N276" s="18">
        <f t="shared" si="297"/>
        <v>-92.31435944585607</v>
      </c>
      <c r="O276" s="58"/>
      <c r="P276" s="46"/>
      <c r="Q276" s="46"/>
      <c r="R276" s="46"/>
      <c r="S276" s="46"/>
      <c r="T276" s="46"/>
      <c r="U276" s="46"/>
      <c r="V276" s="46"/>
      <c r="W276" s="46"/>
      <c r="X276" s="46"/>
      <c r="Y276" s="46"/>
      <c r="Z276" s="46"/>
      <c r="AA276" s="46"/>
      <c r="AB276" s="46"/>
      <c r="AC276" s="46"/>
      <c r="AD276" s="47"/>
      <c r="AF276" s="248"/>
      <c r="AG276" s="248"/>
      <c r="AH276" s="248"/>
      <c r="AI276" s="248"/>
      <c r="AJ276" s="248"/>
      <c r="AK276" s="248"/>
      <c r="AL276" s="248"/>
      <c r="AM276" s="248"/>
    </row>
    <row r="277" spans="2:39" ht="15" thickBot="1" x14ac:dyDescent="0.35">
      <c r="B277" s="224"/>
      <c r="C277" s="97" t="s">
        <v>13</v>
      </c>
      <c r="D277" s="66">
        <f t="shared" si="298"/>
        <v>0</v>
      </c>
      <c r="E277" s="66">
        <f t="shared" si="278"/>
        <v>0</v>
      </c>
      <c r="F277" s="66">
        <f t="shared" si="294"/>
        <v>0</v>
      </c>
      <c r="G277" s="68">
        <f t="shared" si="299"/>
        <v>-92.31435944585607</v>
      </c>
      <c r="H277" s="68">
        <f t="shared" si="279"/>
        <v>-0.61542906297237387</v>
      </c>
      <c r="I277" s="48"/>
      <c r="J277" s="16">
        <f t="shared" si="295"/>
        <v>9.612316385839863</v>
      </c>
      <c r="K277" s="68">
        <f t="shared" si="296"/>
        <v>-102.5421048946683</v>
      </c>
      <c r="L277" s="11">
        <f t="shared" si="300"/>
        <v>9.612316385839863</v>
      </c>
      <c r="M277" s="48"/>
      <c r="N277" s="22">
        <f t="shared" si="297"/>
        <v>-102.5421048946683</v>
      </c>
      <c r="O277" s="49">
        <f>SUM(J266:J277,H266:H277)</f>
        <v>145.97100239778189</v>
      </c>
      <c r="P277" s="50">
        <f t="shared" ref="P277" si="301">VLOOKUP(O277,$R$11:$T$17,3,TRUE)</f>
        <v>9.3279999999999994</v>
      </c>
      <c r="Q277" s="50">
        <f t="shared" ref="Q277" si="302">VLOOKUP(O277,$R$11:$S$17,1,TRUE)</f>
        <v>81.05</v>
      </c>
      <c r="R277" s="50">
        <f t="shared" ref="R277" si="303">O277-Q277</f>
        <v>64.921002397781891</v>
      </c>
      <c r="S277" s="51">
        <f t="shared" ref="S277" si="304">VLOOKUP(O277,$R$11:$U$17,4,TRUE)</f>
        <v>0.22</v>
      </c>
      <c r="T277" s="50">
        <f t="shared" ref="T277" si="305">R277*S277</f>
        <v>14.282620527512016</v>
      </c>
      <c r="U277" s="50">
        <f t="shared" ref="U277" si="306">P277+T277</f>
        <v>23.610620527512015</v>
      </c>
      <c r="V277" s="50">
        <f t="shared" ref="V277" si="307">IF(AC277&gt;AD277,AD277,AC277)</f>
        <v>7.2985501198890947</v>
      </c>
      <c r="W277" s="56" t="str">
        <f t="shared" ref="W277" si="308">IF(AC277&gt;AD277,$V$15,$V$16)</f>
        <v>Massachussets</v>
      </c>
      <c r="X277" s="50">
        <f t="shared" ref="X277" si="309">VLOOKUP(O277,$X$11:$Z$19,3,TRUE)</f>
        <v>5.1631999999999998</v>
      </c>
      <c r="Y277" s="50">
        <f t="shared" ref="Y277" si="310">VLOOKUP(O277,$X$11:$Y$19,1,TRUE)</f>
        <v>117.268</v>
      </c>
      <c r="Z277" s="50">
        <f t="shared" ref="Z277" si="311">O277-Y277</f>
        <v>28.703002397781887</v>
      </c>
      <c r="AA277" s="51">
        <f t="shared" ref="AA277" si="312">VLOOKUP(O277,$X$11:$AA$19,4,TRUE)</f>
        <v>9.2999999999999999E-2</v>
      </c>
      <c r="AB277" s="50">
        <f t="shared" ref="AB277" si="313">Z277*AA277</f>
        <v>2.6693792229937157</v>
      </c>
      <c r="AC277" s="50">
        <f t="shared" ref="AC277" si="314">X277+AB277</f>
        <v>7.832579222993715</v>
      </c>
      <c r="AD277" s="52">
        <f t="shared" ref="AD277" si="315">O277*$AD$9</f>
        <v>7.2985501198890947</v>
      </c>
      <c r="AF277" s="248"/>
      <c r="AG277" s="248"/>
      <c r="AH277" s="248"/>
      <c r="AI277" s="248"/>
      <c r="AJ277" s="248"/>
      <c r="AK277" s="248"/>
      <c r="AL277" s="248"/>
      <c r="AM277" s="248"/>
    </row>
    <row r="278" spans="2:39" s="78" customFormat="1" ht="15" thickBot="1" x14ac:dyDescent="0.35">
      <c r="B278" s="113"/>
      <c r="C278" s="122" t="s">
        <v>26</v>
      </c>
      <c r="D278" s="115"/>
      <c r="E278" s="115"/>
      <c r="F278" s="115"/>
      <c r="G278" s="115"/>
      <c r="H278" s="123">
        <f>SUM(H266:H277)</f>
        <v>-2.3706451695402304</v>
      </c>
      <c r="I278" s="116"/>
      <c r="J278" s="124">
        <f>SUM(J266:J277)</f>
        <v>148.3416475673221</v>
      </c>
      <c r="K278" s="115"/>
      <c r="L278" s="124">
        <f>SUM(L266:L277)</f>
        <v>114.1938874873569</v>
      </c>
      <c r="M278" s="116"/>
      <c r="N278" s="116"/>
      <c r="O278" s="117"/>
      <c r="P278" s="118"/>
      <c r="Q278" s="118"/>
      <c r="R278" s="118"/>
      <c r="S278" s="119"/>
      <c r="T278" s="118"/>
      <c r="U278" s="118"/>
      <c r="V278" s="118"/>
      <c r="W278" s="120"/>
      <c r="X278" s="118"/>
      <c r="Y278" s="118"/>
      <c r="Z278" s="118"/>
      <c r="AA278" s="119"/>
      <c r="AB278" s="118"/>
      <c r="AC278" s="118"/>
      <c r="AD278" s="121"/>
      <c r="AF278" s="248"/>
      <c r="AG278" s="248"/>
      <c r="AH278" s="248"/>
      <c r="AI278" s="248"/>
      <c r="AJ278" s="248"/>
      <c r="AK278" s="248"/>
      <c r="AL278" s="248"/>
      <c r="AM278" s="248"/>
    </row>
    <row r="279" spans="2:39" s="78" customFormat="1" x14ac:dyDescent="0.3">
      <c r="B279" s="37"/>
      <c r="C279" s="38"/>
      <c r="D279" s="36"/>
      <c r="E279" s="36"/>
      <c r="F279" s="36"/>
      <c r="G279" s="36"/>
      <c r="H279" s="36"/>
      <c r="I279" s="158"/>
      <c r="J279" s="158"/>
      <c r="K279" s="36"/>
      <c r="L279" s="158"/>
      <c r="M279" s="158"/>
      <c r="N279" s="158"/>
      <c r="O279" s="159"/>
      <c r="P279" s="160"/>
      <c r="Q279" s="160"/>
      <c r="R279" s="160"/>
      <c r="S279" s="161"/>
      <c r="T279" s="160"/>
      <c r="U279" s="160"/>
      <c r="V279" s="160"/>
      <c r="W279" s="162"/>
      <c r="X279" s="160"/>
      <c r="Y279" s="160"/>
      <c r="Z279" s="160"/>
      <c r="AA279" s="161"/>
      <c r="AB279" s="160"/>
      <c r="AC279" s="160"/>
      <c r="AD279" s="160"/>
      <c r="AF279" s="248"/>
      <c r="AG279" s="248"/>
      <c r="AH279" s="248"/>
      <c r="AI279" s="248"/>
      <c r="AJ279" s="248"/>
      <c r="AK279" s="248"/>
      <c r="AL279" s="248"/>
      <c r="AM279" s="248"/>
    </row>
    <row r="280" spans="2:39" ht="15" customHeight="1" thickBot="1" x14ac:dyDescent="0.35">
      <c r="AF280" s="248"/>
      <c r="AG280" s="248"/>
      <c r="AH280" s="248"/>
      <c r="AI280" s="248"/>
      <c r="AJ280" s="248"/>
      <c r="AK280" s="248"/>
      <c r="AL280" s="248"/>
      <c r="AM280" s="248"/>
    </row>
    <row r="281" spans="2:39" ht="15" customHeight="1" thickBot="1" x14ac:dyDescent="0.35">
      <c r="I281" s="232" t="s">
        <v>61</v>
      </c>
      <c r="J281" s="230"/>
      <c r="K281" s="230"/>
      <c r="L281" s="230"/>
      <c r="M281" s="212">
        <f>M172+M188+M204+M220+M236+M268+M252</f>
        <v>272.3025475100066</v>
      </c>
      <c r="P281" s="257" t="s">
        <v>68</v>
      </c>
      <c r="Q281" s="258"/>
      <c r="R281" s="259"/>
      <c r="AL281" s="216"/>
      <c r="AM281" s="216"/>
    </row>
    <row r="282" spans="2:39" ht="22.8" customHeight="1" x14ac:dyDescent="0.3">
      <c r="P282" s="253" t="s">
        <v>64</v>
      </c>
      <c r="Q282" s="254"/>
      <c r="R282" s="21">
        <f>G266</f>
        <v>48.170187842194025</v>
      </c>
    </row>
    <row r="283" spans="2:39" ht="14.4" customHeight="1" x14ac:dyDescent="0.3">
      <c r="P283" s="244" t="s">
        <v>63</v>
      </c>
      <c r="Q283" s="245"/>
      <c r="R283" s="19">
        <f>8%</f>
        <v>0.08</v>
      </c>
    </row>
    <row r="284" spans="2:39" ht="30.6" customHeight="1" x14ac:dyDescent="0.3">
      <c r="P284" s="246" t="s">
        <v>69</v>
      </c>
      <c r="Q284" s="247"/>
      <c r="R284" s="12">
        <f>R282*(1+R283)</f>
        <v>52.02380286956955</v>
      </c>
    </row>
    <row r="285" spans="2:39" x14ac:dyDescent="0.3">
      <c r="P285" s="244" t="s">
        <v>15</v>
      </c>
      <c r="Q285" s="245"/>
      <c r="R285" s="12">
        <f>L278</f>
        <v>114.1938874873569</v>
      </c>
    </row>
    <row r="286" spans="2:39" ht="15" thickBot="1" x14ac:dyDescent="0.35">
      <c r="P286" s="244" t="s">
        <v>65</v>
      </c>
      <c r="Q286" s="245"/>
      <c r="R286" s="12">
        <f>M268</f>
        <v>34.147760079965167</v>
      </c>
    </row>
    <row r="287" spans="2:39" ht="37.200000000000003" customHeight="1" thickBot="1" x14ac:dyDescent="0.35">
      <c r="P287" s="255" t="s">
        <v>70</v>
      </c>
      <c r="Q287" s="256"/>
      <c r="R287" s="214">
        <f>R284</f>
        <v>52.02380286956955</v>
      </c>
      <c r="S287" s="218">
        <f>R287/(R285+R286)</f>
        <v>0.35070260929898006</v>
      </c>
    </row>
    <row r="288" spans="2:39" ht="15" thickBot="1" x14ac:dyDescent="0.35">
      <c r="P288" s="244" t="s">
        <v>66</v>
      </c>
      <c r="Q288" s="245"/>
      <c r="R288" s="214">
        <f>R285+R286-R287</f>
        <v>96.31784469775252</v>
      </c>
      <c r="S288" s="219">
        <f>R288/(R285+R286)</f>
        <v>0.64929739070101988</v>
      </c>
    </row>
    <row r="289" spans="16:18" x14ac:dyDescent="0.3">
      <c r="P289" s="244" t="s">
        <v>31</v>
      </c>
      <c r="Q289" s="245"/>
      <c r="R289" s="214">
        <f>R287</f>
        <v>52.02380286956955</v>
      </c>
    </row>
    <row r="290" spans="16:18" ht="15" thickBot="1" x14ac:dyDescent="0.35">
      <c r="P290" s="250" t="s">
        <v>45</v>
      </c>
      <c r="Q290" s="251"/>
      <c r="R290" s="14">
        <f>I266</f>
        <v>2.2721786718016048</v>
      </c>
    </row>
  </sheetData>
  <mergeCells count="123">
    <mergeCell ref="B185:C185"/>
    <mergeCell ref="B201:C201"/>
    <mergeCell ref="B234:B245"/>
    <mergeCell ref="B250:B261"/>
    <mergeCell ref="P289:Q289"/>
    <mergeCell ref="P290:Q290"/>
    <mergeCell ref="AF158:AI164"/>
    <mergeCell ref="AF265:AM280"/>
    <mergeCell ref="P282:Q282"/>
    <mergeCell ref="P285:Q285"/>
    <mergeCell ref="P286:Q286"/>
    <mergeCell ref="P287:Q287"/>
    <mergeCell ref="P288:Q288"/>
    <mergeCell ref="P281:R281"/>
    <mergeCell ref="P283:Q283"/>
    <mergeCell ref="P284:Q284"/>
    <mergeCell ref="S18:T18"/>
    <mergeCell ref="Y20:Z20"/>
    <mergeCell ref="B24:C24"/>
    <mergeCell ref="B40:C40"/>
    <mergeCell ref="AF30:AK36"/>
    <mergeCell ref="AF135:AK149"/>
    <mergeCell ref="I281:L281"/>
    <mergeCell ref="D200:F200"/>
    <mergeCell ref="G200:K200"/>
    <mergeCell ref="M200:N200"/>
    <mergeCell ref="O200:AD200"/>
    <mergeCell ref="D248:F248"/>
    <mergeCell ref="G248:K248"/>
    <mergeCell ref="M248:N248"/>
    <mergeCell ref="O248:AD248"/>
    <mergeCell ref="D264:F264"/>
    <mergeCell ref="G264:K264"/>
    <mergeCell ref="M264:N264"/>
    <mergeCell ref="O264:AD264"/>
    <mergeCell ref="D216:F216"/>
    <mergeCell ref="G216:K216"/>
    <mergeCell ref="B217:C217"/>
    <mergeCell ref="G2:H2"/>
    <mergeCell ref="D13:E13"/>
    <mergeCell ref="D15:E15"/>
    <mergeCell ref="D6:E6"/>
    <mergeCell ref="AC8:AE8"/>
    <mergeCell ref="A2:D5"/>
    <mergeCell ref="J2:O2"/>
    <mergeCell ref="W8:AA8"/>
    <mergeCell ref="Q8:U8"/>
    <mergeCell ref="D12:E12"/>
    <mergeCell ref="M216:N216"/>
    <mergeCell ref="O216:AD216"/>
    <mergeCell ref="D232:F232"/>
    <mergeCell ref="G232:K232"/>
    <mergeCell ref="M232:N232"/>
    <mergeCell ref="O232:AD232"/>
    <mergeCell ref="D168:F168"/>
    <mergeCell ref="G168:K168"/>
    <mergeCell ref="M168:N168"/>
    <mergeCell ref="O168:AD168"/>
    <mergeCell ref="D184:F184"/>
    <mergeCell ref="G184:K184"/>
    <mergeCell ref="M184:N184"/>
    <mergeCell ref="O184:AD184"/>
    <mergeCell ref="O135:AD135"/>
    <mergeCell ref="D152:F152"/>
    <mergeCell ref="G152:K152"/>
    <mergeCell ref="M152:N152"/>
    <mergeCell ref="O152:AD152"/>
    <mergeCell ref="D103:F103"/>
    <mergeCell ref="G103:K103"/>
    <mergeCell ref="M103:N103"/>
    <mergeCell ref="O103:AD103"/>
    <mergeCell ref="D119:F119"/>
    <mergeCell ref="G119:K119"/>
    <mergeCell ref="M119:N119"/>
    <mergeCell ref="O119:AD119"/>
    <mergeCell ref="G22:K22"/>
    <mergeCell ref="D22:F22"/>
    <mergeCell ref="O22:AD22"/>
    <mergeCell ref="M22:N22"/>
    <mergeCell ref="D39:F39"/>
    <mergeCell ref="G39:K39"/>
    <mergeCell ref="M39:N39"/>
    <mergeCell ref="O39:AD39"/>
    <mergeCell ref="B218:B229"/>
    <mergeCell ref="D87:F87"/>
    <mergeCell ref="G87:K87"/>
    <mergeCell ref="M87:N87"/>
    <mergeCell ref="O87:AD87"/>
    <mergeCell ref="D55:F55"/>
    <mergeCell ref="G55:K55"/>
    <mergeCell ref="M55:N55"/>
    <mergeCell ref="O55:AD55"/>
    <mergeCell ref="D71:F71"/>
    <mergeCell ref="G71:K71"/>
    <mergeCell ref="M71:N71"/>
    <mergeCell ref="O71:AD71"/>
    <mergeCell ref="D135:F135"/>
    <mergeCell ref="G135:K135"/>
    <mergeCell ref="M135:N135"/>
    <mergeCell ref="B266:B277"/>
    <mergeCell ref="B121:B132"/>
    <mergeCell ref="B137:B148"/>
    <mergeCell ref="B154:B165"/>
    <mergeCell ref="B170:B181"/>
    <mergeCell ref="B186:B197"/>
    <mergeCell ref="B202:B213"/>
    <mergeCell ref="B25:B36"/>
    <mergeCell ref="B41:B52"/>
    <mergeCell ref="B57:B68"/>
    <mergeCell ref="B73:B84"/>
    <mergeCell ref="B89:B100"/>
    <mergeCell ref="B105:B116"/>
    <mergeCell ref="B56:C56"/>
    <mergeCell ref="B72:C72"/>
    <mergeCell ref="B88:C88"/>
    <mergeCell ref="B104:C104"/>
    <mergeCell ref="B233:C233"/>
    <mergeCell ref="B249:C249"/>
    <mergeCell ref="B265:C265"/>
    <mergeCell ref="B120:C120"/>
    <mergeCell ref="B136:C136"/>
    <mergeCell ref="B153:C153"/>
    <mergeCell ref="B169:C169"/>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2" id="{59065263-156D-4B14-9B1D-4F8D232A2EAD}">
            <x14:iconSet iconSet="3Triangles">
              <x14:cfvo type="percent">
                <xm:f>0</xm:f>
              </x14:cfvo>
              <x14:cfvo type="percent">
                <xm:f>33</xm:f>
              </x14:cfvo>
              <x14:cfvo type="percent">
                <xm:f>67</xm:f>
              </x14:cfvo>
            </x14:iconSet>
          </x14:cfRule>
          <xm:sqref>D8:D11 D13 D15</xm:sqref>
        </x14:conditionalFormatting>
        <x14:conditionalFormatting xmlns:xm="http://schemas.microsoft.com/office/excel/2006/main">
          <x14:cfRule type="iconSet" priority="1" id="{9A0791F6-10FD-45AB-B861-AC0E6993D550}">
            <x14:iconSet iconSet="3Triangles">
              <x14:cfvo type="percent">
                <xm:f>0</xm:f>
              </x14:cfvo>
              <x14:cfvo type="percent">
                <xm:f>33</xm:f>
              </x14:cfvo>
              <x14:cfvo type="percent">
                <xm:f>67</xm:f>
              </x14:cfvo>
            </x14:iconSet>
          </x14:cfRule>
          <xm:sqref>E8:E11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
  <sheetViews>
    <sheetView workbookViewId="0">
      <selection activeCell="L25" sqref="L25"/>
    </sheetView>
  </sheetViews>
  <sheetFormatPr defaultRowHeight="14.4" x14ac:dyDescent="0.3"/>
  <sheetData>
    <row r="1" spans="1:9" s="4" customFormat="1" x14ac:dyDescent="0.3"/>
    <row r="2" spans="1:9" ht="14.4" customHeight="1" x14ac:dyDescent="0.3">
      <c r="A2" s="260" t="s">
        <v>39</v>
      </c>
      <c r="B2" s="260"/>
      <c r="C2" s="260"/>
      <c r="D2" s="260"/>
      <c r="E2" s="260"/>
      <c r="F2" s="260"/>
      <c r="G2" s="260"/>
      <c r="H2" s="260"/>
      <c r="I2" s="260"/>
    </row>
    <row r="3" spans="1:9" x14ac:dyDescent="0.3">
      <c r="A3" s="260"/>
      <c r="B3" s="260"/>
      <c r="C3" s="260"/>
      <c r="D3" s="260"/>
      <c r="E3" s="260"/>
      <c r="F3" s="260"/>
      <c r="G3" s="260"/>
      <c r="H3" s="260"/>
      <c r="I3" s="260"/>
    </row>
    <row r="4" spans="1:9" x14ac:dyDescent="0.3">
      <c r="A4" s="260"/>
      <c r="B4" s="260"/>
      <c r="C4" s="260"/>
      <c r="D4" s="260"/>
      <c r="E4" s="260"/>
      <c r="F4" s="260"/>
      <c r="G4" s="260"/>
      <c r="H4" s="260"/>
      <c r="I4" s="260"/>
    </row>
    <row r="5" spans="1:9" x14ac:dyDescent="0.3">
      <c r="A5" s="24"/>
      <c r="B5" s="24"/>
      <c r="C5" s="24"/>
      <c r="D5" s="24"/>
      <c r="E5" s="24"/>
      <c r="F5" s="24"/>
      <c r="G5" s="24"/>
      <c r="H5" s="24"/>
    </row>
    <row r="6" spans="1:9" x14ac:dyDescent="0.3">
      <c r="A6" s="24"/>
      <c r="B6" s="24"/>
      <c r="C6" s="24"/>
      <c r="D6" s="24"/>
      <c r="E6" s="24"/>
      <c r="F6" s="24"/>
      <c r="G6" s="24"/>
      <c r="H6" s="24"/>
    </row>
    <row r="7" spans="1:9" x14ac:dyDescent="0.3">
      <c r="A7" s="24"/>
      <c r="B7" s="24"/>
      <c r="C7" s="24"/>
      <c r="D7" s="24"/>
      <c r="E7" s="24"/>
      <c r="F7" s="24"/>
      <c r="G7" s="24"/>
      <c r="H7" s="24"/>
    </row>
    <row r="8" spans="1:9" x14ac:dyDescent="0.3">
      <c r="A8" s="24"/>
      <c r="B8" s="24"/>
      <c r="C8" s="24"/>
      <c r="D8" s="24"/>
      <c r="E8" s="24"/>
      <c r="F8" s="24"/>
      <c r="G8" s="24"/>
      <c r="H8" s="24"/>
    </row>
    <row r="9" spans="1:9" x14ac:dyDescent="0.3">
      <c r="A9" s="24"/>
      <c r="B9" s="24"/>
      <c r="C9" s="24"/>
      <c r="D9" s="24"/>
      <c r="E9" s="24"/>
      <c r="F9" s="24"/>
      <c r="G9" s="24"/>
      <c r="H9" s="24"/>
    </row>
  </sheetData>
  <mergeCells count="1">
    <mergeCell ref="A2:I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41B6E60DE49364AA391538E6EF07241" ma:contentTypeVersion="4" ma:contentTypeDescription="Create a new document." ma:contentTypeScope="" ma:versionID="f2218a040e81835b7952f53e24be9473">
  <xsd:schema xmlns:xsd="http://www.w3.org/2001/XMLSchema" xmlns:xs="http://www.w3.org/2001/XMLSchema" xmlns:p="http://schemas.microsoft.com/office/2006/metadata/properties" xmlns:ns3="5336a789-ed30-452c-bc1d-c5220104d358" targetNamespace="http://schemas.microsoft.com/office/2006/metadata/properties" ma:root="true" ma:fieldsID="cee9f5c497ce791ea5f53df9b28bd367" ns3:_="">
    <xsd:import namespace="5336a789-ed30-452c-bc1d-c5220104d35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36a789-ed30-452c-bc1d-c5220104d3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335371-A7C0-4BB0-A5DE-9EE39D5F9C9B}">
  <ds:schemaRefs>
    <ds:schemaRef ds:uri="5336a789-ed30-452c-bc1d-c5220104d358"/>
    <ds:schemaRef ds:uri="http://schemas.microsoft.com/office/2006/documentManagement/types"/>
    <ds:schemaRef ds:uri="http://www.w3.org/XML/1998/namespace"/>
    <ds:schemaRef ds:uri="http://purl.org/dc/dcmitype/"/>
    <ds:schemaRef ds:uri="http://purl.org/dc/elements/1.1/"/>
    <ds:schemaRef ds:uri="http://purl.org/dc/term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7CF8BF48-B9A2-4EC7-8F20-D504C4E76A6B}">
  <ds:schemaRefs>
    <ds:schemaRef ds:uri="http://schemas.microsoft.com/sharepoint/v3/contenttype/forms"/>
  </ds:schemaRefs>
</ds:datastoreItem>
</file>

<file path=customXml/itemProps3.xml><?xml version="1.0" encoding="utf-8"?>
<ds:datastoreItem xmlns:ds="http://schemas.openxmlformats.org/officeDocument/2006/customXml" ds:itemID="{A44481CE-9610-4A9D-A7C5-03C054C9C3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36a789-ed30-452c-bc1d-c5220104d3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Retirement Financial Plan</vt:lpstr>
      <vt:lpstr>References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Probook G3</dc:creator>
  <cp:lastModifiedBy>Probook G3</cp:lastModifiedBy>
  <dcterms:created xsi:type="dcterms:W3CDTF">2021-10-06T22:42:21Z</dcterms:created>
  <dcterms:modified xsi:type="dcterms:W3CDTF">2021-11-04T16:11:46Z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0x010100341B6E60DE49364AA391538E6EF07241</vt:lpwstr>
  </property>
</Properties>
</file>