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ommander Table" sheetId="2" r:id="rId5"/>
    <sheet state="visible" name="Elemental (Units)" sheetId="3" r:id="rId6"/>
    <sheet state="visible" name="Physical &amp; Defence (Units)" sheetId="4" r:id="rId7"/>
    <sheet state="visible" name="Heal (Commander)" sheetId="5" r:id="rId8"/>
    <sheet state="visible" name="Heal Cap" sheetId="6" r:id="rId9"/>
    <sheet state="visible" name="Physical (Commander)" sheetId="7" r:id="rId10"/>
    <sheet state="visible" name="Elemental (Commander)" sheetId="8" r:id="rId11"/>
    <sheet state="hidden" name="Separated Physical (Commander)" sheetId="9" r:id="rId12"/>
    <sheet state="hidden" name="Normal Physical (Commander)" sheetId="10" r:id="rId13"/>
    <sheet state="hidden" name="Skill Physical (Commander)"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N98">
      <text>
        <t xml:space="preserve">+Active damage from Durin's Blood also works for elemental damage skills</t>
      </text>
    </comment>
  </commentList>
</comments>
</file>

<file path=xl/sharedStrings.xml><?xml version="1.0" encoding="utf-8"?>
<sst xmlns="http://schemas.openxmlformats.org/spreadsheetml/2006/main" count="2893" uniqueCount="195">
  <si>
    <t>Hi, Welcome to my Battle Analysis spreadsheet!</t>
  </si>
  <si>
    <t>Contact me on Discord: Theo Harkes#8162</t>
  </si>
  <si>
    <t>Thanks to the people on the Forge, and numerous other players, for discussing game mechanics and in doing so helping me find the formulas for the collected data.</t>
  </si>
  <si>
    <t>I used this spreadsheet to extract the following equations:</t>
  </si>
  <si>
    <t>Damage Coefficient = Max(0.10, 1 + Sum of relevant Damage Modifiers)</t>
  </si>
  <si>
    <t>So all buffs and debuffs are additive, including physical damage reduction from defence</t>
  </si>
  <si>
    <t>All modifiers have to be in coefficient form, so -10% becomes -0.10 etc.</t>
  </si>
  <si>
    <t>The minimum of the damage coefficient is 0.1 (10%), so units will always do some damage and can't do negative damage.</t>
  </si>
  <si>
    <r>
      <rPr>
        <rFont val="Arial"/>
        <b/>
        <color theme="1"/>
      </rPr>
      <t xml:space="preserve">Physical Damage Received </t>
    </r>
    <r>
      <rPr>
        <rFont val="Arial"/>
        <b val="0"/>
        <color theme="1"/>
      </rPr>
      <t>(from defence)</t>
    </r>
    <r>
      <rPr>
        <rFont val="Arial"/>
        <b/>
        <color theme="1"/>
      </rPr>
      <t xml:space="preserve"> = -0.9 * Defence / (120+Defence)</t>
    </r>
  </si>
  <si>
    <t>Unit Damage = Damage Coefficient * Attack Roll * Effective Units</t>
  </si>
  <si>
    <t>Effective Units = Effective Command * Units per Command = 50 / 3 * Command / (75+Command) * Units per Command</t>
  </si>
  <si>
    <t>Effective Command = Command * Unit Effectiveness = 50 / 3 * Command / (75+Command)</t>
  </si>
  <si>
    <t>Unit Effectiveness = 50 / 3 / (75+Command)</t>
  </si>
  <si>
    <t>Command is the command of the units that are attacking</t>
  </si>
  <si>
    <t>Attack Roll is the attack value the stack rolls for that specific attack. For normal attack modifiying skills, like alchemists 'Flames of Orthanc', the attack roll is multiplied by the effect. My current speculation is that the attack roll can be any decimal number between the minimum and maximum damage per unit; however most of my tests have been with fixed damage numbers so I consider it untested.</t>
  </si>
  <si>
    <t>Commander Physical Normal Attack Damage = Damage Coefficient * Might * (4 + Army Command Factor)</t>
  </si>
  <si>
    <t>Commander Physical Skill Damage = Damage Coefficient * Attack Coefficient * Might * (2 + Army Command Factor)</t>
  </si>
  <si>
    <t>Commander Elemental Damage = Damage Coefficient * (2 * Focus + Attack Coefficient * 100 * Army Command Factor)</t>
  </si>
  <si>
    <t>Army Command Factor = 25 * Total Command / (75+Total Command)</t>
  </si>
  <si>
    <t>Total Command is the command of your whole army when the skill activates</t>
  </si>
  <si>
    <t>Attack Coefficient is the percentage stated in the skills text in coefficient form, so 200% =&gt; 2.0 etc.</t>
  </si>
  <si>
    <r>
      <rPr/>
      <t xml:space="preserve">For scaling skills the attack coefficient is modified: Attack Coefficient = base + scaling factor * stat
(base is not the percentage stated in the skills text; base and scaling factor are different per skill so have to be tested on a per skill basis)
I tested most scaling skills; you can find their formulas </t>
    </r>
    <r>
      <rPr>
        <color rgb="FF1155CC"/>
        <u/>
      </rPr>
      <t>here</t>
    </r>
  </si>
  <si>
    <t>In general skills that convert normal attacks to elemental damage will just use the elemental damage formula instead; Some skills (like Undertaker) however don't fit that description and seems to scale with both might and focus</t>
  </si>
  <si>
    <r>
      <rPr>
        <rFont val="Arial"/>
        <b/>
        <color theme="1"/>
      </rPr>
      <t>(15/15) Undertaker</t>
    </r>
    <r>
      <rPr>
        <rFont val="Arial"/>
        <color theme="1"/>
      </rPr>
      <t xml:space="preserve"> </t>
    </r>
    <r>
      <rPr>
        <rFont val="Arial"/>
        <b/>
        <color theme="1"/>
      </rPr>
      <t>Damage</t>
    </r>
    <r>
      <rPr>
        <rFont val="Arial"/>
        <color theme="1"/>
      </rPr>
      <t xml:space="preserve"> = Damage Coefficient * (2 * Focus + Attack Coeficient * Might * Army Command Factor)</t>
    </r>
  </si>
  <si>
    <r>
      <rPr>
        <rFont val="Arial"/>
        <b/>
        <color theme="1"/>
      </rPr>
      <t xml:space="preserve">(15/15) Mistress of Magic </t>
    </r>
    <r>
      <rPr>
        <rFont val="Arial"/>
        <color theme="1"/>
      </rPr>
      <t>transforms normal attacks to a 100% elemental (focus) damage spell</t>
    </r>
  </si>
  <si>
    <r>
      <rPr>
        <rFont val="Arial"/>
        <b/>
        <color theme="1"/>
      </rPr>
      <t>(15/15) Fire Dancer</t>
    </r>
    <r>
      <rPr>
        <rFont val="Arial"/>
        <color theme="1"/>
      </rPr>
      <t xml:space="preserve"> transforms normal attacks to a 100% elemental (burn/fire) damage spell</t>
    </r>
  </si>
  <si>
    <r>
      <rPr>
        <rFont val="Arial"/>
        <b/>
        <color theme="1"/>
      </rPr>
      <t xml:space="preserve">Incorporeal </t>
    </r>
    <r>
      <rPr>
        <rFont val="Arial"/>
        <color theme="1"/>
      </rPr>
      <t>transforms normal attacks to an x% elemental (focus) damage spell</t>
    </r>
  </si>
  <si>
    <t>Commander Heal = Recovery Coefficient * Heal Coefficient * 300 * Army Command Factor</t>
  </si>
  <si>
    <t>Recovery Coefficient = 1 + Sum of Recovery Modifiers (unkown if this has lower bound like the damage coefficient)</t>
  </si>
  <si>
    <t>Heal Coefficient is the percentage stated in the heals text in coefficient form, so 200% =&gt; 2.0 etc.</t>
  </si>
  <si>
    <r>
      <rPr>
        <rFont val="Arial"/>
      </rPr>
      <t xml:space="preserve">For scaling heals the heal coefficient is modified: Heal Coefficient = base + scaling factor * stat
(base is not the percentage stated in the skills text; base and scaling factor are different per skill so have to be tested on a per skill basis)
I tested most scaling skills; you can find their formulas </t>
    </r>
    <r>
      <rPr>
        <rFont val="Arial"/>
        <color rgb="FF1155CC"/>
        <u/>
      </rPr>
      <t>here</t>
    </r>
  </si>
  <si>
    <t>The maximum percentage of hitpoints that can be healed is based on when the damage was dealt with respect to the heal on a per round basis. So far it looks like the percentages are:
Same Round: 95%
1 Round ago: 82.5%
2 Rounds ago: 72%
3 Rounds ago: 62.5%
4 Rounds ago: 54.5%
5 Rounds ago: 47.25%
6 Rounds ago: 41%
7 Rounds ago: 36%
8 Rounds ago: Unknown
9 Rounds ago: Unknown
The percentages from 4 or more rounds ago are somewhat guesstimated, check the 'Heal Cap' tab for the data.</t>
  </si>
  <si>
    <t>Effect</t>
  </si>
  <si>
    <t>Base portion</t>
  </si>
  <si>
    <t>Command scaling portion</t>
  </si>
  <si>
    <t>Multiplicative with</t>
  </si>
  <si>
    <t>Formula</t>
  </si>
  <si>
    <t>Physical Normal Damage</t>
  </si>
  <si>
    <t>4 * Might</t>
  </si>
  <si>
    <t>Might * Army Command Factor</t>
  </si>
  <si>
    <t>Damage Coefficient</t>
  </si>
  <si>
    <t>Physical Skill Damage</t>
  </si>
  <si>
    <t>2 * Might * Attack Coefficient</t>
  </si>
  <si>
    <t>Might * Attack Coefficient * Army Command Factor</t>
  </si>
  <si>
    <t>(Undertaker)</t>
  </si>
  <si>
    <t>2 * Focus</t>
  </si>
  <si>
    <t>Elemental Damage</t>
  </si>
  <si>
    <t>100 * Attack Coefficient * Army Command Factor</t>
  </si>
  <si>
    <t>Heal</t>
  </si>
  <si>
    <t>300 * Heal Coefficient * Army Command Factor</t>
  </si>
  <si>
    <t>Recovery Coefficient</t>
  </si>
  <si>
    <t>Unit</t>
  </si>
  <si>
    <t>Amount</t>
  </si>
  <si>
    <t>Units / Command</t>
  </si>
  <si>
    <t>Attack</t>
  </si>
  <si>
    <t>Damage</t>
  </si>
  <si>
    <t>Target</t>
  </si>
  <si>
    <t>Damage Received</t>
  </si>
  <si>
    <t>Damage Dealt</t>
  </si>
  <si>
    <t>Damage / Unit</t>
  </si>
  <si>
    <t>Effectiveness</t>
  </si>
  <si>
    <t>Base Damage / Unit</t>
  </si>
  <si>
    <t>Base Effectiveness</t>
  </si>
  <si>
    <t>(expected)</t>
  </si>
  <si>
    <t>(relative difference)</t>
  </si>
  <si>
    <t>Command</t>
  </si>
  <si>
    <t>Effective Command</t>
  </si>
  <si>
    <t>Base Effective Command</t>
  </si>
  <si>
    <t>Alchemist</t>
  </si>
  <si>
    <t>Mercenary</t>
  </si>
  <si>
    <t>Marauder</t>
  </si>
  <si>
    <t>Brute</t>
  </si>
  <si>
    <t>Pikeman</t>
  </si>
  <si>
    <t>Scout</t>
  </si>
  <si>
    <t>Pirate</t>
  </si>
  <si>
    <t>Tracker</t>
  </si>
  <si>
    <t>Uruk Archer</t>
  </si>
  <si>
    <t>Dwarven Footmen</t>
  </si>
  <si>
    <t>Hunter</t>
  </si>
  <si>
    <t>Brawler</t>
  </si>
  <si>
    <t>Sapper</t>
  </si>
  <si>
    <t>Cataphract</t>
  </si>
  <si>
    <t>Ravager</t>
  </si>
  <si>
    <t>Dragoon</t>
  </si>
  <si>
    <t>Mountain Troll</t>
  </si>
  <si>
    <t>Ram Rider</t>
  </si>
  <si>
    <t>Halberdier</t>
  </si>
  <si>
    <t>Corsair</t>
  </si>
  <si>
    <t>Knight</t>
  </si>
  <si>
    <t>Orc Crossbowman</t>
  </si>
  <si>
    <t>Snaga Thrak</t>
  </si>
  <si>
    <t>Cave Troll</t>
  </si>
  <si>
    <t>Guardian</t>
  </si>
  <si>
    <t>Fallen</t>
  </si>
  <si>
    <t>Cavalier</t>
  </si>
  <si>
    <t>Outrider</t>
  </si>
  <si>
    <t>Defence</t>
  </si>
  <si>
    <t>Buff Coefficient</t>
  </si>
  <si>
    <t>Defense Reduction</t>
  </si>
  <si>
    <t>(difference)</t>
  </si>
  <si>
    <t>Effective
Command</t>
  </si>
  <si>
    <t/>
  </si>
  <si>
    <t>Crusher</t>
  </si>
  <si>
    <t>Axe Thrower</t>
  </si>
  <si>
    <t>Master Thrower</t>
  </si>
  <si>
    <t>Goat Rider</t>
  </si>
  <si>
    <t>Iron Warrior</t>
  </si>
  <si>
    <t>Barrow-wight</t>
  </si>
  <si>
    <t>Dragon</t>
  </si>
  <si>
    <t>Guard of the Tower</t>
  </si>
  <si>
    <t>Balrog</t>
  </si>
  <si>
    <t>Commander</t>
  </si>
  <si>
    <t>Total Command</t>
  </si>
  <si>
    <t>Skill</t>
  </si>
  <si>
    <t>Heal Coefficient</t>
  </si>
  <si>
    <t>Heal / Heal Coefficient</t>
  </si>
  <si>
    <t>Eowyn</t>
  </si>
  <si>
    <t>White Lady of Rohan</t>
  </si>
  <si>
    <t>Mend</t>
  </si>
  <si>
    <t>Frontline Rescue</t>
  </si>
  <si>
    <t>Haldir</t>
  </si>
  <si>
    <t>Beast Training</t>
  </si>
  <si>
    <t>Gandalf the Grey</t>
  </si>
  <si>
    <t>The Grey</t>
  </si>
  <si>
    <t>Capped Heal</t>
  </si>
  <si>
    <t>Damage Taken in Rounds Relative to Heal</t>
  </si>
  <si>
    <t>Damage Taken</t>
  </si>
  <si>
    <t>Heal%</t>
  </si>
  <si>
    <t>Cap% in Rounds Relative to Heal</t>
  </si>
  <si>
    <t>Predicted Heal Cap</t>
  </si>
  <si>
    <t>Predicted Heal%</t>
  </si>
  <si>
    <t>Might</t>
  </si>
  <si>
    <t>Attack Coefficient</t>
  </si>
  <si>
    <t>Defense
Reduction</t>
  </si>
  <si>
    <t>Damage
Coefficient</t>
  </si>
  <si>
    <t>Damage Type</t>
  </si>
  <si>
    <t>Damage / Might / Attack Coefficient</t>
  </si>
  <si>
    <t>Base Damage / Might / Attack Coefficient</t>
  </si>
  <si>
    <t>Agzok</t>
  </si>
  <si>
    <t>Normal</t>
  </si>
  <si>
    <t>Skirmisher</t>
  </si>
  <si>
    <t>Shadow of the Mist</t>
  </si>
  <si>
    <t>Grunt</t>
  </si>
  <si>
    <t>Pierce</t>
  </si>
  <si>
    <t>Breaker</t>
  </si>
  <si>
    <t>Overwhelm (1)</t>
  </si>
  <si>
    <t>Horseback Archer</t>
  </si>
  <si>
    <t>Laceration</t>
  </si>
  <si>
    <t>Deepen Wounds</t>
  </si>
  <si>
    <t>Horseman</t>
  </si>
  <si>
    <t>Militia</t>
  </si>
  <si>
    <t>Overwhelm (2)</t>
  </si>
  <si>
    <t>Bruiser</t>
  </si>
  <si>
    <t>Stalker</t>
  </si>
  <si>
    <t>Legolas</t>
  </si>
  <si>
    <t>Mirkwood Ambush (1)</t>
  </si>
  <si>
    <t>Aragorn II</t>
  </si>
  <si>
    <t>Grima</t>
  </si>
  <si>
    <t>Azru-Khor</t>
  </si>
  <si>
    <t>Gorbag</t>
  </si>
  <si>
    <t>Gothmog</t>
  </si>
  <si>
    <t>Merry &amp; Pippin</t>
  </si>
  <si>
    <t>Boromir</t>
  </si>
  <si>
    <t>Bowman</t>
  </si>
  <si>
    <t>Orc Archer</t>
  </si>
  <si>
    <t>Ori</t>
  </si>
  <si>
    <t>Ugthak</t>
  </si>
  <si>
    <t>Hirgon</t>
  </si>
  <si>
    <t>Faramir</t>
  </si>
  <si>
    <t>Dwalin</t>
  </si>
  <si>
    <t>Rangers of Ithilien</t>
  </si>
  <si>
    <t>Rush</t>
  </si>
  <si>
    <t>Silvan Elf (1)</t>
  </si>
  <si>
    <t>Kirun</t>
  </si>
  <si>
    <t>Elven Prince</t>
  </si>
  <si>
    <t>Ent</t>
  </si>
  <si>
    <t>Thorin</t>
  </si>
  <si>
    <t>Oakenshield</t>
  </si>
  <si>
    <t>King Under the Mountain</t>
  </si>
  <si>
    <t>Warlord</t>
  </si>
  <si>
    <t>Cleave</t>
  </si>
  <si>
    <t>Focus</t>
  </si>
  <si>
    <t>Unmodified Damage</t>
  </si>
  <si>
    <t>Additional Focus Damage</t>
  </si>
  <si>
    <t>Base Damage</t>
  </si>
  <si>
    <t>Base Damage / Attack Coefficient</t>
  </si>
  <si>
    <t>Silvan Elf (2)</t>
  </si>
  <si>
    <t>Scorch</t>
  </si>
  <si>
    <t>Searing Axe</t>
  </si>
  <si>
    <t>Light Cavalry</t>
  </si>
  <si>
    <t>Mirkwood Ambush</t>
  </si>
  <si>
    <t>Miltia</t>
  </si>
  <si>
    <t>Powder Keg</t>
  </si>
  <si>
    <t>Celeborn</t>
  </si>
  <si>
    <t>Arson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</si>
</sst>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000"/>
  </numFmts>
  <fonts count="16">
    <font>
      <sz val="10.0"/>
      <color rgb="FF000000"/>
      <name val="Arial"/>
      <scheme val="minor"/>
    </font>
    <font>
      <b/>
      <color theme="1"/>
      <name val="Arial"/>
      <scheme val="minor"/>
    </font>
    <font>
      <color theme="1"/>
      <name val="Arial"/>
      <scheme val="minor"/>
    </font>
    <font>
      <color rgb="FF000000"/>
      <name val="Arial"/>
    </font>
    <font>
      <u/>
      <color rgb="FF0000FF"/>
    </font>
    <font>
      <b/>
      <color theme="1"/>
      <name val="Arial"/>
    </font>
    <font>
      <color theme="1"/>
      <name val="Arial"/>
    </font>
    <font>
      <u/>
      <color rgb="FF0000FF"/>
      <name val="Arial"/>
    </font>
    <font>
      <color rgb="FF999999"/>
      <name val="Arial"/>
      <scheme val="minor"/>
    </font>
    <font/>
    <font>
      <b/>
      <color rgb="FF999999"/>
      <name val="Arial"/>
      <scheme val="minor"/>
    </font>
    <font>
      <color rgb="FF999999"/>
      <name val="Arial"/>
    </font>
    <font>
      <b/>
      <color rgb="FF999999"/>
      <name val="Arial"/>
    </font>
    <font>
      <b/>
      <color rgb="FF000000"/>
      <name val="Arial"/>
      <scheme val="minor"/>
    </font>
    <font>
      <color rgb="FF000000"/>
      <name val="Arial"/>
      <scheme val="minor"/>
    </font>
    <font>
      <color rgb="FFFF0000"/>
      <name val="Arial"/>
      <scheme val="minor"/>
    </font>
  </fonts>
  <fills count="7">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B7B7B7"/>
        <bgColor rgb="FFB7B7B7"/>
      </patternFill>
    </fill>
    <fill>
      <patternFill patternType="solid">
        <fgColor rgb="FFF4CCCC"/>
        <bgColor rgb="FFF4CCCC"/>
      </patternFill>
    </fill>
  </fills>
  <borders count="13">
    <border/>
    <border>
      <right style="double">
        <color rgb="FF000000"/>
      </right>
      <bottom style="double">
        <color rgb="FF000000"/>
      </bottom>
    </border>
    <border>
      <bottom style="double">
        <color rgb="FF000000"/>
      </bottom>
    </border>
    <border>
      <right style="double">
        <color rgb="FF000000"/>
      </right>
    </border>
    <border>
      <left style="thin">
        <color rgb="FF000000"/>
      </left>
      <bottom style="double">
        <color rgb="FF000000"/>
      </bottom>
    </border>
    <border>
      <left style="thin">
        <color rgb="FF000000"/>
      </left>
      <right style="thin">
        <color rgb="FF000000"/>
      </right>
      <bottom style="double">
        <color rgb="FF000000"/>
      </bottom>
    </border>
    <border>
      <left style="thin">
        <color rgb="FF000000"/>
      </left>
    </border>
    <border>
      <left style="thin">
        <color rgb="FF000000"/>
      </left>
      <right style="thin">
        <color rgb="FF000000"/>
      </right>
    </border>
    <border>
      <right style="thin">
        <color rgb="FF000000"/>
      </right>
      <bottom style="double">
        <color rgb="FF000000"/>
      </bottom>
    </border>
    <border>
      <right style="thin">
        <color rgb="FF000000"/>
      </right>
    </border>
    <border>
      <right style="thin">
        <color rgb="FF000000"/>
      </right>
      <bottom style="thin">
        <color rgb="FF000000"/>
      </bottom>
    </border>
    <border>
      <bottom style="thin">
        <color rgb="FF000000"/>
      </bottom>
    </border>
    <border>
      <right style="double">
        <color rgb="FF000000"/>
      </right>
      <bottom style="thin">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2" fontId="3" numFmtId="0" xfId="0" applyAlignment="1" applyFill="1" applyFont="1">
      <alignment horizontal="left" readingOrder="0"/>
    </xf>
    <xf borderId="0" fillId="0" fontId="4" numFmtId="0" xfId="0" applyAlignment="1" applyFont="1">
      <alignment readingOrder="0" shrinkToFit="0" wrapText="1"/>
    </xf>
    <xf borderId="0" fillId="0" fontId="2"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readingOrder="0" shrinkToFit="0" vertical="bottom" wrapText="1"/>
    </xf>
    <xf borderId="0" fillId="0" fontId="6" numFmtId="0" xfId="0" applyAlignment="1" applyFont="1">
      <alignment readingOrder="0" shrinkToFit="0" vertical="bottom" wrapText="1"/>
    </xf>
    <xf borderId="1" fillId="0" fontId="1" numFmtId="0" xfId="0" applyAlignment="1" applyBorder="1" applyFont="1">
      <alignment readingOrder="0" shrinkToFit="0" vertical="center" wrapText="1"/>
    </xf>
    <xf borderId="2" fillId="0" fontId="1" numFmtId="0" xfId="0" applyAlignment="1" applyBorder="1" applyFont="1">
      <alignment horizontal="right" readingOrder="0" shrinkToFit="0" vertical="center" wrapText="1"/>
    </xf>
    <xf borderId="1" fillId="0" fontId="1" numFmtId="0" xfId="0" applyAlignment="1" applyBorder="1" applyFont="1">
      <alignment horizontal="right" readingOrder="0" shrinkToFit="0" vertical="center" wrapText="1"/>
    </xf>
    <xf borderId="3" fillId="0" fontId="1" numFmtId="0" xfId="0" applyAlignment="1" applyBorder="1" applyFont="1">
      <alignment readingOrder="0" shrinkToFit="0" vertical="center" wrapText="1"/>
    </xf>
    <xf borderId="0" fillId="0" fontId="2" numFmtId="0" xfId="0" applyAlignment="1" applyFont="1">
      <alignment horizontal="right" readingOrder="0" shrinkToFit="0" vertical="center" wrapText="1"/>
    </xf>
    <xf borderId="3" fillId="0" fontId="2" numFmtId="0" xfId="0" applyAlignment="1" applyBorder="1" applyFont="1">
      <alignment horizontal="right" readingOrder="0" shrinkToFit="0" vertical="center" wrapText="1"/>
    </xf>
    <xf borderId="0" fillId="0" fontId="8" numFmtId="0" xfId="0" applyAlignment="1" applyFont="1">
      <alignment horizontal="right" readingOrder="0" shrinkToFit="0" vertical="center" wrapText="1"/>
    </xf>
    <xf borderId="3" fillId="0" fontId="2" numFmtId="0" xfId="0" applyAlignment="1" applyBorder="1" applyFont="1">
      <alignment readingOrder="0" shrinkToFit="0" vertical="center" wrapText="1"/>
    </xf>
    <xf borderId="2" fillId="3" fontId="1" numFmtId="0" xfId="0" applyAlignment="1" applyBorder="1" applyFill="1" applyFont="1">
      <alignment horizontal="right" readingOrder="0" shrinkToFit="0" vertical="bottom" wrapText="1"/>
    </xf>
    <xf borderId="2" fillId="3" fontId="1" numFmtId="1" xfId="0" applyAlignment="1" applyBorder="1" applyFont="1" applyNumberFormat="1">
      <alignment horizontal="right" readingOrder="0" shrinkToFit="0" vertical="bottom" wrapText="1"/>
    </xf>
    <xf borderId="2" fillId="3" fontId="1" numFmtId="164" xfId="0" applyAlignment="1" applyBorder="1" applyFont="1" applyNumberFormat="1">
      <alignment horizontal="right" readingOrder="0" shrinkToFit="0" vertical="bottom" wrapText="1"/>
    </xf>
    <xf borderId="1" fillId="3" fontId="1" numFmtId="0" xfId="0" applyAlignment="1" applyBorder="1" applyFont="1">
      <alignment horizontal="right" readingOrder="0" shrinkToFit="0" vertical="bottom" wrapText="1"/>
    </xf>
    <xf borderId="2" fillId="3" fontId="1" numFmtId="165" xfId="0" applyAlignment="1" applyBorder="1" applyFont="1" applyNumberFormat="1">
      <alignment horizontal="center" readingOrder="0" shrinkToFit="0" vertical="bottom" wrapText="1"/>
    </xf>
    <xf borderId="2" fillId="3" fontId="9" numFmtId="0" xfId="0" applyBorder="1" applyFont="1"/>
    <xf borderId="4" fillId="3" fontId="1" numFmtId="165" xfId="0" applyAlignment="1" applyBorder="1" applyFont="1" applyNumberFormat="1">
      <alignment horizontal="center" readingOrder="0" shrinkToFit="0" vertical="bottom" wrapText="1"/>
    </xf>
    <xf borderId="5" fillId="3" fontId="1" numFmtId="165" xfId="0" applyAlignment="1" applyBorder="1" applyFont="1" applyNumberFormat="1">
      <alignment horizontal="right" readingOrder="0" shrinkToFit="0" vertical="bottom" wrapText="1"/>
    </xf>
    <xf borderId="2" fillId="3" fontId="2" numFmtId="2" xfId="0" applyAlignment="1" applyBorder="1" applyFont="1" applyNumberFormat="1">
      <alignment horizontal="right" readingOrder="0" shrinkToFit="0" vertical="bottom" wrapText="1"/>
    </xf>
    <xf borderId="2" fillId="3" fontId="2" numFmtId="166" xfId="0" applyAlignment="1" applyBorder="1" applyFont="1" applyNumberFormat="1">
      <alignment horizontal="right" readingOrder="0" shrinkToFit="0" vertical="bottom" wrapText="1"/>
    </xf>
    <xf borderId="2" fillId="3" fontId="1" numFmtId="166" xfId="0" applyAlignment="1" applyBorder="1" applyFont="1" applyNumberFormat="1">
      <alignment horizontal="right" readingOrder="0" shrinkToFit="0" vertical="bottom" wrapText="1"/>
    </xf>
    <xf borderId="4" fillId="3" fontId="2" numFmtId="2" xfId="0" applyAlignment="1" applyBorder="1" applyFont="1" applyNumberFormat="1">
      <alignment horizontal="right" readingOrder="0" shrinkToFit="0" vertical="bottom" wrapText="1"/>
    </xf>
    <xf borderId="2" fillId="3" fontId="1" numFmtId="164" xfId="0" applyAlignment="1" applyBorder="1" applyFont="1" applyNumberFormat="1">
      <alignment readingOrder="0" shrinkToFit="0" vertical="bottom" wrapText="1"/>
    </xf>
    <xf borderId="0" fillId="2" fontId="2" numFmtId="0" xfId="0" applyAlignment="1" applyFont="1">
      <alignment horizontal="right" readingOrder="0" vertical="center"/>
    </xf>
    <xf borderId="0" fillId="2" fontId="2" numFmtId="1" xfId="0" applyAlignment="1" applyFont="1" applyNumberFormat="1">
      <alignment horizontal="right" readingOrder="0" vertical="center"/>
    </xf>
    <xf borderId="0" fillId="2" fontId="2" numFmtId="164" xfId="0" applyAlignment="1" applyFont="1" applyNumberFormat="1">
      <alignment horizontal="right" vertical="center"/>
    </xf>
    <xf borderId="3" fillId="2" fontId="2" numFmtId="0" xfId="0" applyAlignment="1" applyBorder="1" applyFont="1">
      <alignment horizontal="right" readingOrder="0" shrinkToFit="0" vertical="center" wrapText="1"/>
    </xf>
    <xf borderId="0" fillId="2" fontId="2" numFmtId="165" xfId="0" applyAlignment="1" applyFont="1" applyNumberFormat="1">
      <alignment horizontal="right" readingOrder="0" vertical="center"/>
    </xf>
    <xf borderId="6" fillId="2" fontId="2" numFmtId="165" xfId="0" applyAlignment="1" applyBorder="1" applyFont="1" applyNumberFormat="1">
      <alignment horizontal="right" readingOrder="0" vertical="center"/>
    </xf>
    <xf borderId="7" fillId="2" fontId="10" numFmtId="165" xfId="0" applyAlignment="1" applyBorder="1" applyFont="1" applyNumberFormat="1">
      <alignment horizontal="right" readingOrder="0" vertical="center"/>
    </xf>
    <xf borderId="0" fillId="2" fontId="8" numFmtId="2" xfId="0" applyAlignment="1" applyFont="1" applyNumberFormat="1">
      <alignment horizontal="right" readingOrder="0" vertical="center"/>
    </xf>
    <xf borderId="0" fillId="2" fontId="8" numFmtId="166" xfId="0" applyAlignment="1" applyFont="1" applyNumberFormat="1">
      <alignment horizontal="right" readingOrder="0" vertical="center"/>
    </xf>
    <xf borderId="0" fillId="2" fontId="10" numFmtId="166" xfId="0" applyAlignment="1" applyFont="1" applyNumberFormat="1">
      <alignment horizontal="right" readingOrder="0" vertical="center"/>
    </xf>
    <xf borderId="6" fillId="2" fontId="8" numFmtId="2" xfId="0" applyAlignment="1" applyBorder="1" applyFont="1" applyNumberFormat="1">
      <alignment horizontal="right" readingOrder="0" vertical="center"/>
    </xf>
    <xf borderId="0" fillId="2" fontId="8" numFmtId="164" xfId="0" applyAlignment="1" applyFont="1" applyNumberFormat="1">
      <alignment readingOrder="0" vertical="center"/>
    </xf>
    <xf borderId="0" fillId="4" fontId="2" numFmtId="0" xfId="0" applyAlignment="1" applyFill="1" applyFont="1">
      <alignment horizontal="right" readingOrder="0" vertical="center"/>
    </xf>
    <xf borderId="0" fillId="4" fontId="2" numFmtId="1" xfId="0" applyAlignment="1" applyFont="1" applyNumberFormat="1">
      <alignment horizontal="right" readingOrder="0" vertical="center"/>
    </xf>
    <xf borderId="0" fillId="4" fontId="2" numFmtId="164" xfId="0" applyAlignment="1" applyFont="1" applyNumberFormat="1">
      <alignment horizontal="right" readingOrder="0" vertical="center"/>
    </xf>
    <xf borderId="3" fillId="4" fontId="2" numFmtId="0" xfId="0" applyAlignment="1" applyBorder="1" applyFont="1">
      <alignment horizontal="right" readingOrder="0" shrinkToFit="0" vertical="center" wrapText="1"/>
    </xf>
    <xf borderId="0" fillId="4" fontId="2" numFmtId="165" xfId="0" applyAlignment="1" applyFont="1" applyNumberFormat="1">
      <alignment horizontal="right" readingOrder="0" vertical="center"/>
    </xf>
    <xf borderId="6" fillId="4" fontId="2" numFmtId="165" xfId="0" applyAlignment="1" applyBorder="1" applyFont="1" applyNumberFormat="1">
      <alignment horizontal="right" readingOrder="0" vertical="center"/>
    </xf>
    <xf borderId="7" fillId="4" fontId="10" numFmtId="165" xfId="0" applyAlignment="1" applyBorder="1" applyFont="1" applyNumberFormat="1">
      <alignment horizontal="right" readingOrder="0" vertical="center"/>
    </xf>
    <xf borderId="0" fillId="4" fontId="8" numFmtId="2" xfId="0" applyAlignment="1" applyFont="1" applyNumberFormat="1">
      <alignment horizontal="right" readingOrder="0" vertical="center"/>
    </xf>
    <xf borderId="0" fillId="4" fontId="8" numFmtId="166" xfId="0" applyAlignment="1" applyFont="1" applyNumberFormat="1">
      <alignment horizontal="right" readingOrder="0" vertical="center"/>
    </xf>
    <xf borderId="0" fillId="4" fontId="10" numFmtId="166" xfId="0" applyAlignment="1" applyFont="1" applyNumberFormat="1">
      <alignment horizontal="right" readingOrder="0" vertical="center"/>
    </xf>
    <xf borderId="6" fillId="4" fontId="8" numFmtId="2" xfId="0" applyAlignment="1" applyBorder="1" applyFont="1" applyNumberFormat="1">
      <alignment horizontal="right" readingOrder="0" vertical="center"/>
    </xf>
    <xf borderId="0" fillId="4" fontId="8" numFmtId="164" xfId="0" applyAlignment="1" applyFont="1" applyNumberFormat="1">
      <alignment readingOrder="0" vertical="center"/>
    </xf>
    <xf borderId="0" fillId="2" fontId="2" numFmtId="164" xfId="0" applyAlignment="1" applyFont="1" applyNumberFormat="1">
      <alignment horizontal="right" readingOrder="0" vertical="center"/>
    </xf>
    <xf borderId="0" fillId="4" fontId="2" numFmtId="164" xfId="0" applyAlignment="1" applyFont="1" applyNumberFormat="1">
      <alignment horizontal="right" vertical="center"/>
    </xf>
    <xf borderId="0" fillId="2" fontId="2" numFmtId="0" xfId="0" applyAlignment="1" applyFont="1">
      <alignment vertical="center"/>
    </xf>
    <xf borderId="0" fillId="4" fontId="2" numFmtId="0" xfId="0" applyAlignment="1" applyFont="1">
      <alignment vertical="center"/>
    </xf>
    <xf borderId="0" fillId="2" fontId="6" numFmtId="0" xfId="0" applyAlignment="1" applyFont="1">
      <alignment horizontal="right" vertical="center"/>
    </xf>
    <xf borderId="0" fillId="2" fontId="6" numFmtId="164" xfId="0" applyAlignment="1" applyFont="1" applyNumberFormat="1">
      <alignment horizontal="right" vertical="center"/>
    </xf>
    <xf borderId="0" fillId="2" fontId="6" numFmtId="1" xfId="0" applyAlignment="1" applyFont="1" applyNumberFormat="1">
      <alignment horizontal="right" vertical="center"/>
    </xf>
    <xf borderId="3" fillId="2" fontId="6" numFmtId="2" xfId="0" applyAlignment="1" applyBorder="1" applyFont="1" applyNumberFormat="1">
      <alignment horizontal="right" shrinkToFit="0" vertical="center" wrapText="1"/>
    </xf>
    <xf borderId="0" fillId="2" fontId="6" numFmtId="165" xfId="0" applyAlignment="1" applyFont="1" applyNumberFormat="1">
      <alignment horizontal="right" readingOrder="0" vertical="center"/>
    </xf>
    <xf borderId="0" fillId="2" fontId="6" numFmtId="165" xfId="0" applyAlignment="1" applyFont="1" applyNumberFormat="1">
      <alignment horizontal="right" vertical="center"/>
    </xf>
    <xf borderId="6" fillId="2" fontId="6" numFmtId="165" xfId="0" applyAlignment="1" applyBorder="1" applyFont="1" applyNumberFormat="1">
      <alignment horizontal="right" vertical="center"/>
    </xf>
    <xf borderId="3" fillId="2" fontId="6" numFmtId="0" xfId="0" applyAlignment="1" applyBorder="1" applyFont="1">
      <alignment horizontal="right" shrinkToFit="0" vertical="center" wrapText="1"/>
    </xf>
    <xf borderId="0" fillId="2" fontId="11" numFmtId="2" xfId="0" applyAlignment="1" applyFont="1" applyNumberFormat="1">
      <alignment horizontal="right" vertical="center"/>
    </xf>
    <xf borderId="0" fillId="2" fontId="11" numFmtId="166" xfId="0" applyAlignment="1" applyFont="1" applyNumberFormat="1">
      <alignment horizontal="right" vertical="center"/>
    </xf>
    <xf borderId="0" fillId="2" fontId="6" numFmtId="164" xfId="0" applyAlignment="1" applyFont="1" applyNumberFormat="1">
      <alignment vertical="center"/>
    </xf>
    <xf borderId="2" fillId="3" fontId="5" numFmtId="1" xfId="0" applyAlignment="1" applyBorder="1" applyFont="1" applyNumberFormat="1">
      <alignment horizontal="right" readingOrder="0" shrinkToFit="0" vertical="bottom" wrapText="1"/>
    </xf>
    <xf borderId="1" fillId="3" fontId="1" numFmtId="164" xfId="0" applyAlignment="1" applyBorder="1" applyFont="1" applyNumberFormat="1">
      <alignment horizontal="right" readingOrder="0" shrinkToFit="0" vertical="bottom" wrapText="1"/>
    </xf>
    <xf borderId="4" fillId="3" fontId="1" numFmtId="165" xfId="0" applyAlignment="1" applyBorder="1" applyFont="1" applyNumberFormat="1">
      <alignment horizontal="right" readingOrder="0" shrinkToFit="0" vertical="bottom" wrapText="1"/>
    </xf>
    <xf borderId="2" fillId="3" fontId="2" numFmtId="165" xfId="0" applyAlignment="1" applyBorder="1" applyFont="1" applyNumberFormat="1">
      <alignment horizontal="right" readingOrder="0" shrinkToFit="0" vertical="bottom" wrapText="1"/>
    </xf>
    <xf borderId="8" fillId="3" fontId="2" numFmtId="166" xfId="0" applyAlignment="1" applyBorder="1" applyFont="1" applyNumberFormat="1">
      <alignment horizontal="right" readingOrder="0" shrinkToFit="0" vertical="bottom" wrapText="1"/>
    </xf>
    <xf borderId="0" fillId="2" fontId="6" numFmtId="1" xfId="0" applyAlignment="1" applyFont="1" applyNumberFormat="1">
      <alignment horizontal="right" readingOrder="0" vertical="center"/>
    </xf>
    <xf borderId="3" fillId="2" fontId="2" numFmtId="164" xfId="0" applyAlignment="1" applyBorder="1" applyFont="1" applyNumberFormat="1">
      <alignment horizontal="right" readingOrder="0" vertical="center"/>
    </xf>
    <xf borderId="6" fillId="2" fontId="10" numFmtId="165" xfId="0" applyAlignment="1" applyBorder="1" applyFont="1" applyNumberFormat="1">
      <alignment horizontal="right" readingOrder="0" vertical="center"/>
    </xf>
    <xf borderId="0" fillId="2" fontId="8" numFmtId="165" xfId="0" applyAlignment="1" applyFont="1" applyNumberFormat="1">
      <alignment horizontal="right" readingOrder="0" vertical="center"/>
    </xf>
    <xf borderId="9" fillId="2" fontId="8" numFmtId="166" xfId="0" applyAlignment="1" applyBorder="1" applyFont="1" applyNumberFormat="1">
      <alignment horizontal="right" readingOrder="0" vertical="center"/>
    </xf>
    <xf borderId="0" fillId="2" fontId="8" numFmtId="164" xfId="0" applyAlignment="1" applyFont="1" applyNumberFormat="1">
      <alignment readingOrder="0"/>
    </xf>
    <xf borderId="0" fillId="4" fontId="6" numFmtId="1" xfId="0" applyAlignment="1" applyFont="1" applyNumberFormat="1">
      <alignment horizontal="right" readingOrder="0" vertical="center"/>
    </xf>
    <xf borderId="3" fillId="4" fontId="2" numFmtId="164" xfId="0" applyAlignment="1" applyBorder="1" applyFont="1" applyNumberFormat="1">
      <alignment horizontal="right" readingOrder="0" vertical="center"/>
    </xf>
    <xf borderId="6" fillId="4" fontId="10" numFmtId="165" xfId="0" applyAlignment="1" applyBorder="1" applyFont="1" applyNumberFormat="1">
      <alignment horizontal="right" readingOrder="0" vertical="center"/>
    </xf>
    <xf borderId="0" fillId="4" fontId="8" numFmtId="165" xfId="0" applyAlignment="1" applyFont="1" applyNumberFormat="1">
      <alignment horizontal="right" readingOrder="0" vertical="center"/>
    </xf>
    <xf borderId="9" fillId="4" fontId="8" numFmtId="166" xfId="0" applyAlignment="1" applyBorder="1" applyFont="1" applyNumberFormat="1">
      <alignment horizontal="right" readingOrder="0" vertical="center"/>
    </xf>
    <xf borderId="0" fillId="4" fontId="8" numFmtId="164" xfId="0" applyAlignment="1" applyFont="1" applyNumberFormat="1">
      <alignment readingOrder="0"/>
    </xf>
    <xf borderId="0" fillId="4" fontId="2" numFmtId="165" xfId="0" applyAlignment="1" applyFont="1" applyNumberFormat="1">
      <alignment horizontal="center" readingOrder="0" vertical="center"/>
    </xf>
    <xf borderId="2" fillId="0" fontId="5" numFmtId="2" xfId="0" applyAlignment="1" applyBorder="1" applyFont="1" applyNumberFormat="1">
      <alignment horizontal="right" shrinkToFit="0" wrapText="1"/>
    </xf>
    <xf borderId="2" fillId="0" fontId="5" numFmtId="2" xfId="0" applyAlignment="1" applyBorder="1" applyFont="1" applyNumberFormat="1">
      <alignment horizontal="right" readingOrder="0" shrinkToFit="0" wrapText="1"/>
    </xf>
    <xf borderId="2" fillId="0" fontId="5" numFmtId="1" xfId="0" applyAlignment="1" applyBorder="1" applyFont="1" applyNumberFormat="1">
      <alignment horizontal="right" readingOrder="0" shrinkToFit="0" wrapText="1"/>
    </xf>
    <xf borderId="1" fillId="0" fontId="5" numFmtId="0" xfId="0" applyAlignment="1" applyBorder="1" applyFont="1">
      <alignment horizontal="right" readingOrder="0" shrinkToFit="0" wrapText="1"/>
    </xf>
    <xf borderId="2" fillId="0" fontId="5" numFmtId="164" xfId="0" applyAlignment="1" applyBorder="1" applyFont="1" applyNumberFormat="1">
      <alignment horizontal="right" readingOrder="0" shrinkToFit="0" wrapText="1"/>
    </xf>
    <xf borderId="2" fillId="0" fontId="6" numFmtId="164" xfId="0" applyAlignment="1" applyBorder="1" applyFont="1" applyNumberFormat="1">
      <alignment horizontal="right" readingOrder="0" shrinkToFit="0" wrapText="1"/>
    </xf>
    <xf borderId="2" fillId="0" fontId="6" numFmtId="165" xfId="0" applyAlignment="1" applyBorder="1" applyFont="1" applyNumberFormat="1">
      <alignment horizontal="right" readingOrder="0" shrinkToFit="0" wrapText="1"/>
    </xf>
    <xf borderId="2" fillId="0" fontId="5" numFmtId="1" xfId="0" applyAlignment="1" applyBorder="1" applyFont="1" applyNumberFormat="1">
      <alignment horizontal="right" shrinkToFit="0" wrapText="1"/>
    </xf>
    <xf borderId="0" fillId="0" fontId="6" numFmtId="0" xfId="0" applyAlignment="1" applyFont="1">
      <alignment horizontal="right" readingOrder="0"/>
    </xf>
    <xf borderId="0" fillId="0" fontId="6" numFmtId="2" xfId="0" applyAlignment="1" applyFont="1" applyNumberFormat="1">
      <alignment horizontal="right" readingOrder="0"/>
    </xf>
    <xf borderId="0" fillId="0" fontId="6" numFmtId="1" xfId="0" applyAlignment="1" applyFont="1" applyNumberFormat="1">
      <alignment horizontal="right" readingOrder="0"/>
    </xf>
    <xf borderId="3" fillId="0" fontId="6" numFmtId="0" xfId="0" applyAlignment="1" applyBorder="1" applyFont="1">
      <alignment horizontal="right" readingOrder="0"/>
    </xf>
    <xf borderId="0" fillId="0" fontId="12" numFmtId="164" xfId="0" applyAlignment="1" applyFont="1" applyNumberFormat="1">
      <alignment horizontal="right"/>
    </xf>
    <xf borderId="0" fillId="0" fontId="11" numFmtId="164" xfId="0" applyAlignment="1" applyFont="1" applyNumberFormat="1">
      <alignment horizontal="right"/>
    </xf>
    <xf borderId="0" fillId="0" fontId="11" numFmtId="165" xfId="0" applyAlignment="1" applyFont="1" applyNumberFormat="1">
      <alignment horizontal="right"/>
    </xf>
    <xf borderId="0" fillId="0" fontId="11" numFmtId="1" xfId="0" applyAlignment="1" applyFont="1" applyNumberFormat="1">
      <alignment horizontal="right"/>
    </xf>
    <xf borderId="0" fillId="0" fontId="6" numFmtId="2" xfId="0" applyAlignment="1" applyFont="1" applyNumberFormat="1">
      <alignment horizontal="right"/>
    </xf>
    <xf borderId="3" fillId="0" fontId="6" numFmtId="0" xfId="0" applyAlignment="1" applyBorder="1" applyFont="1">
      <alignment horizontal="right"/>
    </xf>
    <xf borderId="0" fillId="0" fontId="6" numFmtId="0" xfId="0" applyAlignment="1" applyFont="1">
      <alignment horizontal="right"/>
    </xf>
    <xf borderId="9" fillId="5" fontId="5" numFmtId="1" xfId="0" applyAlignment="1" applyBorder="1" applyFill="1" applyFont="1" applyNumberFormat="1">
      <alignment horizontal="right" readingOrder="0" shrinkToFit="0" wrapText="1"/>
    </xf>
    <xf borderId="0" fillId="5" fontId="5" numFmtId="1" xfId="0" applyAlignment="1" applyFont="1" applyNumberFormat="1">
      <alignment horizontal="center" readingOrder="0" shrinkToFit="0" wrapText="1"/>
    </xf>
    <xf borderId="3" fillId="0" fontId="9" numFmtId="0" xfId="0" applyBorder="1" applyFont="1"/>
    <xf borderId="0" fillId="5" fontId="6" numFmtId="1" xfId="0" applyAlignment="1" applyFont="1" applyNumberFormat="1">
      <alignment horizontal="right" readingOrder="0" shrinkToFit="0" wrapText="1"/>
    </xf>
    <xf borderId="9" fillId="5" fontId="5" numFmtId="165" xfId="0" applyAlignment="1" applyBorder="1" applyFont="1" applyNumberFormat="1">
      <alignment horizontal="right" readingOrder="0" shrinkToFit="0" wrapText="1"/>
    </xf>
    <xf borderId="6" fillId="5" fontId="5" numFmtId="1" xfId="0" applyAlignment="1" applyBorder="1" applyFont="1" applyNumberFormat="1">
      <alignment horizontal="center" readingOrder="0" shrinkToFit="0" wrapText="1"/>
    </xf>
    <xf borderId="9" fillId="0" fontId="9" numFmtId="0" xfId="0" applyBorder="1" applyFont="1"/>
    <xf borderId="6" fillId="5" fontId="5" numFmtId="164" xfId="0" applyAlignment="1" applyBorder="1" applyFont="1" applyNumberFormat="1">
      <alignment horizontal="center" readingOrder="0" shrinkToFit="0" wrapText="1"/>
    </xf>
    <xf borderId="9" fillId="5" fontId="6" numFmtId="164" xfId="0" applyAlignment="1" applyBorder="1" applyFont="1" applyNumberFormat="1">
      <alignment horizontal="center" readingOrder="0" shrinkToFit="0" wrapText="1"/>
    </xf>
    <xf borderId="0" fillId="5" fontId="5" numFmtId="165" xfId="0" applyAlignment="1" applyFont="1" applyNumberFormat="1">
      <alignment horizontal="center" readingOrder="0" shrinkToFit="0" wrapText="1"/>
    </xf>
    <xf borderId="0" fillId="5" fontId="6" numFmtId="165" xfId="0" applyAlignment="1" applyFont="1" applyNumberFormat="1">
      <alignment horizontal="center" readingOrder="0" shrinkToFit="0" wrapText="1"/>
    </xf>
    <xf borderId="6" fillId="5" fontId="6" numFmtId="165" xfId="0" applyAlignment="1" applyBorder="1" applyFont="1" applyNumberFormat="1">
      <alignment horizontal="right" readingOrder="0" shrinkToFit="0" wrapText="1"/>
    </xf>
    <xf borderId="9" fillId="3" fontId="9" numFmtId="0" xfId="0" applyBorder="1" applyFont="1"/>
    <xf borderId="3" fillId="3" fontId="9" numFmtId="0" xfId="0" applyBorder="1" applyFont="1"/>
    <xf borderId="6" fillId="5" fontId="5" numFmtId="1" xfId="0" applyAlignment="1" applyBorder="1" applyFont="1" applyNumberFormat="1">
      <alignment horizontal="right" readingOrder="0" shrinkToFit="0" wrapText="1"/>
    </xf>
    <xf borderId="0" fillId="5" fontId="5" numFmtId="1" xfId="0" applyAlignment="1" applyFont="1" applyNumberFormat="1">
      <alignment horizontal="right" readingOrder="0" shrinkToFit="0" wrapText="1"/>
    </xf>
    <xf borderId="6" fillId="3" fontId="9" numFmtId="0" xfId="0" applyBorder="1" applyFont="1"/>
    <xf borderId="8" fillId="2" fontId="9" numFmtId="0" xfId="0" applyBorder="1" applyFont="1"/>
    <xf borderId="2" fillId="5" fontId="5" numFmtId="1" xfId="0" applyAlignment="1" applyBorder="1" applyFont="1" applyNumberFormat="1">
      <alignment horizontal="right" readingOrder="0" shrinkToFit="0" wrapText="1"/>
    </xf>
    <xf borderId="1" fillId="5" fontId="5" numFmtId="1" xfId="0" applyAlignment="1" applyBorder="1" applyFont="1" applyNumberFormat="1">
      <alignment horizontal="right" readingOrder="0" shrinkToFit="0" wrapText="1"/>
    </xf>
    <xf borderId="2" fillId="2" fontId="9" numFmtId="0" xfId="0" applyBorder="1" applyFont="1"/>
    <xf borderId="4" fillId="5" fontId="6" numFmtId="165" xfId="0" applyAlignment="1" applyBorder="1" applyFont="1" applyNumberFormat="1">
      <alignment horizontal="right" readingOrder="0" shrinkToFit="0" wrapText="1"/>
    </xf>
    <xf borderId="2" fillId="5" fontId="6" numFmtId="165" xfId="0" applyAlignment="1" applyBorder="1" applyFont="1" applyNumberFormat="1">
      <alignment horizontal="right" readingOrder="0" shrinkToFit="0" wrapText="1"/>
    </xf>
    <xf borderId="4" fillId="2" fontId="9" numFmtId="0" xfId="0" applyBorder="1" applyFont="1"/>
    <xf borderId="9" fillId="4" fontId="6" numFmtId="1" xfId="0" applyAlignment="1" applyBorder="1" applyFont="1" applyNumberFormat="1">
      <alignment horizontal="right" readingOrder="0"/>
    </xf>
    <xf borderId="0" fillId="4" fontId="6" numFmtId="1" xfId="0" applyAlignment="1" applyFont="1" applyNumberFormat="1">
      <alignment horizontal="right" readingOrder="0"/>
    </xf>
    <xf borderId="3" fillId="4" fontId="6" numFmtId="1" xfId="0" applyAlignment="1" applyBorder="1" applyFont="1" applyNumberFormat="1">
      <alignment horizontal="right" readingOrder="0"/>
    </xf>
    <xf borderId="0" fillId="4" fontId="11" numFmtId="1" xfId="0" applyAlignment="1" applyFont="1" applyNumberFormat="1">
      <alignment horizontal="right" readingOrder="0"/>
    </xf>
    <xf borderId="0" fillId="4" fontId="11" numFmtId="165" xfId="0" applyAlignment="1" applyFont="1" applyNumberFormat="1">
      <alignment horizontal="right" readingOrder="0"/>
    </xf>
    <xf borderId="6" fillId="4" fontId="11" numFmtId="165" xfId="0" applyAlignment="1" applyBorder="1" applyFont="1" applyNumberFormat="1">
      <alignment horizontal="right" readingOrder="0"/>
    </xf>
    <xf borderId="6" fillId="4" fontId="11" numFmtId="164" xfId="0" applyAlignment="1" applyBorder="1" applyFont="1" applyNumberFormat="1">
      <alignment horizontal="right" readingOrder="0"/>
    </xf>
    <xf borderId="9" fillId="4" fontId="11" numFmtId="164" xfId="0" applyAlignment="1" applyBorder="1" applyFont="1" applyNumberFormat="1">
      <alignment horizontal="right" readingOrder="0"/>
    </xf>
    <xf borderId="9" fillId="2" fontId="6" numFmtId="1" xfId="0" applyAlignment="1" applyBorder="1" applyFont="1" applyNumberFormat="1">
      <alignment horizontal="right" readingOrder="0"/>
    </xf>
    <xf borderId="0" fillId="2" fontId="6" numFmtId="1" xfId="0" applyAlignment="1" applyFont="1" applyNumberFormat="1">
      <alignment horizontal="right" readingOrder="0"/>
    </xf>
    <xf borderId="3" fillId="2" fontId="6" numFmtId="1" xfId="0" applyAlignment="1" applyBorder="1" applyFont="1" applyNumberFormat="1">
      <alignment horizontal="right" readingOrder="0"/>
    </xf>
    <xf borderId="0" fillId="2" fontId="11" numFmtId="1" xfId="0" applyAlignment="1" applyFont="1" applyNumberFormat="1">
      <alignment horizontal="right" readingOrder="0"/>
    </xf>
    <xf borderId="0" fillId="2" fontId="11" numFmtId="165" xfId="0" applyAlignment="1" applyFont="1" applyNumberFormat="1">
      <alignment horizontal="right" readingOrder="0"/>
    </xf>
    <xf borderId="6" fillId="2" fontId="11" numFmtId="165" xfId="0" applyAlignment="1" applyBorder="1" applyFont="1" applyNumberFormat="1">
      <alignment horizontal="right" readingOrder="0"/>
    </xf>
    <xf borderId="6" fillId="2" fontId="11" numFmtId="164" xfId="0" applyAlignment="1" applyBorder="1" applyFont="1" applyNumberFormat="1">
      <alignment horizontal="right" readingOrder="0"/>
    </xf>
    <xf borderId="9" fillId="2" fontId="11" numFmtId="164" xfId="0" applyAlignment="1" applyBorder="1" applyFont="1" applyNumberFormat="1">
      <alignment horizontal="right" readingOrder="0"/>
    </xf>
    <xf borderId="10" fillId="4" fontId="6" numFmtId="1" xfId="0" applyAlignment="1" applyBorder="1" applyFont="1" applyNumberFormat="1">
      <alignment horizontal="right" readingOrder="0"/>
    </xf>
    <xf borderId="11" fillId="4" fontId="6" numFmtId="1" xfId="0" applyAlignment="1" applyBorder="1" applyFont="1" applyNumberFormat="1">
      <alignment horizontal="right" readingOrder="0"/>
    </xf>
    <xf borderId="12" fillId="4" fontId="6" numFmtId="1" xfId="0" applyAlignment="1" applyBorder="1" applyFont="1" applyNumberFormat="1">
      <alignment horizontal="right" readingOrder="0"/>
    </xf>
    <xf borderId="10" fillId="2" fontId="6" numFmtId="1" xfId="0" applyAlignment="1" applyBorder="1" applyFont="1" applyNumberFormat="1">
      <alignment horizontal="right" readingOrder="0"/>
    </xf>
    <xf borderId="11" fillId="2" fontId="6" numFmtId="1" xfId="0" applyAlignment="1" applyBorder="1" applyFont="1" applyNumberFormat="1">
      <alignment horizontal="right" readingOrder="0"/>
    </xf>
    <xf borderId="12" fillId="2" fontId="6" numFmtId="1" xfId="0" applyAlignment="1" applyBorder="1" applyFont="1" applyNumberFormat="1">
      <alignment horizontal="right" readingOrder="0"/>
    </xf>
    <xf borderId="2" fillId="3" fontId="1" numFmtId="2" xfId="0" applyAlignment="1" applyBorder="1" applyFont="1" applyNumberFormat="1">
      <alignment horizontal="right" readingOrder="0" shrinkToFit="0" vertical="bottom" wrapText="1"/>
    </xf>
    <xf borderId="2" fillId="3" fontId="13" numFmtId="2" xfId="0" applyAlignment="1" applyBorder="1" applyFont="1" applyNumberFormat="1">
      <alignment horizontal="right" readingOrder="0" shrinkToFit="0" vertical="bottom" wrapText="1"/>
    </xf>
    <xf borderId="2" fillId="3" fontId="1" numFmtId="165" xfId="0" applyAlignment="1" applyBorder="1" applyFont="1" applyNumberFormat="1">
      <alignment horizontal="right" readingOrder="0" shrinkToFit="0" vertical="bottom" wrapText="1"/>
    </xf>
    <xf borderId="4" fillId="3" fontId="2" numFmtId="165" xfId="0" applyAlignment="1" applyBorder="1" applyFont="1" applyNumberFormat="1">
      <alignment horizontal="right" readingOrder="0" shrinkToFit="0" vertical="bottom" wrapText="1"/>
    </xf>
    <xf borderId="2" fillId="3" fontId="13" numFmtId="1" xfId="0" applyAlignment="1" applyBorder="1" applyFont="1" applyNumberFormat="1">
      <alignment horizontal="right" readingOrder="0" shrinkToFit="0" vertical="bottom" wrapText="1"/>
    </xf>
    <xf borderId="0" fillId="2" fontId="2" numFmtId="0" xfId="0" applyAlignment="1" applyFont="1">
      <alignment horizontal="right" readingOrder="0" shrinkToFit="0" vertical="center" wrapText="1"/>
    </xf>
    <xf borderId="0" fillId="2" fontId="2" numFmtId="2" xfId="0" applyAlignment="1" applyFont="1" applyNumberFormat="1">
      <alignment horizontal="right" readingOrder="0" vertical="center"/>
    </xf>
    <xf borderId="0" fillId="2" fontId="14" numFmtId="2" xfId="0" applyAlignment="1" applyFont="1" applyNumberFormat="1">
      <alignment horizontal="right" readingOrder="0" vertical="center"/>
    </xf>
    <xf borderId="0" fillId="2" fontId="2" numFmtId="1" xfId="0" applyAlignment="1" applyFont="1" applyNumberFormat="1">
      <alignment horizontal="right" readingOrder="0" shrinkToFit="0" vertical="center" wrapText="1"/>
    </xf>
    <xf borderId="0" fillId="2" fontId="6" numFmtId="1" xfId="0" applyAlignment="1" applyFont="1" applyNumberFormat="1">
      <alignment horizontal="right" readingOrder="0" shrinkToFit="0" vertical="center" wrapText="1"/>
    </xf>
    <xf borderId="6" fillId="2" fontId="8" numFmtId="165" xfId="0" applyAlignment="1" applyBorder="1" applyFont="1" applyNumberFormat="1">
      <alignment horizontal="right" readingOrder="0" vertical="center"/>
    </xf>
    <xf borderId="0" fillId="2" fontId="10" numFmtId="165" xfId="0" applyAlignment="1" applyFont="1" applyNumberFormat="1">
      <alignment horizontal="right" readingOrder="0" vertical="center"/>
    </xf>
    <xf borderId="0" fillId="2" fontId="8" numFmtId="1" xfId="0" applyAlignment="1" applyFont="1" applyNumberFormat="1">
      <alignment horizontal="right" readingOrder="0" vertical="center"/>
    </xf>
    <xf borderId="0" fillId="2" fontId="10" numFmtId="2" xfId="0" applyAlignment="1" applyFont="1" applyNumberFormat="1">
      <alignment horizontal="right" readingOrder="0" vertical="center"/>
    </xf>
    <xf borderId="0" fillId="4" fontId="2" numFmtId="0" xfId="0" applyAlignment="1" applyFont="1">
      <alignment horizontal="right" readingOrder="0" shrinkToFit="0" vertical="center" wrapText="1"/>
    </xf>
    <xf borderId="0" fillId="4" fontId="2" numFmtId="2" xfId="0" applyAlignment="1" applyFont="1" applyNumberFormat="1">
      <alignment horizontal="right" readingOrder="0" vertical="center"/>
    </xf>
    <xf borderId="0" fillId="4" fontId="14" numFmtId="2" xfId="0" applyAlignment="1" applyFont="1" applyNumberFormat="1">
      <alignment horizontal="right" readingOrder="0" vertical="center"/>
    </xf>
    <xf borderId="0" fillId="4" fontId="2" numFmtId="1" xfId="0" applyAlignment="1" applyFont="1" applyNumberFormat="1">
      <alignment horizontal="right" readingOrder="0" shrinkToFit="0" vertical="center" wrapText="1"/>
    </xf>
    <xf borderId="0" fillId="4" fontId="6" numFmtId="1" xfId="0" applyAlignment="1" applyFont="1" applyNumberFormat="1">
      <alignment horizontal="right" readingOrder="0" shrinkToFit="0" vertical="center" wrapText="1"/>
    </xf>
    <xf borderId="6" fillId="4" fontId="8" numFmtId="165" xfId="0" applyAlignment="1" applyBorder="1" applyFont="1" applyNumberFormat="1">
      <alignment horizontal="right" readingOrder="0" vertical="center"/>
    </xf>
    <xf borderId="0" fillId="4" fontId="10" numFmtId="165" xfId="0" applyAlignment="1" applyFont="1" applyNumberFormat="1">
      <alignment horizontal="right" readingOrder="0" vertical="center"/>
    </xf>
    <xf borderId="0" fillId="4" fontId="8" numFmtId="1" xfId="0" applyAlignment="1" applyFont="1" applyNumberFormat="1">
      <alignment horizontal="right" readingOrder="0" vertical="center"/>
    </xf>
    <xf borderId="0" fillId="4" fontId="10" numFmtId="2" xfId="0" applyAlignment="1" applyFont="1" applyNumberFormat="1">
      <alignment horizontal="right" readingOrder="0" vertical="center"/>
    </xf>
    <xf borderId="0" fillId="4" fontId="2" numFmtId="1" xfId="0" applyAlignment="1" applyFont="1" applyNumberFormat="1">
      <alignment horizontal="right" shrinkToFit="0" vertical="center" wrapText="1"/>
    </xf>
    <xf borderId="0" fillId="4" fontId="2" numFmtId="165" xfId="0" applyAlignment="1" applyFont="1" applyNumberFormat="1">
      <alignment horizontal="right" vertical="center"/>
    </xf>
    <xf borderId="0" fillId="2" fontId="2" numFmtId="1" xfId="0" applyAlignment="1" applyFont="1" applyNumberFormat="1">
      <alignment horizontal="right" shrinkToFit="0" vertical="center" wrapText="1"/>
    </xf>
    <xf borderId="0" fillId="2" fontId="2" numFmtId="165" xfId="0" applyAlignment="1" applyFont="1" applyNumberFormat="1">
      <alignment horizontal="right" vertical="center"/>
    </xf>
    <xf borderId="0" fillId="2" fontId="6" numFmtId="1" xfId="0" applyAlignment="1" applyFont="1" applyNumberFormat="1">
      <alignment horizontal="right" shrinkToFit="0" wrapText="1"/>
    </xf>
    <xf borderId="0" fillId="2" fontId="6" numFmtId="165" xfId="0" applyAlignment="1" applyFont="1" applyNumberFormat="1">
      <alignment horizontal="right"/>
    </xf>
    <xf borderId="0" fillId="4" fontId="6" numFmtId="1" xfId="0" applyAlignment="1" applyFont="1" applyNumberFormat="1">
      <alignment horizontal="right" shrinkToFit="0" wrapText="1"/>
    </xf>
    <xf borderId="0" fillId="4" fontId="6" numFmtId="165" xfId="0" applyAlignment="1" applyFont="1" applyNumberFormat="1">
      <alignment horizontal="right"/>
    </xf>
    <xf borderId="0" fillId="6" fontId="2" numFmtId="165" xfId="0" applyAlignment="1" applyFill="1" applyFont="1" applyNumberFormat="1">
      <alignment horizontal="right" readingOrder="0" vertical="center"/>
    </xf>
    <xf borderId="0" fillId="6" fontId="15" numFmtId="165" xfId="0" applyAlignment="1" applyFont="1" applyNumberFormat="1">
      <alignment horizontal="right" readingOrder="0" vertical="center"/>
    </xf>
    <xf borderId="1" fillId="3" fontId="5" numFmtId="1" xfId="0" applyAlignment="1" applyBorder="1" applyFont="1" applyNumberFormat="1">
      <alignment horizontal="right" readingOrder="0" shrinkToFit="0" vertical="bottom" wrapText="1"/>
    </xf>
    <xf borderId="4" fillId="3" fontId="1" numFmtId="164" xfId="0" applyAlignment="1" applyBorder="1" applyFont="1" applyNumberFormat="1">
      <alignment readingOrder="0" shrinkToFit="0" vertical="bottom" wrapText="1"/>
    </xf>
    <xf borderId="0" fillId="2" fontId="6" numFmtId="2" xfId="0" applyAlignment="1" applyFont="1" applyNumberFormat="1">
      <alignment horizontal="right" readingOrder="0"/>
    </xf>
    <xf borderId="3" fillId="2" fontId="6" numFmtId="1" xfId="0" applyAlignment="1" applyBorder="1" applyFont="1" applyNumberFormat="1">
      <alignment horizontal="right" readingOrder="0" vertical="center"/>
    </xf>
    <xf borderId="6" fillId="2" fontId="8" numFmtId="164" xfId="0" applyAlignment="1" applyBorder="1" applyFont="1" applyNumberFormat="1">
      <alignment readingOrder="0"/>
    </xf>
    <xf borderId="0" fillId="4" fontId="6" numFmtId="2" xfId="0" applyAlignment="1" applyFont="1" applyNumberFormat="1">
      <alignment horizontal="right" readingOrder="0"/>
    </xf>
    <xf borderId="3" fillId="4" fontId="6" numFmtId="1" xfId="0" applyAlignment="1" applyBorder="1" applyFont="1" applyNumberFormat="1">
      <alignment horizontal="right" readingOrder="0" vertical="center"/>
    </xf>
    <xf borderId="6" fillId="4" fontId="8" numFmtId="164" xfId="0" applyAlignment="1" applyBorder="1" applyFont="1" applyNumberFormat="1">
      <alignment readingOrder="0"/>
    </xf>
    <xf borderId="0" fillId="2" fontId="6" numFmtId="2" xfId="0" applyFont="1" applyNumberFormat="1"/>
    <xf borderId="0" fillId="4" fontId="6" numFmtId="2" xfId="0" applyFont="1" applyNumberFormat="1"/>
    <xf borderId="0" fillId="2" fontId="6" numFmtId="0" xfId="0" applyAlignment="1" applyFont="1">
      <alignment horizontal="right"/>
    </xf>
    <xf borderId="0" fillId="2" fontId="6" numFmtId="2" xfId="0" applyAlignment="1" applyFont="1" applyNumberFormat="1">
      <alignment horizontal="right"/>
    </xf>
    <xf borderId="0" fillId="2" fontId="6" numFmtId="1" xfId="0" applyAlignment="1" applyFont="1" applyNumberFormat="1">
      <alignment horizontal="right"/>
    </xf>
    <xf borderId="0" fillId="4" fontId="6" numFmtId="0" xfId="0" applyAlignment="1" applyFont="1">
      <alignment horizontal="right"/>
    </xf>
    <xf borderId="0" fillId="4" fontId="6" numFmtId="2" xfId="0" applyAlignment="1" applyFont="1" applyNumberFormat="1">
      <alignment horizontal="right"/>
    </xf>
    <xf borderId="0" fillId="4" fontId="6" numFmtId="1" xfId="0" applyAlignment="1" applyFont="1" applyNumberFormat="1">
      <alignment horizontal="right"/>
    </xf>
    <xf borderId="2" fillId="0" fontId="10" numFmtId="2" xfId="0" applyAlignment="1" applyBorder="1" applyFont="1" applyNumberFormat="1">
      <alignment horizontal="right" readingOrder="0" shrinkToFit="0" vertical="bottom" wrapText="1"/>
    </xf>
    <xf borderId="0" fillId="0" fontId="8" numFmtId="2" xfId="0" applyAlignment="1" applyFont="1" applyNumberFormat="1">
      <alignment horizontal="right" readingOrder="0" vertical="center"/>
    </xf>
    <xf borderId="0" fillId="0" fontId="8" numFmtId="2" xfId="0" applyAlignment="1" applyFont="1" applyNumberFormat="1">
      <alignment horizontal="right" vertical="center"/>
    </xf>
    <xf borderId="2" fillId="0" fontId="10" numFmtId="0" xfId="0" applyAlignment="1" applyBorder="1" applyFont="1">
      <alignment horizontal="right" readingOrder="0" shrinkToFit="0" vertical="bottom" wrapText="1"/>
    </xf>
    <xf borderId="0" fillId="0" fontId="2" numFmtId="2" xfId="0" applyAlignment="1" applyFont="1" applyNumberFormat="1">
      <alignment horizontal="right" readingOrder="0" vertical="center"/>
    </xf>
    <xf borderId="0" fillId="0" fontId="14" numFmtId="2" xfId="0" applyAlignment="1" applyFont="1" applyNumberFormat="1">
      <alignment horizontal="right" readingOrder="0" vertical="center"/>
    </xf>
    <xf borderId="0" fillId="0" fontId="2" numFmtId="0" xfId="0" applyAlignment="1" applyFont="1">
      <alignment horizontal="right" readingOrder="0" vertical="center"/>
    </xf>
    <xf borderId="0" fillId="0" fontId="8" numFmtId="0" xfId="0" applyAlignment="1" applyFont="1">
      <alignment horizontal="right" readingOrder="0" vertical="center"/>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Commander Table-style">
      <tableStyleElement dxfId="1" type="headerRow"/>
      <tableStyleElement dxfId="2" type="firstRowStripe"/>
      <tableStyleElement dxfId="3" type="secondRowStripe"/>
    </tableStyle>
    <tableStyle count="3" pivot="0" name="Heal (Commander)-style">
      <tableStyleElement dxfId="1" type="headerRow"/>
      <tableStyleElement dxfId="2" type="firstRowStripe"/>
      <tableStyleElement dxfId="3" type="secondRowStripe"/>
    </tableStyle>
    <tableStyle count="3" pivot="0" name="Separated Physical (Commander)-style">
      <tableStyleElement dxfId="1" type="headerRow"/>
      <tableStyleElement dxfId="2" type="firstRowStripe"/>
      <tableStyleElement dxfId="3" type="secondRowStripe"/>
    </tableStyle>
    <tableStyle count="3" pivot="0" name="Normal Physical (Commander)-style">
      <tableStyleElement dxfId="1" type="headerRow"/>
      <tableStyleElement dxfId="2" type="firstRowStripe"/>
      <tableStyleElement dxfId="3" type="secondRowStripe"/>
    </tableStyle>
    <tableStyle count="3" pivot="0" name="Skill Physical (Command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Unit Effectiveness</a:t>
            </a:r>
          </a:p>
        </c:rich>
      </c:tx>
      <c:overlay val="0"/>
    </c:title>
    <c:plotArea>
      <c:layout/>
      <c:scatterChart>
        <c:scatterStyle val="lineMarker"/>
        <c:ser>
          <c:idx val="0"/>
          <c:order val="0"/>
          <c:tx>
            <c:strRef>
              <c:f>'Elemental (Units)'!$S$1</c:f>
            </c:strRef>
          </c:tx>
          <c:spPr>
            <a:ln>
              <a:noFill/>
            </a:ln>
          </c:spPr>
          <c:marker>
            <c:symbol val="circle"/>
            <c:size val="2"/>
            <c:spPr>
              <a:solidFill>
                <a:srgbClr val="A4C2F4"/>
              </a:solidFill>
              <a:ln cmpd="sng">
                <a:solidFill>
                  <a:srgbClr val="A4C2F4"/>
                </a:solidFill>
              </a:ln>
            </c:spPr>
          </c:marker>
          <c:xVal>
            <c:numRef>
              <c:f>'Elemental (Units)'!$X$2:$X$96</c:f>
            </c:numRef>
          </c:xVal>
          <c:yVal>
            <c:numRef>
              <c:f>'Elemental (Units)'!$S$2:$S$96</c:f>
              <c:numCache/>
            </c:numRef>
          </c:yVal>
        </c:ser>
        <c:ser>
          <c:idx val="1"/>
          <c:order val="1"/>
          <c:tx>
            <c:v>Base Effectiveness</c:v>
          </c:tx>
          <c:spPr>
            <a:ln>
              <a:noFill/>
            </a:ln>
          </c:spPr>
          <c:marker>
            <c:symbol val="circle"/>
            <c:size val="2"/>
            <c:spPr>
              <a:solidFill>
                <a:srgbClr val="3C78D8"/>
              </a:solidFill>
              <a:ln cmpd="sng">
                <a:solidFill>
                  <a:srgbClr val="3C78D8"/>
                </a:solidFill>
              </a:ln>
            </c:spPr>
          </c:marker>
          <c:xVal>
            <c:numRef>
              <c:f>'Elemental (Units)'!$X$2:$X$96</c:f>
            </c:numRef>
          </c:xVal>
          <c:yVal>
            <c:numRef>
              <c:f>'Elemental (Units)'!$U$2:$U$96</c:f>
              <c:numCache/>
            </c:numRef>
          </c:yVal>
        </c:ser>
        <c:dLbls>
          <c:showLegendKey val="0"/>
          <c:showVal val="0"/>
          <c:showCatName val="0"/>
          <c:showSerName val="0"/>
          <c:showPercent val="0"/>
          <c:showBubbleSize val="0"/>
        </c:dLbls>
        <c:axId val="2073449850"/>
        <c:axId val="1185102605"/>
      </c:scatterChart>
      <c:valAx>
        <c:axId val="2073449850"/>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5102605"/>
        <c:majorUnit val="10.0"/>
      </c:valAx>
      <c:valAx>
        <c:axId val="118510260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Effectivenes</a:t>
                </a:r>
              </a:p>
            </c:rich>
          </c:tx>
          <c:overlay val="0"/>
        </c:title>
        <c:numFmt formatCode="0.00" sourceLinked="0"/>
        <c:majorTickMark val="none"/>
        <c:minorTickMark val="none"/>
        <c:tickLblPos val="nextTo"/>
        <c:spPr>
          <a:ln/>
        </c:spPr>
        <c:txPr>
          <a:bodyPr/>
          <a:lstStyle/>
          <a:p>
            <a:pPr lvl="0">
              <a:defRPr b="0">
                <a:solidFill>
                  <a:srgbClr val="000000"/>
                </a:solidFill>
                <a:latin typeface="+mn-lt"/>
              </a:defRPr>
            </a:pPr>
          </a:p>
        </c:txPr>
        <c:crossAx val="2073449850"/>
        <c:majorUnit val="0.1"/>
      </c:valAx>
    </c:plotArea>
    <c:legend>
      <c:legendPos val="r"/>
      <c:layout>
        <c:manualLayout>
          <c:xMode val="edge"/>
          <c:yMode val="edge"/>
          <c:x val="0.14830783195020747"/>
          <c:y val="0.15451977401129943"/>
        </c:manualLayout>
      </c:layou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Commander Physical Damage for a 100% skill</a:t>
            </a:r>
          </a:p>
        </c:rich>
      </c:tx>
      <c:overlay val="0"/>
    </c:title>
    <c:plotArea>
      <c:layout/>
      <c:scatterChart>
        <c:scatterStyle val="lineMarker"/>
        <c:ser>
          <c:idx val="0"/>
          <c:order val="0"/>
          <c:tx>
            <c:strRef>
              <c:f>'Skill Physical (Commander)'!$B$1</c:f>
            </c:strRef>
          </c:tx>
          <c:spPr>
            <a:ln>
              <a:noFill/>
            </a:ln>
          </c:spPr>
          <c:marker>
            <c:symbol val="circle"/>
            <c:size val="2"/>
            <c:spPr>
              <a:solidFill>
                <a:srgbClr val="EA9999"/>
              </a:solidFill>
              <a:ln cmpd="sng">
                <a:solidFill>
                  <a:srgbClr val="EA9999"/>
                </a:solidFill>
              </a:ln>
            </c:spPr>
          </c:marker>
          <c:dPt>
            <c:idx val="109"/>
            <c:marker>
              <c:symbol val="none"/>
            </c:marker>
          </c:dPt>
          <c:xVal>
            <c:numRef>
              <c:f>'Skill Physical (Commander)'!$A$2:$A$728</c:f>
            </c:numRef>
          </c:xVal>
          <c:yVal>
            <c:numRef>
              <c:f>'Skill Physical (Commander)'!$B$2:$B$728</c:f>
              <c:numCache/>
            </c:numRef>
          </c:yVal>
        </c:ser>
        <c:ser>
          <c:idx val="1"/>
          <c:order val="1"/>
          <c:tx>
            <c:strRef>
              <c:f>'Skill Physical (Commander)'!$C$1</c:f>
            </c:strRef>
          </c:tx>
          <c:spPr>
            <a:ln>
              <a:noFill/>
            </a:ln>
          </c:spPr>
          <c:marker>
            <c:symbol val="circle"/>
            <c:size val="2"/>
            <c:spPr>
              <a:solidFill>
                <a:srgbClr val="CC0000"/>
              </a:solidFill>
              <a:ln cmpd="sng">
                <a:solidFill>
                  <a:srgbClr val="CC0000"/>
                </a:solidFill>
              </a:ln>
            </c:spPr>
          </c:marker>
          <c:xVal>
            <c:numRef>
              <c:f>'Skill Physical (Commander)'!$A$2:$A$728</c:f>
            </c:numRef>
          </c:xVal>
          <c:yVal>
            <c:numRef>
              <c:f>'Skill Physical (Commander)'!$C$2:$C$728</c:f>
              <c:numCache/>
            </c:numRef>
          </c:yVal>
        </c:ser>
        <c:dLbls>
          <c:showLegendKey val="0"/>
          <c:showVal val="0"/>
          <c:showCatName val="0"/>
          <c:showSerName val="0"/>
          <c:showPercent val="0"/>
          <c:showBubbleSize val="0"/>
        </c:dLbls>
        <c:axId val="1514738339"/>
        <c:axId val="415426990"/>
      </c:scatterChart>
      <c:valAx>
        <c:axId val="1514738339"/>
        <c:scaling>
          <c:orientation val="minMax"/>
          <c:max val="10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5426990"/>
      </c:valAx>
      <c:valAx>
        <c:axId val="415426990"/>
        <c:scaling>
          <c:orientation val="minMax"/>
          <c:max val="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Damage / Might / Attack Coefficient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4738339"/>
      </c:valAx>
    </c:plotArea>
    <c:legend>
      <c:legendPos val="r"/>
      <c:layout>
        <c:manualLayout>
          <c:xMode val="edge"/>
          <c:yMode val="edge"/>
          <c:x val="0.14830783195020747"/>
          <c:y val="0.15451977401129943"/>
        </c:manualLayout>
      </c:layout>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Commander Physical Damage</a:t>
            </a:r>
          </a:p>
        </c:rich>
      </c:tx>
      <c:overlay val="0"/>
    </c:title>
    <c:plotArea>
      <c:layout/>
      <c:scatterChart>
        <c:scatterStyle val="lineMarker"/>
        <c:ser>
          <c:idx val="0"/>
          <c:order val="0"/>
          <c:tx>
            <c:v>Normal Attack Damage / Might</c:v>
          </c:tx>
          <c:spPr>
            <a:ln>
              <a:noFill/>
            </a:ln>
          </c:spPr>
          <c:marker>
            <c:symbol val="circle"/>
            <c:size val="2"/>
            <c:spPr>
              <a:solidFill>
                <a:srgbClr val="B6D7A8"/>
              </a:solidFill>
              <a:ln cmpd="sng">
                <a:solidFill>
                  <a:srgbClr val="B6D7A8"/>
                </a:solidFill>
              </a:ln>
            </c:spPr>
          </c:marker>
          <c:dPt>
            <c:idx val="109"/>
            <c:marker>
              <c:symbol val="none"/>
            </c:marker>
          </c:dPt>
          <c:xVal>
            <c:numRef>
              <c:f>'Separated Physical (Commander)'!$A$2:$A$95</c:f>
            </c:numRef>
          </c:xVal>
          <c:yVal>
            <c:numRef>
              <c:f>'Separated Physical (Commander)'!$B$2:$B$95</c:f>
              <c:numCache/>
            </c:numRef>
          </c:yVal>
        </c:ser>
        <c:ser>
          <c:idx val="1"/>
          <c:order val="1"/>
          <c:tx>
            <c:v>100% Skill Damage / Might</c:v>
          </c:tx>
          <c:spPr>
            <a:ln>
              <a:noFill/>
            </a:ln>
          </c:spPr>
          <c:marker>
            <c:symbol val="circle"/>
            <c:size val="2"/>
            <c:spPr>
              <a:solidFill>
                <a:srgbClr val="EA9999"/>
              </a:solidFill>
              <a:ln cmpd="sng">
                <a:solidFill>
                  <a:srgbClr val="EA9999"/>
                </a:solidFill>
              </a:ln>
            </c:spPr>
          </c:marker>
          <c:xVal>
            <c:numRef>
              <c:f>'Separated Physical (Commander)'!$A$2:$A$95</c:f>
            </c:numRef>
          </c:xVal>
          <c:yVal>
            <c:numRef>
              <c:f>'Separated Physical (Commander)'!$C$2:$C$95</c:f>
              <c:numCache/>
            </c:numRef>
          </c:yVal>
        </c:ser>
        <c:ser>
          <c:idx val="2"/>
          <c:order val="2"/>
          <c:tx>
            <c:v>Normal Attack Base Damage / Might</c:v>
          </c:tx>
          <c:spPr>
            <a:ln>
              <a:noFill/>
            </a:ln>
          </c:spPr>
          <c:marker>
            <c:symbol val="circle"/>
            <c:size val="2"/>
            <c:spPr>
              <a:solidFill>
                <a:srgbClr val="6AA84F"/>
              </a:solidFill>
              <a:ln cmpd="sng">
                <a:solidFill>
                  <a:srgbClr val="6AA84F"/>
                </a:solidFill>
              </a:ln>
            </c:spPr>
          </c:marker>
          <c:xVal>
            <c:numRef>
              <c:f>'Separated Physical (Commander)'!$A$2:$A$95</c:f>
            </c:numRef>
          </c:xVal>
          <c:yVal>
            <c:numRef>
              <c:f>'Separated Physical (Commander)'!$D$2:$D$95</c:f>
              <c:numCache/>
            </c:numRef>
          </c:yVal>
        </c:ser>
        <c:ser>
          <c:idx val="3"/>
          <c:order val="3"/>
          <c:tx>
            <c:v>100% Skill Base Damage / Might</c:v>
          </c:tx>
          <c:spPr>
            <a:ln>
              <a:noFill/>
            </a:ln>
          </c:spPr>
          <c:marker>
            <c:symbol val="circle"/>
            <c:size val="2"/>
            <c:spPr>
              <a:solidFill>
                <a:srgbClr val="CC0000"/>
              </a:solidFill>
              <a:ln cmpd="sng">
                <a:solidFill>
                  <a:srgbClr val="CC0000"/>
                </a:solidFill>
              </a:ln>
            </c:spPr>
          </c:marker>
          <c:xVal>
            <c:numRef>
              <c:f>'Separated Physical (Commander)'!$A$2:$A$95</c:f>
            </c:numRef>
          </c:xVal>
          <c:yVal>
            <c:numRef>
              <c:f>'Separated Physical (Commander)'!$E$2:$E$95</c:f>
              <c:numCache/>
            </c:numRef>
          </c:yVal>
        </c:ser>
        <c:dLbls>
          <c:showLegendKey val="0"/>
          <c:showVal val="0"/>
          <c:showCatName val="0"/>
          <c:showSerName val="0"/>
          <c:showPercent val="0"/>
          <c:showBubbleSize val="0"/>
        </c:dLbls>
        <c:axId val="1111435992"/>
        <c:axId val="1045633059"/>
      </c:scatterChart>
      <c:valAx>
        <c:axId val="1111435992"/>
        <c:scaling>
          <c:orientation val="minMax"/>
          <c:max val="10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5633059"/>
      </c:valAx>
      <c:valAx>
        <c:axId val="104563305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Damage / Might / Attack Coefficient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1435992"/>
      </c:valAx>
    </c:plotArea>
    <c:legend>
      <c:legendPos val="r"/>
      <c:layout>
        <c:manualLayout>
          <c:xMode val="edge"/>
          <c:yMode val="edge"/>
          <c:x val="0.15825458167390885"/>
          <c:y val="0.13899182370074037"/>
        </c:manualLayout>
      </c:layout>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Commander Elemental Damage</a:t>
            </a:r>
          </a:p>
        </c:rich>
      </c:tx>
      <c:layout>
        <c:manualLayout>
          <c:xMode val="edge"/>
          <c:yMode val="edge"/>
          <c:x val="0.030601659751037347"/>
          <c:y val="0.043220338983050846"/>
        </c:manualLayout>
      </c:layout>
      <c:overlay val="0"/>
    </c:title>
    <c:plotArea>
      <c:layout/>
      <c:scatterChart>
        <c:scatterStyle val="lineMarker"/>
        <c:ser>
          <c:idx val="0"/>
          <c:order val="0"/>
          <c:tx>
            <c:strRef>
              <c:f>'Elemental (Commander)'!$F$1</c:f>
            </c:strRef>
          </c:tx>
          <c:spPr>
            <a:ln>
              <a:noFill/>
            </a:ln>
          </c:spPr>
          <c:marker>
            <c:symbol val="circle"/>
            <c:size val="2"/>
            <c:spPr>
              <a:solidFill>
                <a:srgbClr val="A4C2F4"/>
              </a:solidFill>
              <a:ln cmpd="sng">
                <a:solidFill>
                  <a:srgbClr val="A4C2F4"/>
                </a:solidFill>
              </a:ln>
            </c:spPr>
          </c:marker>
          <c:xVal>
            <c:numRef>
              <c:f>'Elemental (Commander)'!$C$2:$C$105</c:f>
            </c:numRef>
          </c:xVal>
          <c:yVal>
            <c:numRef>
              <c:f>'Elemental (Commander)'!$F$2:$F$105</c:f>
              <c:numCache/>
            </c:numRef>
          </c:yVal>
        </c:ser>
        <c:ser>
          <c:idx val="1"/>
          <c:order val="1"/>
          <c:tx>
            <c:v>Base Damage / Attack Coefficient</c:v>
          </c:tx>
          <c:spPr>
            <a:ln>
              <a:noFill/>
            </a:ln>
          </c:spPr>
          <c:marker>
            <c:symbol val="circle"/>
            <c:size val="2"/>
            <c:spPr>
              <a:solidFill>
                <a:srgbClr val="3C78D8"/>
              </a:solidFill>
              <a:ln cmpd="sng">
                <a:solidFill>
                  <a:srgbClr val="3C78D8"/>
                </a:solidFill>
              </a:ln>
            </c:spPr>
          </c:marker>
          <c:xVal>
            <c:numRef>
              <c:f>'Elemental (Commander)'!$C$2:$C$105</c:f>
            </c:numRef>
          </c:xVal>
          <c:yVal>
            <c:numRef>
              <c:f>'Elemental (Commander)'!$V$2:$V$105</c:f>
              <c:numCache/>
            </c:numRef>
          </c:yVal>
        </c:ser>
        <c:dLbls>
          <c:showLegendKey val="0"/>
          <c:showVal val="0"/>
          <c:showCatName val="0"/>
          <c:showSerName val="0"/>
          <c:showPercent val="0"/>
          <c:showBubbleSize val="0"/>
        </c:dLbls>
        <c:axId val="431099451"/>
        <c:axId val="1650457661"/>
      </c:scatterChart>
      <c:valAx>
        <c:axId val="431099451"/>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0457661"/>
      </c:valAx>
      <c:valAx>
        <c:axId val="165045766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Damage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1099451"/>
      </c:valAx>
    </c:plotArea>
    <c:legend>
      <c:legendPos val="r"/>
      <c:layout>
        <c:manualLayout>
          <c:xMode val="edge"/>
          <c:yMode val="edge"/>
          <c:x val="0.14830783195020747"/>
          <c:y val="0.15451977401129943"/>
        </c:manualLayout>
      </c:layou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Effective Command</a:t>
            </a:r>
          </a:p>
        </c:rich>
      </c:tx>
      <c:overlay val="0"/>
    </c:title>
    <c:plotArea>
      <c:layout/>
      <c:scatterChart>
        <c:scatterStyle val="lineMarker"/>
        <c:ser>
          <c:idx val="0"/>
          <c:order val="0"/>
          <c:tx>
            <c:v>Effective Command</c:v>
          </c:tx>
          <c:spPr>
            <a:ln>
              <a:noFill/>
            </a:ln>
          </c:spPr>
          <c:marker>
            <c:symbol val="circle"/>
            <c:size val="2"/>
            <c:spPr>
              <a:solidFill>
                <a:srgbClr val="A4C2F4"/>
              </a:solidFill>
              <a:ln cmpd="sng">
                <a:solidFill>
                  <a:srgbClr val="A4C2F4"/>
                </a:solidFill>
              </a:ln>
            </c:spPr>
          </c:marker>
          <c:xVal>
            <c:numRef>
              <c:f>'Elemental (Units)'!$X$2:$X$96</c:f>
            </c:numRef>
          </c:xVal>
          <c:yVal>
            <c:numRef>
              <c:f>'Elemental (Units)'!$Y$2:$Y$96</c:f>
              <c:numCache/>
            </c:numRef>
          </c:yVal>
        </c:ser>
        <c:ser>
          <c:idx val="1"/>
          <c:order val="1"/>
          <c:tx>
            <c:v>Base Effective Command</c:v>
          </c:tx>
          <c:spPr>
            <a:ln>
              <a:noFill/>
            </a:ln>
          </c:spPr>
          <c:marker>
            <c:symbol val="circle"/>
            <c:size val="2"/>
            <c:spPr>
              <a:solidFill>
                <a:srgbClr val="3C78D8"/>
              </a:solidFill>
              <a:ln cmpd="sng">
                <a:solidFill>
                  <a:srgbClr val="3C78D8"/>
                </a:solidFill>
              </a:ln>
            </c:spPr>
          </c:marker>
          <c:xVal>
            <c:numRef>
              <c:f>'Elemental (Units)'!$X$2:$X$96</c:f>
            </c:numRef>
          </c:xVal>
          <c:yVal>
            <c:numRef>
              <c:f>'Elemental (Units)'!$Z$2:$Z$96</c:f>
              <c:numCache/>
            </c:numRef>
          </c:yVal>
        </c:ser>
        <c:dLbls>
          <c:showLegendKey val="0"/>
          <c:showVal val="0"/>
          <c:showCatName val="0"/>
          <c:showSerName val="0"/>
          <c:showPercent val="0"/>
          <c:showBubbleSize val="0"/>
        </c:dLbls>
        <c:axId val="2129897919"/>
        <c:axId val="1717152817"/>
      </c:scatterChart>
      <c:valAx>
        <c:axId val="2129897919"/>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152817"/>
        <c:majorUnit val="10.0"/>
      </c:valAx>
      <c:valAx>
        <c:axId val="171715281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Effective Command</a:t>
                </a:r>
              </a:p>
            </c:rich>
          </c:tx>
          <c:overlay val="0"/>
        </c:title>
        <c:numFmt formatCode="0.00" sourceLinked="0"/>
        <c:majorTickMark val="none"/>
        <c:minorTickMark val="none"/>
        <c:tickLblPos val="nextTo"/>
        <c:spPr>
          <a:ln/>
        </c:spPr>
        <c:txPr>
          <a:bodyPr/>
          <a:lstStyle/>
          <a:p>
            <a:pPr lvl="0">
              <a:defRPr b="0">
                <a:solidFill>
                  <a:srgbClr val="000000"/>
                </a:solidFill>
                <a:latin typeface="+mn-lt"/>
              </a:defRPr>
            </a:pPr>
          </a:p>
        </c:txPr>
        <c:crossAx val="2129897919"/>
        <c:majorUnit val="2.0"/>
        <c:minorUnit val="1.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Unit Effectiveness</a:t>
            </a:r>
          </a:p>
        </c:rich>
      </c:tx>
      <c:overlay val="0"/>
    </c:title>
    <c:plotArea>
      <c:layout/>
      <c:scatterChart>
        <c:scatterStyle val="lineMarker"/>
        <c:ser>
          <c:idx val="0"/>
          <c:order val="0"/>
          <c:tx>
            <c:strRef>
              <c:f>'Physical &amp; Defence (Units)'!$X$1</c:f>
            </c:strRef>
          </c:tx>
          <c:spPr>
            <a:ln>
              <a:noFill/>
            </a:ln>
          </c:spPr>
          <c:marker>
            <c:symbol val="circle"/>
            <c:size val="2"/>
            <c:spPr>
              <a:solidFill>
                <a:srgbClr val="A4C2F4"/>
              </a:solidFill>
              <a:ln cmpd="sng">
                <a:solidFill>
                  <a:srgbClr val="A4C2F4"/>
                </a:solidFill>
              </a:ln>
            </c:spPr>
          </c:marker>
          <c:xVal>
            <c:numRef>
              <c:f>'Physical &amp; Defence (Units)'!$AC$2:$AC$89</c:f>
            </c:numRef>
          </c:xVal>
          <c:yVal>
            <c:numRef>
              <c:f>'Physical &amp; Defence (Units)'!$X$2:$X$89</c:f>
              <c:numCache/>
            </c:numRef>
          </c:yVal>
        </c:ser>
        <c:ser>
          <c:idx val="1"/>
          <c:order val="1"/>
          <c:tx>
            <c:v>Base Effectiveness</c:v>
          </c:tx>
          <c:spPr>
            <a:ln>
              <a:noFill/>
            </a:ln>
          </c:spPr>
          <c:marker>
            <c:symbol val="circle"/>
            <c:size val="2"/>
            <c:spPr>
              <a:solidFill>
                <a:srgbClr val="3C78D8"/>
              </a:solidFill>
              <a:ln cmpd="sng">
                <a:solidFill>
                  <a:srgbClr val="3C78D8"/>
                </a:solidFill>
              </a:ln>
            </c:spPr>
          </c:marker>
          <c:xVal>
            <c:numRef>
              <c:f>'Physical &amp; Defence (Units)'!$AC$2:$AC$89</c:f>
            </c:numRef>
          </c:xVal>
          <c:yVal>
            <c:numRef>
              <c:f>'Physical &amp; Defence (Units)'!$Z$2:$Z$89</c:f>
              <c:numCache/>
            </c:numRef>
          </c:yVal>
        </c:ser>
        <c:dLbls>
          <c:showLegendKey val="0"/>
          <c:showVal val="0"/>
          <c:showCatName val="0"/>
          <c:showSerName val="0"/>
          <c:showPercent val="0"/>
          <c:showBubbleSize val="0"/>
        </c:dLbls>
        <c:axId val="1334356033"/>
        <c:axId val="717513479"/>
      </c:scatterChart>
      <c:valAx>
        <c:axId val="1334356033"/>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7513479"/>
        <c:majorUnit val="10.0"/>
      </c:valAx>
      <c:valAx>
        <c:axId val="71751347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Effectivenes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4356033"/>
        <c:majorUnit val="0.1"/>
      </c:valAx>
    </c:plotArea>
    <c:legend>
      <c:legendPos val="r"/>
      <c:layout>
        <c:manualLayout>
          <c:xMode val="edge"/>
          <c:yMode val="edge"/>
          <c:x val="0.14830783195020747"/>
          <c:y val="0.15451977401129943"/>
        </c:manualLayout>
      </c:layou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Physical Damage Reduction from Defence</a:t>
            </a:r>
          </a:p>
        </c:rich>
      </c:tx>
      <c:overlay val="0"/>
    </c:title>
    <c:plotArea>
      <c:layout/>
      <c:scatterChart>
        <c:scatterStyle val="lineMarker"/>
        <c:varyColors val="0"/>
        <c:ser>
          <c:idx val="0"/>
          <c:order val="0"/>
          <c:tx>
            <c:strRef>
              <c:f>'Physical &amp; Defence (Units)'!$S$1</c:f>
            </c:strRef>
          </c:tx>
          <c:spPr>
            <a:ln>
              <a:noFill/>
            </a:ln>
          </c:spPr>
          <c:marker>
            <c:symbol val="circle"/>
            <c:size val="2"/>
            <c:spPr>
              <a:solidFill>
                <a:srgbClr val="3C78D8"/>
              </a:solidFill>
              <a:ln cmpd="sng">
                <a:solidFill>
                  <a:srgbClr val="3C78D8"/>
                </a:solidFill>
              </a:ln>
            </c:spPr>
          </c:marker>
          <c:xVal>
            <c:numRef>
              <c:f>'Physical &amp; Defence (Units)'!$G$2:$G$89</c:f>
            </c:numRef>
          </c:xVal>
          <c:yVal>
            <c:numRef>
              <c:f>'Physical &amp; Defence (Units)'!$S$2:$S$89</c:f>
              <c:numCache/>
            </c:numRef>
          </c:yVal>
        </c:ser>
        <c:dLbls>
          <c:showLegendKey val="0"/>
          <c:showVal val="0"/>
          <c:showCatName val="0"/>
          <c:showSerName val="0"/>
          <c:showPercent val="0"/>
          <c:showBubbleSize val="0"/>
        </c:dLbls>
        <c:axId val="1374520691"/>
        <c:axId val="867279537"/>
      </c:scatterChart>
      <c:valAx>
        <c:axId val="1374520691"/>
        <c:scaling>
          <c:orientation val="minMax"/>
          <c:max val="10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7279537"/>
        <c:majorUnit val="50.0"/>
      </c:valAx>
      <c:valAx>
        <c:axId val="86727953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Physical Damage Reduction</a:t>
                </a:r>
              </a:p>
            </c:rich>
          </c:tx>
          <c:layout>
            <c:manualLayout>
              <c:xMode val="edge"/>
              <c:yMode val="edge"/>
              <c:x val="0.035312500000000004"/>
              <c:y val="0.20872518286311392"/>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452069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Effective Command</a:t>
            </a:r>
          </a:p>
        </c:rich>
      </c:tx>
      <c:layout>
        <c:manualLayout>
          <c:xMode val="edge"/>
          <c:yMode val="edge"/>
          <c:x val="0.030601659751037343"/>
          <c:y val="0.046610169491525424"/>
        </c:manualLayout>
      </c:layout>
      <c:overlay val="0"/>
    </c:title>
    <c:plotArea>
      <c:layout/>
      <c:scatterChart>
        <c:scatterStyle val="lineMarker"/>
        <c:ser>
          <c:idx val="0"/>
          <c:order val="0"/>
          <c:tx>
            <c:v>Effective Command</c:v>
          </c:tx>
          <c:spPr>
            <a:ln>
              <a:noFill/>
            </a:ln>
          </c:spPr>
          <c:marker>
            <c:symbol val="circle"/>
            <c:size val="2"/>
            <c:spPr>
              <a:solidFill>
                <a:srgbClr val="A4C2F4"/>
              </a:solidFill>
              <a:ln cmpd="sng">
                <a:solidFill>
                  <a:srgbClr val="A4C2F4"/>
                </a:solidFill>
              </a:ln>
            </c:spPr>
          </c:marker>
          <c:xVal>
            <c:numRef>
              <c:f>'Physical &amp; Defence (Units)'!$AC$2:$AC$89</c:f>
            </c:numRef>
          </c:xVal>
          <c:yVal>
            <c:numRef>
              <c:f>'Physical &amp; Defence (Units)'!$AD$2:$AD$89</c:f>
              <c:numCache/>
            </c:numRef>
          </c:yVal>
        </c:ser>
        <c:ser>
          <c:idx val="1"/>
          <c:order val="1"/>
          <c:tx>
            <c:v>Base Effective Command</c:v>
          </c:tx>
          <c:spPr>
            <a:ln>
              <a:noFill/>
            </a:ln>
          </c:spPr>
          <c:marker>
            <c:symbol val="circle"/>
            <c:size val="2"/>
            <c:spPr>
              <a:solidFill>
                <a:srgbClr val="3C78D8"/>
              </a:solidFill>
              <a:ln cmpd="sng">
                <a:solidFill>
                  <a:srgbClr val="3C78D8"/>
                </a:solidFill>
              </a:ln>
            </c:spPr>
          </c:marker>
          <c:xVal>
            <c:numRef>
              <c:f>'Physical &amp; Defence (Units)'!$AC$2:$AC$89</c:f>
            </c:numRef>
          </c:xVal>
          <c:yVal>
            <c:numRef>
              <c:f>'Physical &amp; Defence (Units)'!$AE$2:$AE$89</c:f>
              <c:numCache/>
            </c:numRef>
          </c:yVal>
        </c:ser>
        <c:dLbls>
          <c:showLegendKey val="0"/>
          <c:showVal val="0"/>
          <c:showCatName val="0"/>
          <c:showSerName val="0"/>
          <c:showPercent val="0"/>
          <c:showBubbleSize val="0"/>
        </c:dLbls>
        <c:axId val="990149280"/>
        <c:axId val="800678407"/>
      </c:scatterChart>
      <c:valAx>
        <c:axId val="990149280"/>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0678407"/>
        <c:majorUnit val="10.0"/>
      </c:valAx>
      <c:valAx>
        <c:axId val="8006784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Effective 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014928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Heal for a 100% skill</a:t>
            </a:r>
          </a:p>
        </c:rich>
      </c:tx>
      <c:layout>
        <c:manualLayout>
          <c:xMode val="edge"/>
          <c:yMode val="edge"/>
          <c:x val="0.020824949698189137"/>
          <c:y val="0.046515679442508714"/>
        </c:manualLayout>
      </c:layout>
      <c:overlay val="0"/>
    </c:title>
    <c:plotArea>
      <c:layout/>
      <c:scatterChart>
        <c:scatterStyle val="lineMarker"/>
        <c:varyColors val="0"/>
        <c:ser>
          <c:idx val="0"/>
          <c:order val="0"/>
          <c:tx>
            <c:strRef>
              <c:f>'Heal (Commander)'!$F$1</c:f>
            </c:strRef>
          </c:tx>
          <c:spPr>
            <a:ln>
              <a:noFill/>
            </a:ln>
          </c:spPr>
          <c:marker>
            <c:symbol val="circle"/>
            <c:size val="2"/>
            <c:spPr>
              <a:solidFill>
                <a:srgbClr val="3C78D8"/>
              </a:solidFill>
              <a:ln cmpd="sng">
                <a:solidFill>
                  <a:srgbClr val="3C78D8"/>
                </a:solidFill>
              </a:ln>
            </c:spPr>
          </c:marker>
          <c:xVal>
            <c:numRef>
              <c:f>'Heal (Commander)'!$B$2:$B$64</c:f>
            </c:numRef>
          </c:xVal>
          <c:yVal>
            <c:numRef>
              <c:f>'Heal (Commander)'!$F$2:$F$64</c:f>
              <c:numCache/>
            </c:numRef>
          </c:yVal>
        </c:ser>
        <c:dLbls>
          <c:showLegendKey val="0"/>
          <c:showVal val="0"/>
          <c:showCatName val="0"/>
          <c:showSerName val="0"/>
          <c:showPercent val="0"/>
          <c:showBubbleSize val="0"/>
        </c:dLbls>
        <c:axId val="1398962354"/>
        <c:axId val="1599910208"/>
      </c:scatterChart>
      <c:valAx>
        <c:axId val="1398962354"/>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9910208"/>
      </c:valAx>
      <c:valAx>
        <c:axId val="15999102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Heal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896235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Heal Cap</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sz="1000"/>
                </a:pPr>
              </a:p>
            </c:txPr>
            <c:showLegendKey val="0"/>
            <c:showVal val="1"/>
            <c:showCatName val="0"/>
            <c:showSerName val="0"/>
            <c:showPercent val="0"/>
            <c:showBubbleSize val="0"/>
          </c:dLbls>
          <c:cat>
            <c:strRef>
              <c:f>'Heal Cap'!$N$2:$W$2</c:f>
            </c:strRef>
          </c:cat>
          <c:val>
            <c:numRef>
              <c:f>'Heal Cap'!$N$3:$W$3</c:f>
              <c:numCache/>
            </c:numRef>
          </c:val>
        </c:ser>
        <c:axId val="2054446995"/>
        <c:axId val="723439356"/>
      </c:barChart>
      <c:catAx>
        <c:axId val="20544469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Round (Relative to Heal)</a:t>
                </a:r>
              </a:p>
            </c:rich>
          </c:tx>
          <c:overlay val="0"/>
        </c:title>
        <c:numFmt formatCode="General" sourceLinked="1"/>
        <c:majorTickMark val="none"/>
        <c:minorTickMark val="none"/>
        <c:spPr/>
        <c:txPr>
          <a:bodyPr/>
          <a:lstStyle/>
          <a:p>
            <a:pPr lvl="0">
              <a:defRPr b="0">
                <a:solidFill>
                  <a:srgbClr val="000000"/>
                </a:solidFill>
                <a:latin typeface="+mn-lt"/>
              </a:defRPr>
            </a:pPr>
          </a:p>
        </c:txPr>
        <c:crossAx val="723439356"/>
      </c:catAx>
      <c:valAx>
        <c:axId val="723439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4446995"/>
        <c:majorUnit val="0.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Commander Physical Damage</a:t>
            </a:r>
          </a:p>
        </c:rich>
      </c:tx>
      <c:overlay val="0"/>
    </c:title>
    <c:plotArea>
      <c:layout/>
      <c:scatterChart>
        <c:scatterStyle val="lineMarker"/>
        <c:ser>
          <c:idx val="0"/>
          <c:order val="0"/>
          <c:tx>
            <c:strRef>
              <c:f>'Physical (Commander)'!$X$1</c:f>
            </c:strRef>
          </c:tx>
          <c:spPr>
            <a:ln>
              <a:noFill/>
            </a:ln>
          </c:spPr>
          <c:marker>
            <c:symbol val="circle"/>
            <c:size val="2"/>
            <c:spPr>
              <a:solidFill>
                <a:srgbClr val="A4C2F4"/>
              </a:solidFill>
              <a:ln cmpd="sng">
                <a:solidFill>
                  <a:srgbClr val="A4C2F4"/>
                </a:solidFill>
              </a:ln>
            </c:spPr>
          </c:marker>
          <c:dPt>
            <c:idx val="109"/>
            <c:marker>
              <c:symbol val="none"/>
            </c:marker>
          </c:dPt>
          <c:xVal>
            <c:numRef>
              <c:f>'Physical (Commander)'!$C$2:$C$248</c:f>
            </c:numRef>
          </c:xVal>
          <c:yVal>
            <c:numRef>
              <c:f>'Physical (Commander)'!$X$2:$X$248</c:f>
              <c:numCache/>
            </c:numRef>
          </c:yVal>
        </c:ser>
        <c:ser>
          <c:idx val="1"/>
          <c:order val="1"/>
          <c:tx>
            <c:strRef>
              <c:f>'Physical (Commander)'!$Y$1</c:f>
            </c:strRef>
          </c:tx>
          <c:spPr>
            <a:ln>
              <a:noFill/>
            </a:ln>
          </c:spPr>
          <c:marker>
            <c:symbol val="circle"/>
            <c:size val="2"/>
            <c:spPr>
              <a:solidFill>
                <a:srgbClr val="3C78D8"/>
              </a:solidFill>
              <a:ln cmpd="sng">
                <a:solidFill>
                  <a:srgbClr val="3C78D8"/>
                </a:solidFill>
              </a:ln>
            </c:spPr>
          </c:marker>
          <c:xVal>
            <c:numRef>
              <c:f>'Physical (Commander)'!$C$2:$C$248</c:f>
            </c:numRef>
          </c:xVal>
          <c:yVal>
            <c:numRef>
              <c:f>'Physical (Commander)'!$Y$2:$Y$248</c:f>
              <c:numCache/>
            </c:numRef>
          </c:yVal>
        </c:ser>
        <c:dLbls>
          <c:showLegendKey val="0"/>
          <c:showVal val="0"/>
          <c:showCatName val="0"/>
          <c:showSerName val="0"/>
          <c:showPercent val="0"/>
          <c:showBubbleSize val="0"/>
        </c:dLbls>
        <c:axId val="1998643478"/>
        <c:axId val="1598898021"/>
      </c:scatterChart>
      <c:valAx>
        <c:axId val="1998643478"/>
        <c:scaling>
          <c:orientation val="minMax"/>
          <c:max val="10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8898021"/>
      </c:valAx>
      <c:valAx>
        <c:axId val="159889802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Damage / Might / Attack Coefficient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8643478"/>
      </c:valAx>
    </c:plotArea>
    <c:legend>
      <c:legendPos val="r"/>
      <c:layout>
        <c:manualLayout>
          <c:xMode val="edge"/>
          <c:yMode val="edge"/>
          <c:x val="0.14830783195020747"/>
          <c:y val="0.15451977401129943"/>
        </c:manualLayout>
      </c:layou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Commander Physical Damage for normal attacks</a:t>
            </a:r>
          </a:p>
        </c:rich>
      </c:tx>
      <c:overlay val="0"/>
    </c:title>
    <c:plotArea>
      <c:layout/>
      <c:scatterChart>
        <c:scatterStyle val="lineMarker"/>
        <c:ser>
          <c:idx val="0"/>
          <c:order val="0"/>
          <c:tx>
            <c:strRef>
              <c:f>'Normal Physical (Commander)'!$B$1</c:f>
            </c:strRef>
          </c:tx>
          <c:spPr>
            <a:ln>
              <a:noFill/>
            </a:ln>
          </c:spPr>
          <c:marker>
            <c:symbol val="circle"/>
            <c:size val="2"/>
            <c:spPr>
              <a:solidFill>
                <a:srgbClr val="B6D7A8"/>
              </a:solidFill>
              <a:ln cmpd="sng">
                <a:solidFill>
                  <a:srgbClr val="B6D7A8"/>
                </a:solidFill>
              </a:ln>
            </c:spPr>
          </c:marker>
          <c:dPt>
            <c:idx val="109"/>
            <c:marker>
              <c:symbol val="none"/>
            </c:marker>
          </c:dPt>
          <c:xVal>
            <c:numRef>
              <c:f>'Normal Physical (Commander)'!$A$2:$A$228</c:f>
            </c:numRef>
          </c:xVal>
          <c:yVal>
            <c:numRef>
              <c:f>'Normal Physical (Commander)'!$B$2:$B$228</c:f>
              <c:numCache/>
            </c:numRef>
          </c:yVal>
        </c:ser>
        <c:ser>
          <c:idx val="1"/>
          <c:order val="1"/>
          <c:tx>
            <c:strRef>
              <c:f>'Normal Physical (Commander)'!$C$1</c:f>
            </c:strRef>
          </c:tx>
          <c:spPr>
            <a:ln>
              <a:noFill/>
            </a:ln>
          </c:spPr>
          <c:marker>
            <c:symbol val="circle"/>
            <c:size val="2"/>
            <c:spPr>
              <a:solidFill>
                <a:srgbClr val="6AA84F"/>
              </a:solidFill>
              <a:ln cmpd="sng">
                <a:solidFill>
                  <a:srgbClr val="6AA84F"/>
                </a:solidFill>
              </a:ln>
            </c:spPr>
          </c:marker>
          <c:xVal>
            <c:numRef>
              <c:f>'Normal Physical (Commander)'!$A$2:$A$228</c:f>
            </c:numRef>
          </c:xVal>
          <c:yVal>
            <c:numRef>
              <c:f>'Normal Physical (Commander)'!$C$2:$C$228</c:f>
              <c:numCache/>
            </c:numRef>
          </c:yVal>
        </c:ser>
        <c:dLbls>
          <c:showLegendKey val="0"/>
          <c:showVal val="0"/>
          <c:showCatName val="0"/>
          <c:showSerName val="0"/>
          <c:showPercent val="0"/>
          <c:showBubbleSize val="0"/>
        </c:dLbls>
        <c:axId val="155895509"/>
        <c:axId val="1561532951"/>
      </c:scatterChart>
      <c:valAx>
        <c:axId val="155895509"/>
        <c:scaling>
          <c:orientation val="minMax"/>
          <c:max val="10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Command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1532951"/>
      </c:valAx>
      <c:valAx>
        <c:axId val="156153295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Damage / Might / Attack Coefficient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895509"/>
      </c:valAx>
    </c:plotArea>
    <c:legend>
      <c:legendPos val="r"/>
      <c:layout>
        <c:manualLayout>
          <c:xMode val="edge"/>
          <c:yMode val="edge"/>
          <c:x val="0.14830783195020747"/>
          <c:y val="0.15451977401129943"/>
        </c:manualLayout>
      </c:layout>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38100</xdr:colOff>
      <xdr:row>1</xdr:row>
      <xdr:rowOff>0</xdr:rowOff>
    </xdr:from>
    <xdr:ext cx="4591050" cy="2809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28</xdr:col>
      <xdr:colOff>38100</xdr:colOff>
      <xdr:row>15</xdr:row>
      <xdr:rowOff>0</xdr:rowOff>
    </xdr:from>
    <xdr:ext cx="4591050" cy="28098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38100</xdr:colOff>
      <xdr:row>16</xdr:row>
      <xdr:rowOff>28575</xdr:rowOff>
    </xdr:from>
    <xdr:ext cx="4591050" cy="28098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33</xdr:col>
      <xdr:colOff>38100</xdr:colOff>
      <xdr:row>1</xdr:row>
      <xdr:rowOff>0</xdr:rowOff>
    </xdr:from>
    <xdr:ext cx="4591050" cy="30384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33</xdr:col>
      <xdr:colOff>38100</xdr:colOff>
      <xdr:row>30</xdr:row>
      <xdr:rowOff>38100</xdr:rowOff>
    </xdr:from>
    <xdr:ext cx="4591050" cy="28098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xdr:row>
      <xdr:rowOff>0</xdr:rowOff>
    </xdr:from>
    <xdr:ext cx="4733925" cy="27336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0</xdr:colOff>
      <xdr:row>3</xdr:row>
      <xdr:rowOff>0</xdr:rowOff>
    </xdr:from>
    <xdr:ext cx="3362325" cy="21717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66675</xdr:colOff>
      <xdr:row>1</xdr:row>
      <xdr:rowOff>0</xdr:rowOff>
    </xdr:from>
    <xdr:ext cx="5286375" cy="306705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27</xdr:col>
      <xdr:colOff>76200</xdr:colOff>
      <xdr:row>27</xdr:row>
      <xdr:rowOff>9525</xdr:rowOff>
    </xdr:from>
    <xdr:ext cx="5276850" cy="3067050"/>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76200</xdr:colOff>
      <xdr:row>42</xdr:row>
      <xdr:rowOff>76200</xdr:rowOff>
    </xdr:from>
    <xdr:ext cx="5276850" cy="3067050"/>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27</xdr:col>
      <xdr:colOff>66675</xdr:colOff>
      <xdr:row>16</xdr:row>
      <xdr:rowOff>57150</xdr:rowOff>
    </xdr:from>
    <xdr:ext cx="5286375" cy="3067050"/>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28575</xdr:colOff>
      <xdr:row>1</xdr:row>
      <xdr:rowOff>0</xdr:rowOff>
    </xdr:from>
    <xdr:ext cx="4867275" cy="296227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6" displayName="Table_1" id="1">
  <tableColumns count="5">
    <tableColumn name="Effect" id="1"/>
    <tableColumn name="Base portion" id="2"/>
    <tableColumn name="Command scaling portion" id="3"/>
    <tableColumn name="Multiplicative with" id="4"/>
    <tableColumn name="Formula" id="5"/>
  </tableColumns>
  <tableStyleInfo name="Commander Table-style" showColumnStripes="0" showFirstColumn="1" showLastColumn="1" showRowStripes="1"/>
</table>
</file>

<file path=xl/tables/table2.xml><?xml version="1.0" encoding="utf-8"?>
<table xmlns="http://schemas.openxmlformats.org/spreadsheetml/2006/main" headerRowCount="0" ref="A1:I64" display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Heal (Commander)-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E596" displayName="Table_3" id="3">
  <tableColumns count="5">
    <tableColumn name="Total Command" id="1"/>
    <tableColumn name="Normal avg Damage / Might / Attack Coefficient" id="2"/>
    <tableColumn name="Skill avg Damage / Might / Attack Coefficient" id="3"/>
    <tableColumn name="Normal avg Base Damage / Might / Attack Coefficient" id="4"/>
    <tableColumn name="Skill avg Base Damage / Might / Attack Coefficient" id="5"/>
  </tableColumns>
  <tableStyleInfo name="Separated Physical (Commander)-style" showColumnStripes="0" showFirstColumn="1" showLastColumn="1" showRowStripes="1"/>
</table>
</file>

<file path=xl/tables/table4.xml><?xml version="1.0" encoding="utf-8"?>
<table xmlns="http://schemas.openxmlformats.org/spreadsheetml/2006/main" ref="A1:C228" displayName="Table_4" id="4">
  <tableColumns count="3">
    <tableColumn name="Total Command" id="1"/>
    <tableColumn name="Damage / Might / Attack Coefficient" id="2"/>
    <tableColumn name="Base Damage / Might / Attack Coefficient" id="3"/>
  </tableColumns>
  <tableStyleInfo name="Normal Physical (Commander)-style" showColumnStripes="0" showFirstColumn="1" showLastColumn="1" showRowStripes="1"/>
</table>
</file>

<file path=xl/tables/table5.xml><?xml version="1.0" encoding="utf-8"?>
<table xmlns="http://schemas.openxmlformats.org/spreadsheetml/2006/main" ref="A1:C728" displayName="Table_5" id="5">
  <tableColumns count="3">
    <tableColumn name="Total Command" id="1"/>
    <tableColumn name="Damage / Might / Attack Coefficient" id="2"/>
    <tableColumn name="Base Damage / Might / Attack Coefficient" id="3"/>
  </tableColumns>
  <tableStyleInfo name="Skill Physical (Command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gLy6eFXyk_Nf5bBgWeLOTROTi1R42Lb8cSDt93dpECs/edit?usp=sharing" TargetMode="External"/><Relationship Id="rId2" Type="http://schemas.openxmlformats.org/officeDocument/2006/relationships/hyperlink" Target="https://docs.google.com/spreadsheets/d/1gLy6eFXyk_Nf5bBgWeLOTROTi1R42Lb8cSDt93dpECs/edit?usp=sharin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25"/>
  </cols>
  <sheetData>
    <row r="1">
      <c r="A1" s="1" t="s">
        <v>0</v>
      </c>
    </row>
    <row r="2">
      <c r="A2" s="2" t="s">
        <v>1</v>
      </c>
    </row>
    <row r="3">
      <c r="A3" s="2" t="s">
        <v>2</v>
      </c>
    </row>
    <row r="4">
      <c r="A4" s="2" t="s">
        <v>3</v>
      </c>
    </row>
    <row r="5">
      <c r="A5" s="3"/>
    </row>
    <row r="6">
      <c r="A6" s="1" t="s">
        <v>4</v>
      </c>
    </row>
    <row r="7">
      <c r="A7" s="4" t="s">
        <v>5</v>
      </c>
    </row>
    <row r="8">
      <c r="A8" s="4" t="s">
        <v>6</v>
      </c>
    </row>
    <row r="9">
      <c r="A9" s="4" t="s">
        <v>7</v>
      </c>
    </row>
    <row r="10">
      <c r="A10" s="1"/>
    </row>
    <row r="11">
      <c r="A11" s="1" t="s">
        <v>8</v>
      </c>
    </row>
    <row r="12">
      <c r="A12" s="3"/>
    </row>
    <row r="13">
      <c r="A13" s="1" t="s">
        <v>9</v>
      </c>
    </row>
    <row r="14">
      <c r="A14" s="2" t="s">
        <v>10</v>
      </c>
    </row>
    <row r="15">
      <c r="A15" s="2" t="s">
        <v>11</v>
      </c>
    </row>
    <row r="16">
      <c r="A16" s="2" t="s">
        <v>12</v>
      </c>
    </row>
    <row r="17">
      <c r="A17" s="2" t="s">
        <v>13</v>
      </c>
    </row>
    <row r="18">
      <c r="A18" s="2" t="s">
        <v>14</v>
      </c>
    </row>
    <row r="19">
      <c r="A19" s="3"/>
    </row>
    <row r="20">
      <c r="A20" s="1" t="s">
        <v>15</v>
      </c>
    </row>
    <row r="21">
      <c r="A21" s="1" t="s">
        <v>16</v>
      </c>
    </row>
    <row r="22">
      <c r="A22" s="1" t="s">
        <v>17</v>
      </c>
    </row>
    <row r="23">
      <c r="A23" s="2" t="s">
        <v>18</v>
      </c>
    </row>
    <row r="24">
      <c r="A24" s="2" t="s">
        <v>19</v>
      </c>
    </row>
    <row r="25">
      <c r="A25" s="2" t="s">
        <v>20</v>
      </c>
    </row>
    <row r="26">
      <c r="A26" s="5" t="s">
        <v>21</v>
      </c>
    </row>
    <row r="27">
      <c r="A27" s="2" t="s">
        <v>22</v>
      </c>
    </row>
    <row r="28">
      <c r="A28" s="6" t="s">
        <v>23</v>
      </c>
    </row>
    <row r="29">
      <c r="A29" s="6" t="s">
        <v>24</v>
      </c>
    </row>
    <row r="30">
      <c r="A30" s="6" t="s">
        <v>25</v>
      </c>
    </row>
    <row r="31">
      <c r="A31" s="6" t="s">
        <v>26</v>
      </c>
    </row>
    <row r="32">
      <c r="A32" s="2"/>
    </row>
    <row r="33">
      <c r="A33" s="7" t="s">
        <v>27</v>
      </c>
    </row>
    <row r="34">
      <c r="A34" s="2" t="s">
        <v>28</v>
      </c>
    </row>
    <row r="35">
      <c r="A35" s="8" t="s">
        <v>29</v>
      </c>
    </row>
    <row r="36">
      <c r="A36" s="9" t="s">
        <v>30</v>
      </c>
    </row>
    <row r="37">
      <c r="A37" s="10" t="s">
        <v>31</v>
      </c>
    </row>
  </sheetData>
  <hyperlinks>
    <hyperlink r:id="rId1" ref="A26"/>
    <hyperlink r:id="rId2" ref="A36"/>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6.13"/>
    <col customWidth="1" min="3" max="3" width="9.13"/>
  </cols>
  <sheetData>
    <row r="1">
      <c r="A1" s="206" t="str">
        <f>IFERROR(__xludf.DUMMYFUNCTION("QUERY('Physical (Commander)'!1:248,""SELECT C, X, Y WHERE W = 'Normal'"")"),"Total Command")</f>
        <v>Total Command</v>
      </c>
      <c r="B1" s="203" t="str">
        <f>IFERROR(__xludf.DUMMYFUNCTION("""COMPUTED_VALUE"""),"Damage / Might / Attack Coefficient")</f>
        <v>Damage / Might / Attack Coefficient</v>
      </c>
      <c r="C1" s="203" t="str">
        <f>IFERROR(__xludf.DUMMYFUNCTION("""COMPUTED_VALUE"""),"Base Damage / Might / Attack Coefficient")</f>
        <v>Base Damage / Might / Attack Coefficient</v>
      </c>
    </row>
    <row r="2">
      <c r="A2" s="204">
        <f>IFERROR(__xludf.DUMMYFUNCTION("""COMPUTED_VALUE"""),0.02)</f>
        <v>0.02</v>
      </c>
      <c r="B2" s="204">
        <f>IFERROR(__xludf.DUMMYFUNCTION("""COMPUTED_VALUE"""),5.231813302863475)</f>
        <v>5.231813303</v>
      </c>
      <c r="C2" s="204">
        <f>IFERROR(__xludf.DUMMYFUNCTION("""COMPUTED_VALUE"""),4.006048824156882)</f>
        <v>4.006048824</v>
      </c>
    </row>
    <row r="3">
      <c r="A3" s="204">
        <f>IFERROR(__xludf.DUMMYFUNCTION("""COMPUTED_VALUE"""),0.02)</f>
        <v>0.02</v>
      </c>
      <c r="B3" s="204">
        <f>IFERROR(__xludf.DUMMYFUNCTION("""COMPUTED_VALUE"""),7.627852221183477)</f>
        <v>7.627852221</v>
      </c>
      <c r="C3" s="204">
        <f>IFERROR(__xludf.DUMMYFUNCTION("""COMPUTED_VALUE"""),4.006224906083759)</f>
        <v>4.006224906</v>
      </c>
    </row>
    <row r="4">
      <c r="A4" s="204">
        <f>IFERROR(__xludf.DUMMYFUNCTION("""COMPUTED_VALUE"""),0.06)</f>
        <v>0.06</v>
      </c>
      <c r="B4" s="204">
        <f>IFERROR(__xludf.DUMMYFUNCTION("""COMPUTED_VALUE"""),7.25736643468024)</f>
        <v>7.257366435</v>
      </c>
      <c r="C4" s="204">
        <f>IFERROR(__xludf.DUMMYFUNCTION("""COMPUTED_VALUE"""),4.0185233473975455)</f>
        <v>4.018523347</v>
      </c>
    </row>
    <row r="5">
      <c r="A5" s="204">
        <f>IFERROR(__xludf.DUMMYFUNCTION("""COMPUTED_VALUE"""),0.1)</f>
        <v>0.1</v>
      </c>
      <c r="B5" s="204">
        <f>IFERROR(__xludf.DUMMYFUNCTION("""COMPUTED_VALUE"""),7.219279110834113)</f>
        <v>7.219279111</v>
      </c>
      <c r="C5" s="204">
        <f>IFERROR(__xludf.DUMMYFUNCTION("""COMPUTED_VALUE"""),4.034100826145507)</f>
        <v>4.034100826</v>
      </c>
    </row>
    <row r="6">
      <c r="A6" s="204">
        <f>IFERROR(__xludf.DUMMYFUNCTION("""COMPUTED_VALUE"""),0.14)</f>
        <v>0.14</v>
      </c>
      <c r="B6" s="204">
        <f>IFERROR(__xludf.DUMMYFUNCTION("""COMPUTED_VALUE"""),5.460337245940237)</f>
        <v>5.460337246</v>
      </c>
      <c r="C6" s="204">
        <f>IFERROR(__xludf.DUMMYFUNCTION("""COMPUTED_VALUE"""),4.044694256252027)</f>
        <v>4.044694256</v>
      </c>
    </row>
    <row r="7">
      <c r="A7" s="204">
        <f>IFERROR(__xludf.DUMMYFUNCTION("""COMPUTED_VALUE"""),0.2)</f>
        <v>0.2</v>
      </c>
      <c r="B7" s="204">
        <f>IFERROR(__xludf.DUMMYFUNCTION("""COMPUTED_VALUE"""),7.520515217617119)</f>
        <v>7.520515218</v>
      </c>
      <c r="C7" s="204">
        <f>IFERROR(__xludf.DUMMYFUNCTION("""COMPUTED_VALUE"""),4.065143360874118)</f>
        <v>4.065143361</v>
      </c>
    </row>
    <row r="8">
      <c r="A8" s="204">
        <f>IFERROR(__xludf.DUMMYFUNCTION("""COMPUTED_VALUE"""),0.24)</f>
        <v>0.24</v>
      </c>
      <c r="B8" s="204">
        <f>IFERROR(__xludf.DUMMYFUNCTION("""COMPUTED_VALUE"""),5.505349537758388)</f>
        <v>5.505349538</v>
      </c>
      <c r="C8" s="204">
        <f>IFERROR(__xludf.DUMMYFUNCTION("""COMPUTED_VALUE"""),4.078036694635842)</f>
        <v>4.078036695</v>
      </c>
    </row>
    <row r="9">
      <c r="A9" s="204">
        <f>IFERROR(__xludf.DUMMYFUNCTION("""COMPUTED_VALUE"""),0.32)</f>
        <v>0.32</v>
      </c>
      <c r="B9" s="204">
        <f>IFERROR(__xludf.DUMMYFUNCTION("""COMPUTED_VALUE"""),7.534365153561165)</f>
        <v>7.534365154</v>
      </c>
      <c r="C9" s="204">
        <f>IFERROR(__xludf.DUMMYFUNCTION("""COMPUTED_VALUE"""),4.105987858508398)</f>
        <v>4.105987859</v>
      </c>
    </row>
    <row r="10">
      <c r="A10" s="204">
        <f>IFERROR(__xludf.DUMMYFUNCTION("""COMPUTED_VALUE"""),0.32)</f>
        <v>0.32</v>
      </c>
      <c r="B10" s="204">
        <f>IFERROR(__xludf.DUMMYFUNCTION("""COMPUTED_VALUE"""),7.593227381323361)</f>
        <v>7.593227381</v>
      </c>
      <c r="C10" s="204">
        <f>IFERROR(__xludf.DUMMYFUNCTION("""COMPUTED_VALUE"""),4.104447233147763)</f>
        <v>4.104447233</v>
      </c>
    </row>
    <row r="11">
      <c r="A11" s="204">
        <f>IFERROR(__xludf.DUMMYFUNCTION("""COMPUTED_VALUE"""),0.4)</f>
        <v>0.4</v>
      </c>
      <c r="B11" s="204">
        <f>IFERROR(__xludf.DUMMYFUNCTION("""COMPUTED_VALUE"""),7.582839929365327)</f>
        <v>7.582839929</v>
      </c>
      <c r="C11" s="204">
        <f>IFERROR(__xludf.DUMMYFUNCTION("""COMPUTED_VALUE"""),4.132405059803949)</f>
        <v>4.13240506</v>
      </c>
    </row>
    <row r="12">
      <c r="A12" s="204">
        <f>IFERROR(__xludf.DUMMYFUNCTION("""COMPUTED_VALUE"""),0.46)</f>
        <v>0.46</v>
      </c>
      <c r="B12" s="204">
        <f>IFERROR(__xludf.DUMMYFUNCTION("""COMPUTED_VALUE"""),5.086388975450989)</f>
        <v>5.086388975</v>
      </c>
      <c r="C12" s="204">
        <f>IFERROR(__xludf.DUMMYFUNCTION("""COMPUTED_VALUE"""),4.155147168797059)</f>
        <v>4.155147169</v>
      </c>
    </row>
    <row r="13">
      <c r="A13" s="204">
        <f>IFERROR(__xludf.DUMMYFUNCTION("""COMPUTED_VALUE"""),0.58)</f>
        <v>0.58</v>
      </c>
      <c r="B13" s="204">
        <f>IFERROR(__xludf.DUMMYFUNCTION("""COMPUTED_VALUE"""),7.229666562792147)</f>
        <v>7.229666563</v>
      </c>
      <c r="C13" s="204">
        <f>IFERROR(__xludf.DUMMYFUNCTION("""COMPUTED_VALUE"""),4.193255938842255)</f>
        <v>4.193255939</v>
      </c>
    </row>
    <row r="14">
      <c r="A14" s="204">
        <f>IFERROR(__xludf.DUMMYFUNCTION("""COMPUTED_VALUE"""),0.76)</f>
        <v>0.76</v>
      </c>
      <c r="B14" s="204">
        <f>IFERROR(__xludf.DUMMYFUNCTION("""COMPUTED_VALUE"""),7.295453758526366)</f>
        <v>7.295453759</v>
      </c>
      <c r="C14" s="204">
        <f>IFERROR(__xludf.DUMMYFUNCTION("""COMPUTED_VALUE"""),4.231412961274248)</f>
        <v>4.231412961</v>
      </c>
    </row>
    <row r="15">
      <c r="A15" s="204">
        <f>IFERROR(__xludf.DUMMYFUNCTION("""COMPUTED_VALUE"""),1.0)</f>
        <v>1</v>
      </c>
      <c r="B15" s="204">
        <f>IFERROR(__xludf.DUMMYFUNCTION("""COMPUTED_VALUE"""),8.195699594889373)</f>
        <v>8.195699595</v>
      </c>
      <c r="C15" s="204">
        <f>IFERROR(__xludf.DUMMYFUNCTION("""COMPUTED_VALUE"""),4.327190915992277)</f>
        <v>4.327190916</v>
      </c>
    </row>
    <row r="16">
      <c r="A16" s="204">
        <f>IFERROR(__xludf.DUMMYFUNCTION("""COMPUTED_VALUE"""),1.28)</f>
        <v>1.28</v>
      </c>
      <c r="B16" s="204">
        <f>IFERROR(__xludf.DUMMYFUNCTION("""COMPUTED_VALUE"""),6.1597590111145735)</f>
        <v>6.159759011</v>
      </c>
      <c r="C16" s="204">
        <f>IFERROR(__xludf.DUMMYFUNCTION("""COMPUTED_VALUE"""),4.418765431215619)</f>
        <v>4.418765431</v>
      </c>
    </row>
    <row r="17">
      <c r="A17" s="204">
        <f>IFERROR(__xludf.DUMMYFUNCTION("""COMPUTED_VALUE"""),1.48)</f>
        <v>1.48</v>
      </c>
      <c r="B17" s="204">
        <f>IFERROR(__xludf.DUMMYFUNCTION("""COMPUTED_VALUE"""),5.041376683632838)</f>
        <v>5.041376684</v>
      </c>
      <c r="C17" s="204">
        <f>IFERROR(__xludf.DUMMYFUNCTION("""COMPUTED_VALUE"""),4.482123356447688)</f>
        <v>4.482123356</v>
      </c>
    </row>
    <row r="18">
      <c r="A18" s="204">
        <f>IFERROR(__xludf.DUMMYFUNCTION("""COMPUTED_VALUE"""),1.54)</f>
        <v>1.54</v>
      </c>
      <c r="B18" s="204">
        <f>IFERROR(__xludf.DUMMYFUNCTION("""COMPUTED_VALUE"""),7.316228662442436)</f>
        <v>7.316228662</v>
      </c>
      <c r="C18" s="204">
        <f>IFERROR(__xludf.DUMMYFUNCTION("""COMPUTED_VALUE"""),4.502920277472116)</f>
        <v>4.502920277</v>
      </c>
    </row>
    <row r="19">
      <c r="A19" s="204">
        <f>IFERROR(__xludf.DUMMYFUNCTION("""COMPUTED_VALUE"""),1.68)</f>
        <v>1.68</v>
      </c>
      <c r="B19" s="204">
        <f>IFERROR(__xludf.DUMMYFUNCTION("""COMPUTED_VALUE"""),5.114088847339081)</f>
        <v>5.114088847</v>
      </c>
      <c r="C19" s="204">
        <f>IFERROR(__xludf.DUMMYFUNCTION("""COMPUTED_VALUE"""),4.546769366396453)</f>
        <v>4.546769366</v>
      </c>
    </row>
    <row r="20">
      <c r="A20" s="204">
        <f>IFERROR(__xludf.DUMMYFUNCTION("""COMPUTED_VALUE"""),1.88)</f>
        <v>1.88</v>
      </c>
      <c r="B20" s="204">
        <f>IFERROR(__xludf.DUMMYFUNCTION("""COMPUTED_VALUE"""),7.492815345729026)</f>
        <v>7.492815346</v>
      </c>
      <c r="C20" s="204">
        <f>IFERROR(__xludf.DUMMYFUNCTION("""COMPUTED_VALUE"""),4.611604108116261)</f>
        <v>4.611604108</v>
      </c>
    </row>
    <row r="21">
      <c r="A21" s="204">
        <f>IFERROR(__xludf.DUMMYFUNCTION("""COMPUTED_VALUE"""),2.1)</f>
        <v>2.1</v>
      </c>
      <c r="B21" s="204">
        <f>IFERROR(__xludf.DUMMYFUNCTION("""COMPUTED_VALUE"""),5.861985388317579)</f>
        <v>5.861985388</v>
      </c>
      <c r="C21" s="204">
        <f>IFERROR(__xludf.DUMMYFUNCTION("""COMPUTED_VALUE"""),4.678986794266517)</f>
        <v>4.678986794</v>
      </c>
    </row>
    <row r="22">
      <c r="A22" s="204">
        <f>IFERROR(__xludf.DUMMYFUNCTION("""COMPUTED_VALUE"""),2.32)</f>
        <v>2.32</v>
      </c>
      <c r="B22" s="204">
        <f>IFERROR(__xludf.DUMMYFUNCTION("""COMPUTED_VALUE"""),6.8903431321630135)</f>
        <v>6.890343132</v>
      </c>
      <c r="C22" s="204">
        <f>IFERROR(__xludf.DUMMYFUNCTION("""COMPUTED_VALUE"""),4.7506286606016825)</f>
        <v>4.750628661</v>
      </c>
    </row>
    <row r="23">
      <c r="A23" s="204">
        <f>IFERROR(__xludf.DUMMYFUNCTION("""COMPUTED_VALUE"""),2.42)</f>
        <v>2.42</v>
      </c>
      <c r="B23" s="204">
        <f>IFERROR(__xludf.DUMMYFUNCTION("""COMPUTED_VALUE"""),8.18531214293134)</f>
        <v>8.185312143</v>
      </c>
      <c r="C23" s="204">
        <f>IFERROR(__xludf.DUMMYFUNCTION("""COMPUTED_VALUE"""),4.782798064741758)</f>
        <v>4.782798065</v>
      </c>
    </row>
    <row r="24">
      <c r="A24" s="204">
        <f>IFERROR(__xludf.DUMMYFUNCTION("""COMPUTED_VALUE"""),2.68)</f>
        <v>2.68</v>
      </c>
      <c r="B24" s="204">
        <f>IFERROR(__xludf.DUMMYFUNCTION("""COMPUTED_VALUE"""),7.053079879505558)</f>
        <v>7.05307988</v>
      </c>
      <c r="C24" s="204">
        <f>IFERROR(__xludf.DUMMYFUNCTION("""COMPUTED_VALUE"""),4.862829438012879)</f>
        <v>4.862829438</v>
      </c>
    </row>
    <row r="25">
      <c r="A25" s="204">
        <f>IFERROR(__xludf.DUMMYFUNCTION("""COMPUTED_VALUE"""),2.98)</f>
        <v>2.98</v>
      </c>
      <c r="B25" s="204">
        <f>IFERROR(__xludf.DUMMYFUNCTION("""COMPUTED_VALUE"""),5.785810740625324)</f>
        <v>5.785810741</v>
      </c>
      <c r="C25" s="204">
        <f>IFERROR(__xludf.DUMMYFUNCTION("""COMPUTED_VALUE"""),4.95545752662217)</f>
        <v>4.955457527</v>
      </c>
    </row>
    <row r="26">
      <c r="A26" s="204">
        <f>IFERROR(__xludf.DUMMYFUNCTION("""COMPUTED_VALUE"""),3.26)</f>
        <v>3.26</v>
      </c>
      <c r="B26" s="204">
        <f>IFERROR(__xludf.DUMMYFUNCTION("""COMPUTED_VALUE"""),6.1078217513244)</f>
        <v>6.107821751</v>
      </c>
      <c r="C26" s="204">
        <f>IFERROR(__xludf.DUMMYFUNCTION("""COMPUTED_VALUE"""),5.041925464635792)</f>
        <v>5.041925465</v>
      </c>
    </row>
    <row r="27">
      <c r="A27" s="204">
        <f>IFERROR(__xludf.DUMMYFUNCTION("""COMPUTED_VALUE"""),3.72)</f>
        <v>3.72</v>
      </c>
      <c r="B27" s="204">
        <f>IFERROR(__xludf.DUMMYFUNCTION("""COMPUTED_VALUE"""),6.048959523562203)</f>
        <v>6.048959524</v>
      </c>
      <c r="C27" s="204">
        <f>IFERROR(__xludf.DUMMYFUNCTION("""COMPUTED_VALUE"""),5.18084039437997)</f>
        <v>5.180840394</v>
      </c>
    </row>
    <row r="28">
      <c r="A28" s="204">
        <f>IFERROR(__xludf.DUMMYFUNCTION("""COMPUTED_VALUE"""),4.08)</f>
        <v>4.08</v>
      </c>
      <c r="B28" s="204">
        <f>IFERROR(__xludf.DUMMYFUNCTION("""COMPUTED_VALUE"""),5.027526747688792)</f>
        <v>5.027526748</v>
      </c>
      <c r="C28" s="204">
        <f>IFERROR(__xludf.DUMMYFUNCTION("""COMPUTED_VALUE"""),5.28986939123429)</f>
        <v>5.289869391</v>
      </c>
    </row>
    <row r="29">
      <c r="A29" s="204">
        <f>IFERROR(__xludf.DUMMYFUNCTION("""COMPUTED_VALUE"""),4.42)</f>
        <v>4.42</v>
      </c>
      <c r="B29" s="204">
        <f>IFERROR(__xludf.DUMMYFUNCTION("""COMPUTED_VALUE"""),10.00311623558741)</f>
        <v>10.00311624</v>
      </c>
      <c r="C29" s="204">
        <f>IFERROR(__xludf.DUMMYFUNCTION("""COMPUTED_VALUE"""),5.390280251300987)</f>
        <v>5.390280251</v>
      </c>
    </row>
    <row r="30">
      <c r="A30" s="204">
        <f>IFERROR(__xludf.DUMMYFUNCTION("""COMPUTED_VALUE"""),4.82)</f>
        <v>4.82</v>
      </c>
      <c r="B30" s="204">
        <f>IFERROR(__xludf.DUMMYFUNCTION("""COMPUTED_VALUE"""),11.66164606488695)</f>
        <v>11.66164606</v>
      </c>
      <c r="C30" s="204">
        <f>IFERROR(__xludf.DUMMYFUNCTION("""COMPUTED_VALUE"""),5.5091721361846915)</f>
        <v>5.509172136</v>
      </c>
    </row>
    <row r="31">
      <c r="A31" s="204">
        <f>IFERROR(__xludf.DUMMYFUNCTION("""COMPUTED_VALUE"""),5.18)</f>
        <v>5.18</v>
      </c>
      <c r="B31" s="204">
        <f>IFERROR(__xludf.DUMMYFUNCTION("""COMPUTED_VALUE"""),10.24549011460822)</f>
        <v>10.24549011</v>
      </c>
      <c r="C31" s="204">
        <f>IFERROR(__xludf.DUMMYFUNCTION("""COMPUTED_VALUE"""),5.613967186086695)</f>
        <v>5.613967186</v>
      </c>
    </row>
    <row r="32">
      <c r="A32" s="204">
        <f>IFERROR(__xludf.DUMMYFUNCTION("""COMPUTED_VALUE"""),5.94)</f>
        <v>5.94</v>
      </c>
      <c r="B32" s="204">
        <f>IFERROR(__xludf.DUMMYFUNCTION("""COMPUTED_VALUE"""),10.647138256985562)</f>
        <v>10.64713826</v>
      </c>
      <c r="C32" s="204">
        <f>IFERROR(__xludf.DUMMYFUNCTION("""COMPUTED_VALUE"""),5.834048359992088)</f>
        <v>5.83404836</v>
      </c>
    </row>
    <row r="33">
      <c r="A33" s="204">
        <f>IFERROR(__xludf.DUMMYFUNCTION("""COMPUTED_VALUE"""),6.32)</f>
        <v>6.32</v>
      </c>
      <c r="B33" s="204">
        <f>IFERROR(__xludf.DUMMYFUNCTION("""COMPUTED_VALUE"""),10.602125965167412)</f>
        <v>10.60212597</v>
      </c>
      <c r="C33" s="204">
        <f>IFERROR(__xludf.DUMMYFUNCTION("""COMPUTED_VALUE"""),5.945836486254939)</f>
        <v>5.945836486</v>
      </c>
    </row>
    <row r="34">
      <c r="A34" s="204">
        <f>IFERROR(__xludf.DUMMYFUNCTION("""COMPUTED_VALUE"""),6.94)</f>
        <v>6.94</v>
      </c>
      <c r="B34" s="204">
        <f>IFERROR(__xludf.DUMMYFUNCTION("""COMPUTED_VALUE"""),10.802950036356082)</f>
        <v>10.80295004</v>
      </c>
      <c r="C34" s="204">
        <f>IFERROR(__xludf.DUMMYFUNCTION("""COMPUTED_VALUE"""),6.117260511642905)</f>
        <v>6.117260512</v>
      </c>
    </row>
    <row r="35">
      <c r="A35" s="204">
        <f>IFERROR(__xludf.DUMMYFUNCTION("""COMPUTED_VALUE"""),7.84)</f>
        <v>7.84</v>
      </c>
      <c r="B35" s="204">
        <f>IFERROR(__xludf.DUMMYFUNCTION("""COMPUTED_VALUE"""),8.057200235448912)</f>
        <v>8.057200235</v>
      </c>
      <c r="C35" s="204">
        <f>IFERROR(__xludf.DUMMYFUNCTION("""COMPUTED_VALUE"""),6.364405684615072)</f>
        <v>6.364405685</v>
      </c>
    </row>
    <row r="36">
      <c r="A36" s="204">
        <f>IFERROR(__xludf.DUMMYFUNCTION("""COMPUTED_VALUE"""),9.1)</f>
        <v>9.1</v>
      </c>
      <c r="B36" s="204">
        <f>IFERROR(__xludf.DUMMYFUNCTION("""COMPUTED_VALUE"""),11.838232748173539)</f>
        <v>11.83823275</v>
      </c>
      <c r="C36" s="204">
        <f>IFERROR(__xludf.DUMMYFUNCTION("""COMPUTED_VALUE"""),6.703497977342016)</f>
        <v>6.703497977</v>
      </c>
    </row>
    <row r="37">
      <c r="A37" s="204">
        <f>IFERROR(__xludf.DUMMYFUNCTION("""COMPUTED_VALUE"""),9.36)</f>
        <v>9.36</v>
      </c>
      <c r="B37" s="204">
        <f>IFERROR(__xludf.DUMMYFUNCTION("""COMPUTED_VALUE"""),11.467746961670302)</f>
        <v>11.46774696</v>
      </c>
      <c r="C37" s="204">
        <f>IFERROR(__xludf.DUMMYFUNCTION("""COMPUTED_VALUE"""),6.777157003003377)</f>
        <v>6.777157003</v>
      </c>
    </row>
    <row r="38">
      <c r="A38" s="204">
        <f>IFERROR(__xludf.DUMMYFUNCTION("""COMPUTED_VALUE"""),9.48)</f>
        <v>9.48</v>
      </c>
      <c r="B38" s="204">
        <f>IFERROR(__xludf.DUMMYFUNCTION("""COMPUTED_VALUE"""),9.64994286901423)</f>
        <v>9.649942869</v>
      </c>
      <c r="C38" s="204">
        <f>IFERROR(__xludf.DUMMYFUNCTION("""COMPUTED_VALUE"""),6.807544135817606)</f>
        <v>6.807544136</v>
      </c>
    </row>
    <row r="39">
      <c r="A39" s="204">
        <f>IFERROR(__xludf.DUMMYFUNCTION("""COMPUTED_VALUE"""),9.8)</f>
        <v>9.8</v>
      </c>
      <c r="B39" s="204">
        <f>IFERROR(__xludf.DUMMYFUNCTION("""COMPUTED_VALUE"""),11.66164606488695)</f>
        <v>11.66164606</v>
      </c>
      <c r="C39" s="204">
        <f>IFERROR(__xludf.DUMMYFUNCTION("""COMPUTED_VALUE"""),6.89174661416527)</f>
        <v>6.891746614</v>
      </c>
    </row>
    <row r="40">
      <c r="A40" s="204">
        <f>IFERROR(__xludf.DUMMYFUNCTION("""COMPUTED_VALUE"""),10.16)</f>
        <v>10.16</v>
      </c>
      <c r="B40" s="204">
        <f>IFERROR(__xludf.DUMMYFUNCTION("""COMPUTED_VALUE"""),11.568158997264637)</f>
        <v>11.568159</v>
      </c>
      <c r="C40" s="204">
        <f>IFERROR(__xludf.DUMMYFUNCTION("""COMPUTED_VALUE"""),6.983340482461942)</f>
        <v>6.983340482</v>
      </c>
    </row>
    <row r="41">
      <c r="A41" s="204">
        <f>IFERROR(__xludf.DUMMYFUNCTION("""COMPUTED_VALUE"""),10.5)</f>
        <v>10.5</v>
      </c>
      <c r="B41" s="204">
        <f>IFERROR(__xludf.DUMMYFUNCTION("""COMPUTED_VALUE"""),9.040545687476195)</f>
        <v>9.040545687</v>
      </c>
      <c r="C41" s="204">
        <f>IFERROR(__xludf.DUMMYFUNCTION("""COMPUTED_VALUE"""),7.072624902532952)</f>
        <v>7.072624903</v>
      </c>
    </row>
    <row r="42">
      <c r="A42" s="204">
        <f>IFERROR(__xludf.DUMMYFUNCTION("""COMPUTED_VALUE"""),11.44)</f>
        <v>11.44</v>
      </c>
      <c r="B42" s="204">
        <f>IFERROR(__xludf.DUMMYFUNCTION("""COMPUTED_VALUE"""),9.345244278245213)</f>
        <v>9.345244278</v>
      </c>
      <c r="C42" s="204">
        <f>IFERROR(__xludf.DUMMYFUNCTION("""COMPUTED_VALUE"""),7.310997553403461)</f>
        <v>7.310997553</v>
      </c>
    </row>
    <row r="43">
      <c r="A43" s="204">
        <f>IFERROR(__xludf.DUMMYFUNCTION("""COMPUTED_VALUE"""),13.7)</f>
        <v>13.7</v>
      </c>
      <c r="B43" s="204">
        <f>IFERROR(__xludf.DUMMYFUNCTION("""COMPUTED_VALUE"""),12.10484401509643)</f>
        <v>12.10484402</v>
      </c>
      <c r="C43" s="204">
        <f>IFERROR(__xludf.DUMMYFUNCTION("""COMPUTED_VALUE"""),7.864145045062466)</f>
        <v>7.864145045</v>
      </c>
    </row>
    <row r="44">
      <c r="A44" s="204">
        <f>IFERROR(__xludf.DUMMYFUNCTION("""COMPUTED_VALUE"""),14.76)</f>
        <v>14.76</v>
      </c>
      <c r="B44" s="204">
        <f>IFERROR(__xludf.DUMMYFUNCTION("""COMPUTED_VALUE"""),10.373602022090648)</f>
        <v>10.37360202</v>
      </c>
      <c r="C44" s="204">
        <f>IFERROR(__xludf.DUMMYFUNCTION("""COMPUTED_VALUE"""),8.11550525009143)</f>
        <v>8.11550525</v>
      </c>
    </row>
    <row r="45">
      <c r="A45" s="204">
        <f>IFERROR(__xludf.DUMMYFUNCTION("""COMPUTED_VALUE"""),17.28)</f>
        <v>17.28</v>
      </c>
      <c r="B45" s="204">
        <f>IFERROR(__xludf.DUMMYFUNCTION("""COMPUTED_VALUE"""),11.100723659153076)</f>
        <v>11.10072366</v>
      </c>
      <c r="C45" s="204">
        <f>IFERROR(__xludf.DUMMYFUNCTION("""COMPUTED_VALUE"""),8.684349076032419)</f>
        <v>8.684349076</v>
      </c>
    </row>
    <row r="46">
      <c r="A46" s="204">
        <f>IFERROR(__xludf.DUMMYFUNCTION("""COMPUTED_VALUE"""),17.48)</f>
        <v>17.48</v>
      </c>
      <c r="B46" s="204">
        <f>IFERROR(__xludf.DUMMYFUNCTION("""COMPUTED_VALUE"""),9.743429936636543)</f>
        <v>9.743429937</v>
      </c>
      <c r="C46" s="204">
        <f>IFERROR(__xludf.DUMMYFUNCTION("""COMPUTED_VALUE"""),8.72833581666004)</f>
        <v>8.728335817</v>
      </c>
    </row>
    <row r="47">
      <c r="A47" s="204">
        <f>IFERROR(__xludf.DUMMYFUNCTION("""COMPUTED_VALUE"""),18.18)</f>
        <v>18.18</v>
      </c>
      <c r="B47" s="204">
        <f>IFERROR(__xludf.DUMMYFUNCTION("""COMPUTED_VALUE"""),9.91309165195111)</f>
        <v>9.913091652</v>
      </c>
      <c r="C47" s="204">
        <f>IFERROR(__xludf.DUMMYFUNCTION("""COMPUTED_VALUE"""),8.88032176371631)</f>
        <v>8.880321764</v>
      </c>
    </row>
    <row r="48">
      <c r="A48" s="204">
        <f>IFERROR(__xludf.DUMMYFUNCTION("""COMPUTED_VALUE"""),19.34)</f>
        <v>19.34</v>
      </c>
      <c r="B48" s="204">
        <f>IFERROR(__xludf.DUMMYFUNCTION("""COMPUTED_VALUE"""),10.190090370832035)</f>
        <v>10.19009037</v>
      </c>
      <c r="C48" s="204">
        <f>IFERROR(__xludf.DUMMYFUNCTION("""COMPUTED_VALUE"""),9.128462085440832)</f>
        <v>9.128462085</v>
      </c>
    </row>
    <row r="49">
      <c r="A49" s="204">
        <f>IFERROR(__xludf.DUMMYFUNCTION("""COMPUTED_VALUE"""),20.0)</f>
        <v>20</v>
      </c>
      <c r="B49" s="204">
        <f>IFERROR(__xludf.DUMMYFUNCTION("""COMPUTED_VALUE"""),13.00516133562726)</f>
        <v>13.00516134</v>
      </c>
      <c r="C49" s="204">
        <f>IFERROR(__xludf.DUMMYFUNCTION("""COMPUTED_VALUE"""),9.262935424235941)</f>
        <v>9.262935424</v>
      </c>
    </row>
    <row r="50">
      <c r="A50" s="204">
        <f>IFERROR(__xludf.DUMMYFUNCTION("""COMPUTED_VALUE"""),20.0)</f>
        <v>20</v>
      </c>
      <c r="B50" s="204">
        <f>IFERROR(__xludf.DUMMYFUNCTION("""COMPUTED_VALUE"""),14.719019424535162)</f>
        <v>14.71901942</v>
      </c>
      <c r="C50" s="204">
        <f>IFERROR(__xludf.DUMMYFUNCTION("""COMPUTED_VALUE"""),9.263070751752776)</f>
        <v>9.263070752</v>
      </c>
    </row>
    <row r="51">
      <c r="A51" s="204">
        <f>IFERROR(__xludf.DUMMYFUNCTION("""COMPUTED_VALUE"""),20.0)</f>
        <v>20</v>
      </c>
      <c r="B51" s="204">
        <f>IFERROR(__xludf.DUMMYFUNCTION("""COMPUTED_VALUE"""),9.2487597448618)</f>
        <v>9.248759745</v>
      </c>
      <c r="C51" s="204">
        <f>IFERROR(__xludf.DUMMYFUNCTION("""COMPUTED_VALUE"""),9.276589513402007)</f>
        <v>9.276589513</v>
      </c>
    </row>
    <row r="52">
      <c r="A52" s="204">
        <f>IFERROR(__xludf.DUMMYFUNCTION("""COMPUTED_VALUE"""),20.0)</f>
        <v>20</v>
      </c>
      <c r="B52" s="204">
        <f>IFERROR(__xludf.DUMMYFUNCTION("""COMPUTED_VALUE"""),8.811845431563741)</f>
        <v>8.811845432</v>
      </c>
      <c r="C52" s="204">
        <f>IFERROR(__xludf.DUMMYFUNCTION("""COMPUTED_VALUE"""),9.26616407305612)</f>
        <v>9.266164073</v>
      </c>
    </row>
    <row r="53">
      <c r="A53" s="204">
        <f>IFERROR(__xludf.DUMMYFUNCTION("""COMPUTED_VALUE"""),20.0)</f>
        <v>20</v>
      </c>
      <c r="B53" s="204">
        <f>IFERROR(__xludf.DUMMYFUNCTION("""COMPUTED_VALUE"""),8.695259593679458)</f>
        <v>8.695259594</v>
      </c>
      <c r="C53" s="204">
        <f>IFERROR(__xludf.DUMMYFUNCTION("""COMPUTED_VALUE"""),9.294142734681843)</f>
        <v>9.294142735</v>
      </c>
    </row>
    <row r="54">
      <c r="A54" s="204">
        <f>IFERROR(__xludf.DUMMYFUNCTION("""COMPUTED_VALUE"""),20.0)</f>
        <v>20</v>
      </c>
      <c r="B54" s="204">
        <f>IFERROR(__xludf.DUMMYFUNCTION("""COMPUTED_VALUE"""),6.813812744749022)</f>
        <v>6.813812745</v>
      </c>
      <c r="C54" s="204">
        <f>IFERROR(__xludf.DUMMYFUNCTION("""COMPUTED_VALUE"""),9.257897751017692)</f>
        <v>9.257897751</v>
      </c>
    </row>
    <row r="55">
      <c r="A55" s="204">
        <f>IFERROR(__xludf.DUMMYFUNCTION("""COMPUTED_VALUE"""),20.0)</f>
        <v>20</v>
      </c>
      <c r="B55" s="204">
        <f>IFERROR(__xludf.DUMMYFUNCTION("""COMPUTED_VALUE"""),8.81343687917645)</f>
        <v>8.813436879</v>
      </c>
      <c r="C55" s="204">
        <f>IFERROR(__xludf.DUMMYFUNCTION("""COMPUTED_VALUE"""),9.267837572075997)</f>
        <v>9.267837572</v>
      </c>
    </row>
    <row r="56">
      <c r="A56" s="204">
        <f>IFERROR(__xludf.DUMMYFUNCTION("""COMPUTED_VALUE"""),20.0)</f>
        <v>20</v>
      </c>
      <c r="B56" s="204">
        <f>IFERROR(__xludf.DUMMYFUNCTION("""COMPUTED_VALUE"""),8.670498084291188)</f>
        <v>8.670498084</v>
      </c>
      <c r="C56" s="204">
        <f>IFERROR(__xludf.DUMMYFUNCTION("""COMPUTED_VALUE"""),9.267675784488887)</f>
        <v>9.267675784</v>
      </c>
    </row>
    <row r="57">
      <c r="A57" s="204">
        <f>IFERROR(__xludf.DUMMYFUNCTION("""COMPUTED_VALUE"""),20.0)</f>
        <v>20</v>
      </c>
      <c r="B57" s="204">
        <f>IFERROR(__xludf.DUMMYFUNCTION("""COMPUTED_VALUE"""),3.6853220696937696)</f>
        <v>3.68532207</v>
      </c>
      <c r="C57" s="204">
        <f>IFERROR(__xludf.DUMMYFUNCTION("""COMPUTED_VALUE"""),9.282927127692114)</f>
        <v>9.282927128</v>
      </c>
    </row>
    <row r="58">
      <c r="A58" s="204">
        <f>IFERROR(__xludf.DUMMYFUNCTION("""COMPUTED_VALUE"""),20.0)</f>
        <v>20</v>
      </c>
      <c r="B58" s="204">
        <f>IFERROR(__xludf.DUMMYFUNCTION("""COMPUTED_VALUE"""),9.059701492537313)</f>
        <v>9.059701493</v>
      </c>
      <c r="C58" s="204">
        <f>IFERROR(__xludf.DUMMYFUNCTION("""COMPUTED_VALUE"""),9.284676342371704)</f>
        <v>9.284676342</v>
      </c>
    </row>
    <row r="59">
      <c r="A59" s="204">
        <f>IFERROR(__xludf.DUMMYFUNCTION("""COMPUTED_VALUE"""),20.0)</f>
        <v>20</v>
      </c>
      <c r="B59" s="204">
        <f>IFERROR(__xludf.DUMMYFUNCTION("""COMPUTED_VALUE"""),9.540229885057471)</f>
        <v>9.540229885</v>
      </c>
      <c r="C59" s="204">
        <f>IFERROR(__xludf.DUMMYFUNCTION("""COMPUTED_VALUE"""),9.269474987741125)</f>
        <v>9.269474988</v>
      </c>
    </row>
    <row r="60">
      <c r="A60" s="204">
        <f>IFERROR(__xludf.DUMMYFUNCTION("""COMPUTED_VALUE"""),20.0)</f>
        <v>20</v>
      </c>
      <c r="B60" s="204">
        <f>IFERROR(__xludf.DUMMYFUNCTION("""COMPUTED_VALUE"""),9.209178835577472)</f>
        <v>9.209178836</v>
      </c>
      <c r="C60" s="204">
        <f>IFERROR(__xludf.DUMMYFUNCTION("""COMPUTED_VALUE"""),9.272399742915532)</f>
        <v>9.272399743</v>
      </c>
    </row>
    <row r="61">
      <c r="A61" s="204">
        <f>IFERROR(__xludf.DUMMYFUNCTION("""COMPUTED_VALUE"""),20.0)</f>
        <v>20</v>
      </c>
      <c r="B61" s="204">
        <f>IFERROR(__xludf.DUMMYFUNCTION("""COMPUTED_VALUE"""),9.042282221090167)</f>
        <v>9.042282221</v>
      </c>
      <c r="C61" s="204">
        <f>IFERROR(__xludf.DUMMYFUNCTION("""COMPUTED_VALUE"""),9.266824507226817)</f>
        <v>9.266824507</v>
      </c>
    </row>
    <row r="62">
      <c r="A62" s="204">
        <f>IFERROR(__xludf.DUMMYFUNCTION("""COMPUTED_VALUE"""),20.0)</f>
        <v>20</v>
      </c>
      <c r="B62" s="204">
        <f>IFERROR(__xludf.DUMMYFUNCTION("""COMPUTED_VALUE"""),12.489633438381157)</f>
        <v>12.48963344</v>
      </c>
      <c r="C62" s="204">
        <f>IFERROR(__xludf.DUMMYFUNCTION("""COMPUTED_VALUE"""),9.279073876954797)</f>
        <v>9.279073877</v>
      </c>
    </row>
    <row r="63">
      <c r="A63" s="204">
        <f>IFERROR(__xludf.DUMMYFUNCTION("""COMPUTED_VALUE"""),20.0)</f>
        <v>20</v>
      </c>
      <c r="B63" s="204">
        <f>IFERROR(__xludf.DUMMYFUNCTION("""COMPUTED_VALUE"""),9.59433962264151)</f>
        <v>9.594339623</v>
      </c>
      <c r="C63" s="204">
        <f>IFERROR(__xludf.DUMMYFUNCTION("""COMPUTED_VALUE"""),9.26485023063648)</f>
        <v>9.264850231</v>
      </c>
    </row>
    <row r="64">
      <c r="A64" s="204">
        <f>IFERROR(__xludf.DUMMYFUNCTION("""COMPUTED_VALUE"""),20.0)</f>
        <v>20</v>
      </c>
      <c r="B64" s="204">
        <f>IFERROR(__xludf.DUMMYFUNCTION("""COMPUTED_VALUE"""),10.4642166344294)</f>
        <v>10.46421663</v>
      </c>
      <c r="C64" s="204">
        <f>IFERROR(__xludf.DUMMYFUNCTION("""COMPUTED_VALUE"""),9.266853020851475)</f>
        <v>9.266853021</v>
      </c>
    </row>
    <row r="65">
      <c r="A65" s="204">
        <f>IFERROR(__xludf.DUMMYFUNCTION("""COMPUTED_VALUE"""),20.0)</f>
        <v>20</v>
      </c>
      <c r="B65" s="204">
        <f>IFERROR(__xludf.DUMMYFUNCTION("""COMPUTED_VALUE"""),8.680015030329058)</f>
        <v>8.68001503</v>
      </c>
      <c r="C65" s="204">
        <f>IFERROR(__xludf.DUMMYFUNCTION("""COMPUTED_VALUE"""),9.27352033154814)</f>
        <v>9.273520332</v>
      </c>
    </row>
    <row r="66">
      <c r="A66" s="204">
        <f>IFERROR(__xludf.DUMMYFUNCTION("""COMPUTED_VALUE"""),20.0)</f>
        <v>20</v>
      </c>
      <c r="B66" s="204">
        <f>IFERROR(__xludf.DUMMYFUNCTION("""COMPUTED_VALUE"""),16.019278828989645)</f>
        <v>16.01927883</v>
      </c>
      <c r="C66" s="204">
        <f>IFERROR(__xludf.DUMMYFUNCTION("""COMPUTED_VALUE"""),9.26393283187039)</f>
        <v>9.263932832</v>
      </c>
    </row>
    <row r="67">
      <c r="A67" s="204">
        <f>IFERROR(__xludf.DUMMYFUNCTION("""COMPUTED_VALUE"""),20.0)</f>
        <v>20</v>
      </c>
      <c r="B67" s="204">
        <f>IFERROR(__xludf.DUMMYFUNCTION("""COMPUTED_VALUE"""),8.729641693811075)</f>
        <v>8.729641694</v>
      </c>
      <c r="C67" s="204">
        <f>IFERROR(__xludf.DUMMYFUNCTION("""COMPUTED_VALUE"""),9.330892890637354)</f>
        <v>9.330892891</v>
      </c>
    </row>
    <row r="68">
      <c r="A68" s="204">
        <f>IFERROR(__xludf.DUMMYFUNCTION("""COMPUTED_VALUE"""),20.22)</f>
        <v>20.22</v>
      </c>
      <c r="B68" s="204">
        <f>IFERROR(__xludf.DUMMYFUNCTION("""COMPUTED_VALUE"""),16.429486513624873)</f>
        <v>16.42948651</v>
      </c>
      <c r="C68" s="204">
        <f>IFERROR(__xludf.DUMMYFUNCTION("""COMPUTED_VALUE"""),9.308490942563667)</f>
        <v>9.308490943</v>
      </c>
    </row>
    <row r="69">
      <c r="A69" s="204">
        <f>IFERROR(__xludf.DUMMYFUNCTION("""COMPUTED_VALUE"""),21.32)</f>
        <v>21.32</v>
      </c>
      <c r="B69" s="204">
        <f>IFERROR(__xludf.DUMMYFUNCTION("""COMPUTED_VALUE"""),16.824209688030194)</f>
        <v>16.82420969</v>
      </c>
      <c r="C69" s="204">
        <f>IFERROR(__xludf.DUMMYFUNCTION("""COMPUTED_VALUE"""),9.5321301348613)</f>
        <v>9.532130135</v>
      </c>
    </row>
    <row r="70">
      <c r="A70" s="204">
        <f>IFERROR(__xludf.DUMMYFUNCTION("""COMPUTED_VALUE"""),21.96)</f>
        <v>21.96</v>
      </c>
      <c r="B70" s="204">
        <f>IFERROR(__xludf.DUMMYFUNCTION("""COMPUTED_VALUE"""),15.148367438800596)</f>
        <v>15.14836744</v>
      </c>
      <c r="C70" s="204">
        <f>IFERROR(__xludf.DUMMYFUNCTION("""COMPUTED_VALUE"""),9.663543558192698)</f>
        <v>9.663543558</v>
      </c>
    </row>
    <row r="71">
      <c r="A71" s="204">
        <f>IFERROR(__xludf.DUMMYFUNCTION("""COMPUTED_VALUE"""),22.32)</f>
        <v>22.32</v>
      </c>
      <c r="B71" s="204">
        <f>IFERROR(__xludf.DUMMYFUNCTION("""COMPUTED_VALUE"""),15.259166926352966)</f>
        <v>15.25916693</v>
      </c>
      <c r="C71" s="204">
        <f>IFERROR(__xludf.DUMMYFUNCTION("""COMPUTED_VALUE"""),9.734225476789764)</f>
        <v>9.734225477</v>
      </c>
    </row>
    <row r="72">
      <c r="A72" s="204">
        <f>IFERROR(__xludf.DUMMYFUNCTION("""COMPUTED_VALUE"""),23.0)</f>
        <v>23</v>
      </c>
      <c r="B72" s="204">
        <f>IFERROR(__xludf.DUMMYFUNCTION("""COMPUTED_VALUE"""),9.303694470413074)</f>
        <v>9.30369447</v>
      </c>
      <c r="C72" s="204">
        <f>IFERROR(__xludf.DUMMYFUNCTION("""COMPUTED_VALUE"""),9.868764395818598)</f>
        <v>9.868764396</v>
      </c>
    </row>
    <row r="73">
      <c r="A73" s="204">
        <f>IFERROR(__xludf.DUMMYFUNCTION("""COMPUTED_VALUE"""),24.38)</f>
        <v>24.38</v>
      </c>
      <c r="B73" s="204">
        <f>IFERROR(__xludf.DUMMYFUNCTION("""COMPUTED_VALUE"""),15.88587652782106)</f>
        <v>15.88587653</v>
      </c>
      <c r="C73" s="204">
        <f>IFERROR(__xludf.DUMMYFUNCTION("""COMPUTED_VALUE"""),10.134020078854421)</f>
        <v>10.13402008</v>
      </c>
    </row>
    <row r="74">
      <c r="A74" s="204">
        <f>IFERROR(__xludf.DUMMYFUNCTION("""COMPUTED_VALUE"""),25.74)</f>
        <v>25.74</v>
      </c>
      <c r="B74" s="204">
        <f>IFERROR(__xludf.DUMMYFUNCTION("""COMPUTED_VALUE"""),9.795367196426717)</f>
        <v>9.795367196</v>
      </c>
      <c r="C74" s="204">
        <f>IFERROR(__xludf.DUMMYFUNCTION("""COMPUTED_VALUE"""),10.390299395523192)</f>
        <v>10.3902994</v>
      </c>
    </row>
    <row r="75">
      <c r="A75" s="204">
        <f>IFERROR(__xludf.DUMMYFUNCTION("""COMPUTED_VALUE"""),27.52)</f>
        <v>27.52</v>
      </c>
      <c r="B75" s="204">
        <f>IFERROR(__xludf.DUMMYFUNCTION("""COMPUTED_VALUE"""),20.189744122433435)</f>
        <v>20.18974412</v>
      </c>
      <c r="C75" s="204">
        <f>IFERROR(__xludf.DUMMYFUNCTION("""COMPUTED_VALUE"""),10.711318685299682)</f>
        <v>10.71131869</v>
      </c>
    </row>
    <row r="76">
      <c r="A76" s="204">
        <f>IFERROR(__xludf.DUMMYFUNCTION("""COMPUTED_VALUE"""),29.36)</f>
        <v>29.36</v>
      </c>
      <c r="B76" s="204">
        <f>IFERROR(__xludf.DUMMYFUNCTION("""COMPUTED_VALUE"""),12.399155153907413)</f>
        <v>12.39915515</v>
      </c>
      <c r="C76" s="204">
        <f>IFERROR(__xludf.DUMMYFUNCTION("""COMPUTED_VALUE"""),11.032277101781016)</f>
        <v>11.0322771</v>
      </c>
    </row>
    <row r="77">
      <c r="A77" s="204">
        <f>IFERROR(__xludf.DUMMYFUNCTION("""COMPUTED_VALUE"""),31.84)</f>
        <v>31.84</v>
      </c>
      <c r="B77" s="204">
        <f>IFERROR(__xludf.DUMMYFUNCTION("""COMPUTED_VALUE"""),12.870052976004986)</f>
        <v>12.87005298</v>
      </c>
      <c r="C77" s="204">
        <f>IFERROR(__xludf.DUMMYFUNCTION("""COMPUTED_VALUE"""),11.451263330723272)</f>
        <v>11.45126333</v>
      </c>
    </row>
    <row r="78">
      <c r="A78" s="204">
        <f>IFERROR(__xludf.DUMMYFUNCTION("""COMPUTED_VALUE"""),32.32)</f>
        <v>32.32</v>
      </c>
      <c r="B78" s="204">
        <f>IFERROR(__xludf.DUMMYFUNCTION("""COMPUTED_VALUE"""),14.31737128215782)</f>
        <v>14.31737128</v>
      </c>
      <c r="C78" s="204">
        <f>IFERROR(__xludf.DUMMYFUNCTION("""COMPUTED_VALUE"""),11.531728069258492)</f>
        <v>11.53172807</v>
      </c>
    </row>
    <row r="79">
      <c r="A79" s="204">
        <f>IFERROR(__xludf.DUMMYFUNCTION("""COMPUTED_VALUE"""),32.88)</f>
        <v>32.88</v>
      </c>
      <c r="B79" s="204">
        <f>IFERROR(__xludf.DUMMYFUNCTION("""COMPUTED_VALUE"""),17.46130674145632)</f>
        <v>17.46130674</v>
      </c>
      <c r="C79" s="204">
        <f>IFERROR(__xludf.DUMMYFUNCTION("""COMPUTED_VALUE"""),11.621011779338584)</f>
        <v>11.62101178</v>
      </c>
    </row>
    <row r="80">
      <c r="A80" s="204">
        <f>IFERROR(__xludf.DUMMYFUNCTION("""COMPUTED_VALUE"""),34.68)</f>
        <v>34.68</v>
      </c>
      <c r="B80" s="204">
        <f>IFERROR(__xludf.DUMMYFUNCTION("""COMPUTED_VALUE"""),14.78480662026938)</f>
        <v>14.78480662</v>
      </c>
      <c r="C80" s="204">
        <f>IFERROR(__xludf.DUMMYFUNCTION("""COMPUTED_VALUE"""),11.90821737744468)</f>
        <v>11.90821738</v>
      </c>
    </row>
    <row r="81">
      <c r="A81" s="204">
        <f>IFERROR(__xludf.DUMMYFUNCTION("""COMPUTED_VALUE"""),36.12)</f>
        <v>36.12</v>
      </c>
      <c r="B81" s="204">
        <f>IFERROR(__xludf.DUMMYFUNCTION("""COMPUTED_VALUE"""),21.121152314670546)</f>
        <v>21.12115231</v>
      </c>
      <c r="C81" s="204">
        <f>IFERROR(__xludf.DUMMYFUNCTION("""COMPUTED_VALUE"""),12.127696616619428)</f>
        <v>12.12769662</v>
      </c>
    </row>
    <row r="82">
      <c r="A82" s="204">
        <f>IFERROR(__xludf.DUMMYFUNCTION("""COMPUTED_VALUE"""),37.9)</f>
        <v>37.9</v>
      </c>
      <c r="B82" s="204">
        <f>IFERROR(__xludf.DUMMYFUNCTION("""COMPUTED_VALUE"""),13.2336137945362)</f>
        <v>13.23361379</v>
      </c>
      <c r="C82" s="204">
        <f>IFERROR(__xludf.DUMMYFUNCTION("""COMPUTED_VALUE"""),12.395911166248657)</f>
        <v>12.39591117</v>
      </c>
    </row>
    <row r="83">
      <c r="A83" s="204">
        <f>IFERROR(__xludf.DUMMYFUNCTION("""COMPUTED_VALUE"""),39.3)</f>
        <v>39.3</v>
      </c>
      <c r="B83" s="204">
        <f>IFERROR(__xludf.DUMMYFUNCTION("""COMPUTED_VALUE"""),20.452892905370312)</f>
        <v>20.45289291</v>
      </c>
      <c r="C83" s="204">
        <f>IFERROR(__xludf.DUMMYFUNCTION("""COMPUTED_VALUE"""),12.594936247384366)</f>
        <v>12.59493625</v>
      </c>
    </row>
    <row r="84">
      <c r="A84" s="204">
        <f>IFERROR(__xludf.DUMMYFUNCTION("""COMPUTED_VALUE"""),41.1)</f>
        <v>41.1</v>
      </c>
      <c r="B84" s="204">
        <f>IFERROR(__xludf.DUMMYFUNCTION("""COMPUTED_VALUE"""),12.115231467054464)</f>
        <v>12.11523147</v>
      </c>
      <c r="C84" s="204">
        <f>IFERROR(__xludf.DUMMYFUNCTION("""COMPUTED_VALUE"""),12.851063126523734)</f>
        <v>12.85106313</v>
      </c>
    </row>
    <row r="85">
      <c r="A85" s="204">
        <f>IFERROR(__xludf.DUMMYFUNCTION("""COMPUTED_VALUE"""),43.06)</f>
        <v>43.06</v>
      </c>
      <c r="B85" s="204">
        <f>IFERROR(__xludf.DUMMYFUNCTION("""COMPUTED_VALUE"""),20.567154876908695)</f>
        <v>20.56715488</v>
      </c>
      <c r="C85" s="204">
        <f>IFERROR(__xludf.DUMMYFUNCTION("""COMPUTED_VALUE"""),13.120331139580486)</f>
        <v>13.12033114</v>
      </c>
    </row>
    <row r="86">
      <c r="A86" s="204">
        <f>IFERROR(__xludf.DUMMYFUNCTION("""COMPUTED_VALUE"""),45.52)</f>
        <v>45.52</v>
      </c>
      <c r="B86" s="204">
        <f>IFERROR(__xludf.DUMMYFUNCTION("""COMPUTED_VALUE"""),19.396835289636787)</f>
        <v>19.39683529</v>
      </c>
      <c r="C86" s="204">
        <f>IFERROR(__xludf.DUMMYFUNCTION("""COMPUTED_VALUE"""),13.444428061257236)</f>
        <v>13.44442806</v>
      </c>
    </row>
    <row r="87">
      <c r="A87" s="204">
        <f>IFERROR(__xludf.DUMMYFUNCTION("""COMPUTED_VALUE"""),48.14)</f>
        <v>48.14</v>
      </c>
      <c r="B87" s="204">
        <f>IFERROR(__xludf.DUMMYFUNCTION("""COMPUTED_VALUE"""),19.874658079706382)</f>
        <v>19.87465808</v>
      </c>
      <c r="C87" s="204">
        <f>IFERROR(__xludf.DUMMYFUNCTION("""COMPUTED_VALUE"""),13.775618898896203)</f>
        <v>13.7756189</v>
      </c>
    </row>
    <row r="88">
      <c r="A88" s="204">
        <f>IFERROR(__xludf.DUMMYFUNCTION("""COMPUTED_VALUE"""),48.54)</f>
        <v>48.54</v>
      </c>
      <c r="B88" s="204">
        <f>IFERROR(__xludf.DUMMYFUNCTION("""COMPUTED_VALUE"""),13.032789723347529)</f>
        <v>13.03278972</v>
      </c>
      <c r="C88" s="204">
        <f>IFERROR(__xludf.DUMMYFUNCTION("""COMPUTED_VALUE"""),13.82435027385977)</f>
        <v>13.82435027</v>
      </c>
    </row>
    <row r="89">
      <c r="A89" s="204">
        <f>IFERROR(__xludf.DUMMYFUNCTION("""COMPUTED_VALUE"""),48.92)</f>
        <v>48.92</v>
      </c>
      <c r="B89" s="204">
        <f>IFERROR(__xludf.DUMMYFUNCTION("""COMPUTED_VALUE"""),16.696097780547763)</f>
        <v>16.69609778</v>
      </c>
      <c r="C89" s="204">
        <f>IFERROR(__xludf.DUMMYFUNCTION("""COMPUTED_VALUE"""),13.870167945159297)</f>
        <v>13.87016795</v>
      </c>
    </row>
    <row r="90">
      <c r="A90" s="204">
        <f>IFERROR(__xludf.DUMMYFUNCTION("""COMPUTED_VALUE"""),50.02)</f>
        <v>50.02</v>
      </c>
      <c r="B90" s="204">
        <f>IFERROR(__xludf.DUMMYFUNCTION("""COMPUTED_VALUE"""),20.20359405837748)</f>
        <v>20.20359406</v>
      </c>
      <c r="C90" s="204">
        <f>IFERROR(__xludf.DUMMYFUNCTION("""COMPUTED_VALUE"""),14.003612591473752)</f>
        <v>14.00361259</v>
      </c>
    </row>
    <row r="91">
      <c r="A91" s="204">
        <f>IFERROR(__xludf.DUMMYFUNCTION("""COMPUTED_VALUE"""),51.12)</f>
        <v>51.12</v>
      </c>
      <c r="B91" s="204">
        <f>IFERROR(__xludf.DUMMYFUNCTION("""COMPUTED_VALUE"""),1.4188034188034189)</f>
        <v>1.418803419</v>
      </c>
      <c r="C91" s="204">
        <f>IFERROR(__xludf.DUMMYFUNCTION("""COMPUTED_VALUE"""),14.188034188034187)</f>
        <v>14.18803419</v>
      </c>
    </row>
    <row r="92">
      <c r="A92" s="204">
        <f>IFERROR(__xludf.DUMMYFUNCTION("""COMPUTED_VALUE"""),51.38)</f>
        <v>51.38</v>
      </c>
      <c r="B92" s="204">
        <f>IFERROR(__xludf.DUMMYFUNCTION("""COMPUTED_VALUE"""),13.38942557390672)</f>
        <v>13.38942557</v>
      </c>
      <c r="C92" s="204">
        <f>IFERROR(__xludf.DUMMYFUNCTION("""COMPUTED_VALUE"""),14.202646787730002)</f>
        <v>14.20264679</v>
      </c>
    </row>
    <row r="93">
      <c r="A93" s="204">
        <f>IFERROR(__xludf.DUMMYFUNCTION("""COMPUTED_VALUE"""),53.44)</f>
        <v>53.44</v>
      </c>
      <c r="B93" s="204">
        <f>IFERROR(__xludf.DUMMYFUNCTION("""COMPUTED_VALUE"""),20.7783664000554)</f>
        <v>20.7783664</v>
      </c>
      <c r="C93" s="204">
        <f>IFERROR(__xludf.DUMMYFUNCTION("""COMPUTED_VALUE"""),14.402001570082946)</f>
        <v>14.40200157</v>
      </c>
    </row>
    <row r="94">
      <c r="A94" s="204">
        <f>IFERROR(__xludf.DUMMYFUNCTION("""COMPUTED_VALUE"""),54.0)</f>
        <v>54</v>
      </c>
      <c r="B94" s="204">
        <f>IFERROR(__xludf.DUMMYFUNCTION("""COMPUTED_VALUE"""),10.984790874524714)</f>
        <v>10.98479087</v>
      </c>
      <c r="C94" s="204">
        <f>IFERROR(__xludf.DUMMYFUNCTION("""COMPUTED_VALUE"""),14.503162462737928)</f>
        <v>14.50316246</v>
      </c>
    </row>
    <row r="95">
      <c r="A95" s="204">
        <f>IFERROR(__xludf.DUMMYFUNCTION("""COMPUTED_VALUE"""),55.62)</f>
        <v>55.62</v>
      </c>
      <c r="B95" s="204">
        <f>IFERROR(__xludf.DUMMYFUNCTION("""COMPUTED_VALUE"""),13.80838613621412)</f>
        <v>13.80838614</v>
      </c>
      <c r="C95" s="204">
        <f>IFERROR(__xludf.DUMMYFUNCTION("""COMPUTED_VALUE"""),14.647053371985324)</f>
        <v>14.64705337</v>
      </c>
    </row>
    <row r="96">
      <c r="A96" s="204">
        <f>IFERROR(__xludf.DUMMYFUNCTION("""COMPUTED_VALUE"""),58.1)</f>
        <v>58.1</v>
      </c>
      <c r="B96" s="204">
        <f>IFERROR(__xludf.DUMMYFUNCTION("""COMPUTED_VALUE"""),14.061147467192963)</f>
        <v>14.06114747</v>
      </c>
      <c r="C96" s="204">
        <f>IFERROR(__xludf.DUMMYFUNCTION("""COMPUTED_VALUE"""),14.915166435213742)</f>
        <v>14.91516644</v>
      </c>
    </row>
    <row r="97">
      <c r="A97" s="204">
        <f>IFERROR(__xludf.DUMMYFUNCTION("""COMPUTED_VALUE"""),58.5)</f>
        <v>58.5</v>
      </c>
      <c r="B97" s="204">
        <f>IFERROR(__xludf.DUMMYFUNCTION("""COMPUTED_VALUE"""),18.004916727260138)</f>
        <v>18.00491673</v>
      </c>
      <c r="C97" s="204">
        <f>IFERROR(__xludf.DUMMYFUNCTION("""COMPUTED_VALUE"""),14.957460247786885)</f>
        <v>14.95746025</v>
      </c>
    </row>
    <row r="98">
      <c r="A98" s="204">
        <f>IFERROR(__xludf.DUMMYFUNCTION("""COMPUTED_VALUE"""),58.98)</f>
        <v>58.98</v>
      </c>
      <c r="B98" s="204">
        <f>IFERROR(__xludf.DUMMYFUNCTION("""COMPUTED_VALUE"""),23.527578684948583)</f>
        <v>23.52757868</v>
      </c>
      <c r="C98" s="204">
        <f>IFERROR(__xludf.DUMMYFUNCTION("""COMPUTED_VALUE"""),15.008863652095858)</f>
        <v>15.00886365</v>
      </c>
    </row>
    <row r="99">
      <c r="A99" s="204">
        <f>IFERROR(__xludf.DUMMYFUNCTION("""COMPUTED_VALUE"""),60.18)</f>
        <v>60.18</v>
      </c>
      <c r="B99" s="204">
        <f>IFERROR(__xludf.DUMMYFUNCTION("""COMPUTED_VALUE"""),17.004258855302794)</f>
        <v>17.00425886</v>
      </c>
      <c r="C99" s="204">
        <f>IFERROR(__xludf.DUMMYFUNCTION("""COMPUTED_VALUE"""),15.129715958348665)</f>
        <v>15.12971596</v>
      </c>
    </row>
    <row r="100">
      <c r="A100" s="204">
        <f>IFERROR(__xludf.DUMMYFUNCTION("""COMPUTED_VALUE"""),60.52)</f>
        <v>60.52</v>
      </c>
      <c r="B100" s="204">
        <f>IFERROR(__xludf.DUMMYFUNCTION("""COMPUTED_VALUE"""),11.226277372262773)</f>
        <v>11.22627737</v>
      </c>
      <c r="C100" s="204">
        <f>IFERROR(__xludf.DUMMYFUNCTION("""COMPUTED_VALUE"""),15.236984973132882)</f>
        <v>15.23698497</v>
      </c>
    </row>
    <row r="101">
      <c r="A101" s="204">
        <f>IFERROR(__xludf.DUMMYFUNCTION("""COMPUTED_VALUE"""),62.06)</f>
        <v>62.06</v>
      </c>
      <c r="B101" s="204">
        <f>IFERROR(__xludf.DUMMYFUNCTION("""COMPUTED_VALUE"""),22.10449776669783)</f>
        <v>22.10449777</v>
      </c>
      <c r="C101" s="204">
        <f>IFERROR(__xludf.DUMMYFUNCTION("""COMPUTED_VALUE"""),15.321176141211385)</f>
        <v>15.32117614</v>
      </c>
    </row>
    <row r="102">
      <c r="A102" s="204">
        <f>IFERROR(__xludf.DUMMYFUNCTION("""COMPUTED_VALUE"""),62.14)</f>
        <v>62.14</v>
      </c>
      <c r="B102" s="204">
        <f>IFERROR(__xludf.DUMMYFUNCTION("""COMPUTED_VALUE"""),1.5384615384615385)</f>
        <v>1.538461538</v>
      </c>
      <c r="C102" s="204">
        <f>IFERROR(__xludf.DUMMYFUNCTION("""COMPUTED_VALUE"""),15.384615384615385)</f>
        <v>15.38461538</v>
      </c>
    </row>
    <row r="103">
      <c r="A103" s="204">
        <f>IFERROR(__xludf.DUMMYFUNCTION("""COMPUTED_VALUE"""),64.2)</f>
        <v>64.2</v>
      </c>
      <c r="B103" s="204">
        <f>IFERROR(__xludf.DUMMYFUNCTION("""COMPUTED_VALUE"""),14.642844776842907)</f>
        <v>14.64284478</v>
      </c>
      <c r="C103" s="204">
        <f>IFERROR(__xludf.DUMMYFUNCTION("""COMPUTED_VALUE"""),15.532193758807908)</f>
        <v>15.53219376</v>
      </c>
    </row>
    <row r="104">
      <c r="A104" s="204">
        <f>IFERROR(__xludf.DUMMYFUNCTION("""COMPUTED_VALUE"""),66.12)</f>
        <v>66.12</v>
      </c>
      <c r="B104" s="204">
        <f>IFERROR(__xludf.DUMMYFUNCTION("""COMPUTED_VALUE"""),9.697080291970803)</f>
        <v>9.697080292</v>
      </c>
      <c r="C104" s="204">
        <f>IFERROR(__xludf.DUMMYFUNCTION("""COMPUTED_VALUE"""),15.781297354847284)</f>
        <v>15.78129735</v>
      </c>
    </row>
    <row r="105">
      <c r="A105" s="207">
        <f>IFERROR(__xludf.DUMMYFUNCTION("""COMPUTED_VALUE"""),66.18)</f>
        <v>66.18</v>
      </c>
      <c r="B105" s="207">
        <f>IFERROR(__xludf.DUMMYFUNCTION("""COMPUTED_VALUE"""),16.786122364184067)</f>
        <v>16.78612236</v>
      </c>
      <c r="C105" s="208">
        <f>IFERROR(__xludf.DUMMYFUNCTION("""COMPUTED_VALUE"""),15.723541950280874)</f>
        <v>15.72354195</v>
      </c>
    </row>
    <row r="106">
      <c r="A106" s="207">
        <f>IFERROR(__xludf.DUMMYFUNCTION("""COMPUTED_VALUE"""),67.02)</f>
        <v>67.02</v>
      </c>
      <c r="B106" s="207">
        <f>IFERROR(__xludf.DUMMYFUNCTION("""COMPUTED_VALUE"""),22.79353207991413)</f>
        <v>22.79353208</v>
      </c>
      <c r="C106" s="208">
        <f>IFERROR(__xludf.DUMMYFUNCTION("""COMPUTED_VALUE"""),15.798762928821201)</f>
        <v>15.79876293</v>
      </c>
    </row>
    <row r="107">
      <c r="A107" s="207">
        <f>IFERROR(__xludf.DUMMYFUNCTION("""COMPUTED_VALUE"""),67.9)</f>
        <v>67.9</v>
      </c>
      <c r="B107" s="207">
        <f>IFERROR(__xludf.DUMMYFUNCTION("""COMPUTED_VALUE"""),9.799270072992702)</f>
        <v>9.799270073</v>
      </c>
      <c r="C107" s="208">
        <f>IFERROR(__xludf.DUMMYFUNCTION("""COMPUTED_VALUE"""),15.947603838074883)</f>
        <v>15.94760384</v>
      </c>
    </row>
    <row r="108">
      <c r="A108" s="207">
        <f>IFERROR(__xludf.DUMMYFUNCTION("""COMPUTED_VALUE"""),68.4)</f>
        <v>68.4</v>
      </c>
      <c r="B108" s="207">
        <f>IFERROR(__xludf.DUMMYFUNCTION("""COMPUTED_VALUE"""),25.861292891520378)</f>
        <v>25.86129289</v>
      </c>
      <c r="C108" s="208">
        <f>IFERROR(__xludf.DUMMYFUNCTION("""COMPUTED_VALUE"""),15.92544080442083)</f>
        <v>15.9254408</v>
      </c>
    </row>
    <row r="109">
      <c r="A109" s="207">
        <f>IFERROR(__xludf.DUMMYFUNCTION("""COMPUTED_VALUE"""),69.88)</f>
        <v>69.88</v>
      </c>
      <c r="B109" s="207">
        <f>IFERROR(__xludf.DUMMYFUNCTION("""COMPUTED_VALUE"""),25.1791835462761)</f>
        <v>25.17918355</v>
      </c>
      <c r="C109" s="208">
        <f>IFERROR(__xludf.DUMMYFUNCTION("""COMPUTED_VALUE"""),16.06246600118338)</f>
        <v>16.062466</v>
      </c>
    </row>
    <row r="110">
      <c r="A110" s="207">
        <f>IFERROR(__xludf.DUMMYFUNCTION("""COMPUTED_VALUE"""),72.0)</f>
        <v>72</v>
      </c>
      <c r="B110" s="207">
        <f>IFERROR(__xludf.DUMMYFUNCTION("""COMPUTED_VALUE"""),23.441016585298293)</f>
        <v>23.44101659</v>
      </c>
      <c r="C110" s="208">
        <f>IFERROR(__xludf.DUMMYFUNCTION("""COMPUTED_VALUE"""),16.247550513158064)</f>
        <v>16.24755051</v>
      </c>
    </row>
    <row r="111">
      <c r="A111" s="207">
        <f>IFERROR(__xludf.DUMMYFUNCTION("""COMPUTED_VALUE"""),74.62)</f>
        <v>74.62</v>
      </c>
      <c r="B111" s="207">
        <f>IFERROR(__xludf.DUMMYFUNCTION("""COMPUTED_VALUE"""),26.744226307953326)</f>
        <v>26.74422631</v>
      </c>
      <c r="C111" s="208">
        <f>IFERROR(__xludf.DUMMYFUNCTION("""COMPUTED_VALUE"""),16.46915313607531)</f>
        <v>16.46915314</v>
      </c>
    </row>
    <row r="112">
      <c r="A112" s="207">
        <f>IFERROR(__xludf.DUMMYFUNCTION("""COMPUTED_VALUE"""),56.31999999999999)</f>
        <v>56.32</v>
      </c>
      <c r="B112" s="207">
        <f>IFERROR(__xludf.DUMMYFUNCTION("""COMPUTED_VALUE"""),1.4691358024691359)</f>
        <v>1.469135802</v>
      </c>
      <c r="C112" s="208">
        <f>IFERROR(__xludf.DUMMYFUNCTION("""COMPUTED_VALUE"""),14.691358024691358)</f>
        <v>14.69135802</v>
      </c>
    </row>
    <row r="113">
      <c r="A113" s="207">
        <f>IFERROR(__xludf.DUMMYFUNCTION("""COMPUTED_VALUE"""),39.75)</f>
        <v>39.75</v>
      </c>
      <c r="B113" s="207">
        <f>IFERROR(__xludf.DUMMYFUNCTION("""COMPUTED_VALUE"""),3.259259259259259)</f>
        <v>3.259259259</v>
      </c>
      <c r="C113" s="208">
        <f>IFERROR(__xludf.DUMMYFUNCTION("""COMPUTED_VALUE"""),12.660020306648464)</f>
        <v>12.66002031</v>
      </c>
    </row>
    <row r="114">
      <c r="A114" s="207">
        <f>IFERROR(__xludf.DUMMYFUNCTION("""COMPUTED_VALUE"""),26.0)</f>
        <v>26</v>
      </c>
      <c r="B114" s="207">
        <f>IFERROR(__xludf.DUMMYFUNCTION("""COMPUTED_VALUE"""),5.918478260869565)</f>
        <v>5.918478261</v>
      </c>
      <c r="C114" s="208">
        <f>IFERROR(__xludf.DUMMYFUNCTION("""COMPUTED_VALUE"""),10.5315342253299)</f>
        <v>10.53153423</v>
      </c>
    </row>
    <row r="115">
      <c r="A115" s="207">
        <f>IFERROR(__xludf.DUMMYFUNCTION("""COMPUTED_VALUE"""),65.7)</f>
        <v>65.7</v>
      </c>
      <c r="B115" s="207">
        <f>IFERROR(__xludf.DUMMYFUNCTION("""COMPUTED_VALUE"""),11.0)</f>
        <v>11</v>
      </c>
      <c r="C115" s="208">
        <f>IFERROR(__xludf.DUMMYFUNCTION("""COMPUTED_VALUE"""),15.748009435918123)</f>
        <v>15.74800944</v>
      </c>
    </row>
    <row r="116">
      <c r="A116" s="209"/>
      <c r="B116" s="207"/>
      <c r="C116" s="208"/>
    </row>
    <row r="117">
      <c r="A117" s="209"/>
      <c r="B117" s="207"/>
      <c r="C117" s="208"/>
    </row>
    <row r="118">
      <c r="A118" s="209"/>
      <c r="B118" s="207"/>
      <c r="C118" s="208"/>
    </row>
    <row r="119">
      <c r="A119" s="209"/>
      <c r="B119" s="207"/>
      <c r="C119" s="208"/>
    </row>
    <row r="120">
      <c r="A120" s="209"/>
      <c r="B120" s="207"/>
      <c r="C120" s="208"/>
    </row>
    <row r="121">
      <c r="A121" s="209"/>
      <c r="B121" s="207"/>
      <c r="C121" s="208"/>
    </row>
    <row r="122">
      <c r="A122" s="209"/>
      <c r="B122" s="207"/>
      <c r="C122" s="208"/>
    </row>
    <row r="123">
      <c r="A123" s="209"/>
      <c r="B123" s="207"/>
      <c r="C123" s="208"/>
    </row>
    <row r="124">
      <c r="A124" s="209"/>
      <c r="B124" s="207"/>
      <c r="C124" s="208"/>
    </row>
    <row r="125">
      <c r="A125" s="209"/>
      <c r="B125" s="207"/>
      <c r="C125" s="208"/>
    </row>
    <row r="126">
      <c r="A126" s="209"/>
      <c r="B126" s="207"/>
      <c r="C126" s="208"/>
    </row>
    <row r="127">
      <c r="A127" s="209"/>
      <c r="B127" s="207"/>
      <c r="C127" s="208"/>
    </row>
    <row r="128">
      <c r="A128" s="209"/>
      <c r="B128" s="207"/>
      <c r="C128" s="208"/>
    </row>
    <row r="129">
      <c r="A129" s="209"/>
      <c r="B129" s="207"/>
      <c r="C129" s="208"/>
    </row>
    <row r="130">
      <c r="A130" s="209"/>
      <c r="B130" s="207"/>
      <c r="C130" s="208"/>
    </row>
    <row r="131">
      <c r="A131" s="209"/>
      <c r="B131" s="207"/>
      <c r="C131" s="208"/>
    </row>
    <row r="132">
      <c r="A132" s="209"/>
      <c r="B132" s="207"/>
      <c r="C132" s="208"/>
    </row>
    <row r="133">
      <c r="A133" s="209"/>
      <c r="B133" s="207"/>
      <c r="C133" s="208"/>
    </row>
    <row r="134">
      <c r="A134" s="209"/>
      <c r="B134" s="207"/>
      <c r="C134" s="208"/>
    </row>
    <row r="135">
      <c r="A135" s="209"/>
      <c r="B135" s="207"/>
      <c r="C135" s="208"/>
    </row>
    <row r="136">
      <c r="A136" s="209"/>
      <c r="B136" s="207"/>
      <c r="C136" s="208"/>
    </row>
    <row r="137">
      <c r="A137" s="209"/>
      <c r="B137" s="207"/>
      <c r="C137" s="208"/>
    </row>
    <row r="138">
      <c r="A138" s="209"/>
      <c r="B138" s="207"/>
      <c r="C138" s="208"/>
    </row>
    <row r="139">
      <c r="A139" s="209"/>
      <c r="B139" s="207"/>
      <c r="C139" s="208"/>
    </row>
    <row r="140">
      <c r="A140" s="209"/>
      <c r="B140" s="207"/>
      <c r="C140" s="208"/>
    </row>
    <row r="141">
      <c r="A141" s="209"/>
      <c r="B141" s="207"/>
      <c r="C141" s="208"/>
    </row>
    <row r="142">
      <c r="A142" s="209"/>
      <c r="B142" s="207"/>
      <c r="C142" s="208"/>
    </row>
    <row r="143">
      <c r="A143" s="209"/>
      <c r="B143" s="207"/>
      <c r="C143" s="208"/>
    </row>
    <row r="144">
      <c r="A144" s="209"/>
      <c r="B144" s="207"/>
      <c r="C144" s="208"/>
    </row>
    <row r="145">
      <c r="A145" s="209"/>
      <c r="B145" s="207"/>
      <c r="C145" s="208"/>
    </row>
    <row r="146">
      <c r="A146" s="209"/>
      <c r="B146" s="207"/>
      <c r="C146" s="208"/>
    </row>
    <row r="147">
      <c r="A147" s="209"/>
      <c r="B147" s="207"/>
      <c r="C147" s="208"/>
    </row>
    <row r="148">
      <c r="A148" s="209"/>
      <c r="B148" s="207"/>
      <c r="C148" s="208"/>
    </row>
    <row r="149">
      <c r="A149" s="209"/>
      <c r="B149" s="207"/>
      <c r="C149" s="208"/>
    </row>
    <row r="150">
      <c r="A150" s="209"/>
      <c r="B150" s="207"/>
      <c r="C150" s="208"/>
    </row>
    <row r="151">
      <c r="A151" s="209"/>
      <c r="B151" s="207"/>
      <c r="C151" s="208"/>
    </row>
    <row r="152">
      <c r="A152" s="209"/>
      <c r="B152" s="207"/>
      <c r="C152" s="208"/>
    </row>
    <row r="153">
      <c r="A153" s="209"/>
      <c r="B153" s="207"/>
      <c r="C153" s="208"/>
    </row>
    <row r="154">
      <c r="A154" s="209"/>
      <c r="B154" s="207"/>
      <c r="C154" s="208"/>
    </row>
    <row r="155">
      <c r="A155" s="209"/>
      <c r="B155" s="207"/>
      <c r="C155" s="208"/>
    </row>
    <row r="156">
      <c r="A156" s="209"/>
      <c r="B156" s="207"/>
      <c r="C156" s="208"/>
    </row>
    <row r="157">
      <c r="A157" s="209"/>
      <c r="B157" s="207"/>
      <c r="C157" s="208"/>
    </row>
    <row r="158">
      <c r="A158" s="209"/>
      <c r="B158" s="207"/>
      <c r="C158" s="208"/>
    </row>
    <row r="159">
      <c r="A159" s="209"/>
      <c r="B159" s="207"/>
      <c r="C159" s="208"/>
    </row>
    <row r="160">
      <c r="A160" s="209"/>
      <c r="B160" s="207"/>
      <c r="C160" s="208"/>
    </row>
    <row r="161">
      <c r="A161" s="209"/>
      <c r="B161" s="207"/>
      <c r="C161" s="208"/>
    </row>
    <row r="162">
      <c r="A162" s="209"/>
      <c r="B162" s="207"/>
      <c r="C162" s="208"/>
    </row>
    <row r="163">
      <c r="A163" s="209"/>
      <c r="B163" s="207"/>
      <c r="C163" s="208"/>
    </row>
    <row r="164">
      <c r="A164" s="209"/>
      <c r="B164" s="207"/>
      <c r="C164" s="208"/>
    </row>
    <row r="165">
      <c r="A165" s="209"/>
      <c r="B165" s="207"/>
      <c r="C165" s="208"/>
    </row>
    <row r="166">
      <c r="A166" s="209"/>
      <c r="B166" s="207"/>
      <c r="C166" s="208"/>
    </row>
    <row r="167">
      <c r="A167" s="209"/>
      <c r="B167" s="207"/>
      <c r="C167" s="208"/>
    </row>
    <row r="168">
      <c r="A168" s="209"/>
      <c r="B168" s="207"/>
      <c r="C168" s="208"/>
    </row>
    <row r="169">
      <c r="A169" s="209"/>
      <c r="B169" s="207"/>
      <c r="C169" s="208"/>
    </row>
    <row r="170">
      <c r="A170" s="209"/>
      <c r="B170" s="207"/>
      <c r="C170" s="208"/>
    </row>
    <row r="171">
      <c r="A171" s="209"/>
      <c r="B171" s="207"/>
      <c r="C171" s="208"/>
    </row>
    <row r="172">
      <c r="A172" s="209"/>
      <c r="B172" s="207"/>
      <c r="C172" s="208"/>
    </row>
    <row r="173">
      <c r="A173" s="209"/>
      <c r="B173" s="207"/>
      <c r="C173" s="208"/>
    </row>
    <row r="174">
      <c r="A174" s="209"/>
      <c r="B174" s="207"/>
      <c r="C174" s="208"/>
    </row>
    <row r="175">
      <c r="A175" s="209"/>
      <c r="B175" s="207"/>
      <c r="C175" s="208"/>
    </row>
    <row r="176">
      <c r="A176" s="209"/>
      <c r="B176" s="207"/>
      <c r="C176" s="208"/>
    </row>
    <row r="177">
      <c r="A177" s="209"/>
      <c r="B177" s="207"/>
      <c r="C177" s="208"/>
    </row>
    <row r="178">
      <c r="A178" s="209"/>
      <c r="B178" s="207"/>
      <c r="C178" s="208"/>
    </row>
    <row r="179">
      <c r="A179" s="209"/>
      <c r="B179" s="207"/>
      <c r="C179" s="208"/>
    </row>
    <row r="180">
      <c r="A180" s="209"/>
      <c r="B180" s="207"/>
      <c r="C180" s="208"/>
    </row>
    <row r="181">
      <c r="A181" s="209"/>
      <c r="B181" s="207"/>
      <c r="C181" s="208"/>
    </row>
    <row r="182">
      <c r="A182" s="209"/>
      <c r="B182" s="207"/>
      <c r="C182" s="208"/>
    </row>
    <row r="183">
      <c r="A183" s="209"/>
      <c r="B183" s="207"/>
      <c r="C183" s="208"/>
    </row>
    <row r="184">
      <c r="A184" s="209"/>
      <c r="B184" s="207"/>
      <c r="C184" s="208"/>
    </row>
    <row r="185">
      <c r="A185" s="209"/>
      <c r="B185" s="207"/>
      <c r="C185" s="208"/>
    </row>
    <row r="186">
      <c r="A186" s="209"/>
      <c r="B186" s="207"/>
      <c r="C186" s="208"/>
    </row>
    <row r="187">
      <c r="A187" s="209"/>
      <c r="B187" s="207"/>
      <c r="C187" s="208"/>
    </row>
    <row r="188">
      <c r="A188" s="209"/>
      <c r="B188" s="207"/>
      <c r="C188" s="208"/>
    </row>
    <row r="189">
      <c r="A189" s="209"/>
      <c r="B189" s="207"/>
      <c r="C189" s="208"/>
    </row>
    <row r="190">
      <c r="A190" s="209"/>
      <c r="B190" s="207"/>
      <c r="C190" s="208"/>
    </row>
    <row r="191">
      <c r="A191" s="209"/>
      <c r="B191" s="207"/>
      <c r="C191" s="208"/>
    </row>
    <row r="192">
      <c r="A192" s="209"/>
      <c r="B192" s="207"/>
      <c r="C192" s="208"/>
    </row>
    <row r="193">
      <c r="A193" s="209"/>
      <c r="B193" s="207"/>
      <c r="C193" s="208"/>
    </row>
    <row r="194">
      <c r="A194" s="209"/>
      <c r="B194" s="207"/>
      <c r="C194" s="208"/>
    </row>
    <row r="195">
      <c r="A195" s="209"/>
      <c r="B195" s="207"/>
      <c r="C195" s="208"/>
    </row>
    <row r="196">
      <c r="A196" s="209"/>
      <c r="B196" s="207"/>
      <c r="C196" s="208"/>
    </row>
    <row r="197">
      <c r="A197" s="209"/>
      <c r="B197" s="207"/>
      <c r="C197" s="208"/>
    </row>
    <row r="198">
      <c r="A198" s="209"/>
      <c r="B198" s="207"/>
      <c r="C198" s="208"/>
    </row>
    <row r="199">
      <c r="A199" s="209"/>
      <c r="B199" s="207"/>
      <c r="C199" s="208"/>
    </row>
    <row r="200">
      <c r="A200" s="209"/>
      <c r="B200" s="207"/>
      <c r="C200" s="208"/>
    </row>
    <row r="201">
      <c r="A201" s="209"/>
      <c r="B201" s="207"/>
      <c r="C201" s="208"/>
    </row>
    <row r="202">
      <c r="A202" s="209"/>
      <c r="B202" s="207"/>
      <c r="C202" s="208"/>
    </row>
    <row r="203">
      <c r="A203" s="209"/>
      <c r="B203" s="207"/>
      <c r="C203" s="208"/>
    </row>
    <row r="204">
      <c r="A204" s="209"/>
      <c r="B204" s="207"/>
      <c r="C204" s="208"/>
    </row>
    <row r="205">
      <c r="A205" s="209"/>
      <c r="B205" s="207"/>
      <c r="C205" s="208"/>
    </row>
    <row r="206">
      <c r="A206" s="209"/>
      <c r="B206" s="207"/>
      <c r="C206" s="208"/>
    </row>
    <row r="207">
      <c r="A207" s="209"/>
      <c r="B207" s="207"/>
      <c r="C207" s="208"/>
    </row>
    <row r="208">
      <c r="A208" s="209"/>
      <c r="B208" s="207"/>
      <c r="C208" s="208"/>
    </row>
    <row r="209">
      <c r="A209" s="209"/>
      <c r="B209" s="207"/>
      <c r="C209" s="208"/>
    </row>
    <row r="210">
      <c r="A210" s="209"/>
      <c r="B210" s="207"/>
      <c r="C210" s="208"/>
    </row>
    <row r="211">
      <c r="A211" s="209"/>
      <c r="B211" s="207"/>
      <c r="C211" s="208"/>
    </row>
    <row r="212">
      <c r="A212" s="209"/>
      <c r="B212" s="207"/>
      <c r="C212" s="208"/>
    </row>
    <row r="213">
      <c r="A213" s="209"/>
      <c r="B213" s="207"/>
      <c r="C213" s="208"/>
    </row>
    <row r="214">
      <c r="A214" s="209"/>
      <c r="B214" s="207"/>
      <c r="C214" s="208"/>
    </row>
    <row r="215">
      <c r="A215" s="209"/>
      <c r="B215" s="207"/>
      <c r="C215" s="208"/>
    </row>
    <row r="216">
      <c r="A216" s="209"/>
      <c r="B216" s="207"/>
      <c r="C216" s="208"/>
    </row>
    <row r="217">
      <c r="A217" s="209"/>
      <c r="B217" s="207"/>
      <c r="C217" s="208"/>
    </row>
    <row r="218">
      <c r="A218" s="209"/>
      <c r="B218" s="207"/>
      <c r="C218" s="208"/>
    </row>
    <row r="219">
      <c r="A219" s="209"/>
      <c r="B219" s="207"/>
      <c r="C219" s="208"/>
    </row>
    <row r="220">
      <c r="A220" s="209"/>
      <c r="B220" s="207"/>
      <c r="C220" s="208"/>
    </row>
    <row r="221">
      <c r="A221" s="209"/>
      <c r="B221" s="207"/>
      <c r="C221" s="208"/>
    </row>
    <row r="222">
      <c r="A222" s="209"/>
      <c r="B222" s="207"/>
      <c r="C222" s="208"/>
    </row>
    <row r="223">
      <c r="A223" s="209"/>
      <c r="B223" s="207"/>
      <c r="C223" s="208"/>
    </row>
    <row r="224">
      <c r="A224" s="209"/>
      <c r="B224" s="207"/>
      <c r="C224" s="208"/>
    </row>
    <row r="225">
      <c r="A225" s="209"/>
      <c r="B225" s="207"/>
      <c r="C225" s="208"/>
    </row>
    <row r="226">
      <c r="A226" s="209"/>
      <c r="B226" s="207"/>
      <c r="C226" s="208"/>
    </row>
    <row r="227">
      <c r="A227" s="209"/>
      <c r="B227" s="207"/>
      <c r="C227" s="208"/>
    </row>
    <row r="228">
      <c r="A228" s="209"/>
      <c r="B228" s="207"/>
      <c r="C228" s="208"/>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6.13"/>
    <col customWidth="1" min="3" max="3" width="9.13"/>
  </cols>
  <sheetData>
    <row r="1">
      <c r="A1" s="206" t="str">
        <f>IFERROR(__xludf.DUMMYFUNCTION("QUERY('Physical (Commander)'!1:248,""SELECT C, X, Y WHERE W = 'Skill'"")"),"Total Command")</f>
        <v>Total Command</v>
      </c>
      <c r="B1" s="203" t="str">
        <f>IFERROR(__xludf.DUMMYFUNCTION("""COMPUTED_VALUE"""),"Damage / Might / Attack Coefficient")</f>
        <v>Damage / Might / Attack Coefficient</v>
      </c>
      <c r="C1" s="203" t="str">
        <f>IFERROR(__xludf.DUMMYFUNCTION("""COMPUTED_VALUE"""),"Base Damage / Might / Attack Coefficient")</f>
        <v>Base Damage / Might / Attack Coefficient</v>
      </c>
    </row>
    <row r="2">
      <c r="A2" s="204">
        <f>IFERROR(__xludf.DUMMYFUNCTION("""COMPUTED_VALUE"""),0.06)</f>
        <v>0.06</v>
      </c>
      <c r="B2" s="204">
        <f>IFERROR(__xludf.DUMMYFUNCTION("""COMPUTED_VALUE"""),2.6372586360121417)</f>
        <v>2.637258636</v>
      </c>
      <c r="C2" s="204">
        <f>IFERROR(__xludf.DUMMYFUNCTION("""COMPUTED_VALUE"""),2.0193738281929132)</f>
        <v>2.019373828</v>
      </c>
    </row>
    <row r="3">
      <c r="A3" s="204">
        <f>IFERROR(__xludf.DUMMYFUNCTION("""COMPUTED_VALUE"""),0.1)</f>
        <v>0.1</v>
      </c>
      <c r="B3" s="204">
        <f>IFERROR(__xludf.DUMMYFUNCTION("""COMPUTED_VALUE"""),3.639455389741044)</f>
        <v>3.63945539</v>
      </c>
      <c r="C3" s="204">
        <f>IFERROR(__xludf.DUMMYFUNCTION("""COMPUTED_VALUE"""),2.0337113677237673)</f>
        <v>2.033711368</v>
      </c>
    </row>
    <row r="4">
      <c r="A4" s="204">
        <f>IFERROR(__xludf.DUMMYFUNCTION("""COMPUTED_VALUE"""),0.14)</f>
        <v>0.14</v>
      </c>
      <c r="B4" s="204">
        <f>IFERROR(__xludf.DUMMYFUNCTION("""COMPUTED_VALUE"""),3.6967874136364074)</f>
        <v>3.696787414</v>
      </c>
      <c r="C4" s="204">
        <f>IFERROR(__xludf.DUMMYFUNCTION("""COMPUTED_VALUE"""),1.9982634668304904)</f>
        <v>1.998263467</v>
      </c>
    </row>
    <row r="5">
      <c r="A5" s="204">
        <f>IFERROR(__xludf.DUMMYFUNCTION("""COMPUTED_VALUE"""),0.2)</f>
        <v>0.2</v>
      </c>
      <c r="B5" s="204">
        <f>IFERROR(__xludf.DUMMYFUNCTION("""COMPUTED_VALUE"""),3.8221976001138773)</f>
        <v>3.8221976</v>
      </c>
      <c r="C5" s="204">
        <f>IFERROR(__xludf.DUMMYFUNCTION("""COMPUTED_VALUE"""),2.066052756818312)</f>
        <v>2.066052757</v>
      </c>
    </row>
    <row r="6">
      <c r="A6" s="204">
        <f>IFERROR(__xludf.DUMMYFUNCTION("""COMPUTED_VALUE"""),0.24)</f>
        <v>0.24</v>
      </c>
      <c r="B6" s="204">
        <f>IFERROR(__xludf.DUMMYFUNCTION("""COMPUTED_VALUE"""),3.7488548419974834)</f>
        <v>3.748854842</v>
      </c>
      <c r="C6" s="204">
        <f>IFERROR(__xludf.DUMMYFUNCTION("""COMPUTED_VALUE"""),2.026408022701342)</f>
        <v>2.026408023</v>
      </c>
    </row>
    <row r="7">
      <c r="A7" s="204">
        <f>IFERROR(__xludf.DUMMYFUNCTION("""COMPUTED_VALUE"""),0.32)</f>
        <v>0.32</v>
      </c>
      <c r="B7" s="204">
        <f>IFERROR(__xludf.DUMMYFUNCTION("""COMPUTED_VALUE"""),2.7725905602273055)</f>
        <v>2.77259056</v>
      </c>
      <c r="C7" s="204">
        <f>IFERROR(__xludf.DUMMYFUNCTION("""COMPUTED_VALUE"""),2.0537707853535596)</f>
        <v>2.053770785</v>
      </c>
    </row>
    <row r="8">
      <c r="A8" s="204">
        <f>IFERROR(__xludf.DUMMYFUNCTION("""COMPUTED_VALUE"""),0.32)</f>
        <v>0.32</v>
      </c>
      <c r="B8" s="204">
        <f>IFERROR(__xludf.DUMMYFUNCTION("""COMPUTED_VALUE"""),3.8952944842630104)</f>
        <v>3.895294484</v>
      </c>
      <c r="C8" s="204">
        <f>IFERROR(__xludf.DUMMYFUNCTION("""COMPUTED_VALUE"""),2.105564586088114)</f>
        <v>2.105564586</v>
      </c>
    </row>
    <row r="9">
      <c r="A9" s="204">
        <f>IFERROR(__xludf.DUMMYFUNCTION("""COMPUTED_VALUE"""),0.4)</f>
        <v>0.4</v>
      </c>
      <c r="B9" s="204">
        <f>IFERROR(__xludf.DUMMYFUNCTION("""COMPUTED_VALUE"""),2.6059535250612127)</f>
        <v>2.605953525</v>
      </c>
      <c r="C9" s="204">
        <f>IFERROR(__xludf.DUMMYFUNCTION("""COMPUTED_VALUE"""),2.1288423799154548)</f>
        <v>2.12884238</v>
      </c>
    </row>
    <row r="10">
      <c r="A10" s="204">
        <f>IFERROR(__xludf.DUMMYFUNCTION("""COMPUTED_VALUE"""),0.4)</f>
        <v>0.4</v>
      </c>
      <c r="B10" s="204">
        <f>IFERROR(__xludf.DUMMYFUNCTION("""COMPUTED_VALUE"""),2.8469312773872866)</f>
        <v>2.846931277</v>
      </c>
      <c r="C10" s="204">
        <f>IFERROR(__xludf.DUMMYFUNCTION("""COMPUTED_VALUE"""),2.132580476783518)</f>
        <v>2.132580477</v>
      </c>
    </row>
    <row r="11">
      <c r="A11" s="204">
        <f>IFERROR(__xludf.DUMMYFUNCTION("""COMPUTED_VALUE"""),0.46)</f>
        <v>0.46</v>
      </c>
      <c r="B11" s="204">
        <f>IFERROR(__xludf.DUMMYFUNCTION("""COMPUTED_VALUE"""),3.618686271094793)</f>
        <v>3.618686271</v>
      </c>
      <c r="C11" s="204">
        <f>IFERROR(__xludf.DUMMYFUNCTION("""COMPUTED_VALUE"""),2.0988627297376827)</f>
        <v>2.09886273</v>
      </c>
    </row>
    <row r="12">
      <c r="A12" s="204">
        <f>IFERROR(__xludf.DUMMYFUNCTION("""COMPUTED_VALUE"""),0.58)</f>
        <v>0.58</v>
      </c>
      <c r="B12" s="204">
        <f>IFERROR(__xludf.DUMMYFUNCTION("""COMPUTED_VALUE"""),3.7807661678026276)</f>
        <v>3.780766168</v>
      </c>
      <c r="C12" s="204">
        <f>IFERROR(__xludf.DUMMYFUNCTION("""COMPUTED_VALUE"""),2.1928701757981806)</f>
        <v>2.192870176</v>
      </c>
    </row>
    <row r="13">
      <c r="A13" s="204">
        <f>IFERROR(__xludf.DUMMYFUNCTION("""COMPUTED_VALUE"""),0.76)</f>
        <v>0.76</v>
      </c>
      <c r="B13" s="204">
        <f>IFERROR(__xludf.DUMMYFUNCTION("""COMPUTED_VALUE"""),4.2206095646480835)</f>
        <v>4.220609565</v>
      </c>
      <c r="C13" s="204">
        <f>IFERROR(__xludf.DUMMYFUNCTION("""COMPUTED_VALUE"""),2.228410540996876)</f>
        <v>2.228410541</v>
      </c>
    </row>
    <row r="14">
      <c r="A14" s="204">
        <f>IFERROR(__xludf.DUMMYFUNCTION("""COMPUTED_VALUE"""),0.76)</f>
        <v>0.76</v>
      </c>
      <c r="B14" s="204">
        <f>IFERROR(__xludf.DUMMYFUNCTION("""COMPUTED_VALUE"""),4.213968258354798)</f>
        <v>4.213968258</v>
      </c>
      <c r="C14" s="204">
        <f>IFERROR(__xludf.DUMMYFUNCTION("""COMPUTED_VALUE"""),2.224904043481942)</f>
        <v>2.224904043</v>
      </c>
    </row>
    <row r="15">
      <c r="A15" s="204">
        <f>IFERROR(__xludf.DUMMYFUNCTION("""COMPUTED_VALUE"""),1.48)</f>
        <v>1.48</v>
      </c>
      <c r="B15" s="204">
        <f>IFERROR(__xludf.DUMMYFUNCTION("""COMPUTED_VALUE"""),4.035717445917924)</f>
        <v>4.035717446</v>
      </c>
      <c r="C15" s="204">
        <f>IFERROR(__xludf.DUMMYFUNCTION("""COMPUTED_VALUE"""),2.4838635805165112)</f>
        <v>2.483863581</v>
      </c>
    </row>
    <row r="16">
      <c r="A16" s="204">
        <f>IFERROR(__xludf.DUMMYFUNCTION("""COMPUTED_VALUE"""),1.68)</f>
        <v>1.68</v>
      </c>
      <c r="B16" s="204">
        <f>IFERROR(__xludf.DUMMYFUNCTION("""COMPUTED_VALUE"""),3.9522751380944334)</f>
        <v>3.952275138</v>
      </c>
      <c r="C16" s="204">
        <f>IFERROR(__xludf.DUMMYFUNCTION("""COMPUTED_VALUE"""),2.5452042406863002)</f>
        <v>2.545204241</v>
      </c>
    </row>
    <row r="17">
      <c r="A17" s="204">
        <f>IFERROR(__xludf.DUMMYFUNCTION("""COMPUTED_VALUE"""),1.68)</f>
        <v>1.68</v>
      </c>
      <c r="B17" s="204">
        <f>IFERROR(__xludf.DUMMYFUNCTION("""COMPUTED_VALUE"""),4.454362420744165)</f>
        <v>4.454362421</v>
      </c>
      <c r="C17" s="204">
        <f>IFERROR(__xludf.DUMMYFUNCTION("""COMPUTED_VALUE"""),2.5412371949936463)</f>
        <v>2.541237195</v>
      </c>
    </row>
    <row r="18">
      <c r="A18" s="204">
        <f>IFERROR(__xludf.DUMMYFUNCTION("""COMPUTED_VALUE"""),1.68)</f>
        <v>1.68</v>
      </c>
      <c r="B18" s="204">
        <f>IFERROR(__xludf.DUMMYFUNCTION("""COMPUTED_VALUE"""),2.6813713014970926)</f>
        <v>2.681371301</v>
      </c>
      <c r="C18" s="204">
        <f>IFERROR(__xludf.DUMMYFUNCTION("""COMPUTED_VALUE"""),2.5468173027886865)</f>
        <v>2.546817303</v>
      </c>
    </row>
    <row r="19">
      <c r="A19" s="204">
        <f>IFERROR(__xludf.DUMMYFUNCTION("""COMPUTED_VALUE"""),1.88)</f>
        <v>1.88</v>
      </c>
      <c r="B19" s="204">
        <f>IFERROR(__xludf.DUMMYFUNCTION("""COMPUTED_VALUE"""),2.8637085598591887)</f>
        <v>2.86370856</v>
      </c>
      <c r="C19" s="204">
        <f>IFERROR(__xludf.DUMMYFUNCTION("""COMPUTED_VALUE"""),2.546029750935954)</f>
        <v>2.546029751</v>
      </c>
    </row>
    <row r="20">
      <c r="A20" s="204">
        <f>IFERROR(__xludf.DUMMYFUNCTION("""COMPUTED_VALUE"""),2.1)</f>
        <v>2.1</v>
      </c>
      <c r="B20" s="204">
        <f>IFERROR(__xludf.DUMMYFUNCTION("""COMPUTED_VALUE"""),4.581933695774701)</f>
        <v>4.581933696</v>
      </c>
      <c r="C20" s="204">
        <f>IFERROR(__xludf.DUMMYFUNCTION("""COMPUTED_VALUE"""),2.6140172785383977)</f>
        <v>2.614017279</v>
      </c>
    </row>
    <row r="21">
      <c r="A21" s="204">
        <f>IFERROR(__xludf.DUMMYFUNCTION("""COMPUTED_VALUE"""),2.1)</f>
        <v>2.1</v>
      </c>
      <c r="B21" s="204">
        <f>IFERROR(__xludf.DUMMYFUNCTION("""COMPUTED_VALUE"""),3.014284670044512)</f>
        <v>3.01428467</v>
      </c>
      <c r="C21" s="204">
        <f>IFERROR(__xludf.DUMMYFUNCTION("""COMPUTED_VALUE"""),2.6799020526379453)</f>
        <v>2.679902053</v>
      </c>
    </row>
    <row r="22">
      <c r="A22" s="204">
        <f>IFERROR(__xludf.DUMMYFUNCTION("""COMPUTED_VALUE"""),2.42)</f>
        <v>2.42</v>
      </c>
      <c r="B22" s="204">
        <f>IFERROR(__xludf.DUMMYFUNCTION("""COMPUTED_VALUE"""),4.031482288101234)</f>
        <v>4.031482288</v>
      </c>
      <c r="C22" s="204">
        <f>IFERROR(__xludf.DUMMYFUNCTION("""COMPUTED_VALUE"""),2.7795532000667666)</f>
        <v>2.7795532</v>
      </c>
    </row>
    <row r="23">
      <c r="A23" s="204">
        <f>IFERROR(__xludf.DUMMYFUNCTION("""COMPUTED_VALUE"""),2.42)</f>
        <v>2.42</v>
      </c>
      <c r="B23" s="204">
        <f>IFERROR(__xludf.DUMMYFUNCTION("""COMPUTED_VALUE"""),4.02609719026899)</f>
        <v>4.02609719</v>
      </c>
      <c r="C23" s="204">
        <f>IFERROR(__xludf.DUMMYFUNCTION("""COMPUTED_VALUE"""),2.7758403806017116)</f>
        <v>2.775840381</v>
      </c>
    </row>
    <row r="24">
      <c r="A24" s="204">
        <f>IFERROR(__xludf.DUMMYFUNCTION("""COMPUTED_VALUE"""),2.42)</f>
        <v>2.42</v>
      </c>
      <c r="B24" s="204">
        <f>IFERROR(__xludf.DUMMYFUNCTION("""COMPUTED_VALUE"""),2.6436624132791526)</f>
        <v>2.643662413</v>
      </c>
      <c r="C24" s="204">
        <f>IFERROR(__xludf.DUMMYFUNCTION("""COMPUTED_VALUE"""),2.7816120296507325)</f>
        <v>2.78161203</v>
      </c>
    </row>
    <row r="25">
      <c r="A25" s="204">
        <f>IFERROR(__xludf.DUMMYFUNCTION("""COMPUTED_VALUE"""),2.68)</f>
        <v>2.68</v>
      </c>
      <c r="B25" s="204">
        <f>IFERROR(__xludf.DUMMYFUNCTION("""COMPUTED_VALUE"""),4.153057180999427)</f>
        <v>4.153057181</v>
      </c>
      <c r="C25" s="204">
        <f>IFERROR(__xludf.DUMMYFUNCTION("""COMPUTED_VALUE"""),2.863374449536302)</f>
        <v>2.86337445</v>
      </c>
    </row>
    <row r="26">
      <c r="A26" s="204">
        <f>IFERROR(__xludf.DUMMYFUNCTION("""COMPUTED_VALUE"""),3.26)</f>
        <v>3.26</v>
      </c>
      <c r="B26" s="204">
        <f>IFERROR(__xludf.DUMMYFUNCTION("""COMPUTED_VALUE"""),2.8886362665745406)</f>
        <v>2.888636267</v>
      </c>
      <c r="C26" s="204">
        <f>IFERROR(__xludf.DUMMYFUNCTION("""COMPUTED_VALUE"""),3.0393689254834046)</f>
        <v>3.039368925</v>
      </c>
    </row>
    <row r="27">
      <c r="A27" s="204">
        <f>IFERROR(__xludf.DUMMYFUNCTION("""COMPUTED_VALUE"""),3.26)</f>
        <v>3.26</v>
      </c>
      <c r="B27" s="204">
        <f>IFERROR(__xludf.DUMMYFUNCTION("""COMPUTED_VALUE"""),3.5432887464785794)</f>
        <v>3.543288746</v>
      </c>
      <c r="C27" s="204">
        <f>IFERROR(__xludf.DUMMYFUNCTION("""COMPUTED_VALUE"""),3.034772078603316)</f>
        <v>3.034772079</v>
      </c>
    </row>
    <row r="28">
      <c r="A28" s="204">
        <f>IFERROR(__xludf.DUMMYFUNCTION("""COMPUTED_VALUE"""),3.26)</f>
        <v>3.26</v>
      </c>
      <c r="B28" s="204">
        <f>IFERROR(__xludf.DUMMYFUNCTION("""COMPUTED_VALUE"""),3.5500224765174964)</f>
        <v>3.550022477</v>
      </c>
      <c r="C28" s="204">
        <f>IFERROR(__xludf.DUMMYFUNCTION("""COMPUTED_VALUE"""),3.04053941436653)</f>
        <v>3.040539414</v>
      </c>
    </row>
    <row r="29">
      <c r="A29" s="204">
        <f>IFERROR(__xludf.DUMMYFUNCTION("""COMPUTED_VALUE"""),3.26)</f>
        <v>3.26</v>
      </c>
      <c r="B29" s="204">
        <f>IFERROR(__xludf.DUMMYFUNCTION("""COMPUTED_VALUE"""),4.308579696879051)</f>
        <v>4.308579697</v>
      </c>
      <c r="C29" s="204">
        <f>IFERROR(__xludf.DUMMYFUNCTION("""COMPUTED_VALUE"""),2.970601289642114)</f>
        <v>2.97060129</v>
      </c>
    </row>
    <row r="30">
      <c r="A30" s="204">
        <f>IFERROR(__xludf.DUMMYFUNCTION("""COMPUTED_VALUE"""),3.72)</f>
        <v>3.72</v>
      </c>
      <c r="B30" s="204">
        <f>IFERROR(__xludf.DUMMYFUNCTION("""COMPUTED_VALUE"""),5.1807091219270776)</f>
        <v>5.180709122</v>
      </c>
      <c r="C30" s="204">
        <f>IFERROR(__xludf.DUMMYFUNCTION("""COMPUTED_VALUE"""),3.1067539520158665)</f>
        <v>3.106753952</v>
      </c>
    </row>
    <row r="31">
      <c r="A31" s="204">
        <f>IFERROR(__xludf.DUMMYFUNCTION("""COMPUTED_VALUE"""),4.08)</f>
        <v>4.08</v>
      </c>
      <c r="B31" s="204">
        <f>IFERROR(__xludf.DUMMYFUNCTION("""COMPUTED_VALUE"""),5.486113515613879)</f>
        <v>5.486113516</v>
      </c>
      <c r="C31" s="204">
        <f>IFERROR(__xludf.DUMMYFUNCTION("""COMPUTED_VALUE"""),3.2898980515434126)</f>
        <v>3.289898052</v>
      </c>
    </row>
    <row r="32">
      <c r="A32" s="204">
        <f>IFERROR(__xludf.DUMMYFUNCTION("""COMPUTED_VALUE"""),4.82)</f>
        <v>4.82</v>
      </c>
      <c r="B32" s="204">
        <f>IFERROR(__xludf.DUMMYFUNCTION("""COMPUTED_VALUE"""),4.754045472857148)</f>
        <v>4.754045473</v>
      </c>
      <c r="C32" s="204">
        <f>IFERROR(__xludf.DUMMYFUNCTION("""COMPUTED_VALUE"""),3.5065299941641372)</f>
        <v>3.506529994</v>
      </c>
    </row>
    <row r="33">
      <c r="A33" s="204">
        <f>IFERROR(__xludf.DUMMYFUNCTION("""COMPUTED_VALUE"""),4.82)</f>
        <v>4.82</v>
      </c>
      <c r="B33" s="204">
        <f>IFERROR(__xludf.DUMMYFUNCTION("""COMPUTED_VALUE"""),4.747279677437093)</f>
        <v>4.747279677</v>
      </c>
      <c r="C33" s="204">
        <f>IFERROR(__xludf.DUMMYFUNCTION("""COMPUTED_VALUE"""),3.5015396202372884)</f>
        <v>3.50153962</v>
      </c>
    </row>
    <row r="34">
      <c r="A34" s="204">
        <f>IFERROR(__xludf.DUMMYFUNCTION("""COMPUTED_VALUE"""),4.82)</f>
        <v>4.82</v>
      </c>
      <c r="B34" s="204">
        <f>IFERROR(__xludf.DUMMYFUNCTION("""COMPUTED_VALUE"""),4.647017981226047)</f>
        <v>4.647017981</v>
      </c>
      <c r="C34" s="204">
        <f>IFERROR(__xludf.DUMMYFUNCTION("""COMPUTED_VALUE"""),3.4275877308333964)</f>
        <v>3.427587731</v>
      </c>
    </row>
    <row r="35">
      <c r="A35" s="204">
        <f>IFERROR(__xludf.DUMMYFUNCTION("""COMPUTED_VALUE"""),5.18)</f>
        <v>5.18</v>
      </c>
      <c r="B35" s="204">
        <f>IFERROR(__xludf.DUMMYFUNCTION("""COMPUTED_VALUE"""),4.673051695406585)</f>
        <v>4.673051695</v>
      </c>
      <c r="C35" s="204">
        <f>IFERROR(__xludf.DUMMYFUNCTION("""COMPUTED_VALUE"""),3.5268314682313844)</f>
        <v>3.526831468</v>
      </c>
    </row>
    <row r="36">
      <c r="A36" s="204">
        <f>IFERROR(__xludf.DUMMYFUNCTION("""COMPUTED_VALUE"""),5.94)</f>
        <v>5.94</v>
      </c>
      <c r="B36" s="204">
        <f>IFERROR(__xludf.DUMMYFUNCTION("""COMPUTED_VALUE"""),6.833849972391246)</f>
        <v>6.833849972</v>
      </c>
      <c r="C36" s="204">
        <f>IFERROR(__xludf.DUMMYFUNCTION("""COMPUTED_VALUE"""),3.7445753273376683)</f>
        <v>3.744575327</v>
      </c>
    </row>
    <row r="37">
      <c r="A37" s="204">
        <f>IFERROR(__xludf.DUMMYFUNCTION("""COMPUTED_VALUE"""),5.94)</f>
        <v>5.94</v>
      </c>
      <c r="B37" s="204">
        <f>IFERROR(__xludf.DUMMYFUNCTION("""COMPUTED_VALUE"""),6.998064856172262)</f>
        <v>6.998064856</v>
      </c>
      <c r="C37" s="204">
        <f>IFERROR(__xludf.DUMMYFUNCTION("""COMPUTED_VALUE"""),3.834556085573842)</f>
        <v>3.834556086</v>
      </c>
    </row>
    <row r="38">
      <c r="A38" s="204">
        <f>IFERROR(__xludf.DUMMYFUNCTION("""COMPUTED_VALUE"""),6.32)</f>
        <v>6.32</v>
      </c>
      <c r="B38" s="204">
        <f>IFERROR(__xludf.DUMMYFUNCTION("""COMPUTED_VALUE"""),5.061885242626906)</f>
        <v>5.061885243</v>
      </c>
      <c r="C38" s="204">
        <f>IFERROR(__xludf.DUMMYFUNCTION("""COMPUTED_VALUE"""),3.944989186478587)</f>
        <v>3.944989186</v>
      </c>
    </row>
    <row r="39">
      <c r="A39" s="204">
        <f>IFERROR(__xludf.DUMMYFUNCTION("""COMPUTED_VALUE"""),6.32)</f>
        <v>6.32</v>
      </c>
      <c r="B39" s="204">
        <f>IFERROR(__xludf.DUMMYFUNCTION("""COMPUTED_VALUE"""),6.872900543662053)</f>
        <v>6.872900544</v>
      </c>
      <c r="C39" s="204">
        <f>IFERROR(__xludf.DUMMYFUNCTION("""COMPUTED_VALUE"""),3.854429097821228)</f>
        <v>3.854429098</v>
      </c>
    </row>
    <row r="40">
      <c r="A40" s="204">
        <f>IFERROR(__xludf.DUMMYFUNCTION("""COMPUTED_VALUE"""),6.94)</f>
        <v>6.94</v>
      </c>
      <c r="B40" s="204">
        <f>IFERROR(__xludf.DUMMYFUNCTION("""COMPUTED_VALUE"""),7.337168446548316)</f>
        <v>7.337168447</v>
      </c>
      <c r="C40" s="204">
        <f>IFERROR(__xludf.DUMMYFUNCTION("""COMPUTED_VALUE"""),4.114797730060415)</f>
        <v>4.11479773</v>
      </c>
    </row>
    <row r="41">
      <c r="A41" s="204">
        <f>IFERROR(__xludf.DUMMYFUNCTION("""COMPUTED_VALUE"""),6.94)</f>
        <v>6.94</v>
      </c>
      <c r="B41" s="204">
        <f>IFERROR(__xludf.DUMMYFUNCTION("""COMPUTED_VALUE"""),5.272510620472686)</f>
        <v>5.27251062</v>
      </c>
      <c r="C41" s="204">
        <f>IFERROR(__xludf.DUMMYFUNCTION("""COMPUTED_VALUE"""),4.10914044597422)</f>
        <v>4.109140446</v>
      </c>
    </row>
    <row r="42">
      <c r="A42" s="204">
        <f>IFERROR(__xludf.DUMMYFUNCTION("""COMPUTED_VALUE"""),6.94)</f>
        <v>6.94</v>
      </c>
      <c r="B42" s="204">
        <f>IFERROR(__xludf.DUMMYFUNCTION("""COMPUTED_VALUE"""),7.342459234436037)</f>
        <v>7.342459234</v>
      </c>
      <c r="C42" s="204">
        <f>IFERROR(__xludf.DUMMYFUNCTION("""COMPUTED_VALUE"""),4.117764885871164)</f>
        <v>4.117764886</v>
      </c>
    </row>
    <row r="43">
      <c r="A43" s="204">
        <f>IFERROR(__xludf.DUMMYFUNCTION("""COMPUTED_VALUE"""),9.1)</f>
        <v>9.1</v>
      </c>
      <c r="B43" s="204">
        <f>IFERROR(__xludf.DUMMYFUNCTION("""COMPUTED_VALUE"""),8.109501967237613)</f>
        <v>8.109501967</v>
      </c>
      <c r="C43" s="204">
        <f>IFERROR(__xludf.DUMMYFUNCTION("""COMPUTED_VALUE"""),4.592073089880386)</f>
        <v>4.59207309</v>
      </c>
    </row>
    <row r="44">
      <c r="A44" s="204">
        <f>IFERROR(__xludf.DUMMYFUNCTION("""COMPUTED_VALUE"""),9.1)</f>
        <v>9.1</v>
      </c>
      <c r="B44" s="204">
        <f>IFERROR(__xludf.DUMMYFUNCTION("""COMPUTED_VALUE"""),8.308037964213305)</f>
        <v>8.308037964</v>
      </c>
      <c r="C44" s="204">
        <f>IFERROR(__xludf.DUMMYFUNCTION("""COMPUTED_VALUE"""),4.704495753166971)</f>
        <v>4.704495753</v>
      </c>
    </row>
    <row r="45">
      <c r="A45" s="204">
        <f>IFERROR(__xludf.DUMMYFUNCTION("""COMPUTED_VALUE"""),9.36)</f>
        <v>9.36</v>
      </c>
      <c r="B45" s="204">
        <f>IFERROR(__xludf.DUMMYFUNCTION("""COMPUTED_VALUE"""),7.888215396703038)</f>
        <v>7.888215397</v>
      </c>
      <c r="C45" s="204">
        <f>IFERROR(__xludf.DUMMYFUNCTION("""COMPUTED_VALUE"""),4.661741700060893)</f>
        <v>4.6617417</v>
      </c>
    </row>
    <row r="46">
      <c r="A46" s="204">
        <f>IFERROR(__xludf.DUMMYFUNCTION("""COMPUTED_VALUE"""),9.48)</f>
        <v>9.48</v>
      </c>
      <c r="B46" s="204">
        <f>IFERROR(__xludf.DUMMYFUNCTION("""COMPUTED_VALUE"""),5.554199335170746)</f>
        <v>5.554199335</v>
      </c>
      <c r="C46" s="204">
        <f>IFERROR(__xludf.DUMMYFUNCTION("""COMPUTED_VALUE"""),4.802441535745932)</f>
        <v>4.802441536</v>
      </c>
    </row>
    <row r="47">
      <c r="A47" s="204">
        <f>IFERROR(__xludf.DUMMYFUNCTION("""COMPUTED_VALUE"""),9.48)</f>
        <v>9.48</v>
      </c>
      <c r="B47" s="204">
        <f>IFERROR(__xludf.DUMMYFUNCTION("""COMPUTED_VALUE"""),5.71895692205294)</f>
        <v>5.718956922</v>
      </c>
      <c r="C47" s="204">
        <f>IFERROR(__xludf.DUMMYFUNCTION("""COMPUTED_VALUE"""),4.797309171760584)</f>
        <v>4.797309172</v>
      </c>
    </row>
    <row r="48">
      <c r="A48" s="204">
        <f>IFERROR(__xludf.DUMMYFUNCTION("""COMPUTED_VALUE"""),9.8)</f>
        <v>9.8</v>
      </c>
      <c r="B48" s="204">
        <f>IFERROR(__xludf.DUMMYFUNCTION("""COMPUTED_VALUE"""),5.68836654844757)</f>
        <v>5.688366548</v>
      </c>
      <c r="C48" s="204">
        <f>IFERROR(__xludf.DUMMYFUNCTION("""COMPUTED_VALUE"""),4.771648639278037)</f>
        <v>4.771648639</v>
      </c>
    </row>
    <row r="49">
      <c r="A49" s="204">
        <f>IFERROR(__xludf.DUMMYFUNCTION("""COMPUTED_VALUE"""),10.16)</f>
        <v>10.16</v>
      </c>
      <c r="B49" s="204">
        <f>IFERROR(__xludf.DUMMYFUNCTION("""COMPUTED_VALUE"""),8.256100704423131)</f>
        <v>8.256100704</v>
      </c>
      <c r="C49" s="204">
        <f>IFERROR(__xludf.DUMMYFUNCTION("""COMPUTED_VALUE"""),4.983953132915404)</f>
        <v>4.983953133</v>
      </c>
    </row>
    <row r="50">
      <c r="A50" s="204">
        <f>IFERROR(__xludf.DUMMYFUNCTION("""COMPUTED_VALUE"""),10.5)</f>
        <v>10.5</v>
      </c>
      <c r="B50" s="204">
        <f>IFERROR(__xludf.DUMMYFUNCTION("""COMPUTED_VALUE"""),6.326192545870753)</f>
        <v>6.326192546</v>
      </c>
      <c r="C50" s="204">
        <f>IFERROR(__xludf.DUMMYFUNCTION("""COMPUTED_VALUE"""),4.949124586597211)</f>
        <v>4.949124587</v>
      </c>
    </row>
    <row r="51">
      <c r="A51" s="204">
        <f>IFERROR(__xludf.DUMMYFUNCTION("""COMPUTED_VALUE"""),11.44)</f>
        <v>11.44</v>
      </c>
      <c r="B51" s="204">
        <f>IFERROR(__xludf.DUMMYFUNCTION("""COMPUTED_VALUE"""),9.443259209541539)</f>
        <v>9.44325921</v>
      </c>
      <c r="C51" s="204">
        <f>IFERROR(__xludf.DUMMYFUNCTION("""COMPUTED_VALUE"""),5.310438386892237)</f>
        <v>5.310438387</v>
      </c>
    </row>
    <row r="52">
      <c r="A52" s="204">
        <f>IFERROR(__xludf.DUMMYFUNCTION("""COMPUTED_VALUE"""),13.7)</f>
        <v>13.7</v>
      </c>
      <c r="B52" s="204">
        <f>IFERROR(__xludf.DUMMYFUNCTION("""COMPUTED_VALUE"""),10.416548462118824)</f>
        <v>10.41654846</v>
      </c>
      <c r="C52" s="204">
        <f>IFERROR(__xludf.DUMMYFUNCTION("""COMPUTED_VALUE"""),5.8577698212781195)</f>
        <v>5.857769821</v>
      </c>
    </row>
    <row r="53">
      <c r="A53" s="204">
        <f>IFERROR(__xludf.DUMMYFUNCTION("""COMPUTED_VALUE"""),13.7)</f>
        <v>13.7</v>
      </c>
      <c r="B53" s="204">
        <f>IFERROR(__xludf.DUMMYFUNCTION("""COMPUTED_VALUE"""),10.401592791116423)</f>
        <v>10.40159279</v>
      </c>
      <c r="C53" s="204">
        <f>IFERROR(__xludf.DUMMYFUNCTION("""COMPUTED_VALUE"""),5.8493594655279955)</f>
        <v>5.849359466</v>
      </c>
    </row>
    <row r="54">
      <c r="A54" s="204">
        <f>IFERROR(__xludf.DUMMYFUNCTION("""COMPUTED_VALUE"""),13.7)</f>
        <v>13.7</v>
      </c>
      <c r="B54" s="204">
        <f>IFERROR(__xludf.DUMMYFUNCTION("""COMPUTED_VALUE"""),10.422467354237066)</f>
        <v>10.42246735</v>
      </c>
      <c r="C54" s="204">
        <f>IFERROR(__xludf.DUMMYFUNCTION("""COMPUTED_VALUE"""),5.861098323780817)</f>
        <v>5.861098324</v>
      </c>
    </row>
    <row r="55">
      <c r="A55" s="204">
        <f>IFERROR(__xludf.DUMMYFUNCTION("""COMPUTED_VALUE"""),14.76)</f>
        <v>14.76</v>
      </c>
      <c r="B55" s="204">
        <f>IFERROR(__xludf.DUMMYFUNCTION("""COMPUTED_VALUE"""),10.621755385659537)</f>
        <v>10.62175539</v>
      </c>
      <c r="C55" s="204">
        <f>IFERROR(__xludf.DUMMYFUNCTION("""COMPUTED_VALUE"""),5.973168403467368)</f>
        <v>5.973168403</v>
      </c>
    </row>
    <row r="56">
      <c r="A56" s="204">
        <f>IFERROR(__xludf.DUMMYFUNCTION("""COMPUTED_VALUE"""),17.28)</f>
        <v>17.28</v>
      </c>
      <c r="B56" s="204">
        <f>IFERROR(__xludf.DUMMYFUNCTION("""COMPUTED_VALUE"""),10.777334927288038)</f>
        <v>10.77733493</v>
      </c>
      <c r="C56" s="204">
        <f>IFERROR(__xludf.DUMMYFUNCTION("""COMPUTED_VALUE"""),6.667910404573371)</f>
        <v>6.667910405</v>
      </c>
    </row>
    <row r="57">
      <c r="A57" s="204">
        <f>IFERROR(__xludf.DUMMYFUNCTION("""COMPUTED_VALUE"""),17.28)</f>
        <v>17.28</v>
      </c>
      <c r="B57" s="204">
        <f>IFERROR(__xludf.DUMMYFUNCTION("""COMPUTED_VALUE"""),11.88593808309192)</f>
        <v>11.88593808</v>
      </c>
      <c r="C57" s="204">
        <f>IFERROR(__xludf.DUMMYFUNCTION("""COMPUTED_VALUE"""),6.68408443102983)</f>
        <v>6.684084431</v>
      </c>
    </row>
    <row r="58">
      <c r="A58" s="204">
        <f>IFERROR(__xludf.DUMMYFUNCTION("""COMPUTED_VALUE"""),17.48)</f>
        <v>17.48</v>
      </c>
      <c r="B58" s="204">
        <f>IFERROR(__xludf.DUMMYFUNCTION("""COMPUTED_VALUE"""),10.621755385659537)</f>
        <v>10.62175539</v>
      </c>
      <c r="C58" s="204">
        <f>IFERROR(__xludf.DUMMYFUNCTION("""COMPUTED_VALUE"""),6.571653727819568)</f>
        <v>6.571653728</v>
      </c>
    </row>
    <row r="59">
      <c r="A59" s="204">
        <f>IFERROR(__xludf.DUMMYFUNCTION("""COMPUTED_VALUE"""),18.18)</f>
        <v>18.18</v>
      </c>
      <c r="B59" s="204">
        <f>IFERROR(__xludf.DUMMYFUNCTION("""COMPUTED_VALUE"""),11.11990049353714)</f>
        <v>11.11990049</v>
      </c>
      <c r="C59" s="204">
        <f>IFERROR(__xludf.DUMMYFUNCTION("""COMPUTED_VALUE"""),6.879854871257561)</f>
        <v>6.879854871</v>
      </c>
    </row>
    <row r="60">
      <c r="A60" s="204">
        <f>IFERROR(__xludf.DUMMYFUNCTION("""COMPUTED_VALUE"""),18.18)</f>
        <v>18.18</v>
      </c>
      <c r="B60" s="204">
        <f>IFERROR(__xludf.DUMMYFUNCTION("""COMPUTED_VALUE"""),7.497709683994967)</f>
        <v>7.497709684</v>
      </c>
      <c r="C60" s="204">
        <f>IFERROR(__xludf.DUMMYFUNCTION("""COMPUTED_VALUE"""),6.716580136904339)</f>
        <v>6.716580137</v>
      </c>
    </row>
    <row r="61">
      <c r="A61" s="204">
        <f>IFERROR(__xludf.DUMMYFUNCTION("""COMPUTED_VALUE"""),19.34)</f>
        <v>19.34</v>
      </c>
      <c r="B61" s="204">
        <f>IFERROR(__xludf.DUMMYFUNCTION("""COMPUTED_VALUE"""),8.99154972096702)</f>
        <v>8.991549721</v>
      </c>
      <c r="C61" s="204">
        <f>IFERROR(__xludf.DUMMYFUNCTION("""COMPUTED_VALUE"""),7.1079444434521895)</f>
        <v>7.107944443</v>
      </c>
    </row>
    <row r="62">
      <c r="A62" s="204">
        <f>IFERROR(__xludf.DUMMYFUNCTION("""COMPUTED_VALUE"""),19.34)</f>
        <v>19.34</v>
      </c>
      <c r="B62" s="204">
        <f>IFERROR(__xludf.DUMMYFUNCTION("""COMPUTED_VALUE"""),7.771063682890617)</f>
        <v>7.771063683</v>
      </c>
      <c r="C62" s="204">
        <f>IFERROR(__xludf.DUMMYFUNCTION("""COMPUTED_VALUE"""),6.961455454395643)</f>
        <v>6.961455454</v>
      </c>
    </row>
    <row r="63">
      <c r="A63" s="204">
        <f>IFERROR(__xludf.DUMMYFUNCTION("""COMPUTED_VALUE"""),20.0)</f>
        <v>20</v>
      </c>
      <c r="B63" s="204">
        <f>IFERROR(__xludf.DUMMYFUNCTION("""COMPUTED_VALUE"""),7.524258760107817)</f>
        <v>7.52425876</v>
      </c>
      <c r="C63" s="204">
        <f>IFERROR(__xludf.DUMMYFUNCTION("""COMPUTED_VALUE"""),7.265860210372731)</f>
        <v>7.26586021</v>
      </c>
    </row>
    <row r="64">
      <c r="A64" s="204">
        <f>IFERROR(__xludf.DUMMYFUNCTION("""COMPUTED_VALUE"""),20.0)</f>
        <v>20</v>
      </c>
      <c r="B64" s="204">
        <f>IFERROR(__xludf.DUMMYFUNCTION("""COMPUTED_VALUE"""),7.718996254529541)</f>
        <v>7.718996255</v>
      </c>
      <c r="C64" s="204">
        <f>IFERROR(__xludf.DUMMYFUNCTION("""COMPUTED_VALUE"""),7.088150830605639)</f>
        <v>7.088150831</v>
      </c>
    </row>
    <row r="65">
      <c r="A65" s="204">
        <f>IFERROR(__xludf.DUMMYFUNCTION("""COMPUTED_VALUE"""),20.0)</f>
        <v>20</v>
      </c>
      <c r="B65" s="204">
        <f>IFERROR(__xludf.DUMMYFUNCTION("""COMPUTED_VALUE"""),7.058229681923375)</f>
        <v>7.058229682</v>
      </c>
      <c r="C65" s="204">
        <f>IFERROR(__xludf.DUMMYFUNCTION("""COMPUTED_VALUE"""),7.106684347932003)</f>
        <v>7.106684348</v>
      </c>
    </row>
    <row r="66">
      <c r="A66" s="204">
        <f>IFERROR(__xludf.DUMMYFUNCTION("""COMPUTED_VALUE"""),20.0)</f>
        <v>20</v>
      </c>
      <c r="B66" s="204">
        <f>IFERROR(__xludf.DUMMYFUNCTION("""COMPUTED_VALUE"""),6.67385075065514)</f>
        <v>6.673850751</v>
      </c>
      <c r="C66" s="204">
        <f>IFERROR(__xludf.DUMMYFUNCTION("""COMPUTED_VALUE"""),7.133510023282121)</f>
        <v>7.133510023</v>
      </c>
    </row>
    <row r="67">
      <c r="A67" s="204">
        <f>IFERROR(__xludf.DUMMYFUNCTION("""COMPUTED_VALUE"""),20.0)</f>
        <v>20</v>
      </c>
      <c r="B67" s="204">
        <f>IFERROR(__xludf.DUMMYFUNCTION("""COMPUTED_VALUE"""),5.3533347322600635)</f>
        <v>5.353334732</v>
      </c>
      <c r="C67" s="204">
        <f>IFERROR(__xludf.DUMMYFUNCTION("""COMPUTED_VALUE"""),7.273552625353347)</f>
        <v>7.273552625</v>
      </c>
    </row>
    <row r="68">
      <c r="A68" s="204">
        <f>IFERROR(__xludf.DUMMYFUNCTION("""COMPUTED_VALUE"""),20.0)</f>
        <v>20</v>
      </c>
      <c r="B68" s="204">
        <f>IFERROR(__xludf.DUMMYFUNCTION("""COMPUTED_VALUE"""),5.354554726501691)</f>
        <v>5.354554727</v>
      </c>
      <c r="C68" s="204">
        <f>IFERROR(__xludf.DUMMYFUNCTION("""COMPUTED_VALUE"""),7.2752102262251235)</f>
        <v>7.275210226</v>
      </c>
    </row>
    <row r="69">
      <c r="A69" s="204">
        <f>IFERROR(__xludf.DUMMYFUNCTION("""COMPUTED_VALUE"""),20.0)</f>
        <v>20</v>
      </c>
      <c r="B69" s="204">
        <f>IFERROR(__xludf.DUMMYFUNCTION("""COMPUTED_VALUE"""),7.217360678388558)</f>
        <v>7.217360678</v>
      </c>
      <c r="C69" s="204">
        <f>IFERROR(__xludf.DUMMYFUNCTION("""COMPUTED_VALUE"""),7.266907776867198)</f>
        <v>7.266907777</v>
      </c>
    </row>
    <row r="70">
      <c r="A70" s="204">
        <f>IFERROR(__xludf.DUMMYFUNCTION("""COMPUTED_VALUE"""),20.22)</f>
        <v>20.22</v>
      </c>
      <c r="B70" s="204">
        <f>IFERROR(__xludf.DUMMYFUNCTION("""COMPUTED_VALUE"""),9.033698820646713)</f>
        <v>9.033698821</v>
      </c>
      <c r="C70" s="204">
        <f>IFERROR(__xludf.DUMMYFUNCTION("""COMPUTED_VALUE"""),7.141263889839298)</f>
        <v>7.14126389</v>
      </c>
    </row>
    <row r="71">
      <c r="A71" s="204">
        <f>IFERROR(__xludf.DUMMYFUNCTION("""COMPUTED_VALUE"""),21.32)</f>
        <v>21.32</v>
      </c>
      <c r="B71" s="204">
        <f>IFERROR(__xludf.DUMMYFUNCTION("""COMPUTED_VALUE"""),13.295938506284408)</f>
        <v>13.29593851</v>
      </c>
      <c r="C71" s="204">
        <f>IFERROR(__xludf.DUMMYFUNCTION("""COMPUTED_VALUE"""),7.533109635288616)</f>
        <v>7.533109635</v>
      </c>
    </row>
    <row r="72">
      <c r="A72" s="204">
        <f>IFERROR(__xludf.DUMMYFUNCTION("""COMPUTED_VALUE"""),21.82)</f>
        <v>21.82</v>
      </c>
      <c r="B72" s="204">
        <f>IFERROR(__xludf.DUMMYFUNCTION("""COMPUTED_VALUE"""),8.132999141004994)</f>
        <v>8.132999141</v>
      </c>
      <c r="C72" s="204">
        <f>IFERROR(__xludf.DUMMYFUNCTION("""COMPUTED_VALUE"""),7.618171153573993)</f>
        <v>7.618171154</v>
      </c>
    </row>
    <row r="73">
      <c r="A73" s="204">
        <f>IFERROR(__xludf.DUMMYFUNCTION("""COMPUTED_VALUE"""),21.96)</f>
        <v>21.96</v>
      </c>
      <c r="B73" s="204">
        <f>IFERROR(__xludf.DUMMYFUNCTION("""COMPUTED_VALUE"""),12.013487706850125)</f>
        <v>12.01348771</v>
      </c>
      <c r="C73" s="204">
        <f>IFERROR(__xludf.DUMMYFUNCTION("""COMPUTED_VALUE"""),7.663721005578577)</f>
        <v>7.663721006</v>
      </c>
    </row>
    <row r="74">
      <c r="A74" s="204">
        <f>IFERROR(__xludf.DUMMYFUNCTION("""COMPUTED_VALUE"""),23.0)</f>
        <v>23</v>
      </c>
      <c r="B74" s="204">
        <f>IFERROR(__xludf.DUMMYFUNCTION("""COMPUTED_VALUE"""),12.76366645823871)</f>
        <v>12.76366646</v>
      </c>
      <c r="C74" s="204">
        <f>IFERROR(__xludf.DUMMYFUNCTION("""COMPUTED_VALUE"""),7.859893760172414)</f>
        <v>7.85989376</v>
      </c>
    </row>
    <row r="75">
      <c r="A75" s="204">
        <f>IFERROR(__xludf.DUMMYFUNCTION("""COMPUTED_VALUE"""),23.0)</f>
        <v>23</v>
      </c>
      <c r="B75" s="204">
        <f>IFERROR(__xludf.DUMMYFUNCTION("""COMPUTED_VALUE"""),12.744930844659837)</f>
        <v>12.74493084</v>
      </c>
      <c r="C75" s="204">
        <f>IFERROR(__xludf.DUMMYFUNCTION("""COMPUTED_VALUE"""),7.848356328295501)</f>
        <v>7.848356328</v>
      </c>
    </row>
    <row r="76">
      <c r="A76" s="204">
        <f>IFERROR(__xludf.DUMMYFUNCTION("""COMPUTED_VALUE"""),23.0)</f>
        <v>23</v>
      </c>
      <c r="B76" s="204">
        <f>IFERROR(__xludf.DUMMYFUNCTION("""COMPUTED_VALUE"""),7.250389399279856)</f>
        <v>7.250389399</v>
      </c>
      <c r="C76" s="204">
        <f>IFERROR(__xludf.DUMMYFUNCTION("""COMPUTED_VALUE"""),7.690749624998893)</f>
        <v>7.690749625</v>
      </c>
    </row>
    <row r="77">
      <c r="A77" s="204">
        <f>IFERROR(__xludf.DUMMYFUNCTION("""COMPUTED_VALUE"""),24.38)</f>
        <v>24.38</v>
      </c>
      <c r="B77" s="204">
        <f>IFERROR(__xludf.DUMMYFUNCTION("""COMPUTED_VALUE"""),8.486990822855413)</f>
        <v>8.486990823</v>
      </c>
      <c r="C77" s="204">
        <f>IFERROR(__xludf.DUMMYFUNCTION("""COMPUTED_VALUE"""),7.949754764062948)</f>
        <v>7.949754764</v>
      </c>
    </row>
    <row r="78">
      <c r="A78" s="204">
        <f>IFERROR(__xludf.DUMMYFUNCTION("""COMPUTED_VALUE"""),25.74)</f>
        <v>25.74</v>
      </c>
      <c r="B78" s="204">
        <f>IFERROR(__xludf.DUMMYFUNCTION("""COMPUTED_VALUE"""),12.102713255720422)</f>
        <v>12.10271326</v>
      </c>
      <c r="C78" s="204">
        <f>IFERROR(__xludf.DUMMYFUNCTION("""COMPUTED_VALUE"""),8.388691004634728)</f>
        <v>8.388691005</v>
      </c>
    </row>
    <row r="79">
      <c r="A79" s="204">
        <f>IFERROR(__xludf.DUMMYFUNCTION("""COMPUTED_VALUE"""),25.74)</f>
        <v>25.74</v>
      </c>
      <c r="B79" s="204">
        <f>IFERROR(__xludf.DUMMYFUNCTION("""COMPUTED_VALUE"""),11.81930623796429)</f>
        <v>11.81930624</v>
      </c>
      <c r="C79" s="204">
        <f>IFERROR(__xludf.DUMMYFUNCTION("""COMPUTED_VALUE"""),8.192254565113405)</f>
        <v>8.192254565</v>
      </c>
    </row>
    <row r="80">
      <c r="A80" s="204">
        <f>IFERROR(__xludf.DUMMYFUNCTION("""COMPUTED_VALUE"""),27.52)</f>
        <v>27.52</v>
      </c>
      <c r="B80" s="204">
        <f>IFERROR(__xludf.DUMMYFUNCTION("""COMPUTED_VALUE"""),9.781274789615303)</f>
        <v>9.78127479</v>
      </c>
      <c r="C80" s="204">
        <f>IFERROR(__xludf.DUMMYFUNCTION("""COMPUTED_VALUE"""),8.70299085286425)</f>
        <v>8.702990853</v>
      </c>
    </row>
    <row r="81">
      <c r="A81" s="204">
        <f>IFERROR(__xludf.DUMMYFUNCTION("""COMPUTED_VALUE"""),27.52)</f>
        <v>27.52</v>
      </c>
      <c r="B81" s="204">
        <f>IFERROR(__xludf.DUMMYFUNCTION("""COMPUTED_VALUE"""),14.112551415564056)</f>
        <v>14.11255142</v>
      </c>
      <c r="C81" s="204">
        <f>IFERROR(__xludf.DUMMYFUNCTION("""COMPUTED_VALUE"""),8.690540071243046)</f>
        <v>8.690540071</v>
      </c>
    </row>
    <row r="82">
      <c r="A82" s="204">
        <f>IFERROR(__xludf.DUMMYFUNCTION("""COMPUTED_VALUE"""),27.52)</f>
        <v>27.52</v>
      </c>
      <c r="B82" s="204">
        <f>IFERROR(__xludf.DUMMYFUNCTION("""COMPUTED_VALUE"""),9.78680323856322)</f>
        <v>9.786803239</v>
      </c>
      <c r="C82" s="204">
        <f>IFERROR(__xludf.DUMMYFUNCTION("""COMPUTED_VALUE"""),8.707909847745707)</f>
        <v>8.707909848</v>
      </c>
    </row>
    <row r="83">
      <c r="A83" s="204">
        <f>IFERROR(__xludf.DUMMYFUNCTION("""COMPUTED_VALUE"""),31.84)</f>
        <v>31.84</v>
      </c>
      <c r="B83" s="204">
        <f>IFERROR(__xludf.DUMMYFUNCTION("""COMPUTED_VALUE"""),10.374435100944424)</f>
        <v>10.3744351</v>
      </c>
      <c r="C83" s="204">
        <f>IFERROR(__xludf.DUMMYFUNCTION("""COMPUTED_VALUE"""),9.230761401674533)</f>
        <v>9.230761402</v>
      </c>
    </row>
    <row r="84">
      <c r="A84" s="204">
        <f>IFERROR(__xludf.DUMMYFUNCTION("""COMPUTED_VALUE"""),31.84)</f>
        <v>31.84</v>
      </c>
      <c r="B84" s="204">
        <f>IFERROR(__xludf.DUMMYFUNCTION("""COMPUTED_VALUE"""),15.346498466889035)</f>
        <v>15.34649847</v>
      </c>
      <c r="C84" s="204">
        <f>IFERROR(__xludf.DUMMYFUNCTION("""COMPUTED_VALUE"""),9.450407368059786)</f>
        <v>9.450407368</v>
      </c>
    </row>
    <row r="85">
      <c r="A85" s="204">
        <f>IFERROR(__xludf.DUMMYFUNCTION("""COMPUTED_VALUE"""),32.88)</f>
        <v>32.88</v>
      </c>
      <c r="B85" s="204">
        <f>IFERROR(__xludf.DUMMYFUNCTION("""COMPUTED_VALUE"""),11.9360325642901)</f>
        <v>11.93603256</v>
      </c>
      <c r="C85" s="204">
        <f>IFERROR(__xludf.DUMMYFUNCTION("""COMPUTED_VALUE"""),9.613711836106194)</f>
        <v>9.613711836</v>
      </c>
    </row>
    <row r="86">
      <c r="A86" s="204">
        <f>IFERROR(__xludf.DUMMYFUNCTION("""COMPUTED_VALUE"""),32.88)</f>
        <v>32.88</v>
      </c>
      <c r="B86" s="204">
        <f>IFERROR(__xludf.DUMMYFUNCTION("""COMPUTED_VALUE"""),16.716484821613594)</f>
        <v>16.71648482</v>
      </c>
      <c r="C86" s="204">
        <f>IFERROR(__xludf.DUMMYFUNCTION("""COMPUTED_VALUE"""),9.598550940425595)</f>
        <v>9.59855094</v>
      </c>
    </row>
    <row r="87">
      <c r="A87" s="204">
        <f>IFERROR(__xludf.DUMMYFUNCTION("""COMPUTED_VALUE"""),32.88)</f>
        <v>32.88</v>
      </c>
      <c r="B87" s="204">
        <f>IFERROR(__xludf.DUMMYFUNCTION("""COMPUTED_VALUE"""),16.375206219558454)</f>
        <v>16.37520622</v>
      </c>
      <c r="C87" s="204">
        <f>IFERROR(__xludf.DUMMYFUNCTION("""COMPUTED_VALUE"""),9.402589882723554)</f>
        <v>9.402589883</v>
      </c>
    </row>
    <row r="88">
      <c r="A88" s="204">
        <f>IFERROR(__xludf.DUMMYFUNCTION("""COMPUTED_VALUE"""),36.12)</f>
        <v>36.12</v>
      </c>
      <c r="B88" s="204">
        <f>IFERROR(__xludf.DUMMYFUNCTION("""COMPUTED_VALUE"""),12.287913093213973)</f>
        <v>12.28791309</v>
      </c>
      <c r="C88" s="204">
        <f>IFERROR(__xludf.DUMMYFUNCTION("""COMPUTED_VALUE"""),9.897129126364899)</f>
        <v>9.897129126</v>
      </c>
    </row>
    <row r="89">
      <c r="A89" s="204">
        <f>IFERROR(__xludf.DUMMYFUNCTION("""COMPUTED_VALUE"""),36.12)</f>
        <v>36.12</v>
      </c>
      <c r="B89" s="204">
        <f>IFERROR(__xludf.DUMMYFUNCTION("""COMPUTED_VALUE"""),17.639432306514472)</f>
        <v>17.63943231</v>
      </c>
      <c r="C89" s="204">
        <f>IFERROR(__xludf.DUMMYFUNCTION("""COMPUTED_VALUE"""),10.1285043692532)</f>
        <v>10.12850437</v>
      </c>
    </row>
    <row r="90">
      <c r="A90" s="204">
        <f>IFERROR(__xludf.DUMMYFUNCTION("""COMPUTED_VALUE"""),38.28)</f>
        <v>38.28</v>
      </c>
      <c r="B90" s="204">
        <f>IFERROR(__xludf.DUMMYFUNCTION("""COMPUTED_VALUE"""),11.147194009120332)</f>
        <v>11.14719401</v>
      </c>
      <c r="C90" s="204">
        <f>IFERROR(__xludf.DUMMYFUNCTION("""COMPUTED_VALUE"""),10.441564098466095)</f>
        <v>10.4415641</v>
      </c>
    </row>
    <row r="91">
      <c r="A91" s="204">
        <f>IFERROR(__xludf.DUMMYFUNCTION("""COMPUTED_VALUE"""),38.28)</f>
        <v>38.28</v>
      </c>
      <c r="B91" s="204">
        <f>IFERROR(__xludf.DUMMYFUNCTION("""COMPUTED_VALUE"""),11.714670148705405)</f>
        <v>11.71467015</v>
      </c>
      <c r="C91" s="204">
        <f>IFERROR(__xludf.DUMMYFUNCTION("""COMPUTED_VALUE"""),10.423249457907808)</f>
        <v>10.42324946</v>
      </c>
    </row>
    <row r="92">
      <c r="A92" s="204">
        <f>IFERROR(__xludf.DUMMYFUNCTION("""COMPUTED_VALUE"""),39.3)</f>
        <v>39.3</v>
      </c>
      <c r="B92" s="204">
        <f>IFERROR(__xludf.DUMMYFUNCTION("""COMPUTED_VALUE"""),19.972761792643375)</f>
        <v>19.97276179</v>
      </c>
      <c r="C92" s="204">
        <f>IFERROR(__xludf.DUMMYFUNCTION("""COMPUTED_VALUE"""),10.596202472366716)</f>
        <v>10.59620247</v>
      </c>
    </row>
    <row r="93">
      <c r="A93" s="204">
        <f>IFERROR(__xludf.DUMMYFUNCTION("""COMPUTED_VALUE"""),41.1)</f>
        <v>41.1</v>
      </c>
      <c r="B93" s="204">
        <f>IFERROR(__xludf.DUMMYFUNCTION("""COMPUTED_VALUE"""),15.65575451521229)</f>
        <v>15.65575452</v>
      </c>
      <c r="C93" s="204">
        <f>IFERROR(__xludf.DUMMYFUNCTION("""COMPUTED_VALUE"""),10.851392105027054)</f>
        <v>10.85139211</v>
      </c>
    </row>
    <row r="94">
      <c r="A94" s="204">
        <f>IFERROR(__xludf.DUMMYFUNCTION("""COMPUTED_VALUE"""),43.06)</f>
        <v>43.06</v>
      </c>
      <c r="B94" s="204">
        <f>IFERROR(__xludf.DUMMYFUNCTION("""COMPUTED_VALUE"""),12.48401672454123)</f>
        <v>12.48401672</v>
      </c>
      <c r="C94" s="204">
        <f>IFERROR(__xludf.DUMMYFUNCTION("""COMPUTED_VALUE"""),11.107783565802444)</f>
        <v>11.10778357</v>
      </c>
    </row>
    <row r="95">
      <c r="A95" s="204">
        <f>IFERROR(__xludf.DUMMYFUNCTION("""COMPUTED_VALUE"""),43.06)</f>
        <v>43.06</v>
      </c>
      <c r="B95" s="204">
        <f>IFERROR(__xludf.DUMMYFUNCTION("""COMPUTED_VALUE"""),18.013401227109174)</f>
        <v>18.01340123</v>
      </c>
      <c r="C95" s="204">
        <f>IFERROR(__xludf.DUMMYFUNCTION("""COMPUTED_VALUE"""),11.09269192889697)</f>
        <v>11.09269193</v>
      </c>
    </row>
    <row r="96">
      <c r="A96" s="204">
        <f>IFERROR(__xludf.DUMMYFUNCTION("""COMPUTED_VALUE"""),43.06)</f>
        <v>43.06</v>
      </c>
      <c r="B96" s="204">
        <f>IFERROR(__xludf.DUMMYFUNCTION("""COMPUTED_VALUE"""),12.491069222192634)</f>
        <v>12.49106922</v>
      </c>
      <c r="C96" s="204">
        <f>IFERROR(__xludf.DUMMYFUNCTION("""COMPUTED_VALUE"""),11.114058598849791)</f>
        <v>11.1140586</v>
      </c>
    </row>
    <row r="97">
      <c r="A97" s="204">
        <f>IFERROR(__xludf.DUMMYFUNCTION("""COMPUTED_VALUE"""),43.06)</f>
        <v>43.06</v>
      </c>
      <c r="B97" s="204">
        <f>IFERROR(__xludf.DUMMYFUNCTION("""COMPUTED_VALUE"""),17.039065931162174)</f>
        <v>17.03906593</v>
      </c>
      <c r="C97" s="204">
        <f>IFERROR(__xludf.DUMMYFUNCTION("""COMPUTED_VALUE"""),10.869670047410732)</f>
        <v>10.86967005</v>
      </c>
    </row>
    <row r="98">
      <c r="A98" s="204">
        <f>IFERROR(__xludf.DUMMYFUNCTION("""COMPUTED_VALUE"""),45.52)</f>
        <v>45.52</v>
      </c>
      <c r="B98" s="204">
        <f>IFERROR(__xludf.DUMMYFUNCTION("""COMPUTED_VALUE"""),16.127885934843338)</f>
        <v>16.12788593</v>
      </c>
      <c r="C98" s="204">
        <f>IFERROR(__xludf.DUMMYFUNCTION("""COMPUTED_VALUE"""),11.178638112528091)</f>
        <v>11.17863811</v>
      </c>
    </row>
    <row r="99">
      <c r="A99" s="204">
        <f>IFERROR(__xludf.DUMMYFUNCTION("""COMPUTED_VALUE"""),48.14)</f>
        <v>48.14</v>
      </c>
      <c r="B99" s="204">
        <f>IFERROR(__xludf.DUMMYFUNCTION("""COMPUTED_VALUE"""),10.84304195619411)</f>
        <v>10.84304196</v>
      </c>
      <c r="C99" s="204">
        <f>IFERROR(__xludf.DUMMYFUNCTION("""COMPUTED_VALUE"""),11.501605812610553)</f>
        <v>11.50160581</v>
      </c>
    </row>
    <row r="100">
      <c r="A100" s="204">
        <f>IFERROR(__xludf.DUMMYFUNCTION("""COMPUTED_VALUE"""),48.14)</f>
        <v>48.14</v>
      </c>
      <c r="B100" s="204">
        <f>IFERROR(__xludf.DUMMYFUNCTION("""COMPUTED_VALUE"""),11.101108379595965)</f>
        <v>11.10110838</v>
      </c>
      <c r="C100" s="204">
        <f>IFERROR(__xludf.DUMMYFUNCTION("""COMPUTED_VALUE"""),11.775346178776232)</f>
        <v>11.77534618</v>
      </c>
    </row>
    <row r="101">
      <c r="A101" s="204">
        <f>IFERROR(__xludf.DUMMYFUNCTION("""COMPUTED_VALUE"""),48.54)</f>
        <v>48.54</v>
      </c>
      <c r="B101" s="204">
        <f>IFERROR(__xludf.DUMMYFUNCTION("""COMPUTED_VALUE"""),10.895109384555186)</f>
        <v>10.89510938</v>
      </c>
      <c r="C101" s="204">
        <f>IFERROR(__xludf.DUMMYFUNCTION("""COMPUTED_VALUE"""),11.55683561243101)</f>
        <v>11.55683561</v>
      </c>
    </row>
    <row r="102">
      <c r="A102" s="204">
        <f>IFERROR(__xludf.DUMMYFUNCTION("""COMPUTED_VALUE"""),48.92)</f>
        <v>48.92</v>
      </c>
      <c r="B102" s="204">
        <f>IFERROR(__xludf.DUMMYFUNCTION("""COMPUTED_VALUE"""),17.110360873918026)</f>
        <v>17.11036087</v>
      </c>
      <c r="C102" s="204">
        <f>IFERROR(__xludf.DUMMYFUNCTION("""COMPUTED_VALUE"""),11.859615882516934)</f>
        <v>11.85961588</v>
      </c>
    </row>
    <row r="103">
      <c r="A103" s="204">
        <f>IFERROR(__xludf.DUMMYFUNCTION("""COMPUTED_VALUE"""),48.92)</f>
        <v>48.92</v>
      </c>
      <c r="B103" s="204">
        <f>IFERROR(__xludf.DUMMYFUNCTION("""COMPUTED_VALUE"""),19.22951287213774)</f>
        <v>19.22951287</v>
      </c>
      <c r="C103" s="204">
        <f>IFERROR(__xludf.DUMMYFUNCTION("""COMPUTED_VALUE"""),11.841576143452984)</f>
        <v>11.84157614</v>
      </c>
    </row>
    <row r="104">
      <c r="A104" s="204">
        <f>IFERROR(__xludf.DUMMYFUNCTION("""COMPUTED_VALUE"""),50.02)</f>
        <v>50.02</v>
      </c>
      <c r="B104" s="204">
        <f>IFERROR(__xludf.DUMMYFUNCTION("""COMPUTED_VALUE"""),11.051311669638414)</f>
        <v>11.05131167</v>
      </c>
      <c r="C104" s="204">
        <f>IFERROR(__xludf.DUMMYFUNCTION("""COMPUTED_VALUE"""),11.722525011892387)</f>
        <v>11.72252501</v>
      </c>
    </row>
    <row r="105">
      <c r="A105" s="204">
        <f>IFERROR(__xludf.DUMMYFUNCTION("""COMPUTED_VALUE"""),51.38)</f>
        <v>51.38</v>
      </c>
      <c r="B105" s="204">
        <f>IFERROR(__xludf.DUMMYFUNCTION("""COMPUTED_VALUE"""),19.0716281398737)</f>
        <v>19.07162814</v>
      </c>
      <c r="C105" s="204">
        <f>IFERROR(__xludf.DUMMYFUNCTION("""COMPUTED_VALUE"""),12.166295146978252)</f>
        <v>12.16629515</v>
      </c>
    </row>
    <row r="106">
      <c r="A106" s="204">
        <f>IFERROR(__xludf.DUMMYFUNCTION("""COMPUTED_VALUE"""),53.44)</f>
        <v>53.44</v>
      </c>
      <c r="B106" s="204">
        <f>IFERROR(__xludf.DUMMYFUNCTION("""COMPUTED_VALUE"""),13.925910149154822)</f>
        <v>13.92591015</v>
      </c>
      <c r="C106" s="204">
        <f>IFERROR(__xludf.DUMMYFUNCTION("""COMPUTED_VALUE"""),12.390723218877127)</f>
        <v>12.39072322</v>
      </c>
    </row>
    <row r="107">
      <c r="A107" s="204">
        <f>IFERROR(__xludf.DUMMYFUNCTION("""COMPUTED_VALUE"""),53.44)</f>
        <v>53.44</v>
      </c>
      <c r="B107" s="204">
        <f>IFERROR(__xludf.DUMMYFUNCTION("""COMPUTED_VALUE"""),20.132506070356623)</f>
        <v>20.13250607</v>
      </c>
      <c r="C107" s="204">
        <f>IFERROR(__xludf.DUMMYFUNCTION("""COMPUTED_VALUE"""),12.3976413326665)</f>
        <v>12.39764133</v>
      </c>
    </row>
    <row r="108">
      <c r="A108" s="204">
        <f>IFERROR(__xludf.DUMMYFUNCTION("""COMPUTED_VALUE"""),54.0)</f>
        <v>54</v>
      </c>
      <c r="B108" s="204">
        <f>IFERROR(__xludf.DUMMYFUNCTION("""COMPUTED_VALUE"""),9.467680608365018)</f>
        <v>9.467680608</v>
      </c>
      <c r="C108" s="204">
        <f>IFERROR(__xludf.DUMMYFUNCTION("""COMPUTED_VALUE"""),12.500129640781392)</f>
        <v>12.50012964</v>
      </c>
    </row>
    <row r="109">
      <c r="A109" s="204">
        <f>IFERROR(__xludf.DUMMYFUNCTION("""COMPUTED_VALUE"""),58.1)</f>
        <v>58.1</v>
      </c>
      <c r="B109" s="204">
        <f>IFERROR(__xludf.DUMMYFUNCTION("""COMPUTED_VALUE"""),14.513578708031808)</f>
        <v>14.51357871</v>
      </c>
      <c r="C109" s="204">
        <f>IFERROR(__xludf.DUMMYFUNCTION("""COMPUTED_VALUE"""),12.913607423894282)</f>
        <v>12.91360742</v>
      </c>
    </row>
    <row r="110">
      <c r="A110" s="204">
        <f>IFERROR(__xludf.DUMMYFUNCTION("""COMPUTED_VALUE"""),58.5)</f>
        <v>58.5</v>
      </c>
      <c r="B110" s="204">
        <f>IFERROR(__xludf.DUMMYFUNCTION("""COMPUTED_VALUE"""),18.675106204664615)</f>
        <v>18.6751062</v>
      </c>
      <c r="C110" s="204">
        <f>IFERROR(__xludf.DUMMYFUNCTION("""COMPUTED_VALUE"""),12.944179715703177)</f>
        <v>12.94417972</v>
      </c>
    </row>
    <row r="111">
      <c r="A111" s="204">
        <f>IFERROR(__xludf.DUMMYFUNCTION("""COMPUTED_VALUE"""),58.98)</f>
        <v>58.98</v>
      </c>
      <c r="B111" s="204">
        <f>IFERROR(__xludf.DUMMYFUNCTION("""COMPUTED_VALUE"""),13.563565088060338)</f>
        <v>13.56356509</v>
      </c>
      <c r="C111" s="204">
        <f>IFERROR(__xludf.DUMMYFUNCTION("""COMPUTED_VALUE"""),12.70497617201471)</f>
        <v>12.70497617</v>
      </c>
    </row>
    <row r="112">
      <c r="A112" s="204">
        <f>IFERROR(__xludf.DUMMYFUNCTION("""COMPUTED_VALUE"""),58.98)</f>
        <v>58.98</v>
      </c>
      <c r="B112" s="204">
        <f>IFERROR(__xludf.DUMMYFUNCTION("""COMPUTED_VALUE"""),12.262964117124291)</f>
        <v>12.26296412</v>
      </c>
      <c r="C112" s="204">
        <f>IFERROR(__xludf.DUMMYFUNCTION("""COMPUTED_VALUE"""),13.007768478547648)</f>
        <v>13.00776848</v>
      </c>
    </row>
    <row r="113">
      <c r="A113" s="204">
        <f>IFERROR(__xludf.DUMMYFUNCTION("""COMPUTED_VALUE"""),60.18)</f>
        <v>60.18</v>
      </c>
      <c r="B113" s="204">
        <f>IFERROR(__xludf.DUMMYFUNCTION("""COMPUTED_VALUE"""),24.748770152322663)</f>
        <v>24.74877015</v>
      </c>
      <c r="C113" s="204">
        <f>IFERROR(__xludf.DUMMYFUNCTION("""COMPUTED_VALUE"""),13.130030899015164)</f>
        <v>13.1300309</v>
      </c>
    </row>
    <row r="114">
      <c r="A114" s="204">
        <f>IFERROR(__xludf.DUMMYFUNCTION("""COMPUTED_VALUE"""),60.18)</f>
        <v>60.18</v>
      </c>
      <c r="B114" s="204">
        <f>IFERROR(__xludf.DUMMYFUNCTION("""COMPUTED_VALUE"""),20.83998820152073)</f>
        <v>20.8399882</v>
      </c>
      <c r="C114" s="204">
        <f>IFERROR(__xludf.DUMMYFUNCTION("""COMPUTED_VALUE"""),12.833310378576181)</f>
        <v>12.83331038</v>
      </c>
    </row>
    <row r="115">
      <c r="A115" s="204">
        <f>IFERROR(__xludf.DUMMYFUNCTION("""COMPUTED_VALUE"""),62.06)</f>
        <v>62.06</v>
      </c>
      <c r="B115" s="204">
        <f>IFERROR(__xludf.DUMMYFUNCTION("""COMPUTED_VALUE"""),14.957219571692349)</f>
        <v>14.95721957</v>
      </c>
      <c r="C115" s="204">
        <f>IFERROR(__xludf.DUMMYFUNCTION("""COMPUTED_VALUE"""),13.308341490919336)</f>
        <v>13.30834149</v>
      </c>
    </row>
    <row r="116">
      <c r="A116" s="204">
        <f>IFERROR(__xludf.DUMMYFUNCTION("""COMPUTED_VALUE"""),62.06)</f>
        <v>62.06</v>
      </c>
      <c r="B116" s="204">
        <f>IFERROR(__xludf.DUMMYFUNCTION("""COMPUTED_VALUE"""),14.934739853315927)</f>
        <v>14.93473985</v>
      </c>
      <c r="C116" s="204">
        <f>IFERROR(__xludf.DUMMYFUNCTION("""COMPUTED_VALUE"""),13.288339927972482)</f>
        <v>13.28833993</v>
      </c>
    </row>
    <row r="117">
      <c r="A117" s="204">
        <f>IFERROR(__xludf.DUMMYFUNCTION("""COMPUTED_VALUE"""),62.06)</f>
        <v>62.06</v>
      </c>
      <c r="B117" s="204">
        <f>IFERROR(__xludf.DUMMYFUNCTION("""COMPUTED_VALUE"""),14.965041638491057)</f>
        <v>14.96504164</v>
      </c>
      <c r="C117" s="204">
        <f>IFERROR(__xludf.DUMMYFUNCTION("""COMPUTED_VALUE"""),13.315301256109853)</f>
        <v>13.31530126</v>
      </c>
    </row>
    <row r="118">
      <c r="A118" s="204">
        <f>IFERROR(__xludf.DUMMYFUNCTION("""COMPUTED_VALUE"""),62.06)</f>
        <v>62.06</v>
      </c>
      <c r="B118" s="204">
        <f>IFERROR(__xludf.DUMMYFUNCTION("""COMPUTED_VALUE"""),12.274896236123704)</f>
        <v>12.27489624</v>
      </c>
      <c r="C118" s="204">
        <f>IFERROR(__xludf.DUMMYFUNCTION("""COMPUTED_VALUE"""),13.02042530767317)</f>
        <v>13.02042531</v>
      </c>
    </row>
    <row r="119">
      <c r="A119" s="204">
        <f>IFERROR(__xludf.DUMMYFUNCTION("""COMPUTED_VALUE"""),64.2)</f>
        <v>64.2</v>
      </c>
      <c r="B119" s="204">
        <f>IFERROR(__xludf.DUMMYFUNCTION("""COMPUTED_VALUE"""),12.470149092477739)</f>
        <v>12.47014909</v>
      </c>
      <c r="C119" s="204">
        <f>IFERROR(__xludf.DUMMYFUNCTION("""COMPUTED_VALUE"""),13.22753705699989)</f>
        <v>13.22753706</v>
      </c>
    </row>
    <row r="120">
      <c r="A120" s="204">
        <f>IFERROR(__xludf.DUMMYFUNCTION("""COMPUTED_VALUE"""),66.18)</f>
        <v>66.18</v>
      </c>
      <c r="B120" s="204">
        <f>IFERROR(__xludf.DUMMYFUNCTION("""COMPUTED_VALUE"""),14.650154465257819)</f>
        <v>14.65015447</v>
      </c>
      <c r="C120" s="204">
        <f>IFERROR(__xludf.DUMMYFUNCTION("""COMPUTED_VALUE"""),13.722783220267132)</f>
        <v>13.72278322</v>
      </c>
    </row>
    <row r="121">
      <c r="A121" s="204">
        <f>IFERROR(__xludf.DUMMYFUNCTION("""COMPUTED_VALUE"""),68.4)</f>
        <v>68.4</v>
      </c>
      <c r="B121" s="204">
        <f>IFERROR(__xludf.DUMMYFUNCTION("""COMPUTED_VALUE"""),22.612683877875526)</f>
        <v>22.61268388</v>
      </c>
      <c r="C121" s="204">
        <f>IFERROR(__xludf.DUMMYFUNCTION("""COMPUTED_VALUE"""),13.924940258662248)</f>
        <v>13.92494026</v>
      </c>
    </row>
    <row r="122">
      <c r="A122" s="204">
        <f>IFERROR(__xludf.DUMMYFUNCTION("""COMPUTED_VALUE"""),69.88)</f>
        <v>69.88</v>
      </c>
      <c r="B122" s="204">
        <f>IFERROR(__xludf.DUMMYFUNCTION("""COMPUTED_VALUE"""),13.243758775626867)</f>
        <v>13.24375878</v>
      </c>
      <c r="C122" s="204">
        <f>IFERROR(__xludf.DUMMYFUNCTION("""COMPUTED_VALUE"""),14.048132759234258)</f>
        <v>14.04813276</v>
      </c>
    </row>
    <row r="123">
      <c r="A123" s="204">
        <f>IFERROR(__xludf.DUMMYFUNCTION("""COMPUTED_VALUE"""),69.88)</f>
        <v>69.88</v>
      </c>
      <c r="B123" s="204">
        <f>IFERROR(__xludf.DUMMYFUNCTION("""COMPUTED_VALUE"""),22.776841856639667)</f>
        <v>22.77684186</v>
      </c>
      <c r="C123" s="204">
        <f>IFERROR(__xludf.DUMMYFUNCTION("""COMPUTED_VALUE"""),14.026029101526671)</f>
        <v>14.0260291</v>
      </c>
    </row>
    <row r="124">
      <c r="A124" s="204">
        <f>IFERROR(__xludf.DUMMYFUNCTION("""COMPUTED_VALUE"""),69.88)</f>
        <v>69.88</v>
      </c>
      <c r="B124" s="204">
        <f>IFERROR(__xludf.DUMMYFUNCTION("""COMPUTED_VALUE"""),14.669997940733207)</f>
        <v>14.66999794</v>
      </c>
      <c r="C124" s="204">
        <f>IFERROR(__xludf.DUMMYFUNCTION("""COMPUTED_VALUE"""),13.741370581440096)</f>
        <v>13.74137058</v>
      </c>
    </row>
    <row r="125">
      <c r="A125" s="204">
        <f>IFERROR(__xludf.DUMMYFUNCTION("""COMPUTED_VALUE"""),74.62)</f>
        <v>74.62</v>
      </c>
      <c r="B125" s="204">
        <f>IFERROR(__xludf.DUMMYFUNCTION("""COMPUTED_VALUE"""),15.45037298646938)</f>
        <v>15.45037299</v>
      </c>
      <c r="C125" s="204">
        <f>IFERROR(__xludf.DUMMYFUNCTION("""COMPUTED_VALUE"""),14.472347009609456)</f>
        <v>14.47234701</v>
      </c>
    </row>
    <row r="126">
      <c r="A126" s="204">
        <f>IFERROR(__xludf.DUMMYFUNCTION("""COMPUTED_VALUE"""),26.0)</f>
        <v>26</v>
      </c>
      <c r="B126" s="204">
        <f>IFERROR(__xludf.DUMMYFUNCTION("""COMPUTED_VALUE"""),6.6018673355629875)</f>
        <v>6.601867336</v>
      </c>
      <c r="C126" s="204">
        <f>IFERROR(__xludf.DUMMYFUNCTION("""COMPUTED_VALUE"""),8.454368715975201)</f>
        <v>8.454368716</v>
      </c>
    </row>
    <row r="127">
      <c r="A127" s="204">
        <f>IFERROR(__xludf.DUMMYFUNCTION("""COMPUTED_VALUE"""),26.0)</f>
        <v>26</v>
      </c>
      <c r="B127" s="204">
        <f>IFERROR(__xludf.DUMMYFUNCTION("""COMPUTED_VALUE"""),7.8027950310559)</f>
        <v>7.802795031</v>
      </c>
      <c r="C127" s="204">
        <f>IFERROR(__xludf.DUMMYFUNCTION("""COMPUTED_VALUE"""),8.490741814774188)</f>
        <v>8.490741815</v>
      </c>
    </row>
    <row r="128">
      <c r="A128" s="204">
        <f>IFERROR(__xludf.DUMMYFUNCTION("""COMPUTED_VALUE"""),64.04)</f>
        <v>64.04</v>
      </c>
      <c r="B128" s="204">
        <f>IFERROR(__xludf.DUMMYFUNCTION("""COMPUTED_VALUE"""),9.238251297241654)</f>
        <v>9.238251297</v>
      </c>
      <c r="C128" s="204">
        <f>IFERROR(__xludf.DUMMYFUNCTION("""COMPUTED_VALUE"""),13.330417385147566)</f>
        <v>13.33041739</v>
      </c>
    </row>
    <row r="129">
      <c r="A129" s="204"/>
      <c r="B129" s="204"/>
      <c r="C129" s="204"/>
    </row>
    <row r="130">
      <c r="A130" s="204"/>
      <c r="B130" s="204"/>
      <c r="C130" s="204"/>
    </row>
    <row r="131">
      <c r="A131" s="204"/>
      <c r="B131" s="204"/>
      <c r="C131" s="204"/>
    </row>
    <row r="132">
      <c r="A132" s="204"/>
      <c r="B132" s="204"/>
      <c r="C132" s="204"/>
    </row>
    <row r="133">
      <c r="A133" s="204"/>
      <c r="B133" s="204"/>
      <c r="C133" s="204"/>
    </row>
    <row r="134">
      <c r="A134" s="204"/>
      <c r="B134" s="204"/>
      <c r="C134" s="204"/>
    </row>
    <row r="135">
      <c r="A135" s="210"/>
      <c r="B135" s="204"/>
      <c r="C135" s="204"/>
    </row>
    <row r="136">
      <c r="A136" s="210"/>
      <c r="B136" s="204"/>
      <c r="C136" s="204"/>
    </row>
    <row r="137">
      <c r="A137" s="210"/>
      <c r="B137" s="204"/>
      <c r="C137" s="204"/>
    </row>
    <row r="138">
      <c r="A138" s="210"/>
      <c r="B138" s="204"/>
      <c r="C138" s="204"/>
    </row>
    <row r="139">
      <c r="A139" s="210"/>
      <c r="B139" s="204"/>
      <c r="C139" s="204"/>
    </row>
    <row r="140">
      <c r="A140" s="210"/>
      <c r="B140" s="204"/>
      <c r="C140" s="204"/>
    </row>
    <row r="141">
      <c r="A141" s="210"/>
      <c r="B141" s="204"/>
      <c r="C141" s="204"/>
    </row>
    <row r="142">
      <c r="A142" s="210"/>
      <c r="B142" s="204"/>
      <c r="C142" s="204"/>
    </row>
    <row r="143">
      <c r="A143" s="210"/>
      <c r="B143" s="204"/>
      <c r="C143" s="204"/>
    </row>
    <row r="144">
      <c r="A144" s="210"/>
      <c r="B144" s="204"/>
      <c r="C144" s="204"/>
    </row>
    <row r="145">
      <c r="A145" s="210"/>
      <c r="B145" s="204"/>
      <c r="C145" s="204"/>
    </row>
    <row r="146">
      <c r="A146" s="210"/>
      <c r="B146" s="204"/>
      <c r="C146" s="204"/>
    </row>
    <row r="147">
      <c r="A147" s="210"/>
      <c r="B147" s="204"/>
      <c r="C147" s="204"/>
    </row>
    <row r="148">
      <c r="A148" s="210"/>
      <c r="B148" s="204"/>
      <c r="C148" s="204"/>
    </row>
    <row r="149">
      <c r="A149" s="210"/>
      <c r="B149" s="204"/>
      <c r="C149" s="204"/>
    </row>
    <row r="150">
      <c r="A150" s="210"/>
      <c r="B150" s="204"/>
      <c r="C150" s="204"/>
    </row>
    <row r="151">
      <c r="A151" s="210"/>
      <c r="B151" s="204"/>
      <c r="C151" s="204"/>
    </row>
    <row r="152">
      <c r="A152" s="210"/>
      <c r="B152" s="204"/>
      <c r="C152" s="204"/>
    </row>
    <row r="153">
      <c r="A153" s="210"/>
      <c r="B153" s="204"/>
      <c r="C153" s="204"/>
    </row>
    <row r="154">
      <c r="A154" s="210"/>
      <c r="B154" s="204"/>
      <c r="C154" s="204"/>
    </row>
    <row r="155">
      <c r="A155" s="210"/>
      <c r="B155" s="204"/>
      <c r="C155" s="204"/>
    </row>
    <row r="156">
      <c r="A156" s="210"/>
      <c r="B156" s="204"/>
      <c r="C156" s="204"/>
    </row>
    <row r="157">
      <c r="A157" s="210"/>
      <c r="B157" s="204"/>
      <c r="C157" s="204"/>
    </row>
    <row r="158">
      <c r="A158" s="210"/>
      <c r="B158" s="204"/>
      <c r="C158" s="204"/>
    </row>
    <row r="159">
      <c r="A159" s="210"/>
      <c r="B159" s="204"/>
      <c r="C159" s="204"/>
    </row>
    <row r="160">
      <c r="A160" s="210"/>
      <c r="B160" s="204"/>
      <c r="C160" s="204"/>
    </row>
    <row r="161">
      <c r="A161" s="210"/>
      <c r="B161" s="204"/>
      <c r="C161" s="204"/>
    </row>
    <row r="162">
      <c r="A162" s="210"/>
      <c r="B162" s="204"/>
      <c r="C162" s="204"/>
    </row>
    <row r="163">
      <c r="A163" s="210"/>
      <c r="B163" s="204"/>
      <c r="C163" s="204"/>
    </row>
    <row r="164">
      <c r="A164" s="210"/>
      <c r="B164" s="204"/>
      <c r="C164" s="204"/>
    </row>
    <row r="165">
      <c r="A165" s="210"/>
      <c r="B165" s="204"/>
      <c r="C165" s="204"/>
    </row>
    <row r="166">
      <c r="A166" s="210"/>
      <c r="B166" s="204"/>
      <c r="C166" s="204"/>
    </row>
    <row r="167">
      <c r="A167" s="210"/>
      <c r="B167" s="204"/>
      <c r="C167" s="204"/>
    </row>
    <row r="168">
      <c r="A168" s="210"/>
      <c r="B168" s="204"/>
      <c r="C168" s="204"/>
    </row>
    <row r="169">
      <c r="A169" s="210"/>
      <c r="B169" s="204"/>
      <c r="C169" s="204"/>
    </row>
    <row r="170">
      <c r="A170" s="210"/>
      <c r="B170" s="204"/>
      <c r="C170" s="204"/>
    </row>
    <row r="171">
      <c r="A171" s="210"/>
      <c r="B171" s="204"/>
      <c r="C171" s="204"/>
    </row>
    <row r="172">
      <c r="A172" s="210"/>
      <c r="B172" s="204"/>
      <c r="C172" s="204"/>
    </row>
    <row r="173">
      <c r="A173" s="210"/>
      <c r="B173" s="204"/>
      <c r="C173" s="204"/>
    </row>
    <row r="174">
      <c r="A174" s="210"/>
      <c r="B174" s="204"/>
      <c r="C174" s="204"/>
    </row>
    <row r="175">
      <c r="A175" s="210"/>
      <c r="B175" s="204"/>
      <c r="C175" s="204"/>
    </row>
    <row r="176">
      <c r="A176" s="210"/>
      <c r="B176" s="204"/>
      <c r="C176" s="204"/>
    </row>
    <row r="177">
      <c r="A177" s="210"/>
      <c r="B177" s="204"/>
      <c r="C177" s="204"/>
    </row>
    <row r="178">
      <c r="A178" s="210"/>
      <c r="B178" s="204"/>
      <c r="C178" s="204"/>
    </row>
    <row r="179">
      <c r="A179" s="210"/>
      <c r="B179" s="204"/>
      <c r="C179" s="204"/>
    </row>
    <row r="180">
      <c r="A180" s="210"/>
      <c r="B180" s="204"/>
      <c r="C180" s="204"/>
    </row>
    <row r="181">
      <c r="A181" s="210"/>
      <c r="B181" s="204"/>
      <c r="C181" s="204"/>
    </row>
    <row r="182">
      <c r="A182" s="210"/>
      <c r="B182" s="204"/>
      <c r="C182" s="204"/>
    </row>
    <row r="183">
      <c r="A183" s="210"/>
      <c r="B183" s="204"/>
      <c r="C183" s="204"/>
    </row>
    <row r="184">
      <c r="A184" s="210"/>
      <c r="B184" s="204"/>
      <c r="C184" s="204"/>
    </row>
    <row r="185">
      <c r="A185" s="210"/>
      <c r="B185" s="204"/>
      <c r="C185" s="204"/>
    </row>
    <row r="186">
      <c r="A186" s="210"/>
      <c r="B186" s="204"/>
      <c r="C186" s="204"/>
    </row>
    <row r="187">
      <c r="A187" s="210"/>
      <c r="B187" s="204"/>
      <c r="C187" s="204"/>
    </row>
    <row r="188">
      <c r="A188" s="210"/>
      <c r="B188" s="204"/>
      <c r="C188" s="204"/>
    </row>
    <row r="189">
      <c r="A189" s="210"/>
      <c r="B189" s="204"/>
      <c r="C189" s="204"/>
    </row>
    <row r="190">
      <c r="A190" s="210"/>
      <c r="B190" s="204"/>
      <c r="C190" s="204"/>
    </row>
    <row r="191">
      <c r="A191" s="210"/>
      <c r="B191" s="204"/>
      <c r="C191" s="204"/>
    </row>
    <row r="192">
      <c r="A192" s="210"/>
      <c r="B192" s="204"/>
      <c r="C192" s="204"/>
    </row>
    <row r="193">
      <c r="A193" s="210"/>
      <c r="B193" s="204"/>
      <c r="C193" s="204"/>
    </row>
    <row r="194">
      <c r="A194" s="210"/>
      <c r="B194" s="204"/>
      <c r="C194" s="204"/>
    </row>
    <row r="195">
      <c r="A195" s="210"/>
      <c r="B195" s="204"/>
      <c r="C195" s="204"/>
    </row>
    <row r="196">
      <c r="A196" s="210"/>
      <c r="B196" s="204"/>
      <c r="C196" s="204"/>
    </row>
    <row r="197">
      <c r="A197" s="210"/>
      <c r="B197" s="204"/>
      <c r="C197" s="204"/>
    </row>
    <row r="198">
      <c r="A198" s="210"/>
      <c r="B198" s="204"/>
      <c r="C198" s="204"/>
    </row>
    <row r="199">
      <c r="A199" s="210"/>
      <c r="B199" s="204"/>
      <c r="C199" s="204"/>
    </row>
    <row r="200">
      <c r="A200" s="210"/>
      <c r="B200" s="204"/>
      <c r="C200" s="204"/>
    </row>
    <row r="201">
      <c r="A201" s="210"/>
      <c r="B201" s="204"/>
      <c r="C201" s="204"/>
    </row>
    <row r="202">
      <c r="A202" s="210"/>
      <c r="B202" s="204"/>
      <c r="C202" s="204"/>
    </row>
    <row r="203">
      <c r="A203" s="210"/>
      <c r="B203" s="204"/>
      <c r="C203" s="204"/>
    </row>
    <row r="204">
      <c r="A204" s="210"/>
      <c r="B204" s="204"/>
      <c r="C204" s="204"/>
    </row>
    <row r="205">
      <c r="A205" s="210"/>
      <c r="B205" s="204"/>
      <c r="C205" s="204"/>
    </row>
    <row r="206">
      <c r="A206" s="210"/>
      <c r="B206" s="204"/>
      <c r="C206" s="204"/>
    </row>
    <row r="207">
      <c r="A207" s="210"/>
      <c r="B207" s="204"/>
      <c r="C207" s="204"/>
    </row>
    <row r="208">
      <c r="A208" s="210"/>
      <c r="B208" s="204"/>
      <c r="C208" s="204"/>
    </row>
    <row r="209">
      <c r="A209" s="210"/>
      <c r="B209" s="204"/>
      <c r="C209" s="204"/>
    </row>
    <row r="210">
      <c r="A210" s="210"/>
      <c r="B210" s="204"/>
      <c r="C210" s="204"/>
    </row>
    <row r="211">
      <c r="A211" s="210"/>
      <c r="B211" s="204"/>
      <c r="C211" s="204"/>
    </row>
    <row r="212">
      <c r="A212" s="210"/>
      <c r="B212" s="204"/>
      <c r="C212" s="204"/>
    </row>
    <row r="213">
      <c r="A213" s="210"/>
      <c r="B213" s="204"/>
      <c r="C213" s="204"/>
    </row>
    <row r="214">
      <c r="A214" s="210"/>
      <c r="B214" s="204"/>
      <c r="C214" s="204"/>
    </row>
    <row r="215">
      <c r="A215" s="210"/>
      <c r="B215" s="204"/>
      <c r="C215" s="204"/>
    </row>
    <row r="216">
      <c r="A216" s="210"/>
      <c r="B216" s="204"/>
      <c r="C216" s="204"/>
    </row>
    <row r="217">
      <c r="A217" s="210"/>
      <c r="B217" s="204"/>
      <c r="C217" s="204"/>
    </row>
    <row r="218">
      <c r="A218" s="210"/>
      <c r="B218" s="204"/>
      <c r="C218" s="204"/>
    </row>
    <row r="219">
      <c r="A219" s="210"/>
      <c r="B219" s="204"/>
      <c r="C219" s="204"/>
    </row>
    <row r="220">
      <c r="A220" s="210"/>
      <c r="B220" s="204"/>
      <c r="C220" s="204"/>
    </row>
    <row r="221">
      <c r="A221" s="210"/>
      <c r="B221" s="204"/>
      <c r="C221" s="204"/>
    </row>
    <row r="222">
      <c r="A222" s="210"/>
      <c r="B222" s="204"/>
      <c r="C222" s="204"/>
    </row>
    <row r="223">
      <c r="A223" s="210"/>
      <c r="B223" s="204"/>
      <c r="C223" s="204"/>
    </row>
    <row r="224">
      <c r="A224" s="210"/>
      <c r="B224" s="204"/>
      <c r="C224" s="204"/>
    </row>
    <row r="225">
      <c r="A225" s="210"/>
      <c r="B225" s="204"/>
      <c r="C225" s="204"/>
    </row>
    <row r="226">
      <c r="A226" s="210"/>
      <c r="B226" s="204"/>
      <c r="C226" s="204"/>
    </row>
    <row r="227">
      <c r="A227" s="210"/>
      <c r="B227" s="204"/>
      <c r="C227" s="204"/>
    </row>
    <row r="228">
      <c r="A228" s="210"/>
      <c r="B228" s="204"/>
      <c r="C228" s="204"/>
    </row>
    <row r="229">
      <c r="A229" s="210"/>
      <c r="B229" s="204"/>
      <c r="C229" s="204"/>
    </row>
    <row r="230">
      <c r="A230" s="210"/>
      <c r="B230" s="204"/>
      <c r="C230" s="204"/>
    </row>
    <row r="231">
      <c r="A231" s="210"/>
      <c r="B231" s="204"/>
      <c r="C231" s="204"/>
    </row>
    <row r="232">
      <c r="A232" s="210"/>
      <c r="B232" s="204"/>
      <c r="C232" s="204"/>
    </row>
    <row r="233">
      <c r="A233" s="210"/>
      <c r="B233" s="204"/>
      <c r="C233" s="204"/>
    </row>
    <row r="234">
      <c r="A234" s="210"/>
      <c r="B234" s="204"/>
      <c r="C234" s="204"/>
    </row>
    <row r="235">
      <c r="A235" s="210"/>
      <c r="B235" s="204"/>
      <c r="C235" s="204"/>
    </row>
    <row r="236">
      <c r="A236" s="210"/>
      <c r="B236" s="204"/>
      <c r="C236" s="204"/>
    </row>
    <row r="237">
      <c r="A237" s="210"/>
      <c r="B237" s="204"/>
      <c r="C237" s="204"/>
    </row>
    <row r="238">
      <c r="A238" s="210"/>
      <c r="B238" s="204"/>
      <c r="C238" s="204"/>
    </row>
    <row r="239">
      <c r="A239" s="210"/>
      <c r="B239" s="204"/>
      <c r="C239" s="204"/>
    </row>
    <row r="240">
      <c r="A240" s="210"/>
      <c r="B240" s="204"/>
      <c r="C240" s="204"/>
    </row>
    <row r="241">
      <c r="A241" s="210"/>
      <c r="B241" s="204"/>
      <c r="C241" s="204"/>
    </row>
    <row r="242">
      <c r="A242" s="210"/>
      <c r="B242" s="204"/>
      <c r="C242" s="204"/>
    </row>
    <row r="243">
      <c r="A243" s="210"/>
      <c r="B243" s="204"/>
      <c r="C243" s="204"/>
    </row>
    <row r="244">
      <c r="A244" s="210"/>
      <c r="B244" s="204"/>
      <c r="C244" s="204"/>
    </row>
    <row r="245">
      <c r="A245" s="210"/>
      <c r="B245" s="204"/>
      <c r="C245" s="204"/>
    </row>
    <row r="246">
      <c r="A246" s="210"/>
      <c r="B246" s="204"/>
      <c r="C246" s="204"/>
    </row>
    <row r="247">
      <c r="A247" s="210"/>
      <c r="B247" s="204"/>
      <c r="C247" s="204"/>
    </row>
    <row r="248">
      <c r="A248" s="210"/>
      <c r="B248" s="204"/>
      <c r="C248" s="204"/>
    </row>
    <row r="249">
      <c r="A249" s="210"/>
      <c r="B249" s="204"/>
      <c r="C249" s="204"/>
    </row>
    <row r="250">
      <c r="A250" s="210"/>
      <c r="B250" s="204"/>
      <c r="C250" s="204"/>
    </row>
    <row r="251">
      <c r="A251" s="210"/>
      <c r="B251" s="204"/>
      <c r="C251" s="204"/>
    </row>
    <row r="252">
      <c r="A252" s="210"/>
      <c r="B252" s="204"/>
      <c r="C252" s="204"/>
    </row>
    <row r="253">
      <c r="A253" s="210"/>
      <c r="B253" s="204"/>
      <c r="C253" s="204"/>
    </row>
    <row r="254">
      <c r="A254" s="210"/>
      <c r="B254" s="204"/>
      <c r="C254" s="204"/>
    </row>
    <row r="255">
      <c r="A255" s="210"/>
      <c r="B255" s="204"/>
      <c r="C255" s="204"/>
    </row>
    <row r="256">
      <c r="A256" s="210"/>
      <c r="B256" s="204"/>
      <c r="C256" s="204"/>
    </row>
    <row r="257">
      <c r="A257" s="210"/>
      <c r="B257" s="204"/>
      <c r="C257" s="204"/>
    </row>
    <row r="258">
      <c r="A258" s="210"/>
      <c r="B258" s="204"/>
      <c r="C258" s="204"/>
    </row>
    <row r="259">
      <c r="A259" s="210"/>
      <c r="B259" s="204"/>
      <c r="C259" s="204"/>
    </row>
    <row r="260">
      <c r="A260" s="210"/>
      <c r="B260" s="204"/>
      <c r="C260" s="204"/>
    </row>
    <row r="261">
      <c r="A261" s="210"/>
      <c r="B261" s="204"/>
      <c r="C261" s="204"/>
    </row>
    <row r="262">
      <c r="A262" s="210"/>
      <c r="B262" s="204"/>
      <c r="C262" s="204"/>
    </row>
    <row r="263">
      <c r="A263" s="210"/>
      <c r="B263" s="204"/>
      <c r="C263" s="204"/>
    </row>
    <row r="264">
      <c r="A264" s="210"/>
      <c r="B264" s="204"/>
      <c r="C264" s="204"/>
    </row>
    <row r="265">
      <c r="A265" s="210"/>
      <c r="B265" s="204"/>
      <c r="C265" s="204"/>
    </row>
    <row r="266">
      <c r="A266" s="210"/>
      <c r="B266" s="204"/>
      <c r="C266" s="204"/>
    </row>
    <row r="267">
      <c r="A267" s="210"/>
      <c r="B267" s="204"/>
      <c r="C267" s="204"/>
    </row>
    <row r="268">
      <c r="A268" s="210"/>
      <c r="B268" s="204"/>
      <c r="C268" s="204"/>
    </row>
    <row r="269">
      <c r="A269" s="210"/>
      <c r="B269" s="204"/>
      <c r="C269" s="204"/>
    </row>
    <row r="270">
      <c r="A270" s="210"/>
      <c r="B270" s="204"/>
      <c r="C270" s="204"/>
    </row>
    <row r="271">
      <c r="A271" s="210"/>
      <c r="B271" s="204"/>
      <c r="C271" s="204"/>
    </row>
    <row r="272">
      <c r="A272" s="210"/>
      <c r="B272" s="204"/>
      <c r="C272" s="204"/>
    </row>
    <row r="273">
      <c r="A273" s="210"/>
      <c r="B273" s="204"/>
      <c r="C273" s="204"/>
    </row>
    <row r="274">
      <c r="A274" s="210"/>
      <c r="B274" s="204"/>
      <c r="C274" s="204"/>
    </row>
    <row r="275">
      <c r="A275" s="210"/>
      <c r="B275" s="204"/>
      <c r="C275" s="204"/>
    </row>
    <row r="276">
      <c r="A276" s="210"/>
      <c r="B276" s="204"/>
      <c r="C276" s="204"/>
    </row>
    <row r="277">
      <c r="A277" s="210"/>
      <c r="B277" s="204"/>
      <c r="C277" s="204"/>
    </row>
    <row r="278">
      <c r="A278" s="210"/>
      <c r="B278" s="204"/>
      <c r="C278" s="204"/>
    </row>
    <row r="279">
      <c r="A279" s="210"/>
      <c r="B279" s="204"/>
      <c r="C279" s="204"/>
    </row>
    <row r="280">
      <c r="A280" s="210"/>
      <c r="B280" s="204"/>
      <c r="C280" s="204"/>
    </row>
    <row r="281">
      <c r="A281" s="210"/>
      <c r="B281" s="204"/>
      <c r="C281" s="204"/>
    </row>
    <row r="282">
      <c r="A282" s="210"/>
      <c r="B282" s="204"/>
      <c r="C282" s="204"/>
    </row>
    <row r="283">
      <c r="A283" s="210"/>
      <c r="B283" s="204"/>
      <c r="C283" s="204"/>
    </row>
    <row r="284">
      <c r="A284" s="210"/>
      <c r="B284" s="204"/>
      <c r="C284" s="204"/>
    </row>
    <row r="285">
      <c r="A285" s="210"/>
      <c r="B285" s="204"/>
      <c r="C285" s="204"/>
    </row>
    <row r="286">
      <c r="A286" s="210"/>
      <c r="B286" s="204"/>
      <c r="C286" s="204"/>
    </row>
    <row r="287">
      <c r="A287" s="210"/>
      <c r="B287" s="204"/>
      <c r="C287" s="204"/>
    </row>
    <row r="288">
      <c r="A288" s="210"/>
      <c r="B288" s="204"/>
      <c r="C288" s="204"/>
    </row>
    <row r="289">
      <c r="A289" s="210"/>
      <c r="B289" s="204"/>
      <c r="C289" s="204"/>
    </row>
    <row r="290">
      <c r="A290" s="210"/>
      <c r="B290" s="204"/>
      <c r="C290" s="204"/>
    </row>
    <row r="291">
      <c r="A291" s="210"/>
      <c r="B291" s="204"/>
      <c r="C291" s="204"/>
    </row>
    <row r="292">
      <c r="A292" s="210"/>
      <c r="B292" s="204"/>
      <c r="C292" s="204"/>
    </row>
    <row r="293">
      <c r="A293" s="210"/>
      <c r="B293" s="204"/>
      <c r="C293" s="204"/>
    </row>
    <row r="294">
      <c r="A294" s="210"/>
      <c r="B294" s="204"/>
      <c r="C294" s="204"/>
    </row>
    <row r="295">
      <c r="A295" s="210"/>
      <c r="B295" s="204"/>
      <c r="C295" s="204"/>
    </row>
    <row r="296">
      <c r="A296" s="210"/>
      <c r="B296" s="204"/>
      <c r="C296" s="204"/>
    </row>
    <row r="297">
      <c r="A297" s="210"/>
      <c r="B297" s="204"/>
      <c r="C297" s="204"/>
    </row>
    <row r="298">
      <c r="A298" s="210"/>
      <c r="B298" s="204"/>
      <c r="C298" s="204"/>
    </row>
    <row r="299">
      <c r="A299" s="210"/>
      <c r="B299" s="204"/>
      <c r="C299" s="204"/>
    </row>
    <row r="300">
      <c r="A300" s="210"/>
      <c r="B300" s="204"/>
      <c r="C300" s="204"/>
    </row>
    <row r="301">
      <c r="A301" s="210"/>
      <c r="B301" s="204"/>
      <c r="C301" s="204"/>
    </row>
    <row r="302">
      <c r="A302" s="210"/>
      <c r="B302" s="204"/>
      <c r="C302" s="204"/>
    </row>
    <row r="303">
      <c r="A303" s="210"/>
      <c r="B303" s="204"/>
      <c r="C303" s="204"/>
    </row>
    <row r="304">
      <c r="A304" s="210"/>
      <c r="B304" s="204"/>
      <c r="C304" s="204"/>
    </row>
    <row r="305">
      <c r="A305" s="210"/>
      <c r="B305" s="204"/>
      <c r="C305" s="204"/>
    </row>
    <row r="306">
      <c r="A306" s="210"/>
      <c r="B306" s="204"/>
      <c r="C306" s="204"/>
    </row>
    <row r="307">
      <c r="A307" s="210"/>
      <c r="B307" s="204"/>
      <c r="C307" s="204"/>
    </row>
    <row r="308">
      <c r="A308" s="210"/>
      <c r="B308" s="204"/>
      <c r="C308" s="204"/>
    </row>
    <row r="309">
      <c r="A309" s="210"/>
      <c r="B309" s="204"/>
      <c r="C309" s="204"/>
    </row>
    <row r="310">
      <c r="A310" s="210"/>
      <c r="B310" s="204"/>
      <c r="C310" s="204"/>
    </row>
    <row r="311">
      <c r="A311" s="210"/>
      <c r="B311" s="204"/>
      <c r="C311" s="204"/>
    </row>
    <row r="312">
      <c r="A312" s="210"/>
      <c r="B312" s="204"/>
      <c r="C312" s="204"/>
    </row>
    <row r="313">
      <c r="A313" s="210"/>
      <c r="B313" s="204"/>
      <c r="C313" s="204"/>
    </row>
    <row r="314">
      <c r="A314" s="210"/>
      <c r="B314" s="204"/>
      <c r="C314" s="204"/>
    </row>
    <row r="315">
      <c r="A315" s="210"/>
      <c r="B315" s="204"/>
      <c r="C315" s="204"/>
    </row>
    <row r="316">
      <c r="A316" s="210"/>
      <c r="B316" s="204"/>
      <c r="C316" s="204"/>
    </row>
    <row r="317">
      <c r="A317" s="210"/>
      <c r="B317" s="204"/>
      <c r="C317" s="204"/>
    </row>
    <row r="318">
      <c r="A318" s="210"/>
      <c r="B318" s="204"/>
      <c r="C318" s="204"/>
    </row>
    <row r="319">
      <c r="A319" s="210"/>
      <c r="B319" s="204"/>
      <c r="C319" s="204"/>
    </row>
    <row r="320">
      <c r="A320" s="210"/>
      <c r="B320" s="204"/>
      <c r="C320" s="204"/>
    </row>
    <row r="321">
      <c r="A321" s="210"/>
      <c r="B321" s="204"/>
      <c r="C321" s="204"/>
    </row>
    <row r="322">
      <c r="A322" s="210"/>
      <c r="B322" s="204"/>
      <c r="C322" s="204"/>
    </row>
    <row r="323">
      <c r="A323" s="210"/>
      <c r="B323" s="204"/>
      <c r="C323" s="204"/>
    </row>
    <row r="324">
      <c r="A324" s="210"/>
      <c r="B324" s="204"/>
      <c r="C324" s="204"/>
    </row>
    <row r="325">
      <c r="A325" s="210"/>
      <c r="B325" s="204"/>
      <c r="C325" s="204"/>
    </row>
    <row r="326">
      <c r="A326" s="210"/>
      <c r="B326" s="204"/>
      <c r="C326" s="204"/>
    </row>
    <row r="327">
      <c r="A327" s="210"/>
      <c r="B327" s="204"/>
      <c r="C327" s="204"/>
    </row>
    <row r="328">
      <c r="A328" s="210"/>
      <c r="B328" s="204"/>
      <c r="C328" s="204"/>
    </row>
    <row r="329">
      <c r="A329" s="210"/>
      <c r="B329" s="204"/>
      <c r="C329" s="204"/>
    </row>
    <row r="330">
      <c r="A330" s="210"/>
      <c r="B330" s="204"/>
      <c r="C330" s="204"/>
    </row>
    <row r="331">
      <c r="A331" s="210"/>
      <c r="B331" s="204"/>
      <c r="C331" s="204"/>
    </row>
    <row r="332">
      <c r="A332" s="210"/>
      <c r="B332" s="204"/>
      <c r="C332" s="204"/>
    </row>
    <row r="333">
      <c r="A333" s="210"/>
      <c r="B333" s="204"/>
      <c r="C333" s="204"/>
    </row>
    <row r="334">
      <c r="A334" s="210"/>
      <c r="B334" s="204"/>
      <c r="C334" s="204"/>
    </row>
    <row r="335">
      <c r="A335" s="210"/>
      <c r="B335" s="204"/>
      <c r="C335" s="204"/>
    </row>
    <row r="336">
      <c r="A336" s="210"/>
      <c r="B336" s="204"/>
      <c r="C336" s="204"/>
    </row>
    <row r="337">
      <c r="A337" s="210"/>
      <c r="B337" s="204"/>
      <c r="C337" s="204"/>
    </row>
    <row r="338">
      <c r="A338" s="210"/>
      <c r="B338" s="204"/>
      <c r="C338" s="204"/>
    </row>
    <row r="339">
      <c r="A339" s="210"/>
      <c r="B339" s="204"/>
      <c r="C339" s="204"/>
    </row>
    <row r="340">
      <c r="A340" s="210"/>
      <c r="B340" s="204"/>
      <c r="C340" s="204"/>
    </row>
    <row r="341">
      <c r="A341" s="210"/>
      <c r="B341" s="204"/>
      <c r="C341" s="204"/>
    </row>
    <row r="342">
      <c r="A342" s="210"/>
      <c r="B342" s="204"/>
      <c r="C342" s="204"/>
    </row>
    <row r="343">
      <c r="A343" s="210"/>
      <c r="B343" s="204"/>
      <c r="C343" s="204"/>
    </row>
    <row r="344">
      <c r="A344" s="210"/>
      <c r="B344" s="204"/>
      <c r="C344" s="204"/>
    </row>
    <row r="345">
      <c r="A345" s="210"/>
      <c r="B345" s="204"/>
      <c r="C345" s="204"/>
    </row>
    <row r="346">
      <c r="A346" s="210"/>
      <c r="B346" s="204"/>
      <c r="C346" s="204"/>
    </row>
    <row r="347">
      <c r="A347" s="210"/>
      <c r="B347" s="204"/>
      <c r="C347" s="204"/>
    </row>
    <row r="348">
      <c r="A348" s="210"/>
      <c r="B348" s="204"/>
      <c r="C348" s="204"/>
    </row>
    <row r="349">
      <c r="A349" s="210"/>
      <c r="B349" s="204"/>
      <c r="C349" s="204"/>
    </row>
    <row r="350">
      <c r="A350" s="210"/>
      <c r="B350" s="204"/>
      <c r="C350" s="204"/>
    </row>
    <row r="351">
      <c r="A351" s="210"/>
      <c r="B351" s="204"/>
      <c r="C351" s="204"/>
    </row>
    <row r="352">
      <c r="A352" s="210"/>
      <c r="B352" s="204"/>
      <c r="C352" s="204"/>
    </row>
    <row r="353">
      <c r="A353" s="210"/>
      <c r="B353" s="204"/>
      <c r="C353" s="204"/>
    </row>
    <row r="354">
      <c r="A354" s="210"/>
      <c r="B354" s="204"/>
      <c r="C354" s="204"/>
    </row>
    <row r="355">
      <c r="A355" s="210"/>
      <c r="B355" s="204"/>
      <c r="C355" s="204"/>
    </row>
    <row r="356">
      <c r="A356" s="210"/>
      <c r="B356" s="204"/>
      <c r="C356" s="204"/>
    </row>
    <row r="357">
      <c r="A357" s="210"/>
      <c r="B357" s="204"/>
      <c r="C357" s="204"/>
    </row>
    <row r="358">
      <c r="A358" s="210"/>
      <c r="B358" s="204"/>
      <c r="C358" s="204"/>
    </row>
    <row r="359">
      <c r="A359" s="210"/>
      <c r="B359" s="204"/>
      <c r="C359" s="204"/>
    </row>
    <row r="360">
      <c r="A360" s="210"/>
      <c r="B360" s="204"/>
      <c r="C360" s="204"/>
    </row>
    <row r="361">
      <c r="A361" s="210"/>
      <c r="B361" s="204"/>
      <c r="C361" s="204"/>
    </row>
    <row r="362">
      <c r="A362" s="210"/>
      <c r="B362" s="204"/>
      <c r="C362" s="204"/>
    </row>
    <row r="363">
      <c r="A363" s="210"/>
      <c r="B363" s="204"/>
      <c r="C363" s="204"/>
    </row>
    <row r="364">
      <c r="A364" s="210"/>
      <c r="B364" s="204"/>
      <c r="C364" s="204"/>
    </row>
    <row r="365">
      <c r="A365" s="210"/>
      <c r="B365" s="204"/>
      <c r="C365" s="204"/>
    </row>
    <row r="366">
      <c r="A366" s="210"/>
      <c r="B366" s="204"/>
      <c r="C366" s="204"/>
    </row>
    <row r="367">
      <c r="A367" s="210"/>
      <c r="B367" s="204"/>
      <c r="C367" s="204"/>
    </row>
    <row r="368">
      <c r="A368" s="210"/>
      <c r="B368" s="204"/>
      <c r="C368" s="204"/>
    </row>
    <row r="369">
      <c r="A369" s="210"/>
      <c r="B369" s="204"/>
      <c r="C369" s="204"/>
    </row>
    <row r="370">
      <c r="A370" s="210"/>
      <c r="B370" s="204"/>
      <c r="C370" s="204"/>
    </row>
    <row r="371">
      <c r="A371" s="210"/>
      <c r="B371" s="204"/>
      <c r="C371" s="204"/>
    </row>
    <row r="372">
      <c r="A372" s="210"/>
      <c r="B372" s="204"/>
      <c r="C372" s="204"/>
    </row>
    <row r="373">
      <c r="A373" s="210"/>
      <c r="B373" s="204"/>
      <c r="C373" s="204"/>
    </row>
    <row r="374">
      <c r="A374" s="210"/>
      <c r="B374" s="204"/>
      <c r="C374" s="204"/>
    </row>
    <row r="375">
      <c r="A375" s="210"/>
      <c r="B375" s="204"/>
      <c r="C375" s="204"/>
    </row>
    <row r="376">
      <c r="A376" s="210"/>
      <c r="B376" s="204"/>
      <c r="C376" s="204"/>
    </row>
    <row r="377">
      <c r="A377" s="210"/>
      <c r="B377" s="204"/>
      <c r="C377" s="204"/>
    </row>
    <row r="378">
      <c r="A378" s="210"/>
      <c r="B378" s="204"/>
      <c r="C378" s="204"/>
    </row>
    <row r="379">
      <c r="A379" s="210"/>
      <c r="B379" s="204"/>
      <c r="C379" s="204"/>
    </row>
    <row r="380">
      <c r="A380" s="210"/>
      <c r="B380" s="204"/>
      <c r="C380" s="204"/>
    </row>
    <row r="381">
      <c r="A381" s="210"/>
      <c r="B381" s="204"/>
      <c r="C381" s="204"/>
    </row>
    <row r="382">
      <c r="A382" s="210"/>
      <c r="B382" s="204"/>
      <c r="C382" s="204"/>
    </row>
    <row r="383">
      <c r="A383" s="210"/>
      <c r="B383" s="204"/>
      <c r="C383" s="204"/>
    </row>
    <row r="384">
      <c r="A384" s="210"/>
      <c r="B384" s="204"/>
      <c r="C384" s="204"/>
    </row>
    <row r="385">
      <c r="A385" s="210"/>
      <c r="B385" s="204"/>
      <c r="C385" s="204"/>
    </row>
    <row r="386">
      <c r="A386" s="210"/>
      <c r="B386" s="204"/>
      <c r="C386" s="204"/>
    </row>
    <row r="387">
      <c r="A387" s="210"/>
      <c r="B387" s="204"/>
      <c r="C387" s="204"/>
    </row>
    <row r="388">
      <c r="A388" s="210"/>
      <c r="B388" s="204"/>
      <c r="C388" s="204"/>
    </row>
    <row r="389">
      <c r="A389" s="210"/>
      <c r="B389" s="204"/>
      <c r="C389" s="204"/>
    </row>
    <row r="390">
      <c r="A390" s="210"/>
      <c r="B390" s="204"/>
      <c r="C390" s="204"/>
    </row>
    <row r="391">
      <c r="A391" s="210"/>
      <c r="B391" s="204"/>
      <c r="C391" s="204"/>
    </row>
    <row r="392">
      <c r="A392" s="210"/>
      <c r="B392" s="204"/>
      <c r="C392" s="204"/>
    </row>
    <row r="393">
      <c r="A393" s="210"/>
      <c r="B393" s="204"/>
      <c r="C393" s="204"/>
    </row>
    <row r="394">
      <c r="A394" s="210"/>
      <c r="B394" s="204"/>
      <c r="C394" s="204"/>
    </row>
    <row r="395">
      <c r="A395" s="210"/>
      <c r="B395" s="204"/>
      <c r="C395" s="204"/>
    </row>
    <row r="396">
      <c r="A396" s="210"/>
      <c r="B396" s="204"/>
      <c r="C396" s="204"/>
    </row>
    <row r="397">
      <c r="A397" s="210"/>
      <c r="B397" s="204"/>
      <c r="C397" s="204"/>
    </row>
    <row r="398">
      <c r="A398" s="210"/>
      <c r="B398" s="204"/>
      <c r="C398" s="204"/>
    </row>
    <row r="399">
      <c r="A399" s="210"/>
      <c r="B399" s="204"/>
      <c r="C399" s="204"/>
    </row>
    <row r="400">
      <c r="A400" s="210"/>
      <c r="B400" s="204"/>
      <c r="C400" s="204"/>
    </row>
    <row r="401">
      <c r="A401" s="210"/>
      <c r="B401" s="204"/>
      <c r="C401" s="204"/>
    </row>
    <row r="402">
      <c r="A402" s="210"/>
      <c r="B402" s="204"/>
      <c r="C402" s="204"/>
    </row>
    <row r="403">
      <c r="A403" s="210"/>
      <c r="B403" s="204"/>
      <c r="C403" s="204"/>
    </row>
    <row r="404">
      <c r="A404" s="210"/>
      <c r="B404" s="204"/>
      <c r="C404" s="204"/>
    </row>
    <row r="405">
      <c r="A405" s="210"/>
      <c r="B405" s="204"/>
      <c r="C405" s="204"/>
    </row>
    <row r="406">
      <c r="A406" s="210"/>
      <c r="B406" s="204"/>
      <c r="C406" s="204"/>
    </row>
    <row r="407">
      <c r="A407" s="210"/>
      <c r="B407" s="204"/>
      <c r="C407" s="204"/>
    </row>
    <row r="408">
      <c r="A408" s="210"/>
      <c r="B408" s="204"/>
      <c r="C408" s="204"/>
    </row>
    <row r="409">
      <c r="A409" s="210"/>
      <c r="B409" s="204"/>
      <c r="C409" s="204"/>
    </row>
    <row r="410">
      <c r="A410" s="210"/>
      <c r="B410" s="204"/>
      <c r="C410" s="204"/>
    </row>
    <row r="411">
      <c r="A411" s="210"/>
      <c r="B411" s="204"/>
      <c r="C411" s="204"/>
    </row>
    <row r="412">
      <c r="A412" s="210"/>
      <c r="B412" s="204"/>
      <c r="C412" s="204"/>
    </row>
    <row r="413">
      <c r="A413" s="210"/>
      <c r="B413" s="204"/>
      <c r="C413" s="204"/>
    </row>
    <row r="414">
      <c r="A414" s="210"/>
      <c r="B414" s="204"/>
      <c r="C414" s="204"/>
    </row>
    <row r="415">
      <c r="A415" s="210"/>
      <c r="B415" s="204"/>
      <c r="C415" s="204"/>
    </row>
    <row r="416">
      <c r="A416" s="210"/>
      <c r="B416" s="204"/>
      <c r="C416" s="204"/>
    </row>
    <row r="417">
      <c r="A417" s="210"/>
      <c r="B417" s="204"/>
      <c r="C417" s="204"/>
    </row>
    <row r="418">
      <c r="A418" s="210"/>
      <c r="B418" s="204"/>
      <c r="C418" s="204"/>
    </row>
    <row r="419">
      <c r="A419" s="210"/>
      <c r="B419" s="204"/>
      <c r="C419" s="204"/>
    </row>
    <row r="420">
      <c r="A420" s="210"/>
      <c r="B420" s="204"/>
      <c r="C420" s="204"/>
    </row>
    <row r="421">
      <c r="A421" s="210"/>
      <c r="B421" s="204"/>
      <c r="C421" s="204"/>
    </row>
    <row r="422">
      <c r="A422" s="210"/>
      <c r="B422" s="204"/>
      <c r="C422" s="204"/>
    </row>
    <row r="423">
      <c r="A423" s="210"/>
      <c r="B423" s="204"/>
      <c r="C423" s="204"/>
    </row>
    <row r="424">
      <c r="A424" s="210"/>
      <c r="B424" s="204"/>
      <c r="C424" s="204"/>
    </row>
    <row r="425">
      <c r="A425" s="210"/>
      <c r="B425" s="204"/>
      <c r="C425" s="204"/>
    </row>
    <row r="426">
      <c r="A426" s="210"/>
      <c r="B426" s="204"/>
      <c r="C426" s="204"/>
    </row>
    <row r="427">
      <c r="A427" s="210"/>
      <c r="B427" s="204"/>
      <c r="C427" s="204"/>
    </row>
    <row r="428">
      <c r="A428" s="210"/>
      <c r="B428" s="204"/>
      <c r="C428" s="204"/>
    </row>
    <row r="429">
      <c r="A429" s="210"/>
      <c r="B429" s="204"/>
      <c r="C429" s="204"/>
    </row>
    <row r="430">
      <c r="A430" s="210"/>
      <c r="B430" s="204"/>
      <c r="C430" s="204"/>
    </row>
    <row r="431">
      <c r="A431" s="210"/>
      <c r="B431" s="204"/>
      <c r="C431" s="204"/>
    </row>
    <row r="432">
      <c r="A432" s="210"/>
      <c r="B432" s="204"/>
      <c r="C432" s="204"/>
    </row>
    <row r="433">
      <c r="A433" s="210"/>
      <c r="B433" s="204"/>
      <c r="C433" s="204"/>
    </row>
    <row r="434">
      <c r="A434" s="210"/>
      <c r="B434" s="204"/>
      <c r="C434" s="204"/>
    </row>
    <row r="435">
      <c r="A435" s="210"/>
      <c r="B435" s="204"/>
      <c r="C435" s="204"/>
    </row>
    <row r="436">
      <c r="A436" s="210"/>
      <c r="B436" s="204"/>
      <c r="C436" s="204"/>
    </row>
    <row r="437">
      <c r="A437" s="210"/>
      <c r="B437" s="204"/>
      <c r="C437" s="204"/>
    </row>
    <row r="438">
      <c r="A438" s="210"/>
      <c r="B438" s="204"/>
      <c r="C438" s="204"/>
    </row>
    <row r="439">
      <c r="A439" s="210"/>
      <c r="B439" s="204"/>
      <c r="C439" s="204"/>
    </row>
    <row r="440">
      <c r="A440" s="210"/>
      <c r="B440" s="204"/>
      <c r="C440" s="204"/>
    </row>
    <row r="441">
      <c r="A441" s="210"/>
      <c r="B441" s="204"/>
      <c r="C441" s="204"/>
    </row>
    <row r="442">
      <c r="A442" s="210"/>
      <c r="B442" s="204"/>
      <c r="C442" s="204"/>
    </row>
    <row r="443">
      <c r="A443" s="210"/>
      <c r="B443" s="204"/>
      <c r="C443" s="204"/>
    </row>
    <row r="444">
      <c r="A444" s="210"/>
      <c r="B444" s="204"/>
      <c r="C444" s="204"/>
    </row>
    <row r="445">
      <c r="A445" s="210"/>
      <c r="B445" s="204"/>
      <c r="C445" s="204"/>
    </row>
    <row r="446">
      <c r="A446" s="210"/>
      <c r="B446" s="204"/>
      <c r="C446" s="204"/>
    </row>
    <row r="447">
      <c r="A447" s="210"/>
      <c r="B447" s="204"/>
      <c r="C447" s="204"/>
    </row>
    <row r="448">
      <c r="A448" s="210"/>
      <c r="B448" s="204"/>
      <c r="C448" s="204"/>
    </row>
    <row r="449">
      <c r="A449" s="210"/>
      <c r="B449" s="204"/>
      <c r="C449" s="204"/>
    </row>
    <row r="450">
      <c r="A450" s="210"/>
      <c r="B450" s="204"/>
      <c r="C450" s="204"/>
    </row>
    <row r="451">
      <c r="A451" s="210"/>
      <c r="B451" s="204"/>
      <c r="C451" s="204"/>
    </row>
    <row r="452">
      <c r="A452" s="210"/>
      <c r="B452" s="204"/>
      <c r="C452" s="204"/>
    </row>
    <row r="453">
      <c r="A453" s="210"/>
      <c r="B453" s="204"/>
      <c r="C453" s="204"/>
    </row>
    <row r="454">
      <c r="A454" s="210"/>
      <c r="B454" s="204"/>
      <c r="C454" s="204"/>
    </row>
    <row r="455">
      <c r="A455" s="210"/>
      <c r="B455" s="204"/>
      <c r="C455" s="204"/>
    </row>
    <row r="456">
      <c r="A456" s="210"/>
      <c r="B456" s="204"/>
      <c r="C456" s="204"/>
    </row>
    <row r="457">
      <c r="A457" s="210"/>
      <c r="B457" s="204"/>
      <c r="C457" s="204"/>
    </row>
    <row r="458">
      <c r="A458" s="210"/>
      <c r="B458" s="204"/>
      <c r="C458" s="204"/>
    </row>
    <row r="459">
      <c r="A459" s="210"/>
      <c r="B459" s="204"/>
      <c r="C459" s="204"/>
    </row>
    <row r="460">
      <c r="A460" s="210"/>
      <c r="B460" s="204"/>
      <c r="C460" s="204"/>
    </row>
    <row r="461">
      <c r="A461" s="210"/>
      <c r="B461" s="204"/>
      <c r="C461" s="204"/>
    </row>
    <row r="462">
      <c r="A462" s="210"/>
      <c r="B462" s="204"/>
      <c r="C462" s="204"/>
    </row>
    <row r="463">
      <c r="A463" s="210"/>
      <c r="B463" s="204"/>
      <c r="C463" s="204"/>
    </row>
    <row r="464">
      <c r="A464" s="210"/>
      <c r="B464" s="204"/>
      <c r="C464" s="204"/>
    </row>
    <row r="465">
      <c r="A465" s="210"/>
      <c r="B465" s="204"/>
      <c r="C465" s="204"/>
    </row>
    <row r="466">
      <c r="A466" s="210"/>
      <c r="B466" s="204"/>
      <c r="C466" s="204"/>
    </row>
    <row r="467">
      <c r="A467" s="210"/>
      <c r="B467" s="204"/>
      <c r="C467" s="204"/>
    </row>
    <row r="468">
      <c r="A468" s="210"/>
      <c r="B468" s="204"/>
      <c r="C468" s="204"/>
    </row>
    <row r="469">
      <c r="A469" s="210"/>
      <c r="B469" s="204"/>
      <c r="C469" s="204"/>
    </row>
    <row r="470">
      <c r="A470" s="210"/>
      <c r="B470" s="204"/>
      <c r="C470" s="204"/>
    </row>
    <row r="471">
      <c r="A471" s="210"/>
      <c r="B471" s="204"/>
      <c r="C471" s="204"/>
    </row>
    <row r="472">
      <c r="A472" s="210"/>
      <c r="B472" s="204"/>
      <c r="C472" s="204"/>
    </row>
    <row r="473">
      <c r="A473" s="210"/>
      <c r="B473" s="204"/>
      <c r="C473" s="204"/>
    </row>
    <row r="474">
      <c r="A474" s="210"/>
      <c r="B474" s="204"/>
      <c r="C474" s="204"/>
    </row>
    <row r="475">
      <c r="A475" s="210"/>
      <c r="B475" s="204"/>
      <c r="C475" s="204"/>
    </row>
    <row r="476">
      <c r="A476" s="210"/>
      <c r="B476" s="204"/>
      <c r="C476" s="204"/>
    </row>
    <row r="477">
      <c r="A477" s="210"/>
      <c r="B477" s="204"/>
      <c r="C477" s="204"/>
    </row>
    <row r="478">
      <c r="A478" s="210"/>
      <c r="B478" s="204"/>
      <c r="C478" s="204"/>
    </row>
    <row r="479">
      <c r="A479" s="210"/>
      <c r="B479" s="204"/>
      <c r="C479" s="204"/>
    </row>
    <row r="480">
      <c r="A480" s="210"/>
      <c r="B480" s="204"/>
      <c r="C480" s="204"/>
    </row>
    <row r="481">
      <c r="A481" s="210"/>
      <c r="B481" s="204"/>
      <c r="C481" s="204"/>
    </row>
    <row r="482">
      <c r="A482" s="210"/>
      <c r="B482" s="204"/>
      <c r="C482" s="204"/>
    </row>
    <row r="483">
      <c r="A483" s="210"/>
      <c r="B483" s="204"/>
      <c r="C483" s="204"/>
    </row>
    <row r="484">
      <c r="A484" s="210"/>
      <c r="B484" s="204"/>
      <c r="C484" s="204"/>
    </row>
    <row r="485">
      <c r="A485" s="210"/>
      <c r="B485" s="204"/>
      <c r="C485" s="204"/>
    </row>
    <row r="486">
      <c r="A486" s="210"/>
      <c r="B486" s="204"/>
      <c r="C486" s="204"/>
    </row>
    <row r="487">
      <c r="A487" s="210"/>
      <c r="B487" s="204"/>
      <c r="C487" s="204"/>
    </row>
    <row r="488">
      <c r="A488" s="210"/>
      <c r="B488" s="204"/>
      <c r="C488" s="204"/>
    </row>
    <row r="489">
      <c r="A489" s="210"/>
      <c r="B489" s="204"/>
      <c r="C489" s="204"/>
    </row>
    <row r="490">
      <c r="A490" s="210"/>
      <c r="B490" s="204"/>
      <c r="C490" s="204"/>
    </row>
    <row r="491">
      <c r="A491" s="210"/>
      <c r="B491" s="204"/>
      <c r="C491" s="204"/>
    </row>
    <row r="492">
      <c r="A492" s="210"/>
      <c r="B492" s="204"/>
      <c r="C492" s="204"/>
    </row>
    <row r="493">
      <c r="A493" s="210"/>
      <c r="B493" s="204"/>
      <c r="C493" s="204"/>
    </row>
    <row r="494">
      <c r="A494" s="210"/>
      <c r="B494" s="204"/>
      <c r="C494" s="204"/>
    </row>
    <row r="495">
      <c r="A495" s="210"/>
      <c r="B495" s="204"/>
      <c r="C495" s="204"/>
    </row>
    <row r="496">
      <c r="A496" s="210"/>
      <c r="B496" s="204"/>
      <c r="C496" s="204"/>
    </row>
    <row r="497">
      <c r="A497" s="210"/>
      <c r="B497" s="204"/>
      <c r="C497" s="204"/>
    </row>
    <row r="498">
      <c r="A498" s="210"/>
      <c r="B498" s="204"/>
      <c r="C498" s="204"/>
    </row>
    <row r="499">
      <c r="A499" s="210"/>
      <c r="B499" s="204"/>
      <c r="C499" s="204"/>
    </row>
    <row r="500">
      <c r="A500" s="210"/>
      <c r="B500" s="204"/>
      <c r="C500" s="204"/>
    </row>
    <row r="501">
      <c r="A501" s="210"/>
      <c r="B501" s="204"/>
      <c r="C501" s="204"/>
    </row>
    <row r="502">
      <c r="A502" s="210"/>
      <c r="B502" s="204"/>
      <c r="C502" s="204"/>
    </row>
    <row r="503">
      <c r="A503" s="210"/>
      <c r="B503" s="204"/>
      <c r="C503" s="204"/>
    </row>
    <row r="504">
      <c r="A504" s="210"/>
      <c r="B504" s="204"/>
      <c r="C504" s="204"/>
    </row>
    <row r="505">
      <c r="A505" s="210"/>
      <c r="B505" s="204"/>
      <c r="C505" s="204"/>
    </row>
    <row r="506">
      <c r="A506" s="210"/>
      <c r="B506" s="204"/>
      <c r="C506" s="204"/>
    </row>
    <row r="507">
      <c r="A507" s="210"/>
      <c r="B507" s="204"/>
      <c r="C507" s="204"/>
    </row>
    <row r="508">
      <c r="A508" s="210"/>
      <c r="B508" s="204"/>
      <c r="C508" s="204"/>
    </row>
    <row r="509">
      <c r="A509" s="210"/>
      <c r="B509" s="204"/>
      <c r="C509" s="204"/>
    </row>
    <row r="510">
      <c r="A510" s="210"/>
      <c r="B510" s="204"/>
      <c r="C510" s="204"/>
    </row>
    <row r="511">
      <c r="A511" s="210"/>
      <c r="B511" s="204"/>
      <c r="C511" s="204"/>
    </row>
    <row r="512">
      <c r="A512" s="210"/>
      <c r="B512" s="204"/>
      <c r="C512" s="204"/>
    </row>
    <row r="513">
      <c r="A513" s="210"/>
      <c r="B513" s="204"/>
      <c r="C513" s="204"/>
    </row>
    <row r="514">
      <c r="A514" s="210"/>
      <c r="B514" s="204"/>
      <c r="C514" s="204"/>
    </row>
    <row r="515">
      <c r="A515" s="210"/>
      <c r="B515" s="204"/>
      <c r="C515" s="204"/>
    </row>
    <row r="516">
      <c r="A516" s="210"/>
      <c r="B516" s="204"/>
      <c r="C516" s="204"/>
    </row>
    <row r="517">
      <c r="A517" s="210"/>
      <c r="B517" s="204"/>
      <c r="C517" s="204"/>
    </row>
    <row r="518">
      <c r="A518" s="210"/>
      <c r="B518" s="204"/>
      <c r="C518" s="204"/>
    </row>
    <row r="519">
      <c r="A519" s="210"/>
      <c r="B519" s="204"/>
      <c r="C519" s="204"/>
    </row>
    <row r="520">
      <c r="A520" s="210"/>
      <c r="B520" s="204"/>
      <c r="C520" s="204"/>
    </row>
    <row r="521">
      <c r="A521" s="210"/>
      <c r="B521" s="204"/>
      <c r="C521" s="204"/>
    </row>
    <row r="522">
      <c r="A522" s="210"/>
      <c r="B522" s="204"/>
      <c r="C522" s="204"/>
    </row>
    <row r="523">
      <c r="A523" s="210"/>
      <c r="B523" s="204"/>
      <c r="C523" s="204"/>
    </row>
    <row r="524">
      <c r="A524" s="210"/>
      <c r="B524" s="204"/>
      <c r="C524" s="204"/>
    </row>
    <row r="525">
      <c r="A525" s="210"/>
      <c r="B525" s="204"/>
      <c r="C525" s="204"/>
    </row>
    <row r="526">
      <c r="A526" s="210"/>
      <c r="B526" s="204"/>
      <c r="C526" s="204"/>
    </row>
    <row r="527">
      <c r="A527" s="210"/>
      <c r="B527" s="204"/>
      <c r="C527" s="204"/>
    </row>
    <row r="528">
      <c r="A528" s="210"/>
      <c r="B528" s="204"/>
      <c r="C528" s="204"/>
    </row>
    <row r="529">
      <c r="A529" s="210"/>
      <c r="B529" s="204"/>
      <c r="C529" s="204"/>
    </row>
    <row r="530">
      <c r="A530" s="210"/>
      <c r="B530" s="204"/>
      <c r="C530" s="204"/>
    </row>
    <row r="531">
      <c r="A531" s="210"/>
      <c r="B531" s="204"/>
      <c r="C531" s="204"/>
    </row>
    <row r="532">
      <c r="A532" s="210"/>
      <c r="B532" s="204"/>
      <c r="C532" s="204"/>
    </row>
    <row r="533">
      <c r="A533" s="210"/>
      <c r="B533" s="204"/>
      <c r="C533" s="204"/>
    </row>
    <row r="534">
      <c r="A534" s="210"/>
      <c r="B534" s="204"/>
      <c r="C534" s="204"/>
    </row>
    <row r="535">
      <c r="A535" s="210"/>
      <c r="B535" s="204"/>
      <c r="C535" s="204"/>
    </row>
    <row r="536">
      <c r="A536" s="210"/>
      <c r="B536" s="204"/>
      <c r="C536" s="204"/>
    </row>
    <row r="537">
      <c r="A537" s="210"/>
      <c r="B537" s="204"/>
      <c r="C537" s="204"/>
    </row>
    <row r="538">
      <c r="A538" s="210"/>
      <c r="B538" s="204"/>
      <c r="C538" s="204"/>
    </row>
    <row r="539">
      <c r="A539" s="210"/>
      <c r="B539" s="204"/>
      <c r="C539" s="204"/>
    </row>
    <row r="540">
      <c r="A540" s="210"/>
      <c r="B540" s="204"/>
      <c r="C540" s="204"/>
    </row>
    <row r="541">
      <c r="A541" s="210"/>
      <c r="B541" s="204"/>
      <c r="C541" s="204"/>
    </row>
    <row r="542">
      <c r="A542" s="210"/>
      <c r="B542" s="204"/>
      <c r="C542" s="204"/>
    </row>
    <row r="543">
      <c r="A543" s="210"/>
      <c r="B543" s="204"/>
      <c r="C543" s="204"/>
    </row>
    <row r="544">
      <c r="A544" s="210"/>
      <c r="B544" s="204"/>
      <c r="C544" s="204"/>
    </row>
    <row r="545">
      <c r="A545" s="210"/>
      <c r="B545" s="204"/>
      <c r="C545" s="204"/>
    </row>
    <row r="546">
      <c r="A546" s="210"/>
      <c r="B546" s="204"/>
      <c r="C546" s="204"/>
    </row>
    <row r="547">
      <c r="A547" s="210"/>
      <c r="B547" s="204"/>
      <c r="C547" s="204"/>
    </row>
    <row r="548">
      <c r="A548" s="210"/>
      <c r="B548" s="204"/>
      <c r="C548" s="204"/>
    </row>
    <row r="549">
      <c r="A549" s="210"/>
      <c r="B549" s="204"/>
      <c r="C549" s="204"/>
    </row>
    <row r="550">
      <c r="A550" s="210"/>
      <c r="B550" s="204"/>
      <c r="C550" s="204"/>
    </row>
    <row r="551">
      <c r="A551" s="210"/>
      <c r="B551" s="204"/>
      <c r="C551" s="204"/>
    </row>
    <row r="552">
      <c r="A552" s="210"/>
      <c r="B552" s="204"/>
      <c r="C552" s="204"/>
    </row>
    <row r="553">
      <c r="A553" s="210"/>
      <c r="B553" s="204"/>
      <c r="C553" s="204"/>
    </row>
    <row r="554">
      <c r="A554" s="210"/>
      <c r="B554" s="204"/>
      <c r="C554" s="204"/>
    </row>
    <row r="555">
      <c r="A555" s="210"/>
      <c r="B555" s="204"/>
      <c r="C555" s="204"/>
    </row>
    <row r="556">
      <c r="A556" s="210"/>
      <c r="B556" s="204"/>
      <c r="C556" s="204"/>
    </row>
    <row r="557">
      <c r="A557" s="210"/>
      <c r="B557" s="204"/>
      <c r="C557" s="204"/>
    </row>
    <row r="558">
      <c r="A558" s="210"/>
      <c r="B558" s="204"/>
      <c r="C558" s="204"/>
    </row>
    <row r="559">
      <c r="A559" s="210"/>
      <c r="B559" s="204"/>
      <c r="C559" s="204"/>
    </row>
    <row r="560">
      <c r="A560" s="210"/>
      <c r="B560" s="204"/>
      <c r="C560" s="204"/>
    </row>
    <row r="561">
      <c r="A561" s="210"/>
      <c r="B561" s="204"/>
      <c r="C561" s="204"/>
    </row>
    <row r="562">
      <c r="A562" s="210"/>
      <c r="B562" s="204"/>
      <c r="C562" s="204"/>
    </row>
    <row r="563">
      <c r="A563" s="210"/>
      <c r="B563" s="204"/>
      <c r="C563" s="204"/>
    </row>
    <row r="564">
      <c r="A564" s="210"/>
      <c r="B564" s="204"/>
      <c r="C564" s="204"/>
    </row>
    <row r="565">
      <c r="A565" s="210"/>
      <c r="B565" s="204"/>
      <c r="C565" s="204"/>
    </row>
    <row r="566">
      <c r="A566" s="210"/>
      <c r="B566" s="204"/>
      <c r="C566" s="204"/>
    </row>
    <row r="567">
      <c r="A567" s="210"/>
      <c r="B567" s="204"/>
      <c r="C567" s="204"/>
    </row>
    <row r="568">
      <c r="A568" s="210"/>
      <c r="B568" s="204"/>
      <c r="C568" s="204"/>
    </row>
    <row r="569">
      <c r="A569" s="210"/>
      <c r="B569" s="204"/>
      <c r="C569" s="204"/>
    </row>
    <row r="570">
      <c r="A570" s="210"/>
      <c r="B570" s="204"/>
      <c r="C570" s="204"/>
    </row>
    <row r="571">
      <c r="A571" s="210"/>
      <c r="B571" s="204"/>
      <c r="C571" s="204"/>
    </row>
    <row r="572">
      <c r="A572" s="210"/>
      <c r="B572" s="204"/>
      <c r="C572" s="204"/>
    </row>
    <row r="573">
      <c r="A573" s="210"/>
      <c r="B573" s="204"/>
      <c r="C573" s="204"/>
    </row>
    <row r="574">
      <c r="A574" s="210"/>
      <c r="B574" s="204"/>
      <c r="C574" s="204"/>
    </row>
    <row r="575">
      <c r="A575" s="210"/>
      <c r="B575" s="204"/>
      <c r="C575" s="204"/>
    </row>
    <row r="576">
      <c r="A576" s="210"/>
      <c r="B576" s="204"/>
      <c r="C576" s="204"/>
    </row>
    <row r="577">
      <c r="A577" s="210"/>
      <c r="B577" s="204"/>
      <c r="C577" s="204"/>
    </row>
    <row r="578">
      <c r="A578" s="210"/>
      <c r="B578" s="204"/>
      <c r="C578" s="204"/>
    </row>
    <row r="579">
      <c r="A579" s="210"/>
      <c r="B579" s="204"/>
      <c r="C579" s="204"/>
    </row>
    <row r="580">
      <c r="A580" s="210"/>
      <c r="B580" s="204"/>
      <c r="C580" s="204"/>
    </row>
    <row r="581">
      <c r="A581" s="210"/>
      <c r="B581" s="204"/>
      <c r="C581" s="204"/>
    </row>
    <row r="582">
      <c r="A582" s="210"/>
      <c r="B582" s="204"/>
      <c r="C582" s="204"/>
    </row>
    <row r="583">
      <c r="A583" s="210"/>
      <c r="B583" s="204"/>
      <c r="C583" s="204"/>
    </row>
    <row r="584">
      <c r="A584" s="210"/>
      <c r="B584" s="204"/>
      <c r="C584" s="204"/>
    </row>
    <row r="585">
      <c r="A585" s="210"/>
      <c r="B585" s="204"/>
      <c r="C585" s="204"/>
    </row>
    <row r="586">
      <c r="A586" s="210"/>
      <c r="B586" s="204"/>
      <c r="C586" s="204"/>
    </row>
    <row r="587">
      <c r="A587" s="210"/>
      <c r="B587" s="204"/>
      <c r="C587" s="204"/>
    </row>
    <row r="588">
      <c r="A588" s="210"/>
      <c r="B588" s="204"/>
      <c r="C588" s="204"/>
    </row>
    <row r="589">
      <c r="A589" s="210"/>
      <c r="B589" s="204"/>
      <c r="C589" s="204"/>
    </row>
    <row r="590">
      <c r="A590" s="210"/>
      <c r="B590" s="204"/>
      <c r="C590" s="204"/>
    </row>
    <row r="591">
      <c r="A591" s="210"/>
      <c r="B591" s="204"/>
      <c r="C591" s="204"/>
    </row>
    <row r="592">
      <c r="A592" s="210"/>
      <c r="B592" s="204"/>
      <c r="C592" s="204"/>
    </row>
    <row r="593">
      <c r="A593" s="210"/>
      <c r="B593" s="204"/>
      <c r="C593" s="204"/>
    </row>
    <row r="594">
      <c r="A594" s="210"/>
      <c r="B594" s="204"/>
      <c r="C594" s="204"/>
    </row>
    <row r="595">
      <c r="A595" s="210"/>
      <c r="B595" s="204"/>
      <c r="C595" s="204"/>
    </row>
    <row r="596">
      <c r="A596" s="210"/>
      <c r="B596" s="204"/>
      <c r="C596" s="204"/>
    </row>
    <row r="597">
      <c r="A597" s="210"/>
      <c r="B597" s="204"/>
      <c r="C597" s="204"/>
    </row>
    <row r="598">
      <c r="A598" s="210"/>
      <c r="B598" s="204"/>
      <c r="C598" s="204"/>
    </row>
    <row r="599">
      <c r="A599" s="210"/>
      <c r="B599" s="204"/>
      <c r="C599" s="204"/>
    </row>
    <row r="600">
      <c r="A600" s="210"/>
      <c r="B600" s="204"/>
      <c r="C600" s="204"/>
    </row>
    <row r="601">
      <c r="A601" s="210"/>
      <c r="B601" s="204"/>
      <c r="C601" s="204"/>
    </row>
    <row r="602">
      <c r="A602" s="210"/>
      <c r="B602" s="204"/>
      <c r="C602" s="204"/>
    </row>
    <row r="603">
      <c r="A603" s="210"/>
      <c r="B603" s="204"/>
      <c r="C603" s="204"/>
    </row>
    <row r="604">
      <c r="A604" s="210"/>
      <c r="B604" s="204"/>
      <c r="C604" s="204"/>
    </row>
    <row r="605">
      <c r="A605" s="210"/>
      <c r="B605" s="204"/>
      <c r="C605" s="204"/>
    </row>
    <row r="606">
      <c r="A606" s="210"/>
      <c r="B606" s="204"/>
      <c r="C606" s="204"/>
    </row>
    <row r="607">
      <c r="A607" s="210"/>
      <c r="B607" s="204"/>
      <c r="C607" s="204"/>
    </row>
    <row r="608">
      <c r="A608" s="210"/>
      <c r="B608" s="204"/>
      <c r="C608" s="204"/>
    </row>
    <row r="609">
      <c r="A609" s="210"/>
      <c r="B609" s="204"/>
      <c r="C609" s="204"/>
    </row>
    <row r="610">
      <c r="A610" s="210"/>
      <c r="B610" s="204"/>
      <c r="C610" s="204"/>
    </row>
    <row r="611">
      <c r="A611" s="210"/>
      <c r="B611" s="204"/>
      <c r="C611" s="204"/>
    </row>
    <row r="612">
      <c r="A612" s="210"/>
      <c r="B612" s="204"/>
      <c r="C612" s="204"/>
    </row>
    <row r="613">
      <c r="A613" s="210"/>
      <c r="B613" s="204"/>
      <c r="C613" s="204"/>
    </row>
    <row r="614">
      <c r="A614" s="210"/>
      <c r="B614" s="204"/>
      <c r="C614" s="204"/>
    </row>
    <row r="615">
      <c r="A615" s="210"/>
      <c r="B615" s="204"/>
      <c r="C615" s="204"/>
    </row>
    <row r="616">
      <c r="A616" s="210"/>
      <c r="B616" s="204"/>
      <c r="C616" s="204"/>
    </row>
    <row r="617">
      <c r="A617" s="210"/>
      <c r="B617" s="204"/>
      <c r="C617" s="204"/>
    </row>
    <row r="618">
      <c r="A618" s="210"/>
      <c r="B618" s="204"/>
      <c r="C618" s="204"/>
    </row>
    <row r="619">
      <c r="A619" s="210"/>
      <c r="B619" s="204"/>
      <c r="C619" s="204"/>
    </row>
    <row r="620">
      <c r="A620" s="210"/>
      <c r="B620" s="204"/>
      <c r="C620" s="204"/>
    </row>
    <row r="621">
      <c r="A621" s="210"/>
      <c r="B621" s="204"/>
      <c r="C621" s="204"/>
    </row>
    <row r="622">
      <c r="A622" s="210"/>
      <c r="B622" s="204"/>
      <c r="C622" s="204"/>
    </row>
    <row r="623">
      <c r="A623" s="210"/>
      <c r="B623" s="204"/>
      <c r="C623" s="204"/>
    </row>
    <row r="624">
      <c r="A624" s="210"/>
      <c r="B624" s="204"/>
      <c r="C624" s="204"/>
    </row>
    <row r="625">
      <c r="A625" s="210"/>
      <c r="B625" s="204"/>
      <c r="C625" s="204"/>
    </row>
    <row r="626">
      <c r="A626" s="210"/>
      <c r="B626" s="204"/>
      <c r="C626" s="204"/>
    </row>
    <row r="627">
      <c r="A627" s="210"/>
      <c r="B627" s="204"/>
      <c r="C627" s="204"/>
    </row>
    <row r="628">
      <c r="A628" s="210"/>
      <c r="B628" s="204"/>
      <c r="C628" s="204"/>
    </row>
    <row r="629">
      <c r="A629" s="210"/>
      <c r="B629" s="204"/>
      <c r="C629" s="204"/>
    </row>
    <row r="630">
      <c r="A630" s="210"/>
      <c r="B630" s="204"/>
      <c r="C630" s="204"/>
    </row>
    <row r="631">
      <c r="A631" s="210"/>
      <c r="B631" s="204"/>
      <c r="C631" s="204"/>
    </row>
    <row r="632">
      <c r="A632" s="210"/>
      <c r="B632" s="204"/>
      <c r="C632" s="204"/>
    </row>
    <row r="633">
      <c r="A633" s="210"/>
      <c r="B633" s="204"/>
      <c r="C633" s="204"/>
    </row>
    <row r="634">
      <c r="A634" s="210"/>
      <c r="B634" s="204"/>
      <c r="C634" s="204"/>
    </row>
    <row r="635">
      <c r="A635" s="210"/>
      <c r="B635" s="204"/>
      <c r="C635" s="204"/>
    </row>
    <row r="636">
      <c r="A636" s="210"/>
      <c r="B636" s="204"/>
      <c r="C636" s="204"/>
    </row>
    <row r="637">
      <c r="A637" s="210"/>
      <c r="B637" s="204"/>
      <c r="C637" s="204"/>
    </row>
    <row r="638">
      <c r="A638" s="210"/>
      <c r="B638" s="204"/>
      <c r="C638" s="204"/>
    </row>
    <row r="639">
      <c r="A639" s="210"/>
      <c r="B639" s="204"/>
      <c r="C639" s="204"/>
    </row>
    <row r="640">
      <c r="A640" s="210"/>
      <c r="B640" s="204"/>
      <c r="C640" s="204"/>
    </row>
    <row r="641">
      <c r="A641" s="210"/>
      <c r="B641" s="204"/>
      <c r="C641" s="204"/>
    </row>
    <row r="642">
      <c r="A642" s="210"/>
      <c r="B642" s="204"/>
      <c r="C642" s="204"/>
    </row>
    <row r="643">
      <c r="A643" s="210"/>
      <c r="B643" s="204"/>
      <c r="C643" s="204"/>
    </row>
    <row r="644">
      <c r="A644" s="210"/>
      <c r="B644" s="204"/>
      <c r="C644" s="204"/>
    </row>
    <row r="645">
      <c r="A645" s="210"/>
      <c r="B645" s="204"/>
      <c r="C645" s="204"/>
    </row>
    <row r="646">
      <c r="A646" s="210"/>
      <c r="B646" s="204"/>
      <c r="C646" s="204"/>
    </row>
    <row r="647">
      <c r="A647" s="210"/>
      <c r="B647" s="204"/>
      <c r="C647" s="204"/>
    </row>
    <row r="648">
      <c r="A648" s="210"/>
      <c r="B648" s="204"/>
      <c r="C648" s="204"/>
    </row>
    <row r="649">
      <c r="A649" s="210"/>
      <c r="B649" s="204"/>
      <c r="C649" s="204"/>
    </row>
    <row r="650">
      <c r="A650" s="210"/>
      <c r="B650" s="204"/>
      <c r="C650" s="204"/>
    </row>
    <row r="651">
      <c r="A651" s="210"/>
      <c r="B651" s="204"/>
      <c r="C651" s="204"/>
    </row>
    <row r="652">
      <c r="A652" s="210"/>
      <c r="B652" s="204"/>
      <c r="C652" s="204"/>
    </row>
    <row r="653">
      <c r="A653" s="210"/>
      <c r="B653" s="204"/>
      <c r="C653" s="204"/>
    </row>
    <row r="654">
      <c r="A654" s="210"/>
      <c r="B654" s="204"/>
      <c r="C654" s="204"/>
    </row>
    <row r="655">
      <c r="A655" s="210"/>
      <c r="B655" s="204"/>
      <c r="C655" s="204"/>
    </row>
    <row r="656">
      <c r="A656" s="210"/>
      <c r="B656" s="204"/>
      <c r="C656" s="204"/>
    </row>
    <row r="657">
      <c r="A657" s="210"/>
      <c r="B657" s="204"/>
      <c r="C657" s="204"/>
    </row>
    <row r="658">
      <c r="A658" s="210"/>
      <c r="B658" s="204"/>
      <c r="C658" s="204"/>
    </row>
    <row r="659">
      <c r="A659" s="210"/>
      <c r="B659" s="204"/>
      <c r="C659" s="204"/>
    </row>
    <row r="660">
      <c r="A660" s="210"/>
      <c r="B660" s="204"/>
      <c r="C660" s="204"/>
    </row>
    <row r="661">
      <c r="A661" s="210"/>
      <c r="B661" s="204"/>
      <c r="C661" s="204"/>
    </row>
    <row r="662">
      <c r="A662" s="210"/>
      <c r="B662" s="204"/>
      <c r="C662" s="204"/>
    </row>
    <row r="663">
      <c r="A663" s="210"/>
      <c r="B663" s="204"/>
      <c r="C663" s="204"/>
    </row>
    <row r="664">
      <c r="A664" s="210"/>
      <c r="B664" s="204"/>
      <c r="C664" s="204"/>
    </row>
    <row r="665">
      <c r="A665" s="210"/>
      <c r="B665" s="204"/>
      <c r="C665" s="204"/>
    </row>
    <row r="666">
      <c r="A666" s="210"/>
      <c r="B666" s="204"/>
      <c r="C666" s="204"/>
    </row>
    <row r="667">
      <c r="A667" s="210"/>
      <c r="B667" s="204"/>
      <c r="C667" s="204"/>
    </row>
    <row r="668">
      <c r="A668" s="210"/>
      <c r="B668" s="204"/>
      <c r="C668" s="204"/>
    </row>
    <row r="669">
      <c r="A669" s="210"/>
      <c r="B669" s="204"/>
      <c r="C669" s="204"/>
    </row>
    <row r="670">
      <c r="A670" s="210"/>
      <c r="B670" s="204"/>
      <c r="C670" s="204"/>
    </row>
    <row r="671">
      <c r="A671" s="210"/>
      <c r="B671" s="204"/>
      <c r="C671" s="204"/>
    </row>
    <row r="672">
      <c r="A672" s="210"/>
      <c r="B672" s="204"/>
      <c r="C672" s="204"/>
    </row>
    <row r="673">
      <c r="A673" s="210"/>
      <c r="B673" s="204"/>
      <c r="C673" s="204"/>
    </row>
    <row r="674">
      <c r="A674" s="210"/>
      <c r="B674" s="204"/>
      <c r="C674" s="204"/>
    </row>
    <row r="675">
      <c r="A675" s="210"/>
      <c r="B675" s="204"/>
      <c r="C675" s="204"/>
    </row>
    <row r="676">
      <c r="A676" s="210"/>
      <c r="B676" s="204"/>
      <c r="C676" s="204"/>
    </row>
    <row r="677">
      <c r="A677" s="210"/>
      <c r="B677" s="204"/>
      <c r="C677" s="204"/>
    </row>
    <row r="678">
      <c r="A678" s="210"/>
      <c r="B678" s="204"/>
      <c r="C678" s="204"/>
    </row>
    <row r="679">
      <c r="A679" s="210"/>
      <c r="B679" s="204"/>
      <c r="C679" s="204"/>
    </row>
    <row r="680">
      <c r="A680" s="210"/>
      <c r="B680" s="204"/>
      <c r="C680" s="204"/>
    </row>
    <row r="681">
      <c r="A681" s="210"/>
      <c r="B681" s="204"/>
      <c r="C681" s="204"/>
    </row>
    <row r="682">
      <c r="A682" s="210"/>
      <c r="B682" s="204"/>
      <c r="C682" s="204"/>
    </row>
    <row r="683">
      <c r="A683" s="210"/>
      <c r="B683" s="204"/>
      <c r="C683" s="204"/>
    </row>
    <row r="684">
      <c r="A684" s="210"/>
      <c r="B684" s="204"/>
      <c r="C684" s="204"/>
    </row>
    <row r="685">
      <c r="A685" s="210"/>
      <c r="B685" s="204"/>
      <c r="C685" s="204"/>
    </row>
    <row r="686">
      <c r="A686" s="210"/>
      <c r="B686" s="204"/>
      <c r="C686" s="204"/>
    </row>
    <row r="687">
      <c r="A687" s="210"/>
      <c r="B687" s="204"/>
      <c r="C687" s="204"/>
    </row>
    <row r="688">
      <c r="A688" s="210"/>
      <c r="B688" s="204"/>
      <c r="C688" s="204"/>
    </row>
    <row r="689">
      <c r="A689" s="210"/>
      <c r="B689" s="204"/>
      <c r="C689" s="204"/>
    </row>
    <row r="690">
      <c r="A690" s="210"/>
      <c r="B690" s="204"/>
      <c r="C690" s="204"/>
    </row>
    <row r="691">
      <c r="A691" s="210"/>
      <c r="B691" s="204"/>
      <c r="C691" s="204"/>
    </row>
    <row r="692">
      <c r="A692" s="210"/>
      <c r="B692" s="204"/>
      <c r="C692" s="204"/>
    </row>
    <row r="693">
      <c r="A693" s="210"/>
      <c r="B693" s="204"/>
      <c r="C693" s="204"/>
    </row>
    <row r="694">
      <c r="A694" s="210"/>
      <c r="B694" s="204"/>
      <c r="C694" s="204"/>
    </row>
    <row r="695">
      <c r="A695" s="210"/>
      <c r="B695" s="204"/>
      <c r="C695" s="204"/>
    </row>
    <row r="696">
      <c r="A696" s="210"/>
      <c r="B696" s="204"/>
      <c r="C696" s="204"/>
    </row>
    <row r="697">
      <c r="A697" s="210"/>
      <c r="B697" s="204"/>
      <c r="C697" s="204"/>
    </row>
    <row r="698">
      <c r="A698" s="210"/>
      <c r="B698" s="204"/>
      <c r="C698" s="204"/>
    </row>
    <row r="699">
      <c r="A699" s="210"/>
      <c r="B699" s="204"/>
      <c r="C699" s="204"/>
    </row>
    <row r="700">
      <c r="A700" s="210"/>
      <c r="B700" s="204"/>
      <c r="C700" s="204"/>
    </row>
    <row r="701">
      <c r="A701" s="210"/>
      <c r="B701" s="204"/>
      <c r="C701" s="204"/>
    </row>
    <row r="702">
      <c r="A702" s="210"/>
      <c r="B702" s="204"/>
      <c r="C702" s="204"/>
    </row>
    <row r="703">
      <c r="A703" s="210"/>
      <c r="B703" s="204"/>
      <c r="C703" s="204"/>
    </row>
    <row r="704">
      <c r="A704" s="210"/>
      <c r="B704" s="204"/>
      <c r="C704" s="204"/>
    </row>
    <row r="705">
      <c r="A705" s="210"/>
      <c r="B705" s="204"/>
      <c r="C705" s="204"/>
    </row>
    <row r="706">
      <c r="A706" s="210"/>
      <c r="B706" s="204"/>
      <c r="C706" s="204"/>
    </row>
    <row r="707">
      <c r="A707" s="210"/>
      <c r="B707" s="204"/>
      <c r="C707" s="204"/>
    </row>
    <row r="708">
      <c r="A708" s="210"/>
      <c r="B708" s="204"/>
      <c r="C708" s="204"/>
    </row>
    <row r="709">
      <c r="A709" s="210"/>
      <c r="B709" s="204"/>
      <c r="C709" s="204"/>
    </row>
    <row r="710">
      <c r="A710" s="210"/>
      <c r="B710" s="204"/>
      <c r="C710" s="204"/>
    </row>
    <row r="711">
      <c r="A711" s="210"/>
      <c r="B711" s="204"/>
      <c r="C711" s="204"/>
    </row>
    <row r="712">
      <c r="A712" s="210"/>
      <c r="B712" s="204"/>
      <c r="C712" s="204"/>
    </row>
    <row r="713">
      <c r="A713" s="210"/>
      <c r="B713" s="204"/>
      <c r="C713" s="204"/>
    </row>
    <row r="714">
      <c r="A714" s="210"/>
      <c r="B714" s="204"/>
      <c r="C714" s="204"/>
    </row>
    <row r="715">
      <c r="A715" s="210"/>
      <c r="B715" s="204"/>
      <c r="C715" s="204"/>
    </row>
    <row r="716">
      <c r="A716" s="210"/>
      <c r="B716" s="204"/>
      <c r="C716" s="204"/>
    </row>
    <row r="717">
      <c r="A717" s="210"/>
      <c r="B717" s="204"/>
      <c r="C717" s="204"/>
    </row>
    <row r="718">
      <c r="A718" s="210"/>
      <c r="B718" s="204"/>
      <c r="C718" s="204"/>
    </row>
    <row r="719">
      <c r="A719" s="210"/>
      <c r="B719" s="204"/>
      <c r="C719" s="204"/>
    </row>
    <row r="720">
      <c r="A720" s="210"/>
      <c r="B720" s="204"/>
      <c r="C720" s="204"/>
    </row>
    <row r="721">
      <c r="A721" s="210"/>
      <c r="B721" s="204"/>
      <c r="C721" s="204"/>
    </row>
    <row r="722">
      <c r="A722" s="210"/>
      <c r="B722" s="204"/>
      <c r="C722" s="204"/>
    </row>
    <row r="723">
      <c r="A723" s="210"/>
      <c r="B723" s="204"/>
      <c r="C723" s="204"/>
    </row>
    <row r="724">
      <c r="A724" s="210"/>
      <c r="B724" s="204"/>
      <c r="C724" s="204"/>
    </row>
    <row r="725">
      <c r="A725" s="210"/>
      <c r="B725" s="204"/>
      <c r="C725" s="204"/>
    </row>
    <row r="726">
      <c r="A726" s="210"/>
      <c r="B726" s="204"/>
      <c r="C726" s="204"/>
    </row>
    <row r="727">
      <c r="A727" s="210"/>
      <c r="B727" s="204"/>
      <c r="C727" s="204"/>
    </row>
    <row r="728">
      <c r="A728" s="210"/>
      <c r="B728" s="204"/>
      <c r="C728" s="20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0"/>
    <col customWidth="1" min="2" max="2" width="22.13"/>
    <col customWidth="1" min="3" max="3" width="38.38"/>
    <col customWidth="1" min="4" max="4" width="16.38"/>
    <col customWidth="1" min="5" max="5" width="80.13"/>
  </cols>
  <sheetData>
    <row r="1">
      <c r="A1" s="11" t="s">
        <v>32</v>
      </c>
      <c r="B1" s="12" t="s">
        <v>33</v>
      </c>
      <c r="C1" s="12" t="s">
        <v>34</v>
      </c>
      <c r="D1" s="13" t="s">
        <v>35</v>
      </c>
      <c r="E1" s="12" t="s">
        <v>36</v>
      </c>
    </row>
    <row r="2">
      <c r="A2" s="14" t="s">
        <v>37</v>
      </c>
      <c r="B2" s="15" t="s">
        <v>38</v>
      </c>
      <c r="C2" s="15" t="s">
        <v>39</v>
      </c>
      <c r="D2" s="16" t="s">
        <v>40</v>
      </c>
      <c r="E2" s="17" t="str">
        <f t="shared" ref="E2:E6" si="1">CONCATENATE("(", B2, " + ", C2,") * ", D2)</f>
        <v>(4 * Might + Might * Army Command Factor) * Damage Coefficient</v>
      </c>
    </row>
    <row r="3">
      <c r="A3" s="14" t="s">
        <v>41</v>
      </c>
      <c r="B3" s="15" t="s">
        <v>42</v>
      </c>
      <c r="C3" s="15" t="s">
        <v>43</v>
      </c>
      <c r="D3" s="16" t="s">
        <v>40</v>
      </c>
      <c r="E3" s="17" t="str">
        <f t="shared" si="1"/>
        <v>(2 * Might * Attack Coefficient + Might * Attack Coefficient * Army Command Factor) * Damage Coefficient</v>
      </c>
    </row>
    <row r="4">
      <c r="A4" s="18" t="s">
        <v>44</v>
      </c>
      <c r="B4" s="15" t="s">
        <v>45</v>
      </c>
      <c r="C4" s="15" t="s">
        <v>43</v>
      </c>
      <c r="D4" s="16" t="s">
        <v>40</v>
      </c>
      <c r="E4" s="17" t="str">
        <f t="shared" si="1"/>
        <v>(2 * Focus + Might * Attack Coefficient * Army Command Factor) * Damage Coefficient</v>
      </c>
    </row>
    <row r="5">
      <c r="A5" s="14" t="s">
        <v>46</v>
      </c>
      <c r="B5" s="15" t="s">
        <v>45</v>
      </c>
      <c r="C5" s="15" t="s">
        <v>47</v>
      </c>
      <c r="D5" s="16" t="s">
        <v>40</v>
      </c>
      <c r="E5" s="17" t="str">
        <f t="shared" si="1"/>
        <v>(2 * Focus + 100 * Attack Coefficient * Army Command Factor) * Damage Coefficient</v>
      </c>
    </row>
    <row r="6">
      <c r="A6" s="14" t="s">
        <v>48</v>
      </c>
      <c r="B6" s="15">
        <v>0.0</v>
      </c>
      <c r="C6" s="15" t="s">
        <v>49</v>
      </c>
      <c r="D6" s="16" t="s">
        <v>50</v>
      </c>
      <c r="E6" s="17" t="str">
        <f t="shared" si="1"/>
        <v>(0 + 300 * Heal Coefficient * Army Command Factor) * Recovery Coefficient</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8.25"/>
    <col customWidth="1" min="2" max="2" width="7.25"/>
    <col customWidth="1" min="3" max="3" width="9.13"/>
    <col customWidth="1" min="4" max="4" width="6.13"/>
    <col customWidth="1" min="5" max="5" width="7.5"/>
    <col customWidth="1" min="6" max="6" width="11.63"/>
    <col customWidth="1" min="7" max="16" width="6.0"/>
    <col customWidth="1" min="17" max="17" width="9.63"/>
    <col customWidth="1" min="18" max="18" width="7.25"/>
    <col customWidth="1" min="19" max="19" width="10.88"/>
    <col customWidth="1" min="20" max="20" width="11.5"/>
    <col customWidth="1" min="21" max="21" width="11.75"/>
    <col customWidth="1" min="22" max="23" width="8.88"/>
    <col customWidth="1" min="24" max="25" width="8.63"/>
    <col customWidth="1" min="26" max="26" width="12.38"/>
    <col customWidth="1" min="27" max="28" width="8.88"/>
    <col customWidth="1" min="29" max="29" width="61.0"/>
  </cols>
  <sheetData>
    <row r="1">
      <c r="A1" s="19" t="s">
        <v>51</v>
      </c>
      <c r="B1" s="19" t="s">
        <v>52</v>
      </c>
      <c r="C1" s="20" t="s">
        <v>53</v>
      </c>
      <c r="D1" s="21" t="s">
        <v>54</v>
      </c>
      <c r="E1" s="20" t="s">
        <v>55</v>
      </c>
      <c r="F1" s="22" t="s">
        <v>56</v>
      </c>
      <c r="G1" s="23" t="s">
        <v>57</v>
      </c>
      <c r="H1" s="24"/>
      <c r="I1" s="24"/>
      <c r="J1" s="24"/>
      <c r="K1" s="24"/>
      <c r="L1" s="25" t="s">
        <v>58</v>
      </c>
      <c r="M1" s="24"/>
      <c r="N1" s="24"/>
      <c r="O1" s="24"/>
      <c r="P1" s="24"/>
      <c r="Q1" s="26" t="s">
        <v>40</v>
      </c>
      <c r="R1" s="27" t="s">
        <v>59</v>
      </c>
      <c r="S1" s="28" t="s">
        <v>60</v>
      </c>
      <c r="T1" s="27" t="s">
        <v>61</v>
      </c>
      <c r="U1" s="29" t="s">
        <v>62</v>
      </c>
      <c r="V1" s="28" t="s">
        <v>63</v>
      </c>
      <c r="W1" s="28" t="s">
        <v>64</v>
      </c>
      <c r="X1" s="30" t="s">
        <v>65</v>
      </c>
      <c r="Y1" s="28" t="s">
        <v>66</v>
      </c>
      <c r="Z1" s="29" t="s">
        <v>67</v>
      </c>
      <c r="AA1" s="28" t="s">
        <v>63</v>
      </c>
      <c r="AB1" s="28" t="s">
        <v>64</v>
      </c>
      <c r="AC1" s="31"/>
    </row>
    <row r="2">
      <c r="A2" s="32" t="s">
        <v>68</v>
      </c>
      <c r="B2" s="32">
        <v>16.0</v>
      </c>
      <c r="C2" s="33">
        <v>100.0</v>
      </c>
      <c r="D2" s="34">
        <v>45.599999999999994</v>
      </c>
      <c r="E2" s="33">
        <v>176.0</v>
      </c>
      <c r="F2" s="35" t="s">
        <v>69</v>
      </c>
      <c r="G2" s="36">
        <v>-0.043</v>
      </c>
      <c r="H2" s="36">
        <v>-0.01</v>
      </c>
      <c r="I2" s="36">
        <v>-0.1</v>
      </c>
      <c r="J2" s="36"/>
      <c r="K2" s="36"/>
      <c r="L2" s="37">
        <v>0.081</v>
      </c>
      <c r="M2" s="36">
        <v>0.015</v>
      </c>
      <c r="N2" s="36">
        <v>0.15</v>
      </c>
      <c r="O2" s="36"/>
      <c r="P2" s="36"/>
      <c r="Q2" s="38">
        <f t="shared" ref="Q2:Q96" si="1">MAX(0.1,1+SUM(G2:P2))</f>
        <v>1.093</v>
      </c>
      <c r="R2" s="39">
        <f t="shared" ref="R2:R96" si="2">E2/B2</f>
        <v>11</v>
      </c>
      <c r="S2" s="40">
        <f t="shared" ref="S2:S96" si="3">R2/D2</f>
        <v>0.2412280702</v>
      </c>
      <c r="T2" s="39">
        <f t="shared" ref="T2:T96" si="4">R2/Q2</f>
        <v>10.06404392</v>
      </c>
      <c r="U2" s="41">
        <f t="shared" ref="U2:U96" si="5">T2/D2</f>
        <v>0.2207027175</v>
      </c>
      <c r="V2" s="40">
        <f t="shared" ref="V2:V96" si="6">16.707021/(75+X2)</f>
        <v>0.2222860697</v>
      </c>
      <c r="W2" s="40">
        <f t="shared" ref="W2:W96" si="7">(U2-V2)/U2</f>
        <v>-0.007174140327</v>
      </c>
      <c r="X2" s="42">
        <f t="shared" ref="X2:X96" si="8">B2/C2</f>
        <v>0.16</v>
      </c>
      <c r="Y2" s="40">
        <f t="shared" ref="Y2:Y96" si="9">S2*X2</f>
        <v>0.03859649123</v>
      </c>
      <c r="Z2" s="41">
        <f t="shared" ref="Z2:Z96" si="10">U2*X2</f>
        <v>0.03531243479</v>
      </c>
      <c r="AA2" s="40">
        <f t="shared" ref="AA2:AA96" si="11">50/3*X2/(75+X2)</f>
        <v>0.03547986518</v>
      </c>
      <c r="AB2" s="40">
        <f t="shared" ref="AB2:AB96" si="12">(Z2-AA2)/Z2</f>
        <v>-0.004741400164</v>
      </c>
      <c r="AC2" s="43"/>
    </row>
    <row r="3">
      <c r="A3" s="44" t="s">
        <v>68</v>
      </c>
      <c r="B3" s="44">
        <v>31.0</v>
      </c>
      <c r="C3" s="45">
        <v>100.0</v>
      </c>
      <c r="D3" s="46">
        <v>49.5</v>
      </c>
      <c r="E3" s="45">
        <v>396.0</v>
      </c>
      <c r="F3" s="47" t="s">
        <v>70</v>
      </c>
      <c r="G3" s="48">
        <v>-0.07</v>
      </c>
      <c r="H3" s="48">
        <v>-0.01</v>
      </c>
      <c r="I3" s="48">
        <v>-0.1</v>
      </c>
      <c r="J3" s="48"/>
      <c r="K3" s="48"/>
      <c r="L3" s="49">
        <v>0.088</v>
      </c>
      <c r="M3" s="48">
        <v>0.15</v>
      </c>
      <c r="N3" s="48">
        <v>0.107</v>
      </c>
      <c r="O3" s="48"/>
      <c r="P3" s="48"/>
      <c r="Q3" s="50">
        <f t="shared" si="1"/>
        <v>1.165</v>
      </c>
      <c r="R3" s="51">
        <f t="shared" si="2"/>
        <v>12.77419355</v>
      </c>
      <c r="S3" s="52">
        <f t="shared" si="3"/>
        <v>0.2580645161</v>
      </c>
      <c r="T3" s="51">
        <f t="shared" si="4"/>
        <v>10.964973</v>
      </c>
      <c r="U3" s="53">
        <f t="shared" si="5"/>
        <v>0.2215146061</v>
      </c>
      <c r="V3" s="52">
        <f t="shared" si="6"/>
        <v>0.2218433276</v>
      </c>
      <c r="W3" s="52">
        <f t="shared" si="7"/>
        <v>-0.001483971941</v>
      </c>
      <c r="X3" s="54">
        <f t="shared" si="8"/>
        <v>0.31</v>
      </c>
      <c r="Y3" s="52">
        <f t="shared" si="9"/>
        <v>0.08</v>
      </c>
      <c r="Z3" s="53">
        <f t="shared" si="10"/>
        <v>0.0686695279</v>
      </c>
      <c r="AA3" s="52">
        <f t="shared" si="11"/>
        <v>0.06860532023</v>
      </c>
      <c r="AB3" s="52">
        <f t="shared" si="12"/>
        <v>0.0009350241225</v>
      </c>
      <c r="AC3" s="55"/>
    </row>
    <row r="4">
      <c r="A4" s="32" t="s">
        <v>68</v>
      </c>
      <c r="B4" s="32">
        <v>39.0</v>
      </c>
      <c r="C4" s="33">
        <v>100.0</v>
      </c>
      <c r="D4" s="56">
        <v>45.6</v>
      </c>
      <c r="E4" s="33">
        <v>464.0</v>
      </c>
      <c r="F4" s="35" t="s">
        <v>71</v>
      </c>
      <c r="G4" s="36">
        <v>-0.055</v>
      </c>
      <c r="H4" s="36">
        <v>-0.01</v>
      </c>
      <c r="I4" s="36"/>
      <c r="J4" s="36"/>
      <c r="K4" s="36"/>
      <c r="L4" s="37">
        <v>0.082</v>
      </c>
      <c r="M4" s="36">
        <v>0.015</v>
      </c>
      <c r="N4" s="36">
        <v>0.15</v>
      </c>
      <c r="O4" s="36"/>
      <c r="P4" s="36"/>
      <c r="Q4" s="38">
        <f t="shared" si="1"/>
        <v>1.182</v>
      </c>
      <c r="R4" s="39">
        <f t="shared" si="2"/>
        <v>11.8974359</v>
      </c>
      <c r="S4" s="40">
        <f t="shared" si="3"/>
        <v>0.260908682</v>
      </c>
      <c r="T4" s="39">
        <f t="shared" si="4"/>
        <v>10.0655126</v>
      </c>
      <c r="U4" s="41">
        <f t="shared" si="5"/>
        <v>0.2207349255</v>
      </c>
      <c r="V4" s="40">
        <f t="shared" si="6"/>
        <v>0.2216079188</v>
      </c>
      <c r="W4" s="40">
        <f t="shared" si="7"/>
        <v>-0.003954939631</v>
      </c>
      <c r="X4" s="42">
        <f t="shared" si="8"/>
        <v>0.39</v>
      </c>
      <c r="Y4" s="40">
        <f t="shared" si="9"/>
        <v>0.101754386</v>
      </c>
      <c r="Z4" s="41">
        <f t="shared" si="10"/>
        <v>0.08608662095</v>
      </c>
      <c r="AA4" s="40">
        <f t="shared" si="11"/>
        <v>0.08621833134</v>
      </c>
      <c r="AB4" s="40">
        <f t="shared" si="12"/>
        <v>-0.001529975164</v>
      </c>
      <c r="AC4" s="43"/>
    </row>
    <row r="5">
      <c r="A5" s="44" t="s">
        <v>68</v>
      </c>
      <c r="B5" s="44">
        <v>56.0</v>
      </c>
      <c r="C5" s="45">
        <v>100.0</v>
      </c>
      <c r="D5" s="57">
        <v>45.599999999999994</v>
      </c>
      <c r="E5" s="45">
        <v>671.0</v>
      </c>
      <c r="F5" s="47" t="s">
        <v>72</v>
      </c>
      <c r="G5" s="48">
        <v>-0.043</v>
      </c>
      <c r="H5" s="48">
        <v>-0.01</v>
      </c>
      <c r="I5" s="48"/>
      <c r="J5" s="48"/>
      <c r="K5" s="48"/>
      <c r="L5" s="49">
        <v>0.081</v>
      </c>
      <c r="M5" s="48">
        <v>0.015</v>
      </c>
      <c r="N5" s="48">
        <v>0.15</v>
      </c>
      <c r="O5" s="48"/>
      <c r="P5" s="48"/>
      <c r="Q5" s="50">
        <f t="shared" si="1"/>
        <v>1.193</v>
      </c>
      <c r="R5" s="51">
        <f t="shared" si="2"/>
        <v>11.98214286</v>
      </c>
      <c r="S5" s="52">
        <f t="shared" si="3"/>
        <v>0.2627662907</v>
      </c>
      <c r="T5" s="51">
        <f t="shared" si="4"/>
        <v>10.04370734</v>
      </c>
      <c r="U5" s="53">
        <f t="shared" si="5"/>
        <v>0.2202567399</v>
      </c>
      <c r="V5" s="52">
        <f t="shared" si="6"/>
        <v>0.2211093303</v>
      </c>
      <c r="W5" s="52">
        <f t="shared" si="7"/>
        <v>-0.00387089363</v>
      </c>
      <c r="X5" s="54">
        <f t="shared" si="8"/>
        <v>0.56</v>
      </c>
      <c r="Y5" s="52">
        <f t="shared" si="9"/>
        <v>0.1471491228</v>
      </c>
      <c r="Z5" s="53">
        <f t="shared" si="10"/>
        <v>0.1233437744</v>
      </c>
      <c r="AA5" s="52">
        <f t="shared" si="11"/>
        <v>0.1235221458</v>
      </c>
      <c r="AB5" s="52">
        <f t="shared" si="12"/>
        <v>-0.001446132168</v>
      </c>
      <c r="AC5" s="55"/>
    </row>
    <row r="6">
      <c r="A6" s="32" t="s">
        <v>68</v>
      </c>
      <c r="B6" s="32">
        <v>89.0</v>
      </c>
      <c r="C6" s="33">
        <v>100.0</v>
      </c>
      <c r="D6" s="56">
        <v>45.6</v>
      </c>
      <c r="E6" s="33">
        <v>1052.0</v>
      </c>
      <c r="F6" s="35" t="s">
        <v>71</v>
      </c>
      <c r="G6" s="36">
        <v>-0.055</v>
      </c>
      <c r="H6" s="36">
        <v>-0.01</v>
      </c>
      <c r="I6" s="36"/>
      <c r="J6" s="36"/>
      <c r="K6" s="36"/>
      <c r="L6" s="37">
        <v>0.082</v>
      </c>
      <c r="M6" s="36">
        <v>0.015</v>
      </c>
      <c r="N6" s="36">
        <v>0.15</v>
      </c>
      <c r="O6" s="36"/>
      <c r="P6" s="36"/>
      <c r="Q6" s="38">
        <f t="shared" si="1"/>
        <v>1.182</v>
      </c>
      <c r="R6" s="39">
        <f t="shared" si="2"/>
        <v>11.82022472</v>
      </c>
      <c r="S6" s="40">
        <f t="shared" si="3"/>
        <v>0.2592154544</v>
      </c>
      <c r="T6" s="39">
        <f t="shared" si="4"/>
        <v>10.00019012</v>
      </c>
      <c r="U6" s="41">
        <f t="shared" si="5"/>
        <v>0.2193024149</v>
      </c>
      <c r="V6" s="40">
        <f t="shared" si="6"/>
        <v>0.2201478587</v>
      </c>
      <c r="W6" s="40">
        <f t="shared" si="7"/>
        <v>-0.003855150806</v>
      </c>
      <c r="X6" s="42">
        <f t="shared" si="8"/>
        <v>0.89</v>
      </c>
      <c r="Y6" s="40">
        <f t="shared" si="9"/>
        <v>0.2307017544</v>
      </c>
      <c r="Z6" s="41">
        <f t="shared" si="10"/>
        <v>0.1951791492</v>
      </c>
      <c r="AA6" s="40">
        <f t="shared" si="11"/>
        <v>0.1954583388</v>
      </c>
      <c r="AB6" s="40">
        <f t="shared" si="12"/>
        <v>-0.00143042737</v>
      </c>
      <c r="AC6" s="43"/>
    </row>
    <row r="7">
      <c r="A7" s="44" t="s">
        <v>68</v>
      </c>
      <c r="B7" s="44">
        <v>96.0</v>
      </c>
      <c r="C7" s="45">
        <v>100.0</v>
      </c>
      <c r="D7" s="57">
        <v>45.599999999999994</v>
      </c>
      <c r="E7" s="45">
        <v>1145.0</v>
      </c>
      <c r="F7" s="47" t="s">
        <v>72</v>
      </c>
      <c r="G7" s="48">
        <v>-0.043</v>
      </c>
      <c r="H7" s="48">
        <v>-0.01</v>
      </c>
      <c r="I7" s="48"/>
      <c r="J7" s="48"/>
      <c r="K7" s="48"/>
      <c r="L7" s="49">
        <v>0.081</v>
      </c>
      <c r="M7" s="48">
        <v>0.015</v>
      </c>
      <c r="N7" s="48">
        <v>0.15</v>
      </c>
      <c r="O7" s="48"/>
      <c r="P7" s="48"/>
      <c r="Q7" s="50">
        <f t="shared" si="1"/>
        <v>1.193</v>
      </c>
      <c r="R7" s="51">
        <f t="shared" si="2"/>
        <v>11.92708333</v>
      </c>
      <c r="S7" s="52">
        <f t="shared" si="3"/>
        <v>0.261558845</v>
      </c>
      <c r="T7" s="51">
        <f t="shared" si="4"/>
        <v>9.997555183</v>
      </c>
      <c r="U7" s="53">
        <f t="shared" si="5"/>
        <v>0.2192446312</v>
      </c>
      <c r="V7" s="52">
        <f t="shared" si="6"/>
        <v>0.2199449842</v>
      </c>
      <c r="W7" s="52">
        <f t="shared" si="7"/>
        <v>-0.003194390631</v>
      </c>
      <c r="X7" s="54">
        <f t="shared" si="8"/>
        <v>0.96</v>
      </c>
      <c r="Y7" s="52">
        <f t="shared" si="9"/>
        <v>0.2510964912</v>
      </c>
      <c r="Z7" s="53">
        <f t="shared" si="10"/>
        <v>0.210474846</v>
      </c>
      <c r="AA7" s="52">
        <f t="shared" si="11"/>
        <v>0.2106371775</v>
      </c>
      <c r="AB7" s="52">
        <f t="shared" si="12"/>
        <v>-0.0007712632022</v>
      </c>
      <c r="AC7" s="55"/>
    </row>
    <row r="8">
      <c r="A8" s="32" t="s">
        <v>68</v>
      </c>
      <c r="B8" s="32">
        <v>97.0</v>
      </c>
      <c r="C8" s="33">
        <v>100.0</v>
      </c>
      <c r="D8" s="56">
        <v>49.5</v>
      </c>
      <c r="E8" s="33">
        <v>1116.0</v>
      </c>
      <c r="F8" s="35" t="s">
        <v>70</v>
      </c>
      <c r="G8" s="36">
        <v>-0.07</v>
      </c>
      <c r="H8" s="36">
        <v>-0.01</v>
      </c>
      <c r="I8" s="36">
        <v>-0.1</v>
      </c>
      <c r="J8" s="36"/>
      <c r="K8" s="36"/>
      <c r="L8" s="37">
        <v>0.088</v>
      </c>
      <c r="M8" s="36">
        <v>0.15</v>
      </c>
      <c r="N8" s="36"/>
      <c r="O8" s="36"/>
      <c r="P8" s="36"/>
      <c r="Q8" s="38">
        <f t="shared" si="1"/>
        <v>1.058</v>
      </c>
      <c r="R8" s="39">
        <f t="shared" si="2"/>
        <v>11.50515464</v>
      </c>
      <c r="S8" s="40">
        <f t="shared" si="3"/>
        <v>0.2324273664</v>
      </c>
      <c r="T8" s="39">
        <f t="shared" si="4"/>
        <v>10.87443728</v>
      </c>
      <c r="U8" s="41">
        <f t="shared" si="5"/>
        <v>0.2196856016</v>
      </c>
      <c r="V8" s="40">
        <f t="shared" si="6"/>
        <v>0.2199160326</v>
      </c>
      <c r="W8" s="40">
        <f t="shared" si="7"/>
        <v>-0.001048913016</v>
      </c>
      <c r="X8" s="42">
        <f t="shared" si="8"/>
        <v>0.97</v>
      </c>
      <c r="Y8" s="40">
        <f t="shared" si="9"/>
        <v>0.2254545455</v>
      </c>
      <c r="Z8" s="41">
        <f t="shared" si="10"/>
        <v>0.2130950335</v>
      </c>
      <c r="AA8" s="40">
        <f t="shared" si="11"/>
        <v>0.2128032995</v>
      </c>
      <c r="AB8" s="40">
        <f t="shared" si="12"/>
        <v>0.001369032201</v>
      </c>
      <c r="AC8" s="43"/>
    </row>
    <row r="9">
      <c r="A9" s="44" t="s">
        <v>68</v>
      </c>
      <c r="B9" s="44">
        <v>99.0</v>
      </c>
      <c r="C9" s="45">
        <v>100.0</v>
      </c>
      <c r="D9" s="46">
        <v>49.5</v>
      </c>
      <c r="E9" s="45">
        <v>1139.0</v>
      </c>
      <c r="F9" s="47" t="s">
        <v>70</v>
      </c>
      <c r="G9" s="48">
        <v>-0.07</v>
      </c>
      <c r="H9" s="48">
        <v>-0.01</v>
      </c>
      <c r="I9" s="48">
        <v>-0.1</v>
      </c>
      <c r="J9" s="48"/>
      <c r="K9" s="48"/>
      <c r="L9" s="49">
        <v>0.088</v>
      </c>
      <c r="M9" s="48">
        <v>0.15</v>
      </c>
      <c r="N9" s="48"/>
      <c r="O9" s="48"/>
      <c r="P9" s="48"/>
      <c r="Q9" s="50">
        <f t="shared" si="1"/>
        <v>1.058</v>
      </c>
      <c r="R9" s="51">
        <f t="shared" si="2"/>
        <v>11.50505051</v>
      </c>
      <c r="S9" s="52">
        <f t="shared" si="3"/>
        <v>0.2324252627</v>
      </c>
      <c r="T9" s="51">
        <f t="shared" si="4"/>
        <v>10.87433885</v>
      </c>
      <c r="U9" s="53">
        <f t="shared" si="5"/>
        <v>0.2196836132</v>
      </c>
      <c r="V9" s="52">
        <f t="shared" si="6"/>
        <v>0.2198581524</v>
      </c>
      <c r="W9" s="52">
        <f t="shared" si="7"/>
        <v>-0.0007945026997</v>
      </c>
      <c r="X9" s="54">
        <f t="shared" si="8"/>
        <v>0.99</v>
      </c>
      <c r="Y9" s="52">
        <f t="shared" si="9"/>
        <v>0.2301010101</v>
      </c>
      <c r="Z9" s="53">
        <f t="shared" si="10"/>
        <v>0.217486777</v>
      </c>
      <c r="AA9" s="52">
        <f t="shared" si="11"/>
        <v>0.2171338334</v>
      </c>
      <c r="AB9" s="52">
        <f t="shared" si="12"/>
        <v>0.001622828012</v>
      </c>
      <c r="AC9" s="55"/>
    </row>
    <row r="10">
      <c r="A10" s="32" t="s">
        <v>68</v>
      </c>
      <c r="B10" s="32">
        <v>100.0</v>
      </c>
      <c r="C10" s="33">
        <v>100.0</v>
      </c>
      <c r="D10" s="56">
        <v>45.6</v>
      </c>
      <c r="E10" s="33">
        <v>1080.0</v>
      </c>
      <c r="F10" s="35" t="s">
        <v>73</v>
      </c>
      <c r="G10" s="36">
        <v>-0.055</v>
      </c>
      <c r="H10" s="36">
        <v>-0.01</v>
      </c>
      <c r="I10" s="36">
        <v>-0.1</v>
      </c>
      <c r="J10" s="36"/>
      <c r="K10" s="36"/>
      <c r="L10" s="37">
        <v>0.082</v>
      </c>
      <c r="M10" s="36">
        <v>0.015</v>
      </c>
      <c r="N10" s="36">
        <v>0.15</v>
      </c>
      <c r="O10" s="36"/>
      <c r="P10" s="36"/>
      <c r="Q10" s="38">
        <f t="shared" si="1"/>
        <v>1.082</v>
      </c>
      <c r="R10" s="39">
        <f t="shared" si="2"/>
        <v>10.8</v>
      </c>
      <c r="S10" s="40">
        <f t="shared" si="3"/>
        <v>0.2368421053</v>
      </c>
      <c r="T10" s="39">
        <f t="shared" si="4"/>
        <v>9.981515712</v>
      </c>
      <c r="U10" s="41">
        <f t="shared" si="5"/>
        <v>0.2188928884</v>
      </c>
      <c r="V10" s="40">
        <f t="shared" si="6"/>
        <v>0.2198292237</v>
      </c>
      <c r="W10" s="40">
        <f t="shared" si="7"/>
        <v>-0.004277595667</v>
      </c>
      <c r="X10" s="42">
        <f t="shared" si="8"/>
        <v>1</v>
      </c>
      <c r="Y10" s="40">
        <f t="shared" si="9"/>
        <v>0.2368421053</v>
      </c>
      <c r="Z10" s="41">
        <f t="shared" si="10"/>
        <v>0.2188928884</v>
      </c>
      <c r="AA10" s="40">
        <f t="shared" si="11"/>
        <v>0.2192982456</v>
      </c>
      <c r="AB10" s="40">
        <f t="shared" si="12"/>
        <v>-0.001851851852</v>
      </c>
      <c r="AC10" s="43"/>
    </row>
    <row r="11">
      <c r="A11" s="44" t="s">
        <v>68</v>
      </c>
      <c r="B11" s="44">
        <v>100.0</v>
      </c>
      <c r="C11" s="45">
        <v>100.0</v>
      </c>
      <c r="D11" s="46">
        <v>45.6</v>
      </c>
      <c r="E11" s="45">
        <v>1173.0</v>
      </c>
      <c r="F11" s="47" t="s">
        <v>74</v>
      </c>
      <c r="G11" s="48">
        <v>-0.062</v>
      </c>
      <c r="H11" s="48">
        <v>-0.01</v>
      </c>
      <c r="I11" s="48"/>
      <c r="J11" s="48"/>
      <c r="K11" s="48"/>
      <c r="L11" s="49">
        <v>0.082</v>
      </c>
      <c r="M11" s="48">
        <v>0.015</v>
      </c>
      <c r="N11" s="48">
        <v>0.15</v>
      </c>
      <c r="O11" s="48"/>
      <c r="P11" s="48"/>
      <c r="Q11" s="50">
        <f t="shared" si="1"/>
        <v>1.175</v>
      </c>
      <c r="R11" s="51">
        <f t="shared" si="2"/>
        <v>11.73</v>
      </c>
      <c r="S11" s="52">
        <f t="shared" si="3"/>
        <v>0.2572368421</v>
      </c>
      <c r="T11" s="51">
        <f t="shared" si="4"/>
        <v>9.982978723</v>
      </c>
      <c r="U11" s="53">
        <f t="shared" si="5"/>
        <v>0.218924972</v>
      </c>
      <c r="V11" s="52">
        <f t="shared" si="6"/>
        <v>0.2198292237</v>
      </c>
      <c r="W11" s="52">
        <f t="shared" si="7"/>
        <v>-0.004130418159</v>
      </c>
      <c r="X11" s="54">
        <f t="shared" si="8"/>
        <v>1</v>
      </c>
      <c r="Y11" s="52">
        <f t="shared" si="9"/>
        <v>0.2572368421</v>
      </c>
      <c r="Z11" s="53">
        <f t="shared" si="10"/>
        <v>0.218924972</v>
      </c>
      <c r="AA11" s="52">
        <f t="shared" si="11"/>
        <v>0.2192982456</v>
      </c>
      <c r="AB11" s="52">
        <f t="shared" si="12"/>
        <v>-0.001705029838</v>
      </c>
      <c r="AC11" s="55"/>
    </row>
    <row r="12">
      <c r="A12" s="32" t="s">
        <v>68</v>
      </c>
      <c r="B12" s="32">
        <v>100.0</v>
      </c>
      <c r="C12" s="33">
        <v>100.0</v>
      </c>
      <c r="D12" s="56">
        <v>45.6</v>
      </c>
      <c r="E12" s="33">
        <v>1073.0</v>
      </c>
      <c r="F12" s="35" t="s">
        <v>70</v>
      </c>
      <c r="G12" s="36">
        <v>-0.062</v>
      </c>
      <c r="H12" s="36">
        <v>-0.01</v>
      </c>
      <c r="I12" s="36">
        <v>-0.1</v>
      </c>
      <c r="J12" s="36"/>
      <c r="K12" s="36"/>
      <c r="L12" s="37">
        <v>0.082</v>
      </c>
      <c r="M12" s="36">
        <v>0.015</v>
      </c>
      <c r="N12" s="36">
        <v>0.15</v>
      </c>
      <c r="O12" s="36"/>
      <c r="P12" s="36"/>
      <c r="Q12" s="38">
        <f t="shared" si="1"/>
        <v>1.075</v>
      </c>
      <c r="R12" s="39">
        <f t="shared" si="2"/>
        <v>10.73</v>
      </c>
      <c r="S12" s="40">
        <f t="shared" si="3"/>
        <v>0.2353070175</v>
      </c>
      <c r="T12" s="39">
        <f t="shared" si="4"/>
        <v>9.981395349</v>
      </c>
      <c r="U12" s="41">
        <f t="shared" si="5"/>
        <v>0.2188902489</v>
      </c>
      <c r="V12" s="40">
        <f t="shared" si="6"/>
        <v>0.2198292237</v>
      </c>
      <c r="W12" s="40">
        <f t="shared" si="7"/>
        <v>-0.004289705965</v>
      </c>
      <c r="X12" s="42">
        <f t="shared" si="8"/>
        <v>1</v>
      </c>
      <c r="Y12" s="40">
        <f t="shared" si="9"/>
        <v>0.2353070175</v>
      </c>
      <c r="Z12" s="41">
        <f t="shared" si="10"/>
        <v>0.2188902489</v>
      </c>
      <c r="AA12" s="40">
        <f t="shared" si="11"/>
        <v>0.2192982456</v>
      </c>
      <c r="AB12" s="40">
        <f t="shared" si="12"/>
        <v>-0.001863932898</v>
      </c>
      <c r="AC12" s="43"/>
    </row>
    <row r="13">
      <c r="A13" s="44" t="s">
        <v>68</v>
      </c>
      <c r="B13" s="44">
        <v>100.0</v>
      </c>
      <c r="C13" s="45">
        <v>100.0</v>
      </c>
      <c r="D13" s="46">
        <v>49.5</v>
      </c>
      <c r="E13" s="45">
        <v>1180.0</v>
      </c>
      <c r="F13" s="47" t="s">
        <v>75</v>
      </c>
      <c r="G13" s="48">
        <v>-0.043</v>
      </c>
      <c r="H13" s="48">
        <v>-0.01</v>
      </c>
      <c r="I13" s="48">
        <v>-0.1</v>
      </c>
      <c r="J13" s="48"/>
      <c r="K13" s="48"/>
      <c r="L13" s="49">
        <v>0.088</v>
      </c>
      <c r="M13" s="48">
        <v>0.15</v>
      </c>
      <c r="N13" s="48"/>
      <c r="O13" s="48"/>
      <c r="P13" s="48"/>
      <c r="Q13" s="50">
        <f t="shared" si="1"/>
        <v>1.085</v>
      </c>
      <c r="R13" s="51">
        <f t="shared" si="2"/>
        <v>11.8</v>
      </c>
      <c r="S13" s="52">
        <f t="shared" si="3"/>
        <v>0.2383838384</v>
      </c>
      <c r="T13" s="51">
        <f t="shared" si="4"/>
        <v>10.87557604</v>
      </c>
      <c r="U13" s="53">
        <f t="shared" si="5"/>
        <v>0.2197086068</v>
      </c>
      <c r="V13" s="52">
        <f t="shared" si="6"/>
        <v>0.2198292237</v>
      </c>
      <c r="W13" s="52">
        <f t="shared" si="7"/>
        <v>-0.0005489856796</v>
      </c>
      <c r="X13" s="54">
        <f t="shared" si="8"/>
        <v>1</v>
      </c>
      <c r="Y13" s="52">
        <f t="shared" si="9"/>
        <v>0.2383838384</v>
      </c>
      <c r="Z13" s="53">
        <f t="shared" si="10"/>
        <v>0.2197086068</v>
      </c>
      <c r="AA13" s="52">
        <f t="shared" si="11"/>
        <v>0.2192982456</v>
      </c>
      <c r="AB13" s="52">
        <f t="shared" si="12"/>
        <v>0.001867752007</v>
      </c>
      <c r="AC13" s="55"/>
    </row>
    <row r="14">
      <c r="A14" s="32" t="s">
        <v>68</v>
      </c>
      <c r="B14" s="32">
        <v>100.0</v>
      </c>
      <c r="C14" s="33">
        <v>100.0</v>
      </c>
      <c r="D14" s="56">
        <f>16.5*3</f>
        <v>49.5</v>
      </c>
      <c r="E14" s="33">
        <v>1259.0</v>
      </c>
      <c r="F14" s="35" t="s">
        <v>72</v>
      </c>
      <c r="G14" s="36">
        <v>-0.07</v>
      </c>
      <c r="H14" s="36">
        <v>-0.01</v>
      </c>
      <c r="I14" s="36"/>
      <c r="J14" s="36"/>
      <c r="K14" s="36"/>
      <c r="L14" s="37">
        <v>0.088</v>
      </c>
      <c r="M14" s="36">
        <v>0.15</v>
      </c>
      <c r="N14" s="36"/>
      <c r="O14" s="36"/>
      <c r="P14" s="36"/>
      <c r="Q14" s="38">
        <f t="shared" si="1"/>
        <v>1.158</v>
      </c>
      <c r="R14" s="39">
        <f t="shared" si="2"/>
        <v>12.59</v>
      </c>
      <c r="S14" s="40">
        <f t="shared" si="3"/>
        <v>0.2543434343</v>
      </c>
      <c r="T14" s="39">
        <f t="shared" si="4"/>
        <v>10.87219344</v>
      </c>
      <c r="U14" s="41">
        <f t="shared" si="5"/>
        <v>0.2196402715</v>
      </c>
      <c r="V14" s="40">
        <f t="shared" si="6"/>
        <v>0.2198292237</v>
      </c>
      <c r="W14" s="40">
        <f t="shared" si="7"/>
        <v>-0.000860280445</v>
      </c>
      <c r="X14" s="42">
        <f t="shared" si="8"/>
        <v>1</v>
      </c>
      <c r="Y14" s="40">
        <f t="shared" si="9"/>
        <v>0.2543434343</v>
      </c>
      <c r="Z14" s="41">
        <f t="shared" si="10"/>
        <v>0.2196402715</v>
      </c>
      <c r="AA14" s="40">
        <f t="shared" si="11"/>
        <v>0.2192982456</v>
      </c>
      <c r="AB14" s="40">
        <f t="shared" si="12"/>
        <v>0.001557209147</v>
      </c>
      <c r="AC14" s="43"/>
    </row>
    <row r="15">
      <c r="A15" s="44" t="s">
        <v>68</v>
      </c>
      <c r="B15" s="44">
        <v>114.0</v>
      </c>
      <c r="C15" s="45">
        <v>100.0</v>
      </c>
      <c r="D15" s="46">
        <v>45.6</v>
      </c>
      <c r="E15" s="45">
        <v>1376.0</v>
      </c>
      <c r="F15" s="47" t="s">
        <v>76</v>
      </c>
      <c r="G15" s="48">
        <v>-0.036</v>
      </c>
      <c r="H15" s="48"/>
      <c r="I15" s="48"/>
      <c r="J15" s="48"/>
      <c r="K15" s="48"/>
      <c r="L15" s="49">
        <v>0.082</v>
      </c>
      <c r="M15" s="48">
        <v>0.015</v>
      </c>
      <c r="N15" s="48">
        <v>0.15</v>
      </c>
      <c r="O15" s="48"/>
      <c r="P15" s="48"/>
      <c r="Q15" s="50">
        <f t="shared" si="1"/>
        <v>1.211</v>
      </c>
      <c r="R15" s="51">
        <f t="shared" si="2"/>
        <v>12.07017544</v>
      </c>
      <c r="S15" s="52">
        <f t="shared" si="3"/>
        <v>0.2646968298</v>
      </c>
      <c r="T15" s="51">
        <f t="shared" si="4"/>
        <v>9.967114318</v>
      </c>
      <c r="U15" s="53">
        <f t="shared" si="5"/>
        <v>0.2185770684</v>
      </c>
      <c r="V15" s="52">
        <f t="shared" si="6"/>
        <v>0.2194250197</v>
      </c>
      <c r="W15" s="52">
        <f t="shared" si="7"/>
        <v>-0.0038794158</v>
      </c>
      <c r="X15" s="54">
        <f t="shared" si="8"/>
        <v>1.14</v>
      </c>
      <c r="Y15" s="52">
        <f t="shared" si="9"/>
        <v>0.301754386</v>
      </c>
      <c r="Z15" s="53">
        <f t="shared" si="10"/>
        <v>0.2491778579</v>
      </c>
      <c r="AA15" s="52">
        <f t="shared" si="11"/>
        <v>0.2495403205</v>
      </c>
      <c r="AB15" s="52">
        <f t="shared" si="12"/>
        <v>-0.001454633753</v>
      </c>
      <c r="AC15" s="55"/>
    </row>
    <row r="16">
      <c r="A16" s="32" t="s">
        <v>68</v>
      </c>
      <c r="B16" s="32">
        <v>136.0</v>
      </c>
      <c r="C16" s="33">
        <v>100.0</v>
      </c>
      <c r="D16" s="34">
        <v>45.599999999999994</v>
      </c>
      <c r="E16" s="33">
        <v>1612.0</v>
      </c>
      <c r="F16" s="35" t="s">
        <v>72</v>
      </c>
      <c r="G16" s="36">
        <v>-0.043</v>
      </c>
      <c r="H16" s="36">
        <v>-0.01</v>
      </c>
      <c r="I16" s="36"/>
      <c r="J16" s="36"/>
      <c r="K16" s="36"/>
      <c r="L16" s="37">
        <v>0.081</v>
      </c>
      <c r="M16" s="36">
        <v>0.015</v>
      </c>
      <c r="N16" s="36">
        <v>0.15</v>
      </c>
      <c r="O16" s="36"/>
      <c r="P16" s="36"/>
      <c r="Q16" s="38">
        <f t="shared" si="1"/>
        <v>1.193</v>
      </c>
      <c r="R16" s="39">
        <f t="shared" si="2"/>
        <v>11.85294118</v>
      </c>
      <c r="S16" s="40">
        <f t="shared" si="3"/>
        <v>0.2599329205</v>
      </c>
      <c r="T16" s="39">
        <f t="shared" si="4"/>
        <v>9.935407524</v>
      </c>
      <c r="U16" s="41">
        <f t="shared" si="5"/>
        <v>0.217881744</v>
      </c>
      <c r="V16" s="40">
        <f t="shared" si="6"/>
        <v>0.2187928366</v>
      </c>
      <c r="W16" s="40">
        <f t="shared" si="7"/>
        <v>-0.004181592241</v>
      </c>
      <c r="X16" s="42">
        <f t="shared" si="8"/>
        <v>1.36</v>
      </c>
      <c r="Y16" s="40">
        <f t="shared" si="9"/>
        <v>0.3535087719</v>
      </c>
      <c r="Z16" s="41">
        <f t="shared" si="10"/>
        <v>0.2963191718</v>
      </c>
      <c r="AA16" s="40">
        <f t="shared" si="11"/>
        <v>0.296839532</v>
      </c>
      <c r="AB16" s="40">
        <f t="shared" si="12"/>
        <v>-0.001756080314</v>
      </c>
      <c r="AC16" s="43"/>
    </row>
    <row r="17">
      <c r="A17" s="44" t="s">
        <v>68</v>
      </c>
      <c r="B17" s="44">
        <v>219.0</v>
      </c>
      <c r="C17" s="45">
        <v>100.0</v>
      </c>
      <c r="D17" s="57">
        <v>45.599999999999994</v>
      </c>
      <c r="E17" s="45">
        <v>2569.0</v>
      </c>
      <c r="F17" s="47" t="s">
        <v>72</v>
      </c>
      <c r="G17" s="48">
        <v>-0.043</v>
      </c>
      <c r="H17" s="48">
        <v>-0.01</v>
      </c>
      <c r="I17" s="48"/>
      <c r="J17" s="48"/>
      <c r="K17" s="48"/>
      <c r="L17" s="49">
        <v>0.081</v>
      </c>
      <c r="M17" s="48">
        <v>0.015</v>
      </c>
      <c r="N17" s="48">
        <v>0.15</v>
      </c>
      <c r="O17" s="48"/>
      <c r="P17" s="48"/>
      <c r="Q17" s="50">
        <f t="shared" si="1"/>
        <v>1.193</v>
      </c>
      <c r="R17" s="51">
        <f t="shared" si="2"/>
        <v>11.73059361</v>
      </c>
      <c r="S17" s="52">
        <f t="shared" si="3"/>
        <v>0.2572498598</v>
      </c>
      <c r="T17" s="51">
        <f t="shared" si="4"/>
        <v>9.832852982</v>
      </c>
      <c r="U17" s="53">
        <f t="shared" si="5"/>
        <v>0.2156327408</v>
      </c>
      <c r="V17" s="52">
        <f t="shared" si="6"/>
        <v>0.2164402254</v>
      </c>
      <c r="W17" s="52">
        <f t="shared" si="7"/>
        <v>-0.003744721629</v>
      </c>
      <c r="X17" s="54">
        <f t="shared" si="8"/>
        <v>2.19</v>
      </c>
      <c r="Y17" s="52">
        <f t="shared" si="9"/>
        <v>0.563377193</v>
      </c>
      <c r="Z17" s="53">
        <f t="shared" si="10"/>
        <v>0.4722357024</v>
      </c>
      <c r="AA17" s="52">
        <f t="shared" si="11"/>
        <v>0.4728591787</v>
      </c>
      <c r="AB17" s="52">
        <f t="shared" si="12"/>
        <v>-0.001320264924</v>
      </c>
      <c r="AC17" s="55"/>
    </row>
    <row r="18">
      <c r="A18" s="32" t="s">
        <v>68</v>
      </c>
      <c r="B18" s="32">
        <v>236.0</v>
      </c>
      <c r="C18" s="33">
        <v>100.0</v>
      </c>
      <c r="D18" s="56">
        <v>45.6</v>
      </c>
      <c r="E18" s="33">
        <v>2804.0</v>
      </c>
      <c r="F18" s="35" t="s">
        <v>76</v>
      </c>
      <c r="G18" s="36">
        <v>-0.036</v>
      </c>
      <c r="H18" s="36"/>
      <c r="I18" s="36"/>
      <c r="J18" s="36"/>
      <c r="K18" s="36"/>
      <c r="L18" s="37">
        <v>0.082</v>
      </c>
      <c r="M18" s="36">
        <v>0.015</v>
      </c>
      <c r="N18" s="36">
        <v>0.15</v>
      </c>
      <c r="O18" s="36"/>
      <c r="P18" s="36"/>
      <c r="Q18" s="38">
        <f t="shared" si="1"/>
        <v>1.211</v>
      </c>
      <c r="R18" s="39">
        <f t="shared" si="2"/>
        <v>11.88135593</v>
      </c>
      <c r="S18" s="40">
        <f t="shared" si="3"/>
        <v>0.2605560511</v>
      </c>
      <c r="T18" s="39">
        <f t="shared" si="4"/>
        <v>9.811193999</v>
      </c>
      <c r="U18" s="41">
        <f t="shared" si="5"/>
        <v>0.2151577631</v>
      </c>
      <c r="V18" s="40">
        <f t="shared" si="6"/>
        <v>0.2159645941</v>
      </c>
      <c r="W18" s="40">
        <f t="shared" si="7"/>
        <v>-0.003749950587</v>
      </c>
      <c r="X18" s="42">
        <f t="shared" si="8"/>
        <v>2.36</v>
      </c>
      <c r="Y18" s="40">
        <f t="shared" si="9"/>
        <v>0.6149122807</v>
      </c>
      <c r="Z18" s="41">
        <f t="shared" si="10"/>
        <v>0.507772321</v>
      </c>
      <c r="AA18" s="40">
        <f t="shared" si="11"/>
        <v>0.5084453637</v>
      </c>
      <c r="AB18" s="40">
        <f t="shared" si="12"/>
        <v>-0.001325481252</v>
      </c>
      <c r="AC18" s="43"/>
    </row>
    <row r="19">
      <c r="A19" s="44" t="s">
        <v>68</v>
      </c>
      <c r="B19" s="44">
        <v>327.0</v>
      </c>
      <c r="C19" s="45">
        <v>100.0</v>
      </c>
      <c r="D19" s="57">
        <v>45.599999999999994</v>
      </c>
      <c r="E19" s="45">
        <v>3466.0</v>
      </c>
      <c r="F19" s="47" t="s">
        <v>69</v>
      </c>
      <c r="G19" s="48">
        <v>-0.043</v>
      </c>
      <c r="H19" s="48">
        <v>-0.01</v>
      </c>
      <c r="I19" s="48">
        <v>-0.1</v>
      </c>
      <c r="J19" s="48"/>
      <c r="K19" s="48"/>
      <c r="L19" s="49">
        <v>0.081</v>
      </c>
      <c r="M19" s="48">
        <v>0.015</v>
      </c>
      <c r="N19" s="48">
        <v>0.15</v>
      </c>
      <c r="O19" s="48"/>
      <c r="P19" s="48"/>
      <c r="Q19" s="50">
        <f t="shared" si="1"/>
        <v>1.093</v>
      </c>
      <c r="R19" s="51">
        <f t="shared" si="2"/>
        <v>10.59938838</v>
      </c>
      <c r="S19" s="52">
        <f t="shared" si="3"/>
        <v>0.2324427276</v>
      </c>
      <c r="T19" s="51">
        <f t="shared" si="4"/>
        <v>9.697519103</v>
      </c>
      <c r="U19" s="53">
        <f t="shared" si="5"/>
        <v>0.2126648926</v>
      </c>
      <c r="V19" s="52">
        <f t="shared" si="6"/>
        <v>0.2134536987</v>
      </c>
      <c r="W19" s="52">
        <f t="shared" si="7"/>
        <v>-0.003709150689</v>
      </c>
      <c r="X19" s="54">
        <f t="shared" si="8"/>
        <v>3.27</v>
      </c>
      <c r="Y19" s="52">
        <f t="shared" si="9"/>
        <v>0.7600877193</v>
      </c>
      <c r="Z19" s="53">
        <f t="shared" si="10"/>
        <v>0.6954141988</v>
      </c>
      <c r="AA19" s="52">
        <f t="shared" si="11"/>
        <v>0.696307653</v>
      </c>
      <c r="AB19" s="52">
        <f t="shared" si="12"/>
        <v>-0.001284779903</v>
      </c>
      <c r="AC19" s="55"/>
    </row>
    <row r="20">
      <c r="A20" s="32" t="s">
        <v>68</v>
      </c>
      <c r="B20" s="32">
        <v>380.0</v>
      </c>
      <c r="C20" s="33">
        <v>100.0</v>
      </c>
      <c r="D20" s="56">
        <v>45.0</v>
      </c>
      <c r="E20" s="33">
        <v>7463.0</v>
      </c>
      <c r="F20" s="35" t="s">
        <v>77</v>
      </c>
      <c r="G20" s="36">
        <v>-0.016</v>
      </c>
      <c r="H20" s="36">
        <v>-0.01</v>
      </c>
      <c r="I20" s="36"/>
      <c r="J20" s="36"/>
      <c r="K20" s="36"/>
      <c r="L20" s="37">
        <v>0.083</v>
      </c>
      <c r="M20" s="36">
        <v>0.15</v>
      </c>
      <c r="N20" s="36">
        <v>0.854</v>
      </c>
      <c r="O20" s="36"/>
      <c r="P20" s="36"/>
      <c r="Q20" s="38">
        <f t="shared" si="1"/>
        <v>2.061</v>
      </c>
      <c r="R20" s="39">
        <f t="shared" si="2"/>
        <v>19.63947368</v>
      </c>
      <c r="S20" s="40">
        <f t="shared" si="3"/>
        <v>0.4364327485</v>
      </c>
      <c r="T20" s="39">
        <f t="shared" si="4"/>
        <v>9.529099313</v>
      </c>
      <c r="U20" s="41">
        <f t="shared" si="5"/>
        <v>0.2117577625</v>
      </c>
      <c r="V20" s="40">
        <f t="shared" si="6"/>
        <v>0.212018033</v>
      </c>
      <c r="W20" s="40">
        <f t="shared" si="7"/>
        <v>-0.001229095356</v>
      </c>
      <c r="X20" s="42">
        <f t="shared" si="8"/>
        <v>3.8</v>
      </c>
      <c r="Y20" s="40">
        <f t="shared" si="9"/>
        <v>1.658444444</v>
      </c>
      <c r="Z20" s="41">
        <f t="shared" si="10"/>
        <v>0.8046794975</v>
      </c>
      <c r="AA20" s="40">
        <f t="shared" si="11"/>
        <v>0.8037225042</v>
      </c>
      <c r="AB20" s="40">
        <f t="shared" si="12"/>
        <v>0.001189285075</v>
      </c>
      <c r="AC20" s="43"/>
    </row>
    <row r="21">
      <c r="A21" s="44" t="s">
        <v>68</v>
      </c>
      <c r="B21" s="44">
        <v>388.0</v>
      </c>
      <c r="C21" s="45">
        <v>100.0</v>
      </c>
      <c r="D21" s="46">
        <v>45.0</v>
      </c>
      <c r="E21" s="45">
        <v>4406.0</v>
      </c>
      <c r="F21" s="47" t="s">
        <v>78</v>
      </c>
      <c r="G21" s="48">
        <v>-0.031</v>
      </c>
      <c r="H21" s="48">
        <v>-0.01</v>
      </c>
      <c r="I21" s="48"/>
      <c r="J21" s="48"/>
      <c r="K21" s="48"/>
      <c r="L21" s="49">
        <v>0.083</v>
      </c>
      <c r="M21" s="48">
        <v>0.15</v>
      </c>
      <c r="N21" s="48"/>
      <c r="O21" s="48"/>
      <c r="P21" s="48"/>
      <c r="Q21" s="50">
        <f t="shared" si="1"/>
        <v>1.192</v>
      </c>
      <c r="R21" s="51">
        <f t="shared" si="2"/>
        <v>11.3556701</v>
      </c>
      <c r="S21" s="52">
        <f t="shared" si="3"/>
        <v>0.2523482245</v>
      </c>
      <c r="T21" s="51">
        <f t="shared" si="4"/>
        <v>9.526568878</v>
      </c>
      <c r="U21" s="53">
        <f t="shared" si="5"/>
        <v>0.2117015306</v>
      </c>
      <c r="V21" s="52">
        <f t="shared" si="6"/>
        <v>0.2118030046</v>
      </c>
      <c r="W21" s="52">
        <f t="shared" si="7"/>
        <v>-0.0004793254528</v>
      </c>
      <c r="X21" s="54">
        <f t="shared" si="8"/>
        <v>3.88</v>
      </c>
      <c r="Y21" s="52">
        <f t="shared" si="9"/>
        <v>0.9791111111</v>
      </c>
      <c r="Z21" s="53">
        <f t="shared" si="10"/>
        <v>0.8214019389</v>
      </c>
      <c r="AA21" s="52">
        <f t="shared" si="11"/>
        <v>0.8198106829</v>
      </c>
      <c r="AB21" s="52">
        <f t="shared" si="12"/>
        <v>0.001937243976</v>
      </c>
      <c r="AC21" s="55"/>
    </row>
    <row r="22">
      <c r="A22" s="32" t="s">
        <v>68</v>
      </c>
      <c r="B22" s="32">
        <v>403.0</v>
      </c>
      <c r="C22" s="33">
        <v>100.0</v>
      </c>
      <c r="D22" s="34">
        <v>45.599999999999994</v>
      </c>
      <c r="E22" s="33">
        <v>4231.0</v>
      </c>
      <c r="F22" s="35" t="s">
        <v>69</v>
      </c>
      <c r="G22" s="36">
        <v>-0.043</v>
      </c>
      <c r="H22" s="36">
        <v>-0.01</v>
      </c>
      <c r="I22" s="36">
        <v>-0.1</v>
      </c>
      <c r="J22" s="36"/>
      <c r="K22" s="36"/>
      <c r="L22" s="37">
        <v>0.081</v>
      </c>
      <c r="M22" s="36">
        <v>0.015</v>
      </c>
      <c r="N22" s="36">
        <v>0.15</v>
      </c>
      <c r="O22" s="36"/>
      <c r="P22" s="36"/>
      <c r="Q22" s="38">
        <f t="shared" si="1"/>
        <v>1.093</v>
      </c>
      <c r="R22" s="39">
        <f t="shared" si="2"/>
        <v>10.49875931</v>
      </c>
      <c r="S22" s="40">
        <f t="shared" si="3"/>
        <v>0.2302359497</v>
      </c>
      <c r="T22" s="39">
        <f t="shared" si="4"/>
        <v>9.605452246</v>
      </c>
      <c r="U22" s="41">
        <f t="shared" si="5"/>
        <v>0.2106458826</v>
      </c>
      <c r="V22" s="40">
        <f t="shared" si="6"/>
        <v>0.2114009996</v>
      </c>
      <c r="W22" s="40">
        <f t="shared" si="7"/>
        <v>-0.003584769931</v>
      </c>
      <c r="X22" s="42">
        <f t="shared" si="8"/>
        <v>4.03</v>
      </c>
      <c r="Y22" s="40">
        <f t="shared" si="9"/>
        <v>0.9278508772</v>
      </c>
      <c r="Z22" s="41">
        <f t="shared" si="10"/>
        <v>0.8489029069</v>
      </c>
      <c r="AA22" s="40">
        <f t="shared" si="11"/>
        <v>0.8498882281</v>
      </c>
      <c r="AB22" s="40">
        <f t="shared" si="12"/>
        <v>-0.001160699575</v>
      </c>
      <c r="AC22" s="43"/>
    </row>
    <row r="23">
      <c r="A23" s="44" t="s">
        <v>68</v>
      </c>
      <c r="B23" s="44">
        <v>426.0</v>
      </c>
      <c r="C23" s="45">
        <v>100.0</v>
      </c>
      <c r="D23" s="46">
        <v>45.6</v>
      </c>
      <c r="E23" s="45">
        <v>4940.0</v>
      </c>
      <c r="F23" s="47" t="s">
        <v>76</v>
      </c>
      <c r="G23" s="48">
        <v>-0.036</v>
      </c>
      <c r="H23" s="48"/>
      <c r="I23" s="48"/>
      <c r="J23" s="48"/>
      <c r="K23" s="48"/>
      <c r="L23" s="49">
        <v>0.082</v>
      </c>
      <c r="M23" s="48">
        <v>0.015</v>
      </c>
      <c r="N23" s="48">
        <v>0.15</v>
      </c>
      <c r="O23" s="48"/>
      <c r="P23" s="48"/>
      <c r="Q23" s="50">
        <f t="shared" si="1"/>
        <v>1.211</v>
      </c>
      <c r="R23" s="51">
        <f t="shared" si="2"/>
        <v>11.59624413</v>
      </c>
      <c r="S23" s="52">
        <f t="shared" si="3"/>
        <v>0.2543035994</v>
      </c>
      <c r="T23" s="51">
        <f t="shared" si="4"/>
        <v>9.575758986</v>
      </c>
      <c r="U23" s="53">
        <f t="shared" si="5"/>
        <v>0.2099947146</v>
      </c>
      <c r="V23" s="52">
        <f t="shared" si="6"/>
        <v>0.2107875473</v>
      </c>
      <c r="W23" s="52">
        <f t="shared" si="7"/>
        <v>-0.003775488919</v>
      </c>
      <c r="X23" s="54">
        <f t="shared" si="8"/>
        <v>4.26</v>
      </c>
      <c r="Y23" s="52">
        <f t="shared" si="9"/>
        <v>1.083333333</v>
      </c>
      <c r="Z23" s="53">
        <f t="shared" si="10"/>
        <v>0.8945774842</v>
      </c>
      <c r="AA23" s="52">
        <f t="shared" si="11"/>
        <v>0.8957860207</v>
      </c>
      <c r="AB23" s="52">
        <f t="shared" si="12"/>
        <v>-0.001350957899</v>
      </c>
      <c r="AC23" s="55"/>
    </row>
    <row r="24">
      <c r="A24" s="32" t="s">
        <v>68</v>
      </c>
      <c r="B24" s="32">
        <v>476.0</v>
      </c>
      <c r="C24" s="33">
        <v>100.0</v>
      </c>
      <c r="D24" s="34">
        <f>15.2*3</f>
        <v>45.6</v>
      </c>
      <c r="E24" s="33">
        <v>4952.0</v>
      </c>
      <c r="F24" s="35" t="s">
        <v>69</v>
      </c>
      <c r="G24" s="36">
        <v>-0.043</v>
      </c>
      <c r="H24" s="36">
        <v>-0.01</v>
      </c>
      <c r="I24" s="36">
        <v>-0.1</v>
      </c>
      <c r="J24" s="36"/>
      <c r="K24" s="36"/>
      <c r="L24" s="37">
        <v>0.081</v>
      </c>
      <c r="M24" s="36">
        <v>0.015</v>
      </c>
      <c r="N24" s="36">
        <v>0.15</v>
      </c>
      <c r="O24" s="36"/>
      <c r="P24" s="36"/>
      <c r="Q24" s="38">
        <f t="shared" si="1"/>
        <v>1.093</v>
      </c>
      <c r="R24" s="39">
        <f t="shared" si="2"/>
        <v>10.40336134</v>
      </c>
      <c r="S24" s="40">
        <f t="shared" si="3"/>
        <v>0.2281438891</v>
      </c>
      <c r="T24" s="39">
        <f t="shared" si="4"/>
        <v>9.518171404</v>
      </c>
      <c r="U24" s="41">
        <f t="shared" si="5"/>
        <v>0.208731829</v>
      </c>
      <c r="V24" s="40">
        <f t="shared" si="6"/>
        <v>0.209466161</v>
      </c>
      <c r="W24" s="40">
        <f t="shared" si="7"/>
        <v>-0.003518064073</v>
      </c>
      <c r="X24" s="42">
        <f t="shared" si="8"/>
        <v>4.76</v>
      </c>
      <c r="Y24" s="40">
        <f t="shared" si="9"/>
        <v>1.085964912</v>
      </c>
      <c r="Z24" s="41">
        <f t="shared" si="10"/>
        <v>0.9935635062</v>
      </c>
      <c r="AA24" s="40">
        <f t="shared" si="11"/>
        <v>0.9946506185</v>
      </c>
      <c r="AB24" s="40">
        <f t="shared" si="12"/>
        <v>-0.001094154839</v>
      </c>
      <c r="AC24" s="43"/>
    </row>
    <row r="25">
      <c r="A25" s="44" t="s">
        <v>68</v>
      </c>
      <c r="B25" s="44">
        <v>521.0</v>
      </c>
      <c r="C25" s="45">
        <v>100.0</v>
      </c>
      <c r="D25" s="46">
        <v>45.6</v>
      </c>
      <c r="E25" s="45">
        <v>5970.0</v>
      </c>
      <c r="F25" s="47" t="s">
        <v>76</v>
      </c>
      <c r="G25" s="48">
        <v>-0.036</v>
      </c>
      <c r="H25" s="48"/>
      <c r="I25" s="48"/>
      <c r="J25" s="48"/>
      <c r="K25" s="48"/>
      <c r="L25" s="49">
        <v>0.082</v>
      </c>
      <c r="M25" s="48">
        <v>0.015</v>
      </c>
      <c r="N25" s="48">
        <v>0.15</v>
      </c>
      <c r="O25" s="48"/>
      <c r="P25" s="48"/>
      <c r="Q25" s="50">
        <f t="shared" si="1"/>
        <v>1.211</v>
      </c>
      <c r="R25" s="51">
        <f t="shared" si="2"/>
        <v>11.45873321</v>
      </c>
      <c r="S25" s="52">
        <f t="shared" si="3"/>
        <v>0.2512880089</v>
      </c>
      <c r="T25" s="51">
        <f t="shared" si="4"/>
        <v>9.462207436</v>
      </c>
      <c r="U25" s="53">
        <f t="shared" si="5"/>
        <v>0.207504549</v>
      </c>
      <c r="V25" s="52">
        <f t="shared" si="6"/>
        <v>0.2082909986</v>
      </c>
      <c r="W25" s="52">
        <f t="shared" si="7"/>
        <v>-0.003790035401</v>
      </c>
      <c r="X25" s="54">
        <f t="shared" si="8"/>
        <v>5.21</v>
      </c>
      <c r="Y25" s="52">
        <f t="shared" si="9"/>
        <v>1.309210526</v>
      </c>
      <c r="Z25" s="53">
        <f t="shared" si="10"/>
        <v>1.081098701</v>
      </c>
      <c r="AA25" s="52">
        <f t="shared" si="11"/>
        <v>1.082574908</v>
      </c>
      <c r="AB25" s="52">
        <f t="shared" si="12"/>
        <v>-0.001365469245</v>
      </c>
      <c r="AC25" s="55"/>
    </row>
    <row r="26">
      <c r="A26" s="32" t="s">
        <v>68</v>
      </c>
      <c r="B26" s="32">
        <v>713.0</v>
      </c>
      <c r="C26" s="33">
        <v>100.0</v>
      </c>
      <c r="D26" s="56">
        <v>45.6</v>
      </c>
      <c r="E26" s="33">
        <v>7980.0</v>
      </c>
      <c r="F26" s="35" t="s">
        <v>76</v>
      </c>
      <c r="G26" s="36">
        <v>-0.036</v>
      </c>
      <c r="H26" s="36"/>
      <c r="I26" s="36"/>
      <c r="J26" s="36"/>
      <c r="K26" s="36"/>
      <c r="L26" s="37">
        <v>0.082</v>
      </c>
      <c r="M26" s="36">
        <v>0.015</v>
      </c>
      <c r="N26" s="36">
        <v>0.15</v>
      </c>
      <c r="O26" s="36"/>
      <c r="P26" s="36"/>
      <c r="Q26" s="38">
        <f t="shared" si="1"/>
        <v>1.211</v>
      </c>
      <c r="R26" s="39">
        <f t="shared" si="2"/>
        <v>11.19214586</v>
      </c>
      <c r="S26" s="40">
        <f t="shared" si="3"/>
        <v>0.2454417952</v>
      </c>
      <c r="T26" s="39">
        <f t="shared" si="4"/>
        <v>9.242069251</v>
      </c>
      <c r="U26" s="41">
        <f t="shared" si="5"/>
        <v>0.2026769573</v>
      </c>
      <c r="V26" s="40">
        <f t="shared" si="6"/>
        <v>0.2034216608</v>
      </c>
      <c r="W26" s="40">
        <f t="shared" si="7"/>
        <v>-0.00367433743</v>
      </c>
      <c r="X26" s="42">
        <f t="shared" si="8"/>
        <v>7.13</v>
      </c>
      <c r="Y26" s="40">
        <f t="shared" si="9"/>
        <v>1.75</v>
      </c>
      <c r="Z26" s="41">
        <f t="shared" si="10"/>
        <v>1.445086705</v>
      </c>
      <c r="AA26" s="40">
        <f t="shared" si="11"/>
        <v>1.446893137</v>
      </c>
      <c r="AB26" s="40">
        <f t="shared" si="12"/>
        <v>-0.001250050733</v>
      </c>
      <c r="AC26" s="43"/>
    </row>
    <row r="27">
      <c r="A27" s="44" t="s">
        <v>68</v>
      </c>
      <c r="B27" s="44">
        <v>1376.0</v>
      </c>
      <c r="C27" s="45">
        <v>100.0</v>
      </c>
      <c r="D27" s="46">
        <v>45.6</v>
      </c>
      <c r="E27" s="45">
        <v>13687.0</v>
      </c>
      <c r="F27" s="47" t="s">
        <v>79</v>
      </c>
      <c r="G27" s="48">
        <v>-0.074</v>
      </c>
      <c r="H27" s="48">
        <v>-0.01</v>
      </c>
      <c r="I27" s="48"/>
      <c r="J27" s="48"/>
      <c r="K27" s="48"/>
      <c r="L27" s="49">
        <v>0.082</v>
      </c>
      <c r="M27" s="48">
        <v>0.015</v>
      </c>
      <c r="N27" s="48">
        <v>0.15</v>
      </c>
      <c r="O27" s="48"/>
      <c r="P27" s="48"/>
      <c r="Q27" s="50">
        <f t="shared" si="1"/>
        <v>1.163</v>
      </c>
      <c r="R27" s="51">
        <f t="shared" si="2"/>
        <v>9.946947674</v>
      </c>
      <c r="S27" s="52">
        <f t="shared" si="3"/>
        <v>0.2181348174</v>
      </c>
      <c r="T27" s="51">
        <f t="shared" si="4"/>
        <v>8.55283549</v>
      </c>
      <c r="U27" s="53">
        <f t="shared" si="5"/>
        <v>0.1875621818</v>
      </c>
      <c r="V27" s="52">
        <f t="shared" si="6"/>
        <v>0.1882269153</v>
      </c>
      <c r="W27" s="52">
        <f t="shared" si="7"/>
        <v>-0.003544069924</v>
      </c>
      <c r="X27" s="54">
        <f t="shared" si="8"/>
        <v>13.76</v>
      </c>
      <c r="Y27" s="52">
        <f t="shared" si="9"/>
        <v>3.001535088</v>
      </c>
      <c r="Z27" s="53">
        <f t="shared" si="10"/>
        <v>2.580855621</v>
      </c>
      <c r="AA27" s="52">
        <f t="shared" si="11"/>
        <v>2.583746432</v>
      </c>
      <c r="AB27" s="52">
        <f t="shared" si="12"/>
        <v>-0.001120097876</v>
      </c>
      <c r="AC27" s="55"/>
    </row>
    <row r="28">
      <c r="A28" s="32" t="s">
        <v>68</v>
      </c>
      <c r="B28" s="32">
        <v>1415.0</v>
      </c>
      <c r="C28" s="33">
        <v>100.0</v>
      </c>
      <c r="D28" s="56">
        <v>45.6</v>
      </c>
      <c r="E28" s="33">
        <v>14470.0</v>
      </c>
      <c r="F28" s="35" t="s">
        <v>79</v>
      </c>
      <c r="G28" s="36">
        <v>-0.036</v>
      </c>
      <c r="H28" s="36">
        <v>-0.01</v>
      </c>
      <c r="I28" s="36"/>
      <c r="J28" s="36"/>
      <c r="K28" s="36"/>
      <c r="L28" s="37">
        <v>0.082</v>
      </c>
      <c r="M28" s="36">
        <v>0.015</v>
      </c>
      <c r="N28" s="36">
        <v>0.15</v>
      </c>
      <c r="O28" s="36"/>
      <c r="P28" s="36"/>
      <c r="Q28" s="38">
        <f t="shared" si="1"/>
        <v>1.201</v>
      </c>
      <c r="R28" s="39">
        <f t="shared" si="2"/>
        <v>10.22614841</v>
      </c>
      <c r="S28" s="40">
        <f t="shared" si="3"/>
        <v>0.2242576406</v>
      </c>
      <c r="T28" s="39">
        <f t="shared" si="4"/>
        <v>8.514694763</v>
      </c>
      <c r="U28" s="41">
        <f t="shared" si="5"/>
        <v>0.1867257623</v>
      </c>
      <c r="V28" s="40">
        <f t="shared" si="6"/>
        <v>0.1874034885</v>
      </c>
      <c r="W28" s="40">
        <f t="shared" si="7"/>
        <v>-0.003629526832</v>
      </c>
      <c r="X28" s="42">
        <f t="shared" si="8"/>
        <v>14.15</v>
      </c>
      <c r="Y28" s="40">
        <f t="shared" si="9"/>
        <v>3.173245614</v>
      </c>
      <c r="Z28" s="41">
        <f t="shared" si="10"/>
        <v>2.642169537</v>
      </c>
      <c r="AA28" s="40">
        <f t="shared" si="11"/>
        <v>2.645354272</v>
      </c>
      <c r="AB28" s="40">
        <f t="shared" si="12"/>
        <v>-0.00120534837</v>
      </c>
      <c r="AC28" s="43"/>
    </row>
    <row r="29">
      <c r="A29" s="44" t="s">
        <v>68</v>
      </c>
      <c r="B29" s="44">
        <v>1436.0</v>
      </c>
      <c r="C29" s="45">
        <v>100.0</v>
      </c>
      <c r="D29" s="46">
        <v>45.6</v>
      </c>
      <c r="E29" s="45">
        <v>14188.0</v>
      </c>
      <c r="F29" s="47" t="s">
        <v>79</v>
      </c>
      <c r="G29" s="48">
        <v>-0.074</v>
      </c>
      <c r="H29" s="48">
        <v>-0.01</v>
      </c>
      <c r="I29" s="48"/>
      <c r="J29" s="48"/>
      <c r="K29" s="48"/>
      <c r="L29" s="49">
        <v>0.082</v>
      </c>
      <c r="M29" s="48">
        <v>0.015</v>
      </c>
      <c r="N29" s="48">
        <v>0.15</v>
      </c>
      <c r="O29" s="48"/>
      <c r="P29" s="48"/>
      <c r="Q29" s="50">
        <f t="shared" si="1"/>
        <v>1.163</v>
      </c>
      <c r="R29" s="51">
        <f t="shared" si="2"/>
        <v>9.880222841</v>
      </c>
      <c r="S29" s="52">
        <f t="shared" si="3"/>
        <v>0.2166715535</v>
      </c>
      <c r="T29" s="51">
        <f t="shared" si="4"/>
        <v>8.49546246</v>
      </c>
      <c r="U29" s="53">
        <f t="shared" si="5"/>
        <v>0.1863040013</v>
      </c>
      <c r="V29" s="52">
        <f t="shared" si="6"/>
        <v>0.1869630819</v>
      </c>
      <c r="W29" s="52">
        <f t="shared" si="7"/>
        <v>-0.003537662051</v>
      </c>
      <c r="X29" s="54">
        <f t="shared" si="8"/>
        <v>14.36</v>
      </c>
      <c r="Y29" s="52">
        <f t="shared" si="9"/>
        <v>3.111403509</v>
      </c>
      <c r="Z29" s="53">
        <f t="shared" si="10"/>
        <v>2.675325459</v>
      </c>
      <c r="AA29" s="52">
        <f t="shared" si="11"/>
        <v>2.678304984</v>
      </c>
      <c r="AB29" s="52">
        <f t="shared" si="12"/>
        <v>-0.00111370548</v>
      </c>
      <c r="AC29" s="55"/>
    </row>
    <row r="30">
      <c r="A30" s="32" t="s">
        <v>68</v>
      </c>
      <c r="B30" s="32">
        <v>1690.0</v>
      </c>
      <c r="C30" s="33">
        <v>100.0</v>
      </c>
      <c r="D30" s="56">
        <v>45.6</v>
      </c>
      <c r="E30" s="33">
        <v>16236.0</v>
      </c>
      <c r="F30" s="35" t="s">
        <v>79</v>
      </c>
      <c r="G30" s="36">
        <v>-0.074</v>
      </c>
      <c r="H30" s="36">
        <v>-0.01</v>
      </c>
      <c r="I30" s="36"/>
      <c r="J30" s="36"/>
      <c r="K30" s="36"/>
      <c r="L30" s="37">
        <v>0.082</v>
      </c>
      <c r="M30" s="36">
        <v>0.015</v>
      </c>
      <c r="N30" s="36">
        <v>0.15</v>
      </c>
      <c r="O30" s="36"/>
      <c r="P30" s="36"/>
      <c r="Q30" s="38">
        <f t="shared" si="1"/>
        <v>1.163</v>
      </c>
      <c r="R30" s="39">
        <f t="shared" si="2"/>
        <v>9.607100592</v>
      </c>
      <c r="S30" s="40">
        <f t="shared" si="3"/>
        <v>0.2106820305</v>
      </c>
      <c r="T30" s="39">
        <f t="shared" si="4"/>
        <v>8.260619597</v>
      </c>
      <c r="U30" s="41">
        <f t="shared" si="5"/>
        <v>0.1811539385</v>
      </c>
      <c r="V30" s="40">
        <f t="shared" si="6"/>
        <v>0.1817956583</v>
      </c>
      <c r="W30" s="40">
        <f t="shared" si="7"/>
        <v>-0.003542400409</v>
      </c>
      <c r="X30" s="42">
        <f t="shared" si="8"/>
        <v>16.9</v>
      </c>
      <c r="Y30" s="40">
        <f t="shared" si="9"/>
        <v>3.560526316</v>
      </c>
      <c r="Z30" s="41">
        <f t="shared" si="10"/>
        <v>3.061501561</v>
      </c>
      <c r="AA30" s="40">
        <f t="shared" si="11"/>
        <v>3.064925644</v>
      </c>
      <c r="AB30" s="40">
        <f t="shared" si="12"/>
        <v>-0.001118432393</v>
      </c>
      <c r="AC30" s="58"/>
    </row>
    <row r="31">
      <c r="A31" s="44" t="s">
        <v>68</v>
      </c>
      <c r="B31" s="44">
        <v>1695.0</v>
      </c>
      <c r="C31" s="45">
        <v>100.0</v>
      </c>
      <c r="D31" s="46">
        <v>45.6</v>
      </c>
      <c r="E31" s="45">
        <v>16569.0</v>
      </c>
      <c r="F31" s="47" t="s">
        <v>74</v>
      </c>
      <c r="G31" s="48">
        <v>-0.053</v>
      </c>
      <c r="H31" s="48">
        <v>-0.01</v>
      </c>
      <c r="I31" s="48"/>
      <c r="J31" s="48"/>
      <c r="K31" s="48"/>
      <c r="L31" s="49">
        <v>0.082</v>
      </c>
      <c r="M31" s="48">
        <v>0.015</v>
      </c>
      <c r="N31" s="48">
        <v>0.15</v>
      </c>
      <c r="O31" s="48"/>
      <c r="P31" s="48"/>
      <c r="Q31" s="50">
        <f t="shared" si="1"/>
        <v>1.184</v>
      </c>
      <c r="R31" s="51">
        <f t="shared" si="2"/>
        <v>9.775221239</v>
      </c>
      <c r="S31" s="52">
        <f t="shared" si="3"/>
        <v>0.2143688868</v>
      </c>
      <c r="T31" s="51">
        <f t="shared" si="4"/>
        <v>8.256099019</v>
      </c>
      <c r="U31" s="53">
        <f t="shared" si="5"/>
        <v>0.1810548031</v>
      </c>
      <c r="V31" s="52">
        <f t="shared" si="6"/>
        <v>0.1816968026</v>
      </c>
      <c r="W31" s="52">
        <f t="shared" si="7"/>
        <v>-0.003545885239</v>
      </c>
      <c r="X31" s="54">
        <f t="shared" si="8"/>
        <v>16.95</v>
      </c>
      <c r="Y31" s="52">
        <f t="shared" si="9"/>
        <v>3.633552632</v>
      </c>
      <c r="Z31" s="53">
        <f t="shared" si="10"/>
        <v>3.068878912</v>
      </c>
      <c r="AA31" s="52">
        <f t="shared" si="11"/>
        <v>3.072321914</v>
      </c>
      <c r="AB31" s="52">
        <f t="shared" si="12"/>
        <v>-0.001121908806</v>
      </c>
      <c r="AC31" s="59"/>
    </row>
    <row r="32">
      <c r="A32" s="32" t="s">
        <v>68</v>
      </c>
      <c r="B32" s="32">
        <v>1827.0</v>
      </c>
      <c r="C32" s="33">
        <v>100.0</v>
      </c>
      <c r="D32" s="56">
        <v>45.6</v>
      </c>
      <c r="E32" s="33">
        <v>17858.0</v>
      </c>
      <c r="F32" s="35" t="s">
        <v>79</v>
      </c>
      <c r="G32" s="36">
        <v>-0.036</v>
      </c>
      <c r="H32" s="36">
        <v>-0.01</v>
      </c>
      <c r="I32" s="36"/>
      <c r="J32" s="36"/>
      <c r="K32" s="36"/>
      <c r="L32" s="37">
        <v>0.082</v>
      </c>
      <c r="M32" s="36">
        <v>0.015</v>
      </c>
      <c r="N32" s="36">
        <v>0.15</v>
      </c>
      <c r="O32" s="36"/>
      <c r="P32" s="36"/>
      <c r="Q32" s="38">
        <f t="shared" si="1"/>
        <v>1.201</v>
      </c>
      <c r="R32" s="39">
        <f t="shared" si="2"/>
        <v>9.774493706</v>
      </c>
      <c r="S32" s="40">
        <f t="shared" si="3"/>
        <v>0.2143529321</v>
      </c>
      <c r="T32" s="39">
        <f t="shared" si="4"/>
        <v>8.13862923</v>
      </c>
      <c r="U32" s="41">
        <f t="shared" si="5"/>
        <v>0.1784787112</v>
      </c>
      <c r="V32" s="40">
        <f t="shared" si="6"/>
        <v>0.1791253458</v>
      </c>
      <c r="W32" s="40">
        <f t="shared" si="7"/>
        <v>-0.003623034794</v>
      </c>
      <c r="X32" s="42">
        <f t="shared" si="8"/>
        <v>18.27</v>
      </c>
      <c r="Y32" s="40">
        <f t="shared" si="9"/>
        <v>3.91622807</v>
      </c>
      <c r="Z32" s="41">
        <f t="shared" si="10"/>
        <v>3.260806053</v>
      </c>
      <c r="AA32" s="40">
        <f t="shared" si="11"/>
        <v>3.264715343</v>
      </c>
      <c r="AB32" s="40">
        <f t="shared" si="12"/>
        <v>-0.001198872013</v>
      </c>
      <c r="AC32" s="43"/>
    </row>
    <row r="33">
      <c r="A33" s="44" t="s">
        <v>68</v>
      </c>
      <c r="B33" s="44">
        <v>1913.0</v>
      </c>
      <c r="C33" s="45">
        <v>100.0</v>
      </c>
      <c r="D33" s="46">
        <v>45.6</v>
      </c>
      <c r="E33" s="45">
        <v>18267.0</v>
      </c>
      <c r="F33" s="47" t="s">
        <v>74</v>
      </c>
      <c r="G33" s="48">
        <v>-0.053</v>
      </c>
      <c r="H33" s="48">
        <v>-0.01</v>
      </c>
      <c r="I33" s="48"/>
      <c r="J33" s="48"/>
      <c r="K33" s="48"/>
      <c r="L33" s="49">
        <v>0.082</v>
      </c>
      <c r="M33" s="48">
        <v>0.015</v>
      </c>
      <c r="N33" s="48">
        <v>0.15</v>
      </c>
      <c r="O33" s="48"/>
      <c r="P33" s="48"/>
      <c r="Q33" s="50">
        <f t="shared" si="1"/>
        <v>1.184</v>
      </c>
      <c r="R33" s="51">
        <f t="shared" si="2"/>
        <v>9.548876111</v>
      </c>
      <c r="S33" s="52">
        <f t="shared" si="3"/>
        <v>0.2094051779</v>
      </c>
      <c r="T33" s="51">
        <f t="shared" si="4"/>
        <v>8.064929148</v>
      </c>
      <c r="U33" s="53">
        <f t="shared" si="5"/>
        <v>0.1768624813</v>
      </c>
      <c r="V33" s="52">
        <f t="shared" si="6"/>
        <v>0.1774888027</v>
      </c>
      <c r="W33" s="52">
        <f t="shared" si="7"/>
        <v>-0.003541290424</v>
      </c>
      <c r="X33" s="54">
        <f t="shared" si="8"/>
        <v>19.13</v>
      </c>
      <c r="Y33" s="52">
        <f t="shared" si="9"/>
        <v>4.005921053</v>
      </c>
      <c r="Z33" s="53">
        <f t="shared" si="10"/>
        <v>3.383379267</v>
      </c>
      <c r="AA33" s="52">
        <f t="shared" si="11"/>
        <v>3.387159602</v>
      </c>
      <c r="AB33" s="52">
        <f t="shared" si="12"/>
        <v>-0.00111732509</v>
      </c>
      <c r="AC33" s="55"/>
    </row>
    <row r="34">
      <c r="A34" s="32" t="s">
        <v>68</v>
      </c>
      <c r="B34" s="32">
        <v>1983.0</v>
      </c>
      <c r="C34" s="33">
        <v>100.0</v>
      </c>
      <c r="D34" s="56">
        <v>45.6</v>
      </c>
      <c r="E34" s="33">
        <v>18463.0</v>
      </c>
      <c r="F34" s="35" t="s">
        <v>80</v>
      </c>
      <c r="G34" s="36">
        <v>-0.074</v>
      </c>
      <c r="H34" s="36">
        <v>-0.01</v>
      </c>
      <c r="I34" s="36"/>
      <c r="J34" s="36"/>
      <c r="K34" s="36"/>
      <c r="L34" s="37">
        <v>0.082</v>
      </c>
      <c r="M34" s="36">
        <v>0.015</v>
      </c>
      <c r="N34" s="36">
        <v>0.15</v>
      </c>
      <c r="O34" s="36"/>
      <c r="P34" s="36"/>
      <c r="Q34" s="38">
        <f t="shared" si="1"/>
        <v>1.163</v>
      </c>
      <c r="R34" s="39">
        <f t="shared" si="2"/>
        <v>9.310640444</v>
      </c>
      <c r="S34" s="40">
        <f t="shared" si="3"/>
        <v>0.2041807115</v>
      </c>
      <c r="T34" s="39">
        <f t="shared" si="4"/>
        <v>8.005709754</v>
      </c>
      <c r="U34" s="41">
        <f t="shared" si="5"/>
        <v>0.1755638104</v>
      </c>
      <c r="V34" s="40">
        <f t="shared" si="6"/>
        <v>0.176178646</v>
      </c>
      <c r="W34" s="40">
        <f t="shared" si="7"/>
        <v>-0.003502063463</v>
      </c>
      <c r="X34" s="42">
        <f t="shared" si="8"/>
        <v>19.83</v>
      </c>
      <c r="Y34" s="40">
        <f t="shared" si="9"/>
        <v>4.048903509</v>
      </c>
      <c r="Z34" s="41">
        <f t="shared" si="10"/>
        <v>3.48143036</v>
      </c>
      <c r="AA34" s="40">
        <f t="shared" si="11"/>
        <v>3.485184013</v>
      </c>
      <c r="AB34" s="40">
        <f t="shared" si="12"/>
        <v>-0.001078192878</v>
      </c>
      <c r="AC34" s="43"/>
    </row>
    <row r="35">
      <c r="A35" s="44" t="s">
        <v>68</v>
      </c>
      <c r="B35" s="44">
        <v>2017.0</v>
      </c>
      <c r="C35" s="45">
        <v>100.0</v>
      </c>
      <c r="D35" s="46">
        <f>15*3</f>
        <v>45</v>
      </c>
      <c r="E35" s="45">
        <v>6014.0</v>
      </c>
      <c r="F35" s="47" t="s">
        <v>81</v>
      </c>
      <c r="G35" s="48">
        <v>-0.174</v>
      </c>
      <c r="H35" s="48">
        <v>-0.14</v>
      </c>
      <c r="I35" s="48">
        <v>-0.1</v>
      </c>
      <c r="J35" s="48">
        <v>-0.15</v>
      </c>
      <c r="K35" s="48"/>
      <c r="L35" s="49">
        <v>0.1</v>
      </c>
      <c r="M35" s="48">
        <v>0.15</v>
      </c>
      <c r="N35" s="48"/>
      <c r="O35" s="48">
        <v>-0.311</v>
      </c>
      <c r="P35" s="48"/>
      <c r="Q35" s="50">
        <f t="shared" si="1"/>
        <v>0.375</v>
      </c>
      <c r="R35" s="51">
        <f t="shared" si="2"/>
        <v>2.981655925</v>
      </c>
      <c r="S35" s="52">
        <f t="shared" si="3"/>
        <v>0.06625902055</v>
      </c>
      <c r="T35" s="51">
        <f t="shared" si="4"/>
        <v>7.951082466</v>
      </c>
      <c r="U35" s="53">
        <f t="shared" si="5"/>
        <v>0.1766907215</v>
      </c>
      <c r="V35" s="52">
        <f t="shared" si="6"/>
        <v>0.1755492382</v>
      </c>
      <c r="W35" s="52">
        <f t="shared" si="7"/>
        <v>0.006460346335</v>
      </c>
      <c r="X35" s="54">
        <f t="shared" si="8"/>
        <v>20.17</v>
      </c>
      <c r="Y35" s="52">
        <f t="shared" si="9"/>
        <v>1.336444444</v>
      </c>
      <c r="Z35" s="53">
        <f t="shared" si="10"/>
        <v>3.563851852</v>
      </c>
      <c r="AA35" s="52">
        <f t="shared" si="11"/>
        <v>3.532275577</v>
      </c>
      <c r="AB35" s="52">
        <f t="shared" si="12"/>
        <v>0.0088601536</v>
      </c>
      <c r="AC35" s="55"/>
    </row>
    <row r="36">
      <c r="A36" s="32" t="s">
        <v>68</v>
      </c>
      <c r="B36" s="32">
        <v>2081.0</v>
      </c>
      <c r="C36" s="33">
        <v>100.0</v>
      </c>
      <c r="D36" s="56">
        <v>45.6</v>
      </c>
      <c r="E36" s="33">
        <v>19802.0</v>
      </c>
      <c r="F36" s="35" t="s">
        <v>79</v>
      </c>
      <c r="G36" s="36">
        <v>-0.036</v>
      </c>
      <c r="H36" s="36">
        <v>-0.01</v>
      </c>
      <c r="I36" s="36"/>
      <c r="J36" s="36"/>
      <c r="K36" s="36"/>
      <c r="L36" s="37">
        <v>0.082</v>
      </c>
      <c r="M36" s="36">
        <v>0.015</v>
      </c>
      <c r="N36" s="36">
        <v>0.15</v>
      </c>
      <c r="O36" s="36"/>
      <c r="P36" s="36"/>
      <c r="Q36" s="38">
        <f t="shared" si="1"/>
        <v>1.201</v>
      </c>
      <c r="R36" s="39">
        <f t="shared" si="2"/>
        <v>9.515617492</v>
      </c>
      <c r="S36" s="40">
        <f t="shared" si="3"/>
        <v>0.2086758222</v>
      </c>
      <c r="T36" s="39">
        <f t="shared" si="4"/>
        <v>7.923078677</v>
      </c>
      <c r="U36" s="41">
        <f t="shared" si="5"/>
        <v>0.1737517254</v>
      </c>
      <c r="V36" s="40">
        <f t="shared" si="6"/>
        <v>0.1743765891</v>
      </c>
      <c r="W36" s="40">
        <f t="shared" si="7"/>
        <v>-0.003596302132</v>
      </c>
      <c r="X36" s="42">
        <f t="shared" si="8"/>
        <v>20.81</v>
      </c>
      <c r="Y36" s="40">
        <f t="shared" si="9"/>
        <v>4.34254386</v>
      </c>
      <c r="Z36" s="41">
        <f t="shared" si="10"/>
        <v>3.615773405</v>
      </c>
      <c r="AA36" s="40">
        <f t="shared" si="11"/>
        <v>3.620011829</v>
      </c>
      <c r="AB36" s="40">
        <f t="shared" si="12"/>
        <v>-0.001172203921</v>
      </c>
      <c r="AC36" s="43"/>
    </row>
    <row r="37">
      <c r="A37" s="44" t="s">
        <v>68</v>
      </c>
      <c r="B37" s="44">
        <v>2487.0</v>
      </c>
      <c r="C37" s="45">
        <v>100.0</v>
      </c>
      <c r="D37" s="46">
        <f>17*3</f>
        <v>51</v>
      </c>
      <c r="E37" s="45">
        <v>23099.0</v>
      </c>
      <c r="F37" s="47" t="s">
        <v>82</v>
      </c>
      <c r="G37" s="48">
        <v>-0.119</v>
      </c>
      <c r="H37" s="48">
        <v>-0.045</v>
      </c>
      <c r="I37" s="48"/>
      <c r="J37" s="48"/>
      <c r="K37" s="48"/>
      <c r="L37" s="49">
        <v>0.09</v>
      </c>
      <c r="M37" s="48">
        <v>0.15</v>
      </c>
      <c r="N37" s="48">
        <v>0.163</v>
      </c>
      <c r="O37" s="48">
        <v>-0.15</v>
      </c>
      <c r="P37" s="48"/>
      <c r="Q37" s="50">
        <f t="shared" si="1"/>
        <v>1.089</v>
      </c>
      <c r="R37" s="51">
        <f t="shared" si="2"/>
        <v>9.287897065</v>
      </c>
      <c r="S37" s="52">
        <f t="shared" si="3"/>
        <v>0.1821156287</v>
      </c>
      <c r="T37" s="51">
        <f t="shared" si="4"/>
        <v>8.528831097</v>
      </c>
      <c r="U37" s="53">
        <f t="shared" si="5"/>
        <v>0.1672319823</v>
      </c>
      <c r="V37" s="52">
        <f t="shared" si="6"/>
        <v>0.167287684</v>
      </c>
      <c r="W37" s="52">
        <f t="shared" si="7"/>
        <v>-0.0003330803859</v>
      </c>
      <c r="X37" s="54">
        <f t="shared" si="8"/>
        <v>24.87</v>
      </c>
      <c r="Y37" s="52">
        <f t="shared" si="9"/>
        <v>4.529215686</v>
      </c>
      <c r="Z37" s="53">
        <f t="shared" si="10"/>
        <v>4.1590594</v>
      </c>
      <c r="AA37" s="52">
        <f t="shared" si="11"/>
        <v>4.150395514</v>
      </c>
      <c r="AB37" s="52">
        <f t="shared" si="12"/>
        <v>0.002083135801</v>
      </c>
      <c r="AC37" s="55"/>
    </row>
    <row r="38">
      <c r="A38" s="32" t="s">
        <v>68</v>
      </c>
      <c r="B38" s="32">
        <v>2538.0</v>
      </c>
      <c r="C38" s="33">
        <v>100.0</v>
      </c>
      <c r="D38" s="56">
        <v>45.0</v>
      </c>
      <c r="E38" s="33">
        <v>17912.0</v>
      </c>
      <c r="F38" s="35" t="s">
        <v>83</v>
      </c>
      <c r="G38" s="36">
        <v>-0.085</v>
      </c>
      <c r="H38" s="36">
        <v>-0.02</v>
      </c>
      <c r="I38" s="36">
        <v>-0.1</v>
      </c>
      <c r="J38" s="36"/>
      <c r="K38" s="36">
        <v>-0.1</v>
      </c>
      <c r="L38" s="37">
        <v>0.082</v>
      </c>
      <c r="M38" s="36">
        <v>0.015</v>
      </c>
      <c r="N38" s="36">
        <v>0.15</v>
      </c>
      <c r="O38" s="36"/>
      <c r="P38" s="36"/>
      <c r="Q38" s="38">
        <f t="shared" si="1"/>
        <v>0.942</v>
      </c>
      <c r="R38" s="39">
        <f t="shared" si="2"/>
        <v>7.057525611</v>
      </c>
      <c r="S38" s="40">
        <f t="shared" si="3"/>
        <v>0.1568339025</v>
      </c>
      <c r="T38" s="39">
        <f t="shared" si="4"/>
        <v>7.492065404</v>
      </c>
      <c r="U38" s="41">
        <f t="shared" si="5"/>
        <v>0.1664903423</v>
      </c>
      <c r="V38" s="40">
        <f t="shared" si="6"/>
        <v>0.1664377466</v>
      </c>
      <c r="W38" s="40">
        <f t="shared" si="7"/>
        <v>0.0003159087238</v>
      </c>
      <c r="X38" s="42">
        <f t="shared" si="8"/>
        <v>25.38</v>
      </c>
      <c r="Y38" s="40">
        <f t="shared" si="9"/>
        <v>3.980444444</v>
      </c>
      <c r="Z38" s="41">
        <f t="shared" si="10"/>
        <v>4.225524888</v>
      </c>
      <c r="AA38" s="40">
        <f t="shared" si="11"/>
        <v>4.21398685</v>
      </c>
      <c r="AB38" s="40">
        <f t="shared" si="12"/>
        <v>0.002730557335</v>
      </c>
      <c r="AC38" s="43"/>
    </row>
    <row r="39">
      <c r="A39" s="44" t="s">
        <v>68</v>
      </c>
      <c r="B39" s="44">
        <v>2610.0</v>
      </c>
      <c r="C39" s="45">
        <v>100.0</v>
      </c>
      <c r="D39" s="46">
        <f>17*3</f>
        <v>51</v>
      </c>
      <c r="E39" s="45">
        <v>20370.0</v>
      </c>
      <c r="F39" s="47" t="s">
        <v>84</v>
      </c>
      <c r="G39" s="48">
        <v>-0.119</v>
      </c>
      <c r="H39" s="48">
        <v>-0.045</v>
      </c>
      <c r="I39" s="48"/>
      <c r="J39" s="48"/>
      <c r="K39" s="48"/>
      <c r="L39" s="49">
        <v>0.09</v>
      </c>
      <c r="M39" s="48">
        <v>0.15</v>
      </c>
      <c r="N39" s="48"/>
      <c r="O39" s="48">
        <v>-0.15</v>
      </c>
      <c r="P39" s="48"/>
      <c r="Q39" s="50">
        <f t="shared" si="1"/>
        <v>0.926</v>
      </c>
      <c r="R39" s="51">
        <f t="shared" si="2"/>
        <v>7.804597701</v>
      </c>
      <c r="S39" s="52">
        <f t="shared" si="3"/>
        <v>0.1530313275</v>
      </c>
      <c r="T39" s="51">
        <f t="shared" si="4"/>
        <v>8.428291254</v>
      </c>
      <c r="U39" s="53">
        <f t="shared" si="5"/>
        <v>0.1652606128</v>
      </c>
      <c r="V39" s="52">
        <f t="shared" si="6"/>
        <v>0.1652524332</v>
      </c>
      <c r="W39" s="52">
        <f t="shared" si="7"/>
        <v>0.00004949508424</v>
      </c>
      <c r="X39" s="54">
        <f t="shared" si="8"/>
        <v>26.1</v>
      </c>
      <c r="Y39" s="52">
        <f t="shared" si="9"/>
        <v>3.994117647</v>
      </c>
      <c r="Z39" s="53">
        <f t="shared" si="10"/>
        <v>4.313301995</v>
      </c>
      <c r="AA39" s="52">
        <f t="shared" si="11"/>
        <v>4.302670623</v>
      </c>
      <c r="AB39" s="52">
        <f t="shared" si="12"/>
        <v>0.002464787194</v>
      </c>
      <c r="AC39" s="55"/>
    </row>
    <row r="40">
      <c r="A40" s="32" t="s">
        <v>68</v>
      </c>
      <c r="B40" s="32">
        <v>2674.0</v>
      </c>
      <c r="C40" s="33">
        <v>100.0</v>
      </c>
      <c r="D40" s="56">
        <f>15*3</f>
        <v>45</v>
      </c>
      <c r="E40" s="33">
        <v>10816.0</v>
      </c>
      <c r="F40" s="35" t="s">
        <v>85</v>
      </c>
      <c r="G40" s="36">
        <v>-0.095</v>
      </c>
      <c r="H40" s="36">
        <v>-0.01</v>
      </c>
      <c r="I40" s="36">
        <v>-0.1</v>
      </c>
      <c r="J40" s="36"/>
      <c r="K40" s="36"/>
      <c r="L40" s="37">
        <v>0.1</v>
      </c>
      <c r="M40" s="36">
        <v>0.15</v>
      </c>
      <c r="N40" s="36"/>
      <c r="O40" s="36">
        <v>-0.5</v>
      </c>
      <c r="P40" s="36"/>
      <c r="Q40" s="38">
        <f t="shared" si="1"/>
        <v>0.545</v>
      </c>
      <c r="R40" s="39">
        <f t="shared" si="2"/>
        <v>4.044876589</v>
      </c>
      <c r="S40" s="40">
        <f t="shared" si="3"/>
        <v>0.08988614643</v>
      </c>
      <c r="T40" s="39">
        <f t="shared" si="4"/>
        <v>7.421791907</v>
      </c>
      <c r="U40" s="41">
        <f t="shared" si="5"/>
        <v>0.164928709</v>
      </c>
      <c r="V40" s="40">
        <f t="shared" si="6"/>
        <v>0.1642129054</v>
      </c>
      <c r="W40" s="40">
        <f t="shared" si="7"/>
        <v>0.004340078849</v>
      </c>
      <c r="X40" s="42">
        <f t="shared" si="8"/>
        <v>26.74</v>
      </c>
      <c r="Y40" s="40">
        <f t="shared" si="9"/>
        <v>2.403555556</v>
      </c>
      <c r="Z40" s="41">
        <f t="shared" si="10"/>
        <v>4.41019368</v>
      </c>
      <c r="AA40" s="40">
        <f t="shared" si="11"/>
        <v>4.380446891</v>
      </c>
      <c r="AB40" s="40">
        <f t="shared" si="12"/>
        <v>0.006745007433</v>
      </c>
      <c r="AC40" s="43"/>
    </row>
    <row r="41">
      <c r="A41" s="44" t="s">
        <v>68</v>
      </c>
      <c r="B41" s="44">
        <v>2696.0</v>
      </c>
      <c r="C41" s="45">
        <v>100.0</v>
      </c>
      <c r="D41" s="46">
        <v>45.0</v>
      </c>
      <c r="E41" s="45">
        <v>18732.0</v>
      </c>
      <c r="F41" s="47" t="s">
        <v>83</v>
      </c>
      <c r="G41" s="48">
        <v>-0.085</v>
      </c>
      <c r="H41" s="48">
        <v>-0.02</v>
      </c>
      <c r="I41" s="48">
        <v>-0.1</v>
      </c>
      <c r="J41" s="48"/>
      <c r="K41" s="48">
        <v>-0.1</v>
      </c>
      <c r="L41" s="49">
        <v>0.082</v>
      </c>
      <c r="M41" s="48">
        <v>0.015</v>
      </c>
      <c r="N41" s="48">
        <v>0.15</v>
      </c>
      <c r="O41" s="48"/>
      <c r="P41" s="48"/>
      <c r="Q41" s="50">
        <f t="shared" si="1"/>
        <v>0.942</v>
      </c>
      <c r="R41" s="51">
        <f t="shared" si="2"/>
        <v>6.948071217</v>
      </c>
      <c r="S41" s="52">
        <f t="shared" si="3"/>
        <v>0.1544015826</v>
      </c>
      <c r="T41" s="51">
        <f t="shared" si="4"/>
        <v>7.37587178</v>
      </c>
      <c r="U41" s="53">
        <f t="shared" si="5"/>
        <v>0.1639082618</v>
      </c>
      <c r="V41" s="52">
        <f t="shared" si="6"/>
        <v>0.1638585818</v>
      </c>
      <c r="W41" s="52">
        <f t="shared" si="7"/>
        <v>0.0003030962386</v>
      </c>
      <c r="X41" s="54">
        <f t="shared" si="8"/>
        <v>26.96</v>
      </c>
      <c r="Y41" s="52">
        <f t="shared" si="9"/>
        <v>4.162666667</v>
      </c>
      <c r="Z41" s="53">
        <f t="shared" si="10"/>
        <v>4.418966737</v>
      </c>
      <c r="AA41" s="52">
        <f t="shared" si="11"/>
        <v>4.406956977</v>
      </c>
      <c r="AB41" s="52">
        <f t="shared" si="12"/>
        <v>0.002717775797</v>
      </c>
      <c r="AC41" s="55"/>
    </row>
    <row r="42">
      <c r="A42" s="32" t="s">
        <v>68</v>
      </c>
      <c r="B42" s="32">
        <v>2710.0</v>
      </c>
      <c r="C42" s="33">
        <v>100.0</v>
      </c>
      <c r="D42" s="56">
        <v>45.0</v>
      </c>
      <c r="E42" s="33">
        <v>18804.0</v>
      </c>
      <c r="F42" s="35" t="s">
        <v>83</v>
      </c>
      <c r="G42" s="36">
        <v>-0.085</v>
      </c>
      <c r="H42" s="36">
        <v>-0.02</v>
      </c>
      <c r="I42" s="36">
        <v>-0.1</v>
      </c>
      <c r="J42" s="36"/>
      <c r="K42" s="36">
        <v>-0.1</v>
      </c>
      <c r="L42" s="37">
        <v>0.082</v>
      </c>
      <c r="M42" s="36">
        <v>0.015</v>
      </c>
      <c r="N42" s="36">
        <v>0.15</v>
      </c>
      <c r="O42" s="36"/>
      <c r="P42" s="36"/>
      <c r="Q42" s="38">
        <f t="shared" si="1"/>
        <v>0.942</v>
      </c>
      <c r="R42" s="39">
        <f t="shared" si="2"/>
        <v>6.938745387</v>
      </c>
      <c r="S42" s="40">
        <f t="shared" si="3"/>
        <v>0.1541943419</v>
      </c>
      <c r="T42" s="39">
        <f t="shared" si="4"/>
        <v>7.365971749</v>
      </c>
      <c r="U42" s="41">
        <f t="shared" si="5"/>
        <v>0.1636882611</v>
      </c>
      <c r="V42" s="40">
        <f t="shared" si="6"/>
        <v>0.1636338981</v>
      </c>
      <c r="W42" s="40">
        <f t="shared" si="7"/>
        <v>0.0003321126817</v>
      </c>
      <c r="X42" s="42">
        <f t="shared" si="8"/>
        <v>27.1</v>
      </c>
      <c r="Y42" s="40">
        <f t="shared" si="9"/>
        <v>4.178666667</v>
      </c>
      <c r="Z42" s="41">
        <f t="shared" si="10"/>
        <v>4.435951875</v>
      </c>
      <c r="AA42" s="40">
        <f t="shared" si="11"/>
        <v>4.423767548</v>
      </c>
      <c r="AB42" s="40">
        <f t="shared" si="12"/>
        <v>0.002746722153</v>
      </c>
      <c r="AC42" s="43"/>
    </row>
    <row r="43">
      <c r="A43" s="44" t="s">
        <v>68</v>
      </c>
      <c r="B43" s="44">
        <v>3000.0</v>
      </c>
      <c r="C43" s="45">
        <v>100.0</v>
      </c>
      <c r="D43" s="46">
        <v>45.0</v>
      </c>
      <c r="E43" s="45">
        <v>22384.0</v>
      </c>
      <c r="F43" s="47" t="s">
        <v>86</v>
      </c>
      <c r="G43" s="48">
        <v>-0.085</v>
      </c>
      <c r="H43" s="48">
        <v>-0.02</v>
      </c>
      <c r="I43" s="48"/>
      <c r="J43" s="48"/>
      <c r="K43" s="48">
        <v>-0.1</v>
      </c>
      <c r="L43" s="49">
        <v>0.082</v>
      </c>
      <c r="M43" s="48">
        <v>0.015</v>
      </c>
      <c r="N43" s="48">
        <v>0.15</v>
      </c>
      <c r="O43" s="48"/>
      <c r="P43" s="48"/>
      <c r="Q43" s="50">
        <f t="shared" si="1"/>
        <v>1.042</v>
      </c>
      <c r="R43" s="51">
        <f t="shared" si="2"/>
        <v>7.461333333</v>
      </c>
      <c r="S43" s="52">
        <f t="shared" si="3"/>
        <v>0.1658074074</v>
      </c>
      <c r="T43" s="51">
        <f t="shared" si="4"/>
        <v>7.160588612</v>
      </c>
      <c r="U43" s="53">
        <f t="shared" si="5"/>
        <v>0.1591241914</v>
      </c>
      <c r="V43" s="52">
        <f t="shared" si="6"/>
        <v>0.1591144857</v>
      </c>
      <c r="W43" s="52">
        <f t="shared" si="7"/>
        <v>0.00006099421781</v>
      </c>
      <c r="X43" s="54">
        <f t="shared" si="8"/>
        <v>30</v>
      </c>
      <c r="Y43" s="52">
        <f t="shared" si="9"/>
        <v>4.974222222</v>
      </c>
      <c r="Z43" s="53">
        <f t="shared" si="10"/>
        <v>4.773725741</v>
      </c>
      <c r="AA43" s="52">
        <f t="shared" si="11"/>
        <v>4.761904762</v>
      </c>
      <c r="AB43" s="52">
        <f t="shared" si="12"/>
        <v>0.002476258552</v>
      </c>
      <c r="AC43" s="55"/>
    </row>
    <row r="44">
      <c r="A44" s="32" t="s">
        <v>68</v>
      </c>
      <c r="B44" s="32">
        <v>3023.0</v>
      </c>
      <c r="C44" s="33">
        <v>100.0</v>
      </c>
      <c r="D44" s="56">
        <f>17*3</f>
        <v>51</v>
      </c>
      <c r="E44" s="33">
        <v>26648.0</v>
      </c>
      <c r="F44" s="35" t="s">
        <v>82</v>
      </c>
      <c r="G44" s="36">
        <v>-0.119</v>
      </c>
      <c r="H44" s="36">
        <v>-0.045</v>
      </c>
      <c r="I44" s="36"/>
      <c r="J44" s="36"/>
      <c r="K44" s="36"/>
      <c r="L44" s="37">
        <v>0.09</v>
      </c>
      <c r="M44" s="36">
        <v>0.15</v>
      </c>
      <c r="N44" s="36">
        <v>0.163</v>
      </c>
      <c r="O44" s="36">
        <v>-0.15</v>
      </c>
      <c r="P44" s="36"/>
      <c r="Q44" s="38">
        <f t="shared" si="1"/>
        <v>1.089</v>
      </c>
      <c r="R44" s="39">
        <f t="shared" si="2"/>
        <v>8.815084353</v>
      </c>
      <c r="S44" s="40">
        <f t="shared" si="3"/>
        <v>0.1728447912</v>
      </c>
      <c r="T44" s="39">
        <f t="shared" si="4"/>
        <v>8.094659645</v>
      </c>
      <c r="U44" s="41">
        <f t="shared" si="5"/>
        <v>0.1587188166</v>
      </c>
      <c r="V44" s="40">
        <f t="shared" si="6"/>
        <v>0.158766711</v>
      </c>
      <c r="W44" s="40">
        <f t="shared" si="7"/>
        <v>-0.0003017565807</v>
      </c>
      <c r="X44" s="42">
        <f t="shared" si="8"/>
        <v>30.23</v>
      </c>
      <c r="Y44" s="40">
        <f t="shared" si="9"/>
        <v>5.225098039</v>
      </c>
      <c r="Z44" s="41">
        <f t="shared" si="10"/>
        <v>4.798069825</v>
      </c>
      <c r="AA44" s="40">
        <f t="shared" si="11"/>
        <v>4.787924863</v>
      </c>
      <c r="AB44" s="40">
        <f t="shared" si="12"/>
        <v>0.002114383946</v>
      </c>
      <c r="AC44" s="43"/>
    </row>
    <row r="45">
      <c r="A45" s="44" t="s">
        <v>68</v>
      </c>
      <c r="B45" s="44">
        <v>3163.0</v>
      </c>
      <c r="C45" s="45">
        <v>100.0</v>
      </c>
      <c r="D45" s="46">
        <f>15*3</f>
        <v>45</v>
      </c>
      <c r="E45" s="45">
        <v>23353.0</v>
      </c>
      <c r="F45" s="47" t="s">
        <v>85</v>
      </c>
      <c r="G45" s="48">
        <v>-0.095</v>
      </c>
      <c r="H45" s="48">
        <v>-0.01</v>
      </c>
      <c r="I45" s="48">
        <v>-0.1</v>
      </c>
      <c r="J45" s="48"/>
      <c r="K45" s="48"/>
      <c r="L45" s="49">
        <v>0.1</v>
      </c>
      <c r="M45" s="48">
        <v>0.15</v>
      </c>
      <c r="N45" s="48"/>
      <c r="O45" s="48"/>
      <c r="P45" s="48"/>
      <c r="Q45" s="50">
        <f t="shared" si="1"/>
        <v>1.045</v>
      </c>
      <c r="R45" s="51">
        <f t="shared" si="2"/>
        <v>7.383180525</v>
      </c>
      <c r="S45" s="52">
        <f t="shared" si="3"/>
        <v>0.1640706783</v>
      </c>
      <c r="T45" s="51">
        <f t="shared" si="4"/>
        <v>7.065244521</v>
      </c>
      <c r="U45" s="53">
        <f t="shared" si="5"/>
        <v>0.1570054338</v>
      </c>
      <c r="V45" s="52">
        <f t="shared" si="6"/>
        <v>0.1566821814</v>
      </c>
      <c r="W45" s="52">
        <f t="shared" si="7"/>
        <v>0.002058861437</v>
      </c>
      <c r="X45" s="54">
        <f t="shared" si="8"/>
        <v>31.63</v>
      </c>
      <c r="Y45" s="52">
        <f t="shared" si="9"/>
        <v>5.189555556</v>
      </c>
      <c r="Z45" s="53">
        <f t="shared" si="10"/>
        <v>4.966081871</v>
      </c>
      <c r="AA45" s="52">
        <f t="shared" si="11"/>
        <v>4.943886961</v>
      </c>
      <c r="AB45" s="52">
        <f t="shared" si="12"/>
        <v>0.0044693001</v>
      </c>
      <c r="AC45" s="55"/>
    </row>
    <row r="46">
      <c r="A46" s="32" t="s">
        <v>68</v>
      </c>
      <c r="B46" s="32">
        <v>3201.0</v>
      </c>
      <c r="C46" s="33">
        <v>100.0</v>
      </c>
      <c r="D46" s="56">
        <v>45.0</v>
      </c>
      <c r="E46" s="33">
        <v>22942.0</v>
      </c>
      <c r="F46" s="35" t="s">
        <v>87</v>
      </c>
      <c r="G46" s="36">
        <v>-0.087</v>
      </c>
      <c r="H46" s="36"/>
      <c r="I46" s="36"/>
      <c r="J46" s="36"/>
      <c r="K46" s="36"/>
      <c r="L46" s="37">
        <v>0.082</v>
      </c>
      <c r="M46" s="36">
        <v>0.015</v>
      </c>
      <c r="N46" s="36">
        <v>0.15</v>
      </c>
      <c r="O46" s="36">
        <v>-0.14</v>
      </c>
      <c r="P46" s="36"/>
      <c r="Q46" s="38">
        <f t="shared" si="1"/>
        <v>1.02</v>
      </c>
      <c r="R46" s="39">
        <f t="shared" si="2"/>
        <v>7.16713527</v>
      </c>
      <c r="S46" s="40">
        <f t="shared" si="3"/>
        <v>0.1592696727</v>
      </c>
      <c r="T46" s="39">
        <f t="shared" si="4"/>
        <v>7.026603206</v>
      </c>
      <c r="U46" s="41">
        <f t="shared" si="5"/>
        <v>0.1561467379</v>
      </c>
      <c r="V46" s="40">
        <f t="shared" si="6"/>
        <v>0.156125792</v>
      </c>
      <c r="W46" s="40">
        <f t="shared" si="7"/>
        <v>0.0001341426128</v>
      </c>
      <c r="X46" s="42">
        <f t="shared" si="8"/>
        <v>32.01</v>
      </c>
      <c r="Y46" s="40">
        <f t="shared" si="9"/>
        <v>5.098222222</v>
      </c>
      <c r="Z46" s="41">
        <f t="shared" si="10"/>
        <v>4.998257081</v>
      </c>
      <c r="AA46" s="40">
        <f t="shared" si="11"/>
        <v>4.985515372</v>
      </c>
      <c r="AB46" s="40">
        <f t="shared" si="12"/>
        <v>0.002549230264</v>
      </c>
      <c r="AC46" s="43"/>
    </row>
    <row r="47">
      <c r="A47" s="44" t="s">
        <v>68</v>
      </c>
      <c r="B47" s="44">
        <v>3202.0</v>
      </c>
      <c r="C47" s="45">
        <v>100.0</v>
      </c>
      <c r="D47" s="46">
        <f>17*3</f>
        <v>51</v>
      </c>
      <c r="E47" s="45">
        <v>30398.0</v>
      </c>
      <c r="F47" s="47" t="s">
        <v>84</v>
      </c>
      <c r="G47" s="48">
        <v>-0.051</v>
      </c>
      <c r="H47" s="48"/>
      <c r="I47" s="48"/>
      <c r="J47" s="48"/>
      <c r="K47" s="48"/>
      <c r="L47" s="49">
        <v>0.094</v>
      </c>
      <c r="M47" s="48">
        <v>0.15</v>
      </c>
      <c r="N47" s="48"/>
      <c r="O47" s="48"/>
      <c r="P47" s="48"/>
      <c r="Q47" s="50">
        <f t="shared" si="1"/>
        <v>1.193</v>
      </c>
      <c r="R47" s="51">
        <f t="shared" si="2"/>
        <v>9.493441599</v>
      </c>
      <c r="S47" s="52">
        <f t="shared" si="3"/>
        <v>0.1861459137</v>
      </c>
      <c r="T47" s="51">
        <f t="shared" si="4"/>
        <v>7.957620787</v>
      </c>
      <c r="U47" s="53">
        <f t="shared" si="5"/>
        <v>0.1560317801</v>
      </c>
      <c r="V47" s="52">
        <f t="shared" si="6"/>
        <v>0.1561112035</v>
      </c>
      <c r="W47" s="52">
        <f t="shared" si="7"/>
        <v>-0.0005090204972</v>
      </c>
      <c r="X47" s="54">
        <f t="shared" si="8"/>
        <v>32.02</v>
      </c>
      <c r="Y47" s="52">
        <f t="shared" si="9"/>
        <v>5.960392157</v>
      </c>
      <c r="Z47" s="53">
        <f t="shared" si="10"/>
        <v>4.9961376</v>
      </c>
      <c r="AA47" s="52">
        <f t="shared" si="11"/>
        <v>4.986606865</v>
      </c>
      <c r="AB47" s="52">
        <f t="shared" si="12"/>
        <v>0.001907620657</v>
      </c>
      <c r="AC47" s="55"/>
    </row>
    <row r="48">
      <c r="A48" s="32" t="s">
        <v>68</v>
      </c>
      <c r="B48" s="32">
        <v>3215.0</v>
      </c>
      <c r="C48" s="33">
        <v>100.0</v>
      </c>
      <c r="D48" s="56">
        <v>45.6</v>
      </c>
      <c r="E48" s="33">
        <v>26969.0</v>
      </c>
      <c r="F48" s="35" t="s">
        <v>72</v>
      </c>
      <c r="G48" s="36">
        <v>-0.053</v>
      </c>
      <c r="H48" s="36">
        <v>-0.01</v>
      </c>
      <c r="I48" s="36"/>
      <c r="J48" s="36"/>
      <c r="K48" s="36"/>
      <c r="L48" s="37">
        <v>0.082</v>
      </c>
      <c r="M48" s="36">
        <v>0.015</v>
      </c>
      <c r="N48" s="36">
        <v>0.15</v>
      </c>
      <c r="O48" s="36"/>
      <c r="P48" s="36"/>
      <c r="Q48" s="38">
        <f t="shared" si="1"/>
        <v>1.184</v>
      </c>
      <c r="R48" s="39">
        <f t="shared" si="2"/>
        <v>8.388491446</v>
      </c>
      <c r="S48" s="40">
        <f t="shared" si="3"/>
        <v>0.1839581458</v>
      </c>
      <c r="T48" s="39">
        <f t="shared" si="4"/>
        <v>7.084874532</v>
      </c>
      <c r="U48" s="41">
        <f t="shared" si="5"/>
        <v>0.1553700555</v>
      </c>
      <c r="V48" s="40">
        <f t="shared" si="6"/>
        <v>0.1559218012</v>
      </c>
      <c r="W48" s="40">
        <f t="shared" si="7"/>
        <v>-0.003551171277</v>
      </c>
      <c r="X48" s="42">
        <f t="shared" si="8"/>
        <v>32.15</v>
      </c>
      <c r="Y48" s="40">
        <f t="shared" si="9"/>
        <v>5.914254386</v>
      </c>
      <c r="Z48" s="41">
        <f t="shared" si="10"/>
        <v>4.995147285</v>
      </c>
      <c r="AA48" s="40">
        <f t="shared" si="11"/>
        <v>5.000777726</v>
      </c>
      <c r="AB48" s="40">
        <f t="shared" si="12"/>
        <v>-0.001127182076</v>
      </c>
      <c r="AC48" s="43"/>
    </row>
    <row r="49">
      <c r="A49" s="44" t="s">
        <v>68</v>
      </c>
      <c r="B49" s="44">
        <v>3359.0</v>
      </c>
      <c r="C49" s="45">
        <v>100.0</v>
      </c>
      <c r="D49" s="46">
        <f>17*3</f>
        <v>51</v>
      </c>
      <c r="E49" s="45">
        <v>24407.0</v>
      </c>
      <c r="F49" s="47" t="s">
        <v>84</v>
      </c>
      <c r="G49" s="48">
        <v>-0.119</v>
      </c>
      <c r="H49" s="48">
        <v>-0.045</v>
      </c>
      <c r="I49" s="48"/>
      <c r="J49" s="48"/>
      <c r="K49" s="48"/>
      <c r="L49" s="49">
        <v>0.09</v>
      </c>
      <c r="M49" s="48">
        <v>0.15</v>
      </c>
      <c r="N49" s="48"/>
      <c r="O49" s="48">
        <v>-0.15</v>
      </c>
      <c r="P49" s="48"/>
      <c r="Q49" s="50">
        <f t="shared" si="1"/>
        <v>0.926</v>
      </c>
      <c r="R49" s="51">
        <f t="shared" si="2"/>
        <v>7.26615064</v>
      </c>
      <c r="S49" s="52">
        <f t="shared" si="3"/>
        <v>0.142473542</v>
      </c>
      <c r="T49" s="51">
        <f t="shared" si="4"/>
        <v>7.846814946</v>
      </c>
      <c r="U49" s="53">
        <f t="shared" si="5"/>
        <v>0.1538591166</v>
      </c>
      <c r="V49" s="52">
        <f t="shared" si="6"/>
        <v>0.1538541394</v>
      </c>
      <c r="W49" s="52">
        <f t="shared" si="7"/>
        <v>0.00003234885539</v>
      </c>
      <c r="X49" s="54">
        <f t="shared" si="8"/>
        <v>33.59</v>
      </c>
      <c r="Y49" s="52">
        <f t="shared" si="9"/>
        <v>4.785686275</v>
      </c>
      <c r="Z49" s="53">
        <f t="shared" si="10"/>
        <v>5.168127726</v>
      </c>
      <c r="AA49" s="52">
        <f t="shared" si="11"/>
        <v>5.155477791</v>
      </c>
      <c r="AB49" s="52">
        <f t="shared" si="12"/>
        <v>0.00244768238</v>
      </c>
      <c r="AC49" s="55"/>
    </row>
    <row r="50">
      <c r="A50" s="32" t="s">
        <v>68</v>
      </c>
      <c r="B50" s="32">
        <v>3496.0</v>
      </c>
      <c r="C50" s="33">
        <v>100.0</v>
      </c>
      <c r="D50" s="34">
        <f>15.2*3</f>
        <v>45.6</v>
      </c>
      <c r="E50" s="33">
        <v>22219.0</v>
      </c>
      <c r="F50" s="35" t="s">
        <v>88</v>
      </c>
      <c r="G50" s="36">
        <v>-0.076</v>
      </c>
      <c r="H50" s="36"/>
      <c r="I50" s="36">
        <v>-0.1</v>
      </c>
      <c r="J50" s="36">
        <v>-0.15</v>
      </c>
      <c r="K50" s="36"/>
      <c r="L50" s="37">
        <v>0.081</v>
      </c>
      <c r="M50" s="36">
        <v>0.015</v>
      </c>
      <c r="N50" s="36">
        <v>0.15</v>
      </c>
      <c r="O50" s="36"/>
      <c r="P50" s="36"/>
      <c r="Q50" s="38">
        <f t="shared" si="1"/>
        <v>0.92</v>
      </c>
      <c r="R50" s="39">
        <f t="shared" si="2"/>
        <v>6.355549199</v>
      </c>
      <c r="S50" s="40">
        <f t="shared" si="3"/>
        <v>0.1393760789</v>
      </c>
      <c r="T50" s="39">
        <f t="shared" si="4"/>
        <v>6.908205651</v>
      </c>
      <c r="U50" s="41">
        <f t="shared" si="5"/>
        <v>0.151495738</v>
      </c>
      <c r="V50" s="40">
        <f t="shared" si="6"/>
        <v>0.151937259</v>
      </c>
      <c r="W50" s="40">
        <f t="shared" si="7"/>
        <v>-0.002914412278</v>
      </c>
      <c r="X50" s="42">
        <f t="shared" si="8"/>
        <v>34.96</v>
      </c>
      <c r="Y50" s="40">
        <f t="shared" si="9"/>
        <v>4.872587719</v>
      </c>
      <c r="Z50" s="41">
        <f t="shared" si="10"/>
        <v>5.296290999</v>
      </c>
      <c r="AA50" s="40">
        <f t="shared" si="11"/>
        <v>5.298896568</v>
      </c>
      <c r="AB50" s="40">
        <f t="shared" si="12"/>
        <v>-0.0004919611125</v>
      </c>
      <c r="AC50" s="43"/>
    </row>
    <row r="51">
      <c r="A51" s="44" t="s">
        <v>68</v>
      </c>
      <c r="B51" s="44">
        <v>3646.0</v>
      </c>
      <c r="C51" s="45">
        <v>100.0</v>
      </c>
      <c r="D51" s="46">
        <f>16.5*3</f>
        <v>49.5</v>
      </c>
      <c r="E51" s="45">
        <v>31719.0</v>
      </c>
      <c r="F51" s="47" t="s">
        <v>72</v>
      </c>
      <c r="G51" s="48">
        <v>-0.055</v>
      </c>
      <c r="H51" s="48">
        <v>-0.01</v>
      </c>
      <c r="I51" s="48"/>
      <c r="J51" s="48"/>
      <c r="K51" s="48"/>
      <c r="L51" s="49">
        <v>0.088</v>
      </c>
      <c r="M51" s="48">
        <v>0.15</v>
      </c>
      <c r="N51" s="48"/>
      <c r="O51" s="48"/>
      <c r="P51" s="48"/>
      <c r="Q51" s="50">
        <f t="shared" si="1"/>
        <v>1.173</v>
      </c>
      <c r="R51" s="51">
        <f t="shared" si="2"/>
        <v>8.699670872</v>
      </c>
      <c r="S51" s="52">
        <f t="shared" si="3"/>
        <v>0.1757509267</v>
      </c>
      <c r="T51" s="51">
        <f t="shared" si="4"/>
        <v>7.416599209</v>
      </c>
      <c r="U51" s="53">
        <f t="shared" si="5"/>
        <v>0.1498302871</v>
      </c>
      <c r="V51" s="52">
        <f t="shared" si="6"/>
        <v>0.1498925265</v>
      </c>
      <c r="W51" s="52">
        <f t="shared" si="7"/>
        <v>-0.00041539943</v>
      </c>
      <c r="X51" s="54">
        <f t="shared" si="8"/>
        <v>36.46</v>
      </c>
      <c r="Y51" s="52">
        <f t="shared" si="9"/>
        <v>6.407878788</v>
      </c>
      <c r="Z51" s="53">
        <f t="shared" si="10"/>
        <v>5.462812266</v>
      </c>
      <c r="AA51" s="52">
        <f t="shared" si="11"/>
        <v>5.451881093</v>
      </c>
      <c r="AB51" s="52">
        <f t="shared" si="12"/>
        <v>0.002001015591</v>
      </c>
      <c r="AC51" s="55"/>
    </row>
    <row r="52">
      <c r="A52" s="32" t="s">
        <v>68</v>
      </c>
      <c r="B52" s="32">
        <v>3671.0</v>
      </c>
      <c r="C52" s="33">
        <v>100.0</v>
      </c>
      <c r="D52" s="56">
        <v>48.0</v>
      </c>
      <c r="E52" s="33">
        <v>31506.0</v>
      </c>
      <c r="F52" s="35" t="s">
        <v>89</v>
      </c>
      <c r="G52" s="36">
        <v>-0.043</v>
      </c>
      <c r="H52" s="36"/>
      <c r="I52" s="36"/>
      <c r="J52" s="36"/>
      <c r="K52" s="36"/>
      <c r="L52" s="37">
        <v>0.089</v>
      </c>
      <c r="M52" s="36">
        <v>0.15</v>
      </c>
      <c r="N52" s="36"/>
      <c r="O52" s="36"/>
      <c r="P52" s="36"/>
      <c r="Q52" s="38">
        <f t="shared" si="1"/>
        <v>1.196</v>
      </c>
      <c r="R52" s="39">
        <f t="shared" si="2"/>
        <v>8.582402615</v>
      </c>
      <c r="S52" s="40">
        <f t="shared" si="3"/>
        <v>0.1788000545</v>
      </c>
      <c r="T52" s="39">
        <f t="shared" si="4"/>
        <v>7.175921919</v>
      </c>
      <c r="U52" s="41">
        <f t="shared" si="5"/>
        <v>0.1494983733</v>
      </c>
      <c r="V52" s="40">
        <f t="shared" si="6"/>
        <v>0.1495570764</v>
      </c>
      <c r="W52" s="40">
        <f t="shared" si="7"/>
        <v>-0.0003926667909</v>
      </c>
      <c r="X52" s="42">
        <f t="shared" si="8"/>
        <v>36.71</v>
      </c>
      <c r="Y52" s="40">
        <f t="shared" si="9"/>
        <v>6.56375</v>
      </c>
      <c r="Z52" s="41">
        <f t="shared" si="10"/>
        <v>5.488085284</v>
      </c>
      <c r="AA52" s="40">
        <f t="shared" si="11"/>
        <v>5.476979083</v>
      </c>
      <c r="AB52" s="40">
        <f t="shared" si="12"/>
        <v>0.002023693321</v>
      </c>
      <c r="AC52" s="43"/>
    </row>
    <row r="53">
      <c r="A53" s="44" t="s">
        <v>68</v>
      </c>
      <c r="B53" s="44">
        <v>3681.0</v>
      </c>
      <c r="C53" s="45">
        <v>100.0</v>
      </c>
      <c r="D53" s="46">
        <f>16.5*3</f>
        <v>49.5</v>
      </c>
      <c r="E53" s="45">
        <v>31923.0</v>
      </c>
      <c r="F53" s="47" t="s">
        <v>72</v>
      </c>
      <c r="G53" s="48">
        <v>-0.055</v>
      </c>
      <c r="H53" s="48">
        <v>-0.01</v>
      </c>
      <c r="I53" s="48"/>
      <c r="J53" s="48"/>
      <c r="K53" s="48"/>
      <c r="L53" s="49">
        <v>0.088</v>
      </c>
      <c r="M53" s="48">
        <v>0.15</v>
      </c>
      <c r="N53" s="48"/>
      <c r="O53" s="48"/>
      <c r="P53" s="48"/>
      <c r="Q53" s="50">
        <f t="shared" si="1"/>
        <v>1.173</v>
      </c>
      <c r="R53" s="51">
        <f t="shared" si="2"/>
        <v>8.672371638</v>
      </c>
      <c r="S53" s="52">
        <f t="shared" si="3"/>
        <v>0.175199427</v>
      </c>
      <c r="T53" s="51">
        <f t="shared" si="4"/>
        <v>7.393326205</v>
      </c>
      <c r="U53" s="53">
        <f t="shared" si="5"/>
        <v>0.1493601253</v>
      </c>
      <c r="V53" s="52">
        <f t="shared" si="6"/>
        <v>0.1494233163</v>
      </c>
      <c r="W53" s="52">
        <f t="shared" si="7"/>
        <v>-0.0004230780612</v>
      </c>
      <c r="X53" s="54">
        <f t="shared" si="8"/>
        <v>36.81</v>
      </c>
      <c r="Y53" s="52">
        <f t="shared" si="9"/>
        <v>6.449090909</v>
      </c>
      <c r="Z53" s="53">
        <f t="shared" si="10"/>
        <v>5.497946214</v>
      </c>
      <c r="AA53" s="52">
        <f t="shared" si="11"/>
        <v>5.486986853</v>
      </c>
      <c r="AB53" s="52">
        <f t="shared" si="12"/>
        <v>0.001993355507</v>
      </c>
      <c r="AC53" s="55"/>
    </row>
    <row r="54">
      <c r="A54" s="32" t="s">
        <v>68</v>
      </c>
      <c r="B54" s="32">
        <v>3870.0</v>
      </c>
      <c r="C54" s="33">
        <v>100.0</v>
      </c>
      <c r="D54" s="56">
        <v>48.0</v>
      </c>
      <c r="E54" s="33">
        <v>32633.0</v>
      </c>
      <c r="F54" s="35" t="s">
        <v>89</v>
      </c>
      <c r="G54" s="36">
        <v>-0.043</v>
      </c>
      <c r="H54" s="36"/>
      <c r="I54" s="36"/>
      <c r="J54" s="36"/>
      <c r="K54" s="36"/>
      <c r="L54" s="37">
        <v>0.089</v>
      </c>
      <c r="M54" s="36">
        <v>0.15</v>
      </c>
      <c r="N54" s="36"/>
      <c r="O54" s="36"/>
      <c r="P54" s="36"/>
      <c r="Q54" s="38">
        <f t="shared" si="1"/>
        <v>1.196</v>
      </c>
      <c r="R54" s="39">
        <f t="shared" si="2"/>
        <v>8.432299742</v>
      </c>
      <c r="S54" s="40">
        <f t="shared" si="3"/>
        <v>0.1756729113</v>
      </c>
      <c r="T54" s="39">
        <f t="shared" si="4"/>
        <v>7.050417844</v>
      </c>
      <c r="U54" s="41">
        <f t="shared" si="5"/>
        <v>0.1468837051</v>
      </c>
      <c r="V54" s="40">
        <f t="shared" si="6"/>
        <v>0.1469394987</v>
      </c>
      <c r="W54" s="40">
        <f t="shared" si="7"/>
        <v>-0.0003798487672</v>
      </c>
      <c r="X54" s="42">
        <f t="shared" si="8"/>
        <v>38.7</v>
      </c>
      <c r="Y54" s="40">
        <f t="shared" si="9"/>
        <v>6.798541667</v>
      </c>
      <c r="Z54" s="41">
        <f t="shared" si="10"/>
        <v>5.684399387</v>
      </c>
      <c r="AA54" s="40">
        <f t="shared" si="11"/>
        <v>5.672823219</v>
      </c>
      <c r="AB54" s="40">
        <f t="shared" si="12"/>
        <v>0.002036480384</v>
      </c>
      <c r="AC54" s="43"/>
    </row>
    <row r="55">
      <c r="A55" s="44" t="s">
        <v>68</v>
      </c>
      <c r="B55" s="44">
        <v>3878.0</v>
      </c>
      <c r="C55" s="45">
        <v>100.0</v>
      </c>
      <c r="D55" s="46">
        <f>17*3</f>
        <v>51</v>
      </c>
      <c r="E55" s="45">
        <v>34628.0</v>
      </c>
      <c r="F55" s="47" t="s">
        <v>90</v>
      </c>
      <c r="G55" s="48">
        <v>-0.051</v>
      </c>
      <c r="H55" s="48"/>
      <c r="I55" s="48"/>
      <c r="J55" s="48"/>
      <c r="K55" s="48"/>
      <c r="L55" s="49">
        <v>0.094</v>
      </c>
      <c r="M55" s="48">
        <v>0.15</v>
      </c>
      <c r="N55" s="48"/>
      <c r="O55" s="48"/>
      <c r="P55" s="48"/>
      <c r="Q55" s="50">
        <f t="shared" si="1"/>
        <v>1.193</v>
      </c>
      <c r="R55" s="51">
        <f t="shared" si="2"/>
        <v>8.929345023</v>
      </c>
      <c r="S55" s="52">
        <f t="shared" si="3"/>
        <v>0.1750851965</v>
      </c>
      <c r="T55" s="51">
        <f t="shared" si="4"/>
        <v>7.484782081</v>
      </c>
      <c r="U55" s="53">
        <f t="shared" si="5"/>
        <v>0.146760433</v>
      </c>
      <c r="V55" s="52">
        <f t="shared" si="6"/>
        <v>0.1468361839</v>
      </c>
      <c r="W55" s="52">
        <f t="shared" si="7"/>
        <v>-0.0005161533789</v>
      </c>
      <c r="X55" s="54">
        <f t="shared" si="8"/>
        <v>38.78</v>
      </c>
      <c r="Y55" s="52">
        <f t="shared" si="9"/>
        <v>6.789803922</v>
      </c>
      <c r="Z55" s="53">
        <f t="shared" si="10"/>
        <v>5.691369591</v>
      </c>
      <c r="AA55" s="52">
        <f t="shared" si="11"/>
        <v>5.680553114</v>
      </c>
      <c r="AB55" s="52">
        <f t="shared" si="12"/>
        <v>0.001900505004</v>
      </c>
      <c r="AC55" s="55"/>
    </row>
    <row r="56">
      <c r="A56" s="32" t="s">
        <v>68</v>
      </c>
      <c r="B56" s="60">
        <v>3890.0</v>
      </c>
      <c r="C56" s="33">
        <v>100.0</v>
      </c>
      <c r="D56" s="61">
        <v>48.0</v>
      </c>
      <c r="E56" s="62">
        <v>29738.0</v>
      </c>
      <c r="F56" s="63" t="s">
        <v>75</v>
      </c>
      <c r="G56" s="64">
        <v>-0.043</v>
      </c>
      <c r="H56" s="64">
        <v>-0.01</v>
      </c>
      <c r="I56" s="64">
        <v>-0.1</v>
      </c>
      <c r="J56" s="65"/>
      <c r="K56" s="65"/>
      <c r="L56" s="66">
        <v>0.089</v>
      </c>
      <c r="M56" s="65">
        <v>0.15</v>
      </c>
      <c r="N56" s="65"/>
      <c r="O56" s="65"/>
      <c r="P56" s="65"/>
      <c r="Q56" s="38">
        <f t="shared" si="1"/>
        <v>1.086</v>
      </c>
      <c r="R56" s="39">
        <f t="shared" si="2"/>
        <v>7.644730077</v>
      </c>
      <c r="S56" s="40">
        <f t="shared" si="3"/>
        <v>0.1592652099</v>
      </c>
      <c r="T56" s="39">
        <f t="shared" si="4"/>
        <v>7.039346296</v>
      </c>
      <c r="U56" s="41">
        <f t="shared" si="5"/>
        <v>0.1466530478</v>
      </c>
      <c r="V56" s="40">
        <f t="shared" si="6"/>
        <v>0.1466814838</v>
      </c>
      <c r="W56" s="40">
        <f t="shared" si="7"/>
        <v>-0.0001938993509</v>
      </c>
      <c r="X56" s="42">
        <f t="shared" si="8"/>
        <v>38.9</v>
      </c>
      <c r="Y56" s="40">
        <f t="shared" si="9"/>
        <v>6.195416667</v>
      </c>
      <c r="Z56" s="41">
        <f t="shared" si="10"/>
        <v>5.70480356</v>
      </c>
      <c r="AA56" s="40">
        <f t="shared" si="11"/>
        <v>5.692127597</v>
      </c>
      <c r="AB56" s="40">
        <f t="shared" si="12"/>
        <v>0.002221980656</v>
      </c>
      <c r="AC56" s="43"/>
    </row>
    <row r="57">
      <c r="A57" s="44" t="s">
        <v>68</v>
      </c>
      <c r="B57" s="44">
        <v>3998.0</v>
      </c>
      <c r="C57" s="45">
        <v>100.0</v>
      </c>
      <c r="D57" s="46">
        <v>48.0</v>
      </c>
      <c r="E57" s="45">
        <v>30277.0</v>
      </c>
      <c r="F57" s="47" t="s">
        <v>75</v>
      </c>
      <c r="G57" s="48">
        <v>-0.043</v>
      </c>
      <c r="H57" s="48">
        <v>-0.01</v>
      </c>
      <c r="I57" s="48">
        <v>-0.1</v>
      </c>
      <c r="J57" s="48"/>
      <c r="K57" s="48"/>
      <c r="L57" s="49">
        <v>0.089</v>
      </c>
      <c r="M57" s="48">
        <v>0.15</v>
      </c>
      <c r="N57" s="48"/>
      <c r="O57" s="48"/>
      <c r="P57" s="48"/>
      <c r="Q57" s="50">
        <f t="shared" si="1"/>
        <v>1.086</v>
      </c>
      <c r="R57" s="51">
        <f t="shared" si="2"/>
        <v>7.573036518</v>
      </c>
      <c r="S57" s="52">
        <f t="shared" si="3"/>
        <v>0.1577715941</v>
      </c>
      <c r="T57" s="51">
        <f t="shared" si="4"/>
        <v>6.973330127</v>
      </c>
      <c r="U57" s="53">
        <f t="shared" si="5"/>
        <v>0.145277711</v>
      </c>
      <c r="V57" s="52">
        <f t="shared" si="6"/>
        <v>0.1453037137</v>
      </c>
      <c r="W57" s="52">
        <f t="shared" si="7"/>
        <v>-0.0001789861881</v>
      </c>
      <c r="X57" s="54">
        <f t="shared" si="8"/>
        <v>39.98</v>
      </c>
      <c r="Y57" s="52">
        <f t="shared" si="9"/>
        <v>6.307708333</v>
      </c>
      <c r="Z57" s="53">
        <f t="shared" si="10"/>
        <v>5.808202885</v>
      </c>
      <c r="AA57" s="52">
        <f t="shared" si="11"/>
        <v>5.795210761</v>
      </c>
      <c r="AB57" s="52">
        <f t="shared" si="12"/>
        <v>0.002236857798</v>
      </c>
      <c r="AC57" s="55"/>
    </row>
    <row r="58">
      <c r="A58" s="32" t="s">
        <v>68</v>
      </c>
      <c r="B58" s="32">
        <v>4127.0</v>
      </c>
      <c r="C58" s="33">
        <v>100.0</v>
      </c>
      <c r="D58" s="56">
        <f>17*3</f>
        <v>51</v>
      </c>
      <c r="E58" s="33">
        <v>36063.0</v>
      </c>
      <c r="F58" s="35" t="s">
        <v>90</v>
      </c>
      <c r="G58" s="36">
        <v>-0.051</v>
      </c>
      <c r="H58" s="36"/>
      <c r="I58" s="36"/>
      <c r="J58" s="36"/>
      <c r="K58" s="36"/>
      <c r="L58" s="37">
        <v>0.094</v>
      </c>
      <c r="M58" s="36">
        <v>0.15</v>
      </c>
      <c r="N58" s="36"/>
      <c r="O58" s="36"/>
      <c r="P58" s="36"/>
      <c r="Q58" s="38">
        <f t="shared" si="1"/>
        <v>1.193</v>
      </c>
      <c r="R58" s="39">
        <f t="shared" si="2"/>
        <v>8.738308699</v>
      </c>
      <c r="S58" s="40">
        <f t="shared" si="3"/>
        <v>0.1713393863</v>
      </c>
      <c r="T58" s="39">
        <f t="shared" si="4"/>
        <v>7.324651047</v>
      </c>
      <c r="U58" s="41">
        <f t="shared" si="5"/>
        <v>0.1436206088</v>
      </c>
      <c r="V58" s="40">
        <f t="shared" si="6"/>
        <v>0.1436915885</v>
      </c>
      <c r="W58" s="40">
        <f t="shared" si="7"/>
        <v>-0.0004942172579</v>
      </c>
      <c r="X58" s="42">
        <f t="shared" si="8"/>
        <v>41.27</v>
      </c>
      <c r="Y58" s="40">
        <f t="shared" si="9"/>
        <v>7.071176471</v>
      </c>
      <c r="Z58" s="41">
        <f t="shared" si="10"/>
        <v>5.927222524</v>
      </c>
      <c r="AA58" s="40">
        <f t="shared" si="11"/>
        <v>5.915828101</v>
      </c>
      <c r="AB58" s="40">
        <f t="shared" si="12"/>
        <v>0.001922388141</v>
      </c>
      <c r="AC58" s="43"/>
    </row>
    <row r="59">
      <c r="A59" s="44" t="s">
        <v>68</v>
      </c>
      <c r="B59" s="44">
        <v>4191.0</v>
      </c>
      <c r="C59" s="45">
        <v>100.0</v>
      </c>
      <c r="D59" s="46">
        <v>45.0</v>
      </c>
      <c r="E59" s="45">
        <v>31257.0</v>
      </c>
      <c r="F59" s="47" t="s">
        <v>86</v>
      </c>
      <c r="G59" s="48">
        <v>-0.087</v>
      </c>
      <c r="H59" s="48"/>
      <c r="I59" s="48"/>
      <c r="J59" s="48"/>
      <c r="K59" s="48"/>
      <c r="L59" s="49">
        <v>0.082</v>
      </c>
      <c r="M59" s="48">
        <v>0.015</v>
      </c>
      <c r="N59" s="48">
        <v>0.15</v>
      </c>
      <c r="O59" s="48"/>
      <c r="P59" s="48"/>
      <c r="Q59" s="50">
        <f t="shared" si="1"/>
        <v>1.16</v>
      </c>
      <c r="R59" s="51">
        <f t="shared" si="2"/>
        <v>7.458124553</v>
      </c>
      <c r="S59" s="52">
        <f t="shared" si="3"/>
        <v>0.1657361012</v>
      </c>
      <c r="T59" s="51">
        <f t="shared" si="4"/>
        <v>6.429417718</v>
      </c>
      <c r="U59" s="53">
        <f t="shared" si="5"/>
        <v>0.1428759493</v>
      </c>
      <c r="V59" s="52">
        <f t="shared" si="6"/>
        <v>0.1429049782</v>
      </c>
      <c r="W59" s="52">
        <f t="shared" si="7"/>
        <v>-0.000203175585</v>
      </c>
      <c r="X59" s="54">
        <f t="shared" si="8"/>
        <v>41.91</v>
      </c>
      <c r="Y59" s="52">
        <f t="shared" si="9"/>
        <v>6.946</v>
      </c>
      <c r="Z59" s="53">
        <f t="shared" si="10"/>
        <v>5.987931034</v>
      </c>
      <c r="AA59" s="52">
        <f t="shared" si="11"/>
        <v>5.974681379</v>
      </c>
      <c r="AB59" s="52">
        <f t="shared" si="12"/>
        <v>0.002212726828</v>
      </c>
      <c r="AC59" s="55"/>
    </row>
    <row r="60">
      <c r="A60" s="32" t="s">
        <v>68</v>
      </c>
      <c r="B60" s="32">
        <v>4254.0</v>
      </c>
      <c r="C60" s="33">
        <v>100.0</v>
      </c>
      <c r="D60" s="34">
        <f>17*3</f>
        <v>51</v>
      </c>
      <c r="E60" s="33">
        <v>34648.0</v>
      </c>
      <c r="F60" s="35" t="s">
        <v>91</v>
      </c>
      <c r="G60" s="36">
        <v>-0.12</v>
      </c>
      <c r="H60" s="36"/>
      <c r="I60" s="36"/>
      <c r="J60" s="36"/>
      <c r="K60" s="36"/>
      <c r="L60" s="37">
        <v>0.094</v>
      </c>
      <c r="M60" s="36">
        <v>0.15</v>
      </c>
      <c r="N60" s="36"/>
      <c r="O60" s="36"/>
      <c r="P60" s="36"/>
      <c r="Q60" s="38">
        <f t="shared" si="1"/>
        <v>1.124</v>
      </c>
      <c r="R60" s="39">
        <f t="shared" si="2"/>
        <v>8.14480489</v>
      </c>
      <c r="S60" s="40">
        <f t="shared" si="3"/>
        <v>0.1597020567</v>
      </c>
      <c r="T60" s="39">
        <f t="shared" si="4"/>
        <v>7.246267695</v>
      </c>
      <c r="U60" s="41">
        <f t="shared" si="5"/>
        <v>0.1420836803</v>
      </c>
      <c r="V60" s="40">
        <f t="shared" si="6"/>
        <v>0.142139025</v>
      </c>
      <c r="W60" s="40">
        <f t="shared" si="7"/>
        <v>-0.000389521954</v>
      </c>
      <c r="X60" s="42">
        <f t="shared" si="8"/>
        <v>42.54</v>
      </c>
      <c r="Y60" s="40">
        <f t="shared" si="9"/>
        <v>6.79372549</v>
      </c>
      <c r="Z60" s="41">
        <f t="shared" si="10"/>
        <v>6.04423976</v>
      </c>
      <c r="AA60" s="40">
        <f t="shared" si="11"/>
        <v>6.03198911</v>
      </c>
      <c r="AB60" s="40">
        <f t="shared" si="12"/>
        <v>0.002026830562</v>
      </c>
      <c r="AC60" s="43"/>
    </row>
    <row r="61">
      <c r="A61" s="44" t="s">
        <v>68</v>
      </c>
      <c r="B61" s="44">
        <v>4260.0</v>
      </c>
      <c r="C61" s="45">
        <v>100.0</v>
      </c>
      <c r="D61" s="57">
        <f>15.2*3</f>
        <v>45.6</v>
      </c>
      <c r="E61" s="45">
        <v>22022.0</v>
      </c>
      <c r="F61" s="47" t="s">
        <v>81</v>
      </c>
      <c r="G61" s="48">
        <v>-0.076</v>
      </c>
      <c r="H61" s="48"/>
      <c r="I61" s="48">
        <v>-0.1</v>
      </c>
      <c r="J61" s="48">
        <v>-0.15</v>
      </c>
      <c r="K61" s="48"/>
      <c r="L61" s="49">
        <v>0.081</v>
      </c>
      <c r="M61" s="48">
        <v>0.015</v>
      </c>
      <c r="N61" s="48">
        <v>0.15</v>
      </c>
      <c r="O61" s="48">
        <v>-0.12</v>
      </c>
      <c r="P61" s="48"/>
      <c r="Q61" s="50">
        <f t="shared" si="1"/>
        <v>0.8</v>
      </c>
      <c r="R61" s="51">
        <f t="shared" si="2"/>
        <v>5.169483568</v>
      </c>
      <c r="S61" s="52">
        <f t="shared" si="3"/>
        <v>0.1133658677</v>
      </c>
      <c r="T61" s="51">
        <f t="shared" si="4"/>
        <v>6.46185446</v>
      </c>
      <c r="U61" s="53">
        <f t="shared" si="5"/>
        <v>0.1417073347</v>
      </c>
      <c r="V61" s="52">
        <f t="shared" si="6"/>
        <v>0.1420665051</v>
      </c>
      <c r="W61" s="52">
        <f t="shared" si="7"/>
        <v>-0.002534593229</v>
      </c>
      <c r="X61" s="54">
        <f t="shared" si="8"/>
        <v>42.6</v>
      </c>
      <c r="Y61" s="52">
        <f t="shared" si="9"/>
        <v>4.829385965</v>
      </c>
      <c r="Z61" s="53">
        <f t="shared" si="10"/>
        <v>6.036732456</v>
      </c>
      <c r="AA61" s="52">
        <f t="shared" si="11"/>
        <v>6.037414966</v>
      </c>
      <c r="AB61" s="52">
        <f t="shared" si="12"/>
        <v>-0.0001130594823</v>
      </c>
      <c r="AC61" s="55"/>
    </row>
    <row r="62">
      <c r="A62" s="32" t="s">
        <v>68</v>
      </c>
      <c r="B62" s="32">
        <v>4280.0</v>
      </c>
      <c r="C62" s="33">
        <v>100.0</v>
      </c>
      <c r="D62" s="34">
        <f>15*3</f>
        <v>45</v>
      </c>
      <c r="E62" s="33">
        <v>31334.0</v>
      </c>
      <c r="F62" s="35" t="s">
        <v>92</v>
      </c>
      <c r="G62" s="36">
        <v>-0.095</v>
      </c>
      <c r="H62" s="36">
        <v>-0.01</v>
      </c>
      <c r="I62" s="36"/>
      <c r="J62" s="36"/>
      <c r="K62" s="36"/>
      <c r="L62" s="37">
        <v>0.1</v>
      </c>
      <c r="M62" s="36">
        <v>0.15</v>
      </c>
      <c r="N62" s="36"/>
      <c r="O62" s="36"/>
      <c r="P62" s="36"/>
      <c r="Q62" s="38">
        <f t="shared" si="1"/>
        <v>1.145</v>
      </c>
      <c r="R62" s="39">
        <f t="shared" si="2"/>
        <v>7.321028037</v>
      </c>
      <c r="S62" s="40">
        <f t="shared" si="3"/>
        <v>0.1626895119</v>
      </c>
      <c r="T62" s="39">
        <f t="shared" si="4"/>
        <v>6.39391095</v>
      </c>
      <c r="U62" s="41">
        <f t="shared" si="5"/>
        <v>0.14208691</v>
      </c>
      <c r="V62" s="40">
        <f t="shared" si="6"/>
        <v>0.1418253056</v>
      </c>
      <c r="W62" s="40">
        <f t="shared" si="7"/>
        <v>0.001841157572</v>
      </c>
      <c r="X62" s="42">
        <f t="shared" si="8"/>
        <v>42.8</v>
      </c>
      <c r="Y62" s="40">
        <f t="shared" si="9"/>
        <v>6.963111111</v>
      </c>
      <c r="Z62" s="41">
        <f t="shared" si="10"/>
        <v>6.081319748</v>
      </c>
      <c r="AA62" s="40">
        <f t="shared" si="11"/>
        <v>6.055461234</v>
      </c>
      <c r="AB62" s="40">
        <f t="shared" si="12"/>
        <v>0.004252122079</v>
      </c>
      <c r="AC62" s="43"/>
    </row>
    <row r="63">
      <c r="A63" s="44" t="s">
        <v>68</v>
      </c>
      <c r="B63" s="44">
        <v>4394.0</v>
      </c>
      <c r="C63" s="45">
        <v>100.0</v>
      </c>
      <c r="D63" s="57">
        <f t="shared" ref="D63:D66" si="13">17*3</f>
        <v>51</v>
      </c>
      <c r="E63" s="45">
        <v>56689.0</v>
      </c>
      <c r="F63" s="47" t="s">
        <v>84</v>
      </c>
      <c r="G63" s="48">
        <v>-0.122</v>
      </c>
      <c r="H63" s="48"/>
      <c r="I63" s="48"/>
      <c r="J63" s="48"/>
      <c r="K63" s="48">
        <v>0.228</v>
      </c>
      <c r="L63" s="49">
        <v>0.094</v>
      </c>
      <c r="M63" s="48">
        <v>0.15</v>
      </c>
      <c r="N63" s="48">
        <v>0.453</v>
      </c>
      <c r="O63" s="48"/>
      <c r="P63" s="48"/>
      <c r="Q63" s="50">
        <f t="shared" si="1"/>
        <v>1.803</v>
      </c>
      <c r="R63" s="51">
        <f t="shared" si="2"/>
        <v>12.90145653</v>
      </c>
      <c r="S63" s="52">
        <f t="shared" si="3"/>
        <v>0.2529697359</v>
      </c>
      <c r="T63" s="51">
        <f t="shared" si="4"/>
        <v>7.155549934</v>
      </c>
      <c r="U63" s="53">
        <f t="shared" si="5"/>
        <v>0.1403049007</v>
      </c>
      <c r="V63" s="52">
        <f t="shared" si="6"/>
        <v>0.1404659576</v>
      </c>
      <c r="W63" s="52">
        <f t="shared" si="7"/>
        <v>-0.001147906819</v>
      </c>
      <c r="X63" s="54">
        <f t="shared" si="8"/>
        <v>43.94</v>
      </c>
      <c r="Y63" s="52">
        <f t="shared" si="9"/>
        <v>11.1154902</v>
      </c>
      <c r="Z63" s="53">
        <f t="shared" si="10"/>
        <v>6.164997336</v>
      </c>
      <c r="AA63" s="52">
        <f t="shared" si="11"/>
        <v>6.157166078</v>
      </c>
      <c r="AB63" s="52">
        <f t="shared" si="12"/>
        <v>0.001270277509</v>
      </c>
      <c r="AC63" s="55"/>
    </row>
    <row r="64">
      <c r="A64" s="32" t="s">
        <v>68</v>
      </c>
      <c r="B64" s="32">
        <v>4499.0</v>
      </c>
      <c r="C64" s="33">
        <v>100.0</v>
      </c>
      <c r="D64" s="34">
        <f t="shared" si="13"/>
        <v>51</v>
      </c>
      <c r="E64" s="33">
        <v>36182.0</v>
      </c>
      <c r="F64" s="35" t="s">
        <v>84</v>
      </c>
      <c r="G64" s="36">
        <v>-0.051</v>
      </c>
      <c r="H64" s="36">
        <v>-0.06</v>
      </c>
      <c r="I64" s="36"/>
      <c r="J64" s="36"/>
      <c r="K64" s="36"/>
      <c r="L64" s="37">
        <v>0.094</v>
      </c>
      <c r="M64" s="36">
        <v>0.15</v>
      </c>
      <c r="N64" s="36"/>
      <c r="O64" s="36"/>
      <c r="P64" s="36"/>
      <c r="Q64" s="38">
        <f t="shared" si="1"/>
        <v>1.133</v>
      </c>
      <c r="R64" s="39">
        <f t="shared" si="2"/>
        <v>8.042231607</v>
      </c>
      <c r="S64" s="40">
        <f t="shared" si="3"/>
        <v>0.1576908158</v>
      </c>
      <c r="T64" s="39">
        <f t="shared" si="4"/>
        <v>7.09817441</v>
      </c>
      <c r="U64" s="41">
        <f t="shared" si="5"/>
        <v>0.1391798904</v>
      </c>
      <c r="V64" s="40">
        <f t="shared" si="6"/>
        <v>0.1392367781</v>
      </c>
      <c r="W64" s="40">
        <f t="shared" si="7"/>
        <v>-0.0004087347962</v>
      </c>
      <c r="X64" s="42">
        <f t="shared" si="8"/>
        <v>44.99</v>
      </c>
      <c r="Y64" s="40">
        <f t="shared" si="9"/>
        <v>7.094509804</v>
      </c>
      <c r="Z64" s="41">
        <f t="shared" si="10"/>
        <v>6.261703269</v>
      </c>
      <c r="AA64" s="40">
        <f t="shared" si="11"/>
        <v>6.249131872</v>
      </c>
      <c r="AB64" s="40">
        <f t="shared" si="12"/>
        <v>0.002007664127</v>
      </c>
      <c r="AC64" s="43"/>
    </row>
    <row r="65">
      <c r="A65" s="44" t="s">
        <v>68</v>
      </c>
      <c r="B65" s="44">
        <v>4542.0</v>
      </c>
      <c r="C65" s="45">
        <v>100.0</v>
      </c>
      <c r="D65" s="57">
        <f t="shared" si="13"/>
        <v>51</v>
      </c>
      <c r="E65" s="45">
        <v>36109.0</v>
      </c>
      <c r="F65" s="47" t="s">
        <v>91</v>
      </c>
      <c r="G65" s="48">
        <v>-0.12</v>
      </c>
      <c r="H65" s="48"/>
      <c r="I65" s="48"/>
      <c r="J65" s="48"/>
      <c r="K65" s="48"/>
      <c r="L65" s="49">
        <v>0.094</v>
      </c>
      <c r="M65" s="48">
        <v>0.15</v>
      </c>
      <c r="N65" s="48"/>
      <c r="O65" s="48"/>
      <c r="P65" s="48"/>
      <c r="Q65" s="50">
        <f t="shared" si="1"/>
        <v>1.124</v>
      </c>
      <c r="R65" s="51">
        <f t="shared" si="2"/>
        <v>7.950022017</v>
      </c>
      <c r="S65" s="52">
        <f t="shared" si="3"/>
        <v>0.1558827846</v>
      </c>
      <c r="T65" s="51">
        <f t="shared" si="4"/>
        <v>7.072973324</v>
      </c>
      <c r="U65" s="53">
        <f t="shared" si="5"/>
        <v>0.1386857515</v>
      </c>
      <c r="V65" s="52">
        <f t="shared" si="6"/>
        <v>0.1387395864</v>
      </c>
      <c r="W65" s="52">
        <f t="shared" si="7"/>
        <v>-0.000388179652</v>
      </c>
      <c r="X65" s="54">
        <f t="shared" si="8"/>
        <v>45.42</v>
      </c>
      <c r="Y65" s="52">
        <f t="shared" si="9"/>
        <v>7.080196078</v>
      </c>
      <c r="Z65" s="53">
        <f t="shared" si="10"/>
        <v>6.299106831</v>
      </c>
      <c r="AA65" s="52">
        <f t="shared" si="11"/>
        <v>6.286331174</v>
      </c>
      <c r="AB65" s="52">
        <f t="shared" si="12"/>
        <v>0.002028169622</v>
      </c>
      <c r="AC65" s="55"/>
    </row>
    <row r="66">
      <c r="A66" s="32" t="s">
        <v>68</v>
      </c>
      <c r="B66" s="32">
        <v>4667.0</v>
      </c>
      <c r="C66" s="33">
        <v>100.0</v>
      </c>
      <c r="D66" s="34">
        <f t="shared" si="13"/>
        <v>51</v>
      </c>
      <c r="E66" s="33">
        <v>36721.0</v>
      </c>
      <c r="F66" s="35" t="s">
        <v>84</v>
      </c>
      <c r="G66" s="36">
        <v>-0.12</v>
      </c>
      <c r="H66" s="36"/>
      <c r="I66" s="36"/>
      <c r="J66" s="36"/>
      <c r="K66" s="36"/>
      <c r="L66" s="37">
        <v>0.094</v>
      </c>
      <c r="M66" s="36">
        <v>0.15</v>
      </c>
      <c r="N66" s="36"/>
      <c r="O66" s="36"/>
      <c r="P66" s="36"/>
      <c r="Q66" s="38">
        <f t="shared" si="1"/>
        <v>1.124</v>
      </c>
      <c r="R66" s="39">
        <f t="shared" si="2"/>
        <v>7.868223698</v>
      </c>
      <c r="S66" s="40">
        <f t="shared" si="3"/>
        <v>0.154278896</v>
      </c>
      <c r="T66" s="39">
        <f t="shared" si="4"/>
        <v>7.00019902</v>
      </c>
      <c r="U66" s="41">
        <f t="shared" si="5"/>
        <v>0.1372588043</v>
      </c>
      <c r="V66" s="40">
        <f t="shared" si="6"/>
        <v>0.1373142188</v>
      </c>
      <c r="W66" s="40">
        <f t="shared" si="7"/>
        <v>-0.0004037225742</v>
      </c>
      <c r="X66" s="42">
        <f t="shared" si="8"/>
        <v>46.67</v>
      </c>
      <c r="Y66" s="40">
        <f t="shared" si="9"/>
        <v>7.200196078</v>
      </c>
      <c r="Z66" s="41">
        <f t="shared" si="10"/>
        <v>6.405868397</v>
      </c>
      <c r="AA66" s="40">
        <f t="shared" si="11"/>
        <v>6.392975535</v>
      </c>
      <c r="AB66" s="40">
        <f t="shared" si="12"/>
        <v>0.002012664242</v>
      </c>
      <c r="AC66" s="43"/>
    </row>
    <row r="67">
      <c r="A67" s="44" t="s">
        <v>68</v>
      </c>
      <c r="B67" s="44">
        <v>4669.0</v>
      </c>
      <c r="C67" s="45">
        <v>100.0</v>
      </c>
      <c r="D67" s="57">
        <f>15.2*3</f>
        <v>45.6</v>
      </c>
      <c r="E67" s="45">
        <v>26813.0</v>
      </c>
      <c r="F67" s="47" t="s">
        <v>88</v>
      </c>
      <c r="G67" s="48">
        <v>-0.076</v>
      </c>
      <c r="H67" s="48"/>
      <c r="I67" s="48">
        <v>-0.1</v>
      </c>
      <c r="J67" s="48">
        <v>-0.15</v>
      </c>
      <c r="K67" s="48"/>
      <c r="L67" s="49">
        <v>0.081</v>
      </c>
      <c r="M67" s="48">
        <v>0.015</v>
      </c>
      <c r="N67" s="48">
        <v>0.15</v>
      </c>
      <c r="O67" s="48"/>
      <c r="P67" s="48"/>
      <c r="Q67" s="50">
        <f t="shared" si="1"/>
        <v>0.92</v>
      </c>
      <c r="R67" s="51">
        <f t="shared" si="2"/>
        <v>5.742771471</v>
      </c>
      <c r="S67" s="52">
        <f t="shared" si="3"/>
        <v>0.1259379709</v>
      </c>
      <c r="T67" s="51">
        <f t="shared" si="4"/>
        <v>6.242142904</v>
      </c>
      <c r="U67" s="53">
        <f t="shared" si="5"/>
        <v>0.1368890988</v>
      </c>
      <c r="V67" s="52">
        <f t="shared" si="6"/>
        <v>0.1372916509</v>
      </c>
      <c r="W67" s="52">
        <f t="shared" si="7"/>
        <v>-0.002940717372</v>
      </c>
      <c r="X67" s="54">
        <f t="shared" si="8"/>
        <v>46.69</v>
      </c>
      <c r="Y67" s="52">
        <f t="shared" si="9"/>
        <v>5.88004386</v>
      </c>
      <c r="Z67" s="53">
        <f t="shared" si="10"/>
        <v>6.391352021</v>
      </c>
      <c r="AA67" s="52">
        <f t="shared" si="11"/>
        <v>6.394664037</v>
      </c>
      <c r="AB67" s="52">
        <f t="shared" si="12"/>
        <v>-0.000518202669</v>
      </c>
      <c r="AC67" s="55"/>
    </row>
    <row r="68">
      <c r="A68" s="32" t="s">
        <v>68</v>
      </c>
      <c r="B68" s="32">
        <v>4772.0</v>
      </c>
      <c r="C68" s="33">
        <v>100.0</v>
      </c>
      <c r="D68" s="34">
        <f>17*3</f>
        <v>51</v>
      </c>
      <c r="E68" s="33">
        <v>22353.0</v>
      </c>
      <c r="F68" s="35" t="s">
        <v>84</v>
      </c>
      <c r="G68" s="36">
        <v>-0.12</v>
      </c>
      <c r="H68" s="36"/>
      <c r="I68" s="36"/>
      <c r="J68" s="36"/>
      <c r="K68" s="36"/>
      <c r="L68" s="37">
        <v>0.094</v>
      </c>
      <c r="M68" s="36">
        <v>0.15</v>
      </c>
      <c r="N68" s="36"/>
      <c r="O68" s="36">
        <v>-0.45</v>
      </c>
      <c r="P68" s="36"/>
      <c r="Q68" s="38">
        <f t="shared" si="1"/>
        <v>0.674</v>
      </c>
      <c r="R68" s="39">
        <f t="shared" si="2"/>
        <v>4.684199497</v>
      </c>
      <c r="S68" s="40">
        <f t="shared" si="3"/>
        <v>0.09184704896</v>
      </c>
      <c r="T68" s="39">
        <f t="shared" si="4"/>
        <v>6.949850886</v>
      </c>
      <c r="U68" s="41">
        <f t="shared" si="5"/>
        <v>0.136271586</v>
      </c>
      <c r="V68" s="40">
        <f t="shared" si="6"/>
        <v>0.1361393497</v>
      </c>
      <c r="W68" s="40">
        <f t="shared" si="7"/>
        <v>0.0009703876046</v>
      </c>
      <c r="X68" s="42">
        <f t="shared" si="8"/>
        <v>47.72</v>
      </c>
      <c r="Y68" s="40">
        <f t="shared" si="9"/>
        <v>4.382941176</v>
      </c>
      <c r="Z68" s="41">
        <f t="shared" si="10"/>
        <v>6.502880084</v>
      </c>
      <c r="AA68" s="40">
        <f t="shared" si="11"/>
        <v>6.480877879</v>
      </c>
      <c r="AB68" s="40">
        <f t="shared" si="12"/>
        <v>0.003383455379</v>
      </c>
      <c r="AC68" s="43"/>
    </row>
    <row r="69">
      <c r="A69" s="44" t="s">
        <v>68</v>
      </c>
      <c r="B69" s="44">
        <v>4805.0</v>
      </c>
      <c r="C69" s="45">
        <v>100.0</v>
      </c>
      <c r="D69" s="57">
        <f>15*3</f>
        <v>45</v>
      </c>
      <c r="E69" s="45">
        <v>19003.0</v>
      </c>
      <c r="F69" s="47" t="s">
        <v>92</v>
      </c>
      <c r="G69" s="48">
        <v>-0.095</v>
      </c>
      <c r="H69" s="48">
        <v>-0.01</v>
      </c>
      <c r="I69" s="48"/>
      <c r="J69" s="48"/>
      <c r="K69" s="48"/>
      <c r="L69" s="49">
        <v>0.1</v>
      </c>
      <c r="M69" s="48">
        <v>0.15</v>
      </c>
      <c r="N69" s="48"/>
      <c r="O69" s="48">
        <v>-0.5</v>
      </c>
      <c r="P69" s="48"/>
      <c r="Q69" s="50">
        <f t="shared" si="1"/>
        <v>0.645</v>
      </c>
      <c r="R69" s="51">
        <f t="shared" si="2"/>
        <v>3.95483871</v>
      </c>
      <c r="S69" s="52">
        <f t="shared" si="3"/>
        <v>0.08788530466</v>
      </c>
      <c r="T69" s="51">
        <f t="shared" si="4"/>
        <v>6.131532883</v>
      </c>
      <c r="U69" s="53">
        <f t="shared" si="5"/>
        <v>0.1362562863</v>
      </c>
      <c r="V69" s="52">
        <f t="shared" si="6"/>
        <v>0.1357742462</v>
      </c>
      <c r="W69" s="52">
        <f t="shared" si="7"/>
        <v>0.003537745417</v>
      </c>
      <c r="X69" s="54">
        <f t="shared" si="8"/>
        <v>48.05</v>
      </c>
      <c r="Y69" s="52">
        <f t="shared" si="9"/>
        <v>4.222888889</v>
      </c>
      <c r="Z69" s="53">
        <f t="shared" si="10"/>
        <v>6.547114556</v>
      </c>
      <c r="AA69" s="52">
        <f t="shared" si="11"/>
        <v>6.508194501</v>
      </c>
      <c r="AB69" s="52">
        <f t="shared" si="12"/>
        <v>0.005944611966</v>
      </c>
      <c r="AC69" s="55"/>
    </row>
    <row r="70">
      <c r="A70" s="32" t="s">
        <v>68</v>
      </c>
      <c r="B70" s="32">
        <v>5010.0</v>
      </c>
      <c r="C70" s="33">
        <v>100.0</v>
      </c>
      <c r="D70" s="34">
        <f>15.2*3</f>
        <v>45.6</v>
      </c>
      <c r="E70" s="33">
        <v>27987.0</v>
      </c>
      <c r="F70" s="35" t="s">
        <v>81</v>
      </c>
      <c r="G70" s="36">
        <v>-0.076</v>
      </c>
      <c r="H70" s="36"/>
      <c r="I70" s="36">
        <v>-0.1</v>
      </c>
      <c r="J70" s="36">
        <v>-0.15</v>
      </c>
      <c r="K70" s="36"/>
      <c r="L70" s="37">
        <v>0.081</v>
      </c>
      <c r="M70" s="36">
        <v>0.015</v>
      </c>
      <c r="N70" s="36">
        <v>0.15</v>
      </c>
      <c r="O70" s="36"/>
      <c r="P70" s="36"/>
      <c r="Q70" s="38">
        <f t="shared" si="1"/>
        <v>0.92</v>
      </c>
      <c r="R70" s="39">
        <f t="shared" si="2"/>
        <v>5.586227545</v>
      </c>
      <c r="S70" s="40">
        <f t="shared" si="3"/>
        <v>0.12250499</v>
      </c>
      <c r="T70" s="39">
        <f t="shared" si="4"/>
        <v>6.071986462</v>
      </c>
      <c r="U70" s="41">
        <f t="shared" si="5"/>
        <v>0.1331575978</v>
      </c>
      <c r="V70" s="40">
        <f t="shared" si="6"/>
        <v>0.1335493285</v>
      </c>
      <c r="W70" s="40">
        <f t="shared" si="7"/>
        <v>-0.002941857586</v>
      </c>
      <c r="X70" s="42">
        <f t="shared" si="8"/>
        <v>50.1</v>
      </c>
      <c r="Y70" s="40">
        <f t="shared" si="9"/>
        <v>6.1375</v>
      </c>
      <c r="Z70" s="41">
        <f t="shared" si="10"/>
        <v>6.671195652</v>
      </c>
      <c r="AA70" s="40">
        <f t="shared" si="11"/>
        <v>6.674660272</v>
      </c>
      <c r="AB70" s="40">
        <f t="shared" si="12"/>
        <v>-0.0005193401287</v>
      </c>
      <c r="AC70" s="43"/>
    </row>
    <row r="71">
      <c r="A71" s="44" t="s">
        <v>68</v>
      </c>
      <c r="B71" s="44">
        <v>5115.0</v>
      </c>
      <c r="C71" s="45">
        <v>100.0</v>
      </c>
      <c r="D71" s="57">
        <f t="shared" ref="D71:D72" si="14">17*3</f>
        <v>51</v>
      </c>
      <c r="E71" s="45">
        <v>6144.0</v>
      </c>
      <c r="F71" s="47" t="s">
        <v>84</v>
      </c>
      <c r="G71" s="48">
        <v>-0.119</v>
      </c>
      <c r="H71" s="48">
        <v>-0.045</v>
      </c>
      <c r="I71" s="48"/>
      <c r="J71" s="48"/>
      <c r="K71" s="48"/>
      <c r="L71" s="49">
        <v>0.09</v>
      </c>
      <c r="M71" s="48">
        <v>0.15</v>
      </c>
      <c r="N71" s="48"/>
      <c r="O71" s="48">
        <v>-0.75</v>
      </c>
      <c r="P71" s="48">
        <v>-0.15</v>
      </c>
      <c r="Q71" s="50">
        <f t="shared" si="1"/>
        <v>0.176</v>
      </c>
      <c r="R71" s="51">
        <f t="shared" si="2"/>
        <v>1.201173021</v>
      </c>
      <c r="S71" s="52">
        <f t="shared" si="3"/>
        <v>0.02355241217</v>
      </c>
      <c r="T71" s="51">
        <f t="shared" si="4"/>
        <v>6.824846708</v>
      </c>
      <c r="U71" s="53">
        <f t="shared" si="5"/>
        <v>0.1338205237</v>
      </c>
      <c r="V71" s="52">
        <f t="shared" si="6"/>
        <v>0.1324377408</v>
      </c>
      <c r="W71" s="52">
        <f t="shared" si="7"/>
        <v>0.01033311524</v>
      </c>
      <c r="X71" s="54">
        <f t="shared" si="8"/>
        <v>51.15</v>
      </c>
      <c r="Y71" s="52">
        <f t="shared" si="9"/>
        <v>1.204705882</v>
      </c>
      <c r="Z71" s="53">
        <f t="shared" si="10"/>
        <v>6.844919786</v>
      </c>
      <c r="AA71" s="52">
        <f t="shared" si="11"/>
        <v>6.757827983</v>
      </c>
      <c r="AB71" s="52">
        <f t="shared" si="12"/>
        <v>0.01272356817</v>
      </c>
      <c r="AC71" s="55"/>
    </row>
    <row r="72">
      <c r="A72" s="32" t="s">
        <v>68</v>
      </c>
      <c r="B72" s="32">
        <v>5259.0</v>
      </c>
      <c r="C72" s="33">
        <v>100.0</v>
      </c>
      <c r="D72" s="34">
        <f t="shared" si="14"/>
        <v>51</v>
      </c>
      <c r="E72" s="33">
        <v>39774.0</v>
      </c>
      <c r="F72" s="35" t="s">
        <v>90</v>
      </c>
      <c r="G72" s="36">
        <v>-0.051</v>
      </c>
      <c r="H72" s="36">
        <v>-0.06</v>
      </c>
      <c r="I72" s="36"/>
      <c r="J72" s="36"/>
      <c r="K72" s="36"/>
      <c r="L72" s="37">
        <v>0.094</v>
      </c>
      <c r="M72" s="36">
        <v>0.15</v>
      </c>
      <c r="N72" s="36"/>
      <c r="O72" s="36"/>
      <c r="P72" s="36"/>
      <c r="Q72" s="38">
        <f t="shared" si="1"/>
        <v>1.133</v>
      </c>
      <c r="R72" s="39">
        <f t="shared" si="2"/>
        <v>7.563034797</v>
      </c>
      <c r="S72" s="40">
        <f t="shared" si="3"/>
        <v>0.1482948</v>
      </c>
      <c r="T72" s="39">
        <f t="shared" si="4"/>
        <v>6.675229301</v>
      </c>
      <c r="U72" s="41">
        <f t="shared" si="5"/>
        <v>0.130886849</v>
      </c>
      <c r="V72" s="40">
        <f t="shared" si="6"/>
        <v>0.1309430285</v>
      </c>
      <c r="W72" s="40">
        <f t="shared" si="7"/>
        <v>-0.0004292212786</v>
      </c>
      <c r="X72" s="42">
        <f t="shared" si="8"/>
        <v>52.59</v>
      </c>
      <c r="Y72" s="40">
        <f t="shared" si="9"/>
        <v>7.798823529</v>
      </c>
      <c r="Z72" s="41">
        <f t="shared" si="10"/>
        <v>6.88333939</v>
      </c>
      <c r="AA72" s="40">
        <f t="shared" si="11"/>
        <v>6.869660632</v>
      </c>
      <c r="AB72" s="40">
        <f t="shared" si="12"/>
        <v>0.001987227128</v>
      </c>
      <c r="AC72" s="43"/>
    </row>
    <row r="73">
      <c r="A73" s="44" t="s">
        <v>68</v>
      </c>
      <c r="B73" s="44">
        <v>5272.0</v>
      </c>
      <c r="C73" s="45">
        <v>100.0</v>
      </c>
      <c r="D73" s="46">
        <v>48.0</v>
      </c>
      <c r="E73" s="45">
        <v>34555.0</v>
      </c>
      <c r="F73" s="47" t="s">
        <v>83</v>
      </c>
      <c r="G73" s="48">
        <v>-0.085</v>
      </c>
      <c r="H73" s="48">
        <v>-0.02</v>
      </c>
      <c r="I73" s="48">
        <v>-0.1</v>
      </c>
      <c r="J73" s="48"/>
      <c r="K73" s="48">
        <v>-0.1</v>
      </c>
      <c r="L73" s="49">
        <v>0.089</v>
      </c>
      <c r="M73" s="48">
        <v>0.15</v>
      </c>
      <c r="N73" s="48">
        <v>0.11</v>
      </c>
      <c r="O73" s="48"/>
      <c r="P73" s="48"/>
      <c r="Q73" s="50">
        <f t="shared" si="1"/>
        <v>1.044</v>
      </c>
      <c r="R73" s="51">
        <f t="shared" si="2"/>
        <v>6.554438543</v>
      </c>
      <c r="S73" s="52">
        <f t="shared" si="3"/>
        <v>0.136550803</v>
      </c>
      <c r="T73" s="51">
        <f t="shared" si="4"/>
        <v>6.278197838</v>
      </c>
      <c r="U73" s="53">
        <f t="shared" si="5"/>
        <v>0.1307957883</v>
      </c>
      <c r="V73" s="52">
        <f t="shared" si="6"/>
        <v>0.1308097479</v>
      </c>
      <c r="W73" s="52">
        <f t="shared" si="7"/>
        <v>-0.0001067281067</v>
      </c>
      <c r="X73" s="54">
        <f t="shared" si="8"/>
        <v>52.72</v>
      </c>
      <c r="Y73" s="52">
        <f t="shared" si="9"/>
        <v>7.198958333</v>
      </c>
      <c r="Z73" s="53">
        <f t="shared" si="10"/>
        <v>6.895553959</v>
      </c>
      <c r="AA73" s="52">
        <f t="shared" si="11"/>
        <v>6.879632529</v>
      </c>
      <c r="AB73" s="52">
        <f t="shared" si="12"/>
        <v>0.002308941346</v>
      </c>
      <c r="AC73" s="55"/>
    </row>
    <row r="74">
      <c r="A74" s="32" t="s">
        <v>68</v>
      </c>
      <c r="B74" s="32">
        <v>5335.0</v>
      </c>
      <c r="C74" s="33">
        <v>100.0</v>
      </c>
      <c r="D74" s="56">
        <f t="shared" ref="D74:D75" si="15">17*3</f>
        <v>51</v>
      </c>
      <c r="E74" s="33">
        <v>12057.0</v>
      </c>
      <c r="F74" s="35" t="s">
        <v>84</v>
      </c>
      <c r="G74" s="36">
        <v>-0.119</v>
      </c>
      <c r="H74" s="36">
        <v>-0.045</v>
      </c>
      <c r="I74" s="36"/>
      <c r="J74" s="36"/>
      <c r="K74" s="36"/>
      <c r="L74" s="37">
        <v>0.09</v>
      </c>
      <c r="M74" s="36">
        <v>0.15</v>
      </c>
      <c r="N74" s="36">
        <v>0.163</v>
      </c>
      <c r="O74" s="36">
        <v>-0.75</v>
      </c>
      <c r="P74" s="36">
        <v>-0.15</v>
      </c>
      <c r="Q74" s="38">
        <f t="shared" si="1"/>
        <v>0.339</v>
      </c>
      <c r="R74" s="39">
        <f t="shared" si="2"/>
        <v>2.259981256</v>
      </c>
      <c r="S74" s="40">
        <f t="shared" si="3"/>
        <v>0.04431335796</v>
      </c>
      <c r="T74" s="39">
        <f t="shared" si="4"/>
        <v>6.666611374</v>
      </c>
      <c r="U74" s="41">
        <f t="shared" si="5"/>
        <v>0.1307178701</v>
      </c>
      <c r="V74" s="40">
        <f t="shared" si="6"/>
        <v>0.1301676743</v>
      </c>
      <c r="W74" s="40">
        <f t="shared" si="7"/>
        <v>0.004209032432</v>
      </c>
      <c r="X74" s="42">
        <f t="shared" si="8"/>
        <v>53.35</v>
      </c>
      <c r="Y74" s="40">
        <f t="shared" si="9"/>
        <v>2.364117647</v>
      </c>
      <c r="Z74" s="41">
        <f t="shared" si="10"/>
        <v>6.973798369</v>
      </c>
      <c r="AA74" s="40">
        <f t="shared" si="11"/>
        <v>6.927671731</v>
      </c>
      <c r="AB74" s="40">
        <f t="shared" si="12"/>
        <v>0.006614277546</v>
      </c>
      <c r="AC74" s="43"/>
    </row>
    <row r="75">
      <c r="A75" s="44" t="s">
        <v>68</v>
      </c>
      <c r="B75" s="44">
        <v>5375.0</v>
      </c>
      <c r="C75" s="45">
        <v>100.0</v>
      </c>
      <c r="D75" s="46">
        <f t="shared" si="15"/>
        <v>51</v>
      </c>
      <c r="E75" s="45">
        <v>40285.0</v>
      </c>
      <c r="F75" s="47" t="s">
        <v>84</v>
      </c>
      <c r="G75" s="48">
        <v>-0.051</v>
      </c>
      <c r="H75" s="48">
        <v>-0.06</v>
      </c>
      <c r="I75" s="48"/>
      <c r="J75" s="48"/>
      <c r="K75" s="48"/>
      <c r="L75" s="49">
        <v>0.094</v>
      </c>
      <c r="M75" s="48">
        <v>0.15</v>
      </c>
      <c r="N75" s="48"/>
      <c r="O75" s="48"/>
      <c r="P75" s="48"/>
      <c r="Q75" s="50">
        <f t="shared" si="1"/>
        <v>1.133</v>
      </c>
      <c r="R75" s="51">
        <f t="shared" si="2"/>
        <v>7.494883721</v>
      </c>
      <c r="S75" s="52">
        <f t="shared" si="3"/>
        <v>0.1469585043</v>
      </c>
      <c r="T75" s="51">
        <f t="shared" si="4"/>
        <v>6.615078306</v>
      </c>
      <c r="U75" s="53">
        <f t="shared" si="5"/>
        <v>0.1297074178</v>
      </c>
      <c r="V75" s="52">
        <f t="shared" si="6"/>
        <v>0.1297632699</v>
      </c>
      <c r="W75" s="52">
        <f t="shared" si="7"/>
        <v>-0.0004306009259</v>
      </c>
      <c r="X75" s="54">
        <f t="shared" si="8"/>
        <v>53.75</v>
      </c>
      <c r="Y75" s="52">
        <f t="shared" si="9"/>
        <v>7.899019608</v>
      </c>
      <c r="Z75" s="53">
        <f t="shared" si="10"/>
        <v>6.971773705</v>
      </c>
      <c r="AA75" s="52">
        <f t="shared" si="11"/>
        <v>6.957928803</v>
      </c>
      <c r="AB75" s="52">
        <f t="shared" si="12"/>
        <v>0.001985850813</v>
      </c>
      <c r="AC75" s="55"/>
    </row>
    <row r="76">
      <c r="A76" s="32" t="s">
        <v>68</v>
      </c>
      <c r="B76" s="32">
        <v>5399.0</v>
      </c>
      <c r="C76" s="33">
        <v>100.0</v>
      </c>
      <c r="D76" s="56">
        <v>48.0</v>
      </c>
      <c r="E76" s="33">
        <v>34704.0</v>
      </c>
      <c r="F76" s="35" t="s">
        <v>86</v>
      </c>
      <c r="G76" s="36">
        <v>-0.085</v>
      </c>
      <c r="H76" s="36">
        <v>-0.02</v>
      </c>
      <c r="I76" s="36"/>
      <c r="J76" s="36"/>
      <c r="K76" s="36">
        <v>-0.1</v>
      </c>
      <c r="L76" s="37">
        <v>0.089</v>
      </c>
      <c r="M76" s="36">
        <v>0.15</v>
      </c>
      <c r="N76" s="36"/>
      <c r="O76" s="36"/>
      <c r="P76" s="36"/>
      <c r="Q76" s="38">
        <f t="shared" si="1"/>
        <v>1.034</v>
      </c>
      <c r="R76" s="39">
        <f t="shared" si="2"/>
        <v>6.427857011</v>
      </c>
      <c r="S76" s="40">
        <f t="shared" si="3"/>
        <v>0.1339136877</v>
      </c>
      <c r="T76" s="39">
        <f t="shared" si="4"/>
        <v>6.216496142</v>
      </c>
      <c r="U76" s="41">
        <f t="shared" si="5"/>
        <v>0.1295103363</v>
      </c>
      <c r="V76" s="40">
        <f t="shared" si="6"/>
        <v>0.1295218311</v>
      </c>
      <c r="W76" s="40">
        <f t="shared" si="7"/>
        <v>-0.00008875634034</v>
      </c>
      <c r="X76" s="42">
        <f t="shared" si="8"/>
        <v>53.99</v>
      </c>
      <c r="Y76" s="40">
        <f t="shared" si="9"/>
        <v>7.23</v>
      </c>
      <c r="Z76" s="41">
        <f t="shared" si="10"/>
        <v>6.992263056</v>
      </c>
      <c r="AA76" s="40">
        <f t="shared" si="11"/>
        <v>6.975992971</v>
      </c>
      <c r="AB76" s="40">
        <f t="shared" si="12"/>
        <v>0.002326869703</v>
      </c>
      <c r="AC76" s="43"/>
    </row>
    <row r="77">
      <c r="A77" s="44" t="s">
        <v>68</v>
      </c>
      <c r="B77" s="44">
        <v>5409.0</v>
      </c>
      <c r="C77" s="45">
        <v>100.0</v>
      </c>
      <c r="D77" s="46">
        <f t="shared" ref="D77:D79" si="16">17*3</f>
        <v>51</v>
      </c>
      <c r="E77" s="45">
        <v>30461.0</v>
      </c>
      <c r="F77" s="47" t="s">
        <v>82</v>
      </c>
      <c r="G77" s="48">
        <v>-0.087</v>
      </c>
      <c r="H77" s="48">
        <v>-0.09</v>
      </c>
      <c r="I77" s="48"/>
      <c r="J77" s="48"/>
      <c r="K77" s="48"/>
      <c r="L77" s="49">
        <v>0.09</v>
      </c>
      <c r="M77" s="48">
        <v>0.15</v>
      </c>
      <c r="N77" s="48"/>
      <c r="O77" s="48">
        <v>-0.21</v>
      </c>
      <c r="P77" s="48"/>
      <c r="Q77" s="50">
        <f t="shared" si="1"/>
        <v>0.853</v>
      </c>
      <c r="R77" s="51">
        <f t="shared" si="2"/>
        <v>5.631540026</v>
      </c>
      <c r="S77" s="52">
        <f t="shared" si="3"/>
        <v>0.1104223534</v>
      </c>
      <c r="T77" s="51">
        <f t="shared" si="4"/>
        <v>6.60203989</v>
      </c>
      <c r="U77" s="53">
        <f t="shared" si="5"/>
        <v>0.1294517625</v>
      </c>
      <c r="V77" s="52">
        <f t="shared" si="6"/>
        <v>0.1294214966</v>
      </c>
      <c r="W77" s="52">
        <f t="shared" si="7"/>
        <v>0.0002338006958</v>
      </c>
      <c r="X77" s="54">
        <f t="shared" si="8"/>
        <v>54.09</v>
      </c>
      <c r="Y77" s="52">
        <f t="shared" si="9"/>
        <v>5.972745098</v>
      </c>
      <c r="Z77" s="53">
        <f t="shared" si="10"/>
        <v>7.002045836</v>
      </c>
      <c r="AA77" s="52">
        <f t="shared" si="11"/>
        <v>6.983499884</v>
      </c>
      <c r="AB77" s="52">
        <f t="shared" si="12"/>
        <v>0.002648647631</v>
      </c>
      <c r="AC77" s="55"/>
    </row>
    <row r="78">
      <c r="A78" s="32" t="s">
        <v>68</v>
      </c>
      <c r="B78" s="60">
        <v>5495.0</v>
      </c>
      <c r="C78" s="33">
        <v>100.0</v>
      </c>
      <c r="D78" s="61">
        <f t="shared" si="16"/>
        <v>51</v>
      </c>
      <c r="E78" s="62">
        <v>23768.0</v>
      </c>
      <c r="F78" s="67" t="s">
        <v>93</v>
      </c>
      <c r="G78" s="64">
        <v>-0.121</v>
      </c>
      <c r="H78" s="64">
        <v>-0.06</v>
      </c>
      <c r="I78" s="64">
        <v>-0.1</v>
      </c>
      <c r="J78" s="64">
        <v>-0.3</v>
      </c>
      <c r="K78" s="65"/>
      <c r="L78" s="66">
        <v>0.09</v>
      </c>
      <c r="M78" s="65">
        <v>0.15</v>
      </c>
      <c r="N78" s="65"/>
      <c r="O78" s="65"/>
      <c r="P78" s="65"/>
      <c r="Q78" s="38">
        <f t="shared" si="1"/>
        <v>0.659</v>
      </c>
      <c r="R78" s="68">
        <f t="shared" si="2"/>
        <v>4.325386715</v>
      </c>
      <c r="S78" s="69">
        <f t="shared" si="3"/>
        <v>0.08481150422</v>
      </c>
      <c r="T78" s="39">
        <f t="shared" si="4"/>
        <v>6.563561025</v>
      </c>
      <c r="U78" s="41">
        <f t="shared" si="5"/>
        <v>0.128697275</v>
      </c>
      <c r="V78" s="40">
        <f t="shared" si="6"/>
        <v>0.1285649942</v>
      </c>
      <c r="W78" s="40">
        <f t="shared" si="7"/>
        <v>0.00102784432</v>
      </c>
      <c r="X78" s="42">
        <f t="shared" si="8"/>
        <v>54.95</v>
      </c>
      <c r="Y78" s="40">
        <f t="shared" si="9"/>
        <v>4.660392157</v>
      </c>
      <c r="Z78" s="41">
        <f t="shared" si="10"/>
        <v>7.071915261</v>
      </c>
      <c r="AA78" s="40">
        <f t="shared" si="11"/>
        <v>7.047582403</v>
      </c>
      <c r="AB78" s="40">
        <f t="shared" si="12"/>
        <v>0.003440773314</v>
      </c>
      <c r="AC78" s="70"/>
    </row>
    <row r="79">
      <c r="A79" s="44" t="s">
        <v>68</v>
      </c>
      <c r="B79" s="44">
        <v>5495.0</v>
      </c>
      <c r="C79" s="45">
        <v>100.0</v>
      </c>
      <c r="D79" s="46">
        <f t="shared" si="16"/>
        <v>51</v>
      </c>
      <c r="E79" s="45">
        <v>23768.0</v>
      </c>
      <c r="F79" s="47" t="s">
        <v>93</v>
      </c>
      <c r="G79" s="48">
        <v>-0.121</v>
      </c>
      <c r="H79" s="48">
        <v>-0.06</v>
      </c>
      <c r="I79" s="48">
        <v>-0.1</v>
      </c>
      <c r="J79" s="48">
        <v>-0.3</v>
      </c>
      <c r="K79" s="48"/>
      <c r="L79" s="49">
        <v>0.09</v>
      </c>
      <c r="M79" s="48">
        <v>0.15</v>
      </c>
      <c r="N79" s="48"/>
      <c r="O79" s="48"/>
      <c r="P79" s="48"/>
      <c r="Q79" s="50">
        <f t="shared" si="1"/>
        <v>0.659</v>
      </c>
      <c r="R79" s="51">
        <f t="shared" si="2"/>
        <v>4.325386715</v>
      </c>
      <c r="S79" s="52">
        <f t="shared" si="3"/>
        <v>0.08481150422</v>
      </c>
      <c r="T79" s="51">
        <f t="shared" si="4"/>
        <v>6.563561025</v>
      </c>
      <c r="U79" s="53">
        <f t="shared" si="5"/>
        <v>0.128697275</v>
      </c>
      <c r="V79" s="52">
        <f t="shared" si="6"/>
        <v>0.1285649942</v>
      </c>
      <c r="W79" s="52">
        <f t="shared" si="7"/>
        <v>0.00102784432</v>
      </c>
      <c r="X79" s="54">
        <f t="shared" si="8"/>
        <v>54.95</v>
      </c>
      <c r="Y79" s="52">
        <f t="shared" si="9"/>
        <v>4.660392157</v>
      </c>
      <c r="Z79" s="53">
        <f t="shared" si="10"/>
        <v>7.071915261</v>
      </c>
      <c r="AA79" s="52">
        <f t="shared" si="11"/>
        <v>7.047582403</v>
      </c>
      <c r="AB79" s="52">
        <f t="shared" si="12"/>
        <v>0.003440773314</v>
      </c>
      <c r="AC79" s="55"/>
    </row>
    <row r="80">
      <c r="A80" s="32" t="s">
        <v>68</v>
      </c>
      <c r="B80" s="32">
        <v>5600.0</v>
      </c>
      <c r="C80" s="33">
        <v>100.0</v>
      </c>
      <c r="D80" s="34">
        <f>15*3</f>
        <v>45</v>
      </c>
      <c r="E80" s="33">
        <v>36866.0</v>
      </c>
      <c r="F80" s="35" t="s">
        <v>84</v>
      </c>
      <c r="G80" s="36">
        <v>-0.095</v>
      </c>
      <c r="H80" s="36">
        <v>-0.01</v>
      </c>
      <c r="I80" s="36"/>
      <c r="J80" s="36"/>
      <c r="K80" s="36"/>
      <c r="L80" s="37">
        <v>0.1</v>
      </c>
      <c r="M80" s="36">
        <v>0.15</v>
      </c>
      <c r="N80" s="36"/>
      <c r="O80" s="36"/>
      <c r="P80" s="36"/>
      <c r="Q80" s="38">
        <f t="shared" si="1"/>
        <v>1.145</v>
      </c>
      <c r="R80" s="39">
        <f t="shared" si="2"/>
        <v>6.583214286</v>
      </c>
      <c r="S80" s="40">
        <f t="shared" si="3"/>
        <v>0.1462936508</v>
      </c>
      <c r="T80" s="39">
        <f t="shared" si="4"/>
        <v>5.749532127</v>
      </c>
      <c r="U80" s="41">
        <f t="shared" si="5"/>
        <v>0.1277673806</v>
      </c>
      <c r="V80" s="40">
        <f t="shared" si="6"/>
        <v>0.1275345115</v>
      </c>
      <c r="W80" s="40">
        <f t="shared" si="7"/>
        <v>0.001822602564</v>
      </c>
      <c r="X80" s="42">
        <f t="shared" si="8"/>
        <v>56</v>
      </c>
      <c r="Y80" s="40">
        <f t="shared" si="9"/>
        <v>8.192444444</v>
      </c>
      <c r="Z80" s="41">
        <f t="shared" si="10"/>
        <v>7.154973314</v>
      </c>
      <c r="AA80" s="40">
        <f t="shared" si="11"/>
        <v>7.124681934</v>
      </c>
      <c r="AB80" s="40">
        <f t="shared" si="12"/>
        <v>0.004233611888</v>
      </c>
      <c r="AC80" s="43"/>
    </row>
    <row r="81">
      <c r="A81" s="44" t="s">
        <v>68</v>
      </c>
      <c r="B81" s="44">
        <v>5735.0</v>
      </c>
      <c r="C81" s="45">
        <v>100.0</v>
      </c>
      <c r="D81" s="57">
        <f t="shared" ref="D81:D84" si="17">15.2*3</f>
        <v>45.6</v>
      </c>
      <c r="E81" s="45">
        <v>26343.0</v>
      </c>
      <c r="F81" s="47" t="s">
        <v>81</v>
      </c>
      <c r="G81" s="48">
        <v>-0.076</v>
      </c>
      <c r="H81" s="48"/>
      <c r="I81" s="48">
        <v>-0.1</v>
      </c>
      <c r="J81" s="48">
        <v>-0.15</v>
      </c>
      <c r="K81" s="48"/>
      <c r="L81" s="49">
        <v>0.081</v>
      </c>
      <c r="M81" s="48">
        <v>0.015</v>
      </c>
      <c r="N81" s="48">
        <v>0.15</v>
      </c>
      <c r="O81" s="48">
        <v>-0.12</v>
      </c>
      <c r="P81" s="48"/>
      <c r="Q81" s="50">
        <f t="shared" si="1"/>
        <v>0.8</v>
      </c>
      <c r="R81" s="51">
        <f t="shared" si="2"/>
        <v>4.593374019</v>
      </c>
      <c r="S81" s="52">
        <f t="shared" si="3"/>
        <v>0.1007318864</v>
      </c>
      <c r="T81" s="51">
        <f t="shared" si="4"/>
        <v>5.741717524</v>
      </c>
      <c r="U81" s="53">
        <f t="shared" si="5"/>
        <v>0.125914858</v>
      </c>
      <c r="V81" s="52">
        <f t="shared" si="6"/>
        <v>0.1262336305</v>
      </c>
      <c r="W81" s="52">
        <f t="shared" si="7"/>
        <v>-0.002531651533</v>
      </c>
      <c r="X81" s="54">
        <f t="shared" si="8"/>
        <v>57.35</v>
      </c>
      <c r="Y81" s="52">
        <f t="shared" si="9"/>
        <v>5.776973684</v>
      </c>
      <c r="Z81" s="53">
        <f t="shared" si="10"/>
        <v>7.221217105</v>
      </c>
      <c r="AA81" s="52">
        <f t="shared" si="11"/>
        <v>7.222012341</v>
      </c>
      <c r="AB81" s="52">
        <f t="shared" si="12"/>
        <v>-0.0001101248917</v>
      </c>
      <c r="AC81" s="55"/>
    </row>
    <row r="82">
      <c r="A82" s="32" t="s">
        <v>68</v>
      </c>
      <c r="B82" s="32">
        <v>5752.0</v>
      </c>
      <c r="C82" s="33">
        <v>100.0</v>
      </c>
      <c r="D82" s="34">
        <f t="shared" si="17"/>
        <v>45.6</v>
      </c>
      <c r="E82" s="33">
        <v>30891.0</v>
      </c>
      <c r="F82" s="35" t="s">
        <v>94</v>
      </c>
      <c r="G82" s="36">
        <v>-0.069</v>
      </c>
      <c r="H82" s="36"/>
      <c r="I82" s="36">
        <v>-0.1</v>
      </c>
      <c r="J82" s="36">
        <v>-0.14</v>
      </c>
      <c r="K82" s="36"/>
      <c r="L82" s="37">
        <v>0.081</v>
      </c>
      <c r="M82" s="36">
        <v>0.015</v>
      </c>
      <c r="N82" s="36">
        <v>0.15</v>
      </c>
      <c r="O82" s="36"/>
      <c r="P82" s="36"/>
      <c r="Q82" s="38">
        <f t="shared" si="1"/>
        <v>0.937</v>
      </c>
      <c r="R82" s="39">
        <f t="shared" si="2"/>
        <v>5.370479833</v>
      </c>
      <c r="S82" s="40">
        <f t="shared" si="3"/>
        <v>0.1177736806</v>
      </c>
      <c r="T82" s="39">
        <f t="shared" si="4"/>
        <v>5.731568659</v>
      </c>
      <c r="U82" s="41">
        <f t="shared" si="5"/>
        <v>0.1256922951</v>
      </c>
      <c r="V82" s="40">
        <f t="shared" si="6"/>
        <v>0.1260716948</v>
      </c>
      <c r="W82" s="40">
        <f t="shared" si="7"/>
        <v>-0.003018480118</v>
      </c>
      <c r="X82" s="42">
        <f t="shared" si="8"/>
        <v>57.52</v>
      </c>
      <c r="Y82" s="40">
        <f t="shared" si="9"/>
        <v>6.774342105</v>
      </c>
      <c r="Z82" s="41">
        <f t="shared" si="10"/>
        <v>7.229820817</v>
      </c>
      <c r="AA82" s="40">
        <f t="shared" si="11"/>
        <v>7.234128182</v>
      </c>
      <c r="AB82" s="40">
        <f t="shared" si="12"/>
        <v>-0.000595777586</v>
      </c>
      <c r="AC82" s="43"/>
    </row>
    <row r="83">
      <c r="A83" s="44" t="s">
        <v>68</v>
      </c>
      <c r="B83" s="44">
        <v>5773.0</v>
      </c>
      <c r="C83" s="45">
        <v>100.0</v>
      </c>
      <c r="D83" s="57">
        <f t="shared" si="17"/>
        <v>45.6</v>
      </c>
      <c r="E83" s="45">
        <v>30955.0</v>
      </c>
      <c r="F83" s="47" t="s">
        <v>95</v>
      </c>
      <c r="G83" s="48">
        <v>-0.069</v>
      </c>
      <c r="H83" s="48"/>
      <c r="I83" s="48">
        <v>-0.1</v>
      </c>
      <c r="J83" s="48">
        <v>-0.14</v>
      </c>
      <c r="K83" s="48"/>
      <c r="L83" s="49">
        <v>0.081</v>
      </c>
      <c r="M83" s="48">
        <v>0.015</v>
      </c>
      <c r="N83" s="48">
        <v>0.15</v>
      </c>
      <c r="O83" s="48"/>
      <c r="P83" s="48"/>
      <c r="Q83" s="50">
        <f t="shared" si="1"/>
        <v>0.937</v>
      </c>
      <c r="R83" s="51">
        <f t="shared" si="2"/>
        <v>5.36203014</v>
      </c>
      <c r="S83" s="52">
        <f t="shared" si="3"/>
        <v>0.1175883803</v>
      </c>
      <c r="T83" s="51">
        <f t="shared" si="4"/>
        <v>5.722550843</v>
      </c>
      <c r="U83" s="53">
        <f t="shared" si="5"/>
        <v>0.125494536</v>
      </c>
      <c r="V83" s="52">
        <f t="shared" si="6"/>
        <v>0.1258722293</v>
      </c>
      <c r="W83" s="52">
        <f t="shared" si="7"/>
        <v>-0.003009639377</v>
      </c>
      <c r="X83" s="54">
        <f t="shared" si="8"/>
        <v>57.73</v>
      </c>
      <c r="Y83" s="52">
        <f t="shared" si="9"/>
        <v>6.788377193</v>
      </c>
      <c r="Z83" s="53">
        <f t="shared" si="10"/>
        <v>7.244799566</v>
      </c>
      <c r="AA83" s="52">
        <f t="shared" si="11"/>
        <v>7.24905196</v>
      </c>
      <c r="AB83" s="52">
        <f t="shared" si="12"/>
        <v>-0.0005869581987</v>
      </c>
      <c r="AC83" s="55"/>
    </row>
    <row r="84">
      <c r="A84" s="32" t="s">
        <v>68</v>
      </c>
      <c r="B84" s="32">
        <v>5895.0</v>
      </c>
      <c r="C84" s="33">
        <v>100.0</v>
      </c>
      <c r="D84" s="34">
        <f t="shared" si="17"/>
        <v>45.6</v>
      </c>
      <c r="E84" s="33">
        <v>31321.0</v>
      </c>
      <c r="F84" s="35" t="s">
        <v>94</v>
      </c>
      <c r="G84" s="36">
        <v>-0.069</v>
      </c>
      <c r="H84" s="36"/>
      <c r="I84" s="36">
        <v>-0.1</v>
      </c>
      <c r="J84" s="36">
        <v>-0.14</v>
      </c>
      <c r="K84" s="36"/>
      <c r="L84" s="37">
        <v>0.081</v>
      </c>
      <c r="M84" s="36">
        <v>0.015</v>
      </c>
      <c r="N84" s="36">
        <v>0.15</v>
      </c>
      <c r="O84" s="36"/>
      <c r="P84" s="36"/>
      <c r="Q84" s="38">
        <f t="shared" si="1"/>
        <v>0.937</v>
      </c>
      <c r="R84" s="39">
        <f t="shared" si="2"/>
        <v>5.313146735</v>
      </c>
      <c r="S84" s="40">
        <f t="shared" si="3"/>
        <v>0.1165163758</v>
      </c>
      <c r="T84" s="39">
        <f t="shared" si="4"/>
        <v>5.67038072</v>
      </c>
      <c r="U84" s="41">
        <f t="shared" si="5"/>
        <v>0.1243504544</v>
      </c>
      <c r="V84" s="40">
        <f t="shared" si="6"/>
        <v>0.1247258007</v>
      </c>
      <c r="W84" s="40">
        <f t="shared" si="7"/>
        <v>-0.003018455305</v>
      </c>
      <c r="X84" s="42">
        <f t="shared" si="8"/>
        <v>58.95</v>
      </c>
      <c r="Y84" s="40">
        <f t="shared" si="9"/>
        <v>6.868640351</v>
      </c>
      <c r="Z84" s="41">
        <f t="shared" si="10"/>
        <v>7.330459286</v>
      </c>
      <c r="AA84" s="40">
        <f t="shared" si="11"/>
        <v>7.334826428</v>
      </c>
      <c r="AB84" s="40">
        <f t="shared" si="12"/>
        <v>-0.0005957528325</v>
      </c>
      <c r="AC84" s="43"/>
    </row>
    <row r="85">
      <c r="A85" s="44" t="s">
        <v>68</v>
      </c>
      <c r="B85" s="44">
        <v>6337.0</v>
      </c>
      <c r="C85" s="45">
        <v>100.0</v>
      </c>
      <c r="D85" s="46">
        <v>45.6</v>
      </c>
      <c r="E85" s="45">
        <v>40295.0</v>
      </c>
      <c r="F85" s="47" t="s">
        <v>74</v>
      </c>
      <c r="G85" s="48">
        <v>-0.078</v>
      </c>
      <c r="H85" s="48">
        <v>-0.01</v>
      </c>
      <c r="I85" s="48"/>
      <c r="J85" s="48"/>
      <c r="K85" s="48"/>
      <c r="L85" s="49">
        <v>0.082</v>
      </c>
      <c r="M85" s="48">
        <v>0.015</v>
      </c>
      <c r="N85" s="48">
        <v>0.15</v>
      </c>
      <c r="O85" s="48"/>
      <c r="P85" s="48"/>
      <c r="Q85" s="50">
        <f t="shared" si="1"/>
        <v>1.159</v>
      </c>
      <c r="R85" s="51">
        <f t="shared" si="2"/>
        <v>6.358687076</v>
      </c>
      <c r="S85" s="52">
        <f t="shared" si="3"/>
        <v>0.139444892</v>
      </c>
      <c r="T85" s="51">
        <f t="shared" si="4"/>
        <v>5.486356407</v>
      </c>
      <c r="U85" s="53">
        <f t="shared" si="5"/>
        <v>0.1203148335</v>
      </c>
      <c r="V85" s="52">
        <f t="shared" si="6"/>
        <v>0.120741642</v>
      </c>
      <c r="W85" s="52">
        <f t="shared" si="7"/>
        <v>-0.003547430284</v>
      </c>
      <c r="X85" s="54">
        <f t="shared" si="8"/>
        <v>63.37</v>
      </c>
      <c r="Y85" s="52">
        <f t="shared" si="9"/>
        <v>8.836622807</v>
      </c>
      <c r="Z85" s="53">
        <f t="shared" si="10"/>
        <v>7.624350998</v>
      </c>
      <c r="AA85" s="52">
        <f t="shared" si="11"/>
        <v>7.632916576</v>
      </c>
      <c r="AB85" s="52">
        <f t="shared" si="12"/>
        <v>-0.001123450119</v>
      </c>
      <c r="AC85" s="55"/>
    </row>
    <row r="86">
      <c r="A86" s="32" t="s">
        <v>68</v>
      </c>
      <c r="B86" s="32">
        <v>6664.0</v>
      </c>
      <c r="C86" s="33">
        <v>100.0</v>
      </c>
      <c r="D86" s="56">
        <v>45.6</v>
      </c>
      <c r="E86" s="33">
        <v>41895.0</v>
      </c>
      <c r="F86" s="35" t="s">
        <v>76</v>
      </c>
      <c r="G86" s="36">
        <v>-0.074</v>
      </c>
      <c r="H86" s="36"/>
      <c r="I86" s="36"/>
      <c r="J86" s="36"/>
      <c r="K86" s="36"/>
      <c r="L86" s="37">
        <v>0.082</v>
      </c>
      <c r="M86" s="36">
        <v>0.015</v>
      </c>
      <c r="N86" s="36">
        <v>0.15</v>
      </c>
      <c r="O86" s="36"/>
      <c r="P86" s="36"/>
      <c r="Q86" s="38">
        <f t="shared" si="1"/>
        <v>1.173</v>
      </c>
      <c r="R86" s="39">
        <f t="shared" si="2"/>
        <v>6.286764706</v>
      </c>
      <c r="S86" s="40">
        <f t="shared" si="3"/>
        <v>0.1378676471</v>
      </c>
      <c r="T86" s="39">
        <f t="shared" si="4"/>
        <v>5.359560704</v>
      </c>
      <c r="U86" s="41">
        <f t="shared" si="5"/>
        <v>0.117534226</v>
      </c>
      <c r="V86" s="40">
        <f t="shared" si="6"/>
        <v>0.1179541161</v>
      </c>
      <c r="W86" s="40">
        <f t="shared" si="7"/>
        <v>-0.003572492173</v>
      </c>
      <c r="X86" s="42">
        <f t="shared" si="8"/>
        <v>66.64</v>
      </c>
      <c r="Y86" s="40">
        <f t="shared" si="9"/>
        <v>9.1875</v>
      </c>
      <c r="Z86" s="41">
        <f t="shared" si="10"/>
        <v>7.832480818</v>
      </c>
      <c r="AA86" s="40">
        <f t="shared" si="11"/>
        <v>7.841476043</v>
      </c>
      <c r="AB86" s="40">
        <f t="shared" si="12"/>
        <v>-0.001148451473</v>
      </c>
      <c r="AC86" s="43"/>
    </row>
    <row r="87">
      <c r="A87" s="44" t="s">
        <v>68</v>
      </c>
      <c r="B87" s="44">
        <v>7014.0</v>
      </c>
      <c r="C87" s="45">
        <v>100.0</v>
      </c>
      <c r="D87" s="46">
        <v>45.6</v>
      </c>
      <c r="E87" s="45">
        <v>38969.0</v>
      </c>
      <c r="F87" s="47" t="s">
        <v>70</v>
      </c>
      <c r="G87" s="48">
        <v>-0.075</v>
      </c>
      <c r="H87" s="48">
        <v>-0.01</v>
      </c>
      <c r="I87" s="48">
        <v>-0.1</v>
      </c>
      <c r="J87" s="48"/>
      <c r="K87" s="48"/>
      <c r="L87" s="49">
        <v>0.082</v>
      </c>
      <c r="M87" s="48">
        <v>0.015</v>
      </c>
      <c r="N87" s="48">
        <v>0.15</v>
      </c>
      <c r="O87" s="48"/>
      <c r="P87" s="48"/>
      <c r="Q87" s="50">
        <f t="shared" si="1"/>
        <v>1.062</v>
      </c>
      <c r="R87" s="51">
        <f t="shared" si="2"/>
        <v>5.555888224</v>
      </c>
      <c r="S87" s="52">
        <f t="shared" si="3"/>
        <v>0.121839654</v>
      </c>
      <c r="T87" s="51">
        <f t="shared" si="4"/>
        <v>5.231533167</v>
      </c>
      <c r="U87" s="53">
        <f t="shared" si="5"/>
        <v>0.1147266045</v>
      </c>
      <c r="V87" s="52">
        <f t="shared" si="6"/>
        <v>0.1151096941</v>
      </c>
      <c r="W87" s="52">
        <f t="shared" si="7"/>
        <v>-0.003339151772</v>
      </c>
      <c r="X87" s="54">
        <f t="shared" si="8"/>
        <v>70.14</v>
      </c>
      <c r="Y87" s="52">
        <f t="shared" si="9"/>
        <v>8.545833333</v>
      </c>
      <c r="Z87" s="53">
        <f t="shared" si="10"/>
        <v>8.046924043</v>
      </c>
      <c r="AA87" s="52">
        <f t="shared" si="11"/>
        <v>8.054292407</v>
      </c>
      <c r="AB87" s="52">
        <f t="shared" si="12"/>
        <v>-0.0009156746858</v>
      </c>
      <c r="AC87" s="55"/>
    </row>
    <row r="88">
      <c r="A88" s="32" t="s">
        <v>68</v>
      </c>
      <c r="B88" s="32">
        <v>7171.0</v>
      </c>
      <c r="C88" s="33">
        <v>100.0</v>
      </c>
      <c r="D88" s="56">
        <v>45.0</v>
      </c>
      <c r="E88" s="33">
        <v>46854.0</v>
      </c>
      <c r="F88" s="35" t="s">
        <v>84</v>
      </c>
      <c r="G88" s="36">
        <v>-0.033</v>
      </c>
      <c r="H88" s="36"/>
      <c r="I88" s="36"/>
      <c r="J88" s="36"/>
      <c r="K88" s="36"/>
      <c r="L88" s="37">
        <v>0.1</v>
      </c>
      <c r="M88" s="36">
        <v>0.15</v>
      </c>
      <c r="N88" s="36">
        <v>0.056</v>
      </c>
      <c r="O88" s="36"/>
      <c r="P88" s="36"/>
      <c r="Q88" s="38">
        <f t="shared" si="1"/>
        <v>1.273</v>
      </c>
      <c r="R88" s="39">
        <f t="shared" si="2"/>
        <v>6.533816762</v>
      </c>
      <c r="S88" s="40">
        <f t="shared" si="3"/>
        <v>0.145195928</v>
      </c>
      <c r="T88" s="39">
        <f t="shared" si="4"/>
        <v>5.132613324</v>
      </c>
      <c r="U88" s="41">
        <f t="shared" si="5"/>
        <v>0.1140580739</v>
      </c>
      <c r="V88" s="40">
        <f t="shared" si="6"/>
        <v>0.1138778611</v>
      </c>
      <c r="W88" s="40">
        <f t="shared" si="7"/>
        <v>0.00158000905</v>
      </c>
      <c r="X88" s="42">
        <f t="shared" si="8"/>
        <v>71.71</v>
      </c>
      <c r="Y88" s="40">
        <f t="shared" si="9"/>
        <v>10.412</v>
      </c>
      <c r="Z88" s="41">
        <f t="shared" si="10"/>
        <v>8.179104478</v>
      </c>
      <c r="AA88" s="40">
        <f t="shared" si="11"/>
        <v>8.146456729</v>
      </c>
      <c r="AB88" s="40">
        <f t="shared" si="12"/>
        <v>0.003991604339</v>
      </c>
      <c r="AC88" s="43"/>
    </row>
    <row r="89">
      <c r="A89" s="44" t="s">
        <v>68</v>
      </c>
      <c r="B89" s="44">
        <v>7287.0</v>
      </c>
      <c r="C89" s="45">
        <v>100.0</v>
      </c>
      <c r="D89" s="46">
        <v>45.6</v>
      </c>
      <c r="E89" s="45">
        <v>40932.0</v>
      </c>
      <c r="F89" s="47" t="s">
        <v>75</v>
      </c>
      <c r="G89" s="48">
        <v>-0.043</v>
      </c>
      <c r="H89" s="48">
        <v>-0.01</v>
      </c>
      <c r="I89" s="48">
        <v>-0.1</v>
      </c>
      <c r="J89" s="48"/>
      <c r="K89" s="48"/>
      <c r="L89" s="49">
        <v>0.082</v>
      </c>
      <c r="M89" s="48">
        <v>0.015</v>
      </c>
      <c r="N89" s="48">
        <v>0.15</v>
      </c>
      <c r="O89" s="48"/>
      <c r="P89" s="48"/>
      <c r="Q89" s="50">
        <f t="shared" si="1"/>
        <v>1.094</v>
      </c>
      <c r="R89" s="51">
        <f t="shared" si="2"/>
        <v>5.617126389</v>
      </c>
      <c r="S89" s="52">
        <f t="shared" si="3"/>
        <v>0.1231825963</v>
      </c>
      <c r="T89" s="51">
        <f t="shared" si="4"/>
        <v>5.134484817</v>
      </c>
      <c r="U89" s="53">
        <f t="shared" si="5"/>
        <v>0.1125983512</v>
      </c>
      <c r="V89" s="52">
        <f t="shared" si="6"/>
        <v>0.1129845202</v>
      </c>
      <c r="W89" s="52">
        <f t="shared" si="7"/>
        <v>-0.003429614547</v>
      </c>
      <c r="X89" s="54">
        <f t="shared" si="8"/>
        <v>72.87</v>
      </c>
      <c r="Y89" s="52">
        <f t="shared" si="9"/>
        <v>8.976315789</v>
      </c>
      <c r="Z89" s="53">
        <f t="shared" si="10"/>
        <v>8.205041855</v>
      </c>
      <c r="AA89" s="52">
        <f t="shared" si="11"/>
        <v>8.213295462</v>
      </c>
      <c r="AB89" s="52">
        <f t="shared" si="12"/>
        <v>-0.001005918956</v>
      </c>
      <c r="AC89" s="55"/>
    </row>
    <row r="90">
      <c r="A90" s="32" t="s">
        <v>68</v>
      </c>
      <c r="B90" s="32">
        <v>7690.0</v>
      </c>
      <c r="C90" s="33">
        <v>100.0</v>
      </c>
      <c r="D90" s="56">
        <v>45.0</v>
      </c>
      <c r="E90" s="33">
        <v>45941.0</v>
      </c>
      <c r="F90" s="35" t="s">
        <v>91</v>
      </c>
      <c r="G90" s="36">
        <v>-0.035</v>
      </c>
      <c r="H90" s="36">
        <v>-0.01</v>
      </c>
      <c r="I90" s="36"/>
      <c r="J90" s="36"/>
      <c r="K90" s="36"/>
      <c r="L90" s="37">
        <v>0.1</v>
      </c>
      <c r="M90" s="36">
        <v>0.15</v>
      </c>
      <c r="N90" s="36"/>
      <c r="O90" s="36"/>
      <c r="P90" s="36"/>
      <c r="Q90" s="38">
        <f t="shared" si="1"/>
        <v>1.205</v>
      </c>
      <c r="R90" s="39">
        <f t="shared" si="2"/>
        <v>5.974122237</v>
      </c>
      <c r="S90" s="40">
        <f t="shared" si="3"/>
        <v>0.1327582719</v>
      </c>
      <c r="T90" s="39">
        <f t="shared" si="4"/>
        <v>4.95777779</v>
      </c>
      <c r="U90" s="41">
        <f t="shared" si="5"/>
        <v>0.1101728398</v>
      </c>
      <c r="V90" s="40">
        <f t="shared" si="6"/>
        <v>0.1099869717</v>
      </c>
      <c r="W90" s="40">
        <f t="shared" si="7"/>
        <v>0.001687058999</v>
      </c>
      <c r="X90" s="42">
        <f t="shared" si="8"/>
        <v>76.9</v>
      </c>
      <c r="Y90" s="40">
        <f t="shared" si="9"/>
        <v>10.20911111</v>
      </c>
      <c r="Z90" s="41">
        <f t="shared" si="10"/>
        <v>8.472291379</v>
      </c>
      <c r="AA90" s="40">
        <f t="shared" si="11"/>
        <v>8.437568576</v>
      </c>
      <c r="AB90" s="40">
        <f t="shared" si="12"/>
        <v>0.004098395717</v>
      </c>
      <c r="AC90" s="43"/>
    </row>
    <row r="91">
      <c r="A91" s="44" t="s">
        <v>68</v>
      </c>
      <c r="B91" s="44">
        <v>7741.0</v>
      </c>
      <c r="C91" s="45">
        <v>100.0</v>
      </c>
      <c r="D91" s="46">
        <v>45.0</v>
      </c>
      <c r="E91" s="45">
        <v>44526.0</v>
      </c>
      <c r="F91" s="47" t="s">
        <v>74</v>
      </c>
      <c r="G91" s="48">
        <v>-0.076</v>
      </c>
      <c r="H91" s="48">
        <v>-0.01</v>
      </c>
      <c r="I91" s="48"/>
      <c r="J91" s="48"/>
      <c r="K91" s="48"/>
      <c r="L91" s="49">
        <v>0.1</v>
      </c>
      <c r="M91" s="48">
        <v>0.15</v>
      </c>
      <c r="N91" s="48"/>
      <c r="O91" s="48"/>
      <c r="P91" s="48"/>
      <c r="Q91" s="50">
        <f t="shared" si="1"/>
        <v>1.164</v>
      </c>
      <c r="R91" s="51">
        <f t="shared" si="2"/>
        <v>5.75197003</v>
      </c>
      <c r="S91" s="52">
        <f t="shared" si="3"/>
        <v>0.1278215562</v>
      </c>
      <c r="T91" s="51">
        <f t="shared" si="4"/>
        <v>4.941555008</v>
      </c>
      <c r="U91" s="53">
        <f t="shared" si="5"/>
        <v>0.1098123335</v>
      </c>
      <c r="V91" s="52">
        <f t="shared" si="6"/>
        <v>0.1096189292</v>
      </c>
      <c r="W91" s="52">
        <f t="shared" si="7"/>
        <v>0.001761225797</v>
      </c>
      <c r="X91" s="54">
        <f t="shared" si="8"/>
        <v>77.41</v>
      </c>
      <c r="Y91" s="52">
        <f t="shared" si="9"/>
        <v>9.894666667</v>
      </c>
      <c r="Z91" s="53">
        <f t="shared" si="10"/>
        <v>8.500572738</v>
      </c>
      <c r="AA91" s="52">
        <f t="shared" si="11"/>
        <v>8.465105089</v>
      </c>
      <c r="AB91" s="52">
        <f t="shared" si="12"/>
        <v>0.004172383372</v>
      </c>
      <c r="AC91" s="55"/>
    </row>
    <row r="92">
      <c r="A92" s="32" t="s">
        <v>68</v>
      </c>
      <c r="B92" s="32">
        <v>7779.0</v>
      </c>
      <c r="C92" s="33">
        <v>100.0</v>
      </c>
      <c r="D92" s="56">
        <f>15*3</f>
        <v>45</v>
      </c>
      <c r="E92" s="33">
        <v>44941.0</v>
      </c>
      <c r="F92" s="35" t="s">
        <v>79</v>
      </c>
      <c r="G92" s="36">
        <v>-0.072</v>
      </c>
      <c r="H92" s="36">
        <v>-0.01</v>
      </c>
      <c r="I92" s="36"/>
      <c r="J92" s="36"/>
      <c r="K92" s="36"/>
      <c r="L92" s="37">
        <v>0.1</v>
      </c>
      <c r="M92" s="36">
        <v>0.15</v>
      </c>
      <c r="N92" s="36"/>
      <c r="O92" s="36"/>
      <c r="P92" s="36"/>
      <c r="Q92" s="38">
        <f t="shared" si="1"/>
        <v>1.168</v>
      </c>
      <c r="R92" s="39">
        <f t="shared" si="2"/>
        <v>5.777220722</v>
      </c>
      <c r="S92" s="40">
        <f t="shared" si="3"/>
        <v>0.1283826827</v>
      </c>
      <c r="T92" s="39">
        <f t="shared" si="4"/>
        <v>4.946250619</v>
      </c>
      <c r="U92" s="41">
        <f t="shared" si="5"/>
        <v>0.1099166804</v>
      </c>
      <c r="V92" s="40">
        <f t="shared" si="6"/>
        <v>0.1093462988</v>
      </c>
      <c r="W92" s="40">
        <f t="shared" si="7"/>
        <v>0.005189217582</v>
      </c>
      <c r="X92" s="42">
        <f t="shared" si="8"/>
        <v>77.79</v>
      </c>
      <c r="Y92" s="40">
        <f t="shared" si="9"/>
        <v>9.986888889</v>
      </c>
      <c r="Z92" s="41">
        <f t="shared" si="10"/>
        <v>8.550418569</v>
      </c>
      <c r="AA92" s="40">
        <f t="shared" si="11"/>
        <v>8.485502978</v>
      </c>
      <c r="AB92" s="40">
        <f t="shared" si="12"/>
        <v>0.007592095145</v>
      </c>
      <c r="AC92" s="43"/>
    </row>
    <row r="93">
      <c r="A93" s="44" t="s">
        <v>68</v>
      </c>
      <c r="B93" s="44">
        <v>7813.0</v>
      </c>
      <c r="C93" s="45">
        <v>100.0</v>
      </c>
      <c r="D93" s="46">
        <v>45.0</v>
      </c>
      <c r="E93" s="45">
        <v>44882.0</v>
      </c>
      <c r="F93" s="47" t="s">
        <v>79</v>
      </c>
      <c r="G93" s="48">
        <v>-0.072</v>
      </c>
      <c r="H93" s="48">
        <v>-0.01</v>
      </c>
      <c r="I93" s="48"/>
      <c r="J93" s="48"/>
      <c r="K93" s="48"/>
      <c r="L93" s="49">
        <v>0.1</v>
      </c>
      <c r="M93" s="48">
        <v>0.15</v>
      </c>
      <c r="N93" s="48"/>
      <c r="O93" s="48"/>
      <c r="P93" s="48"/>
      <c r="Q93" s="50">
        <f t="shared" si="1"/>
        <v>1.168</v>
      </c>
      <c r="R93" s="51">
        <f t="shared" si="2"/>
        <v>5.74452835</v>
      </c>
      <c r="S93" s="52">
        <f t="shared" si="3"/>
        <v>0.1276561856</v>
      </c>
      <c r="T93" s="51">
        <f t="shared" si="4"/>
        <v>4.918260574</v>
      </c>
      <c r="U93" s="53">
        <f t="shared" si="5"/>
        <v>0.1092946794</v>
      </c>
      <c r="V93" s="52">
        <f t="shared" si="6"/>
        <v>0.1091035134</v>
      </c>
      <c r="W93" s="52">
        <f t="shared" si="7"/>
        <v>0.001749088463</v>
      </c>
      <c r="X93" s="54">
        <f t="shared" si="8"/>
        <v>78.13</v>
      </c>
      <c r="Y93" s="52">
        <f t="shared" si="9"/>
        <v>9.973777778</v>
      </c>
      <c r="Z93" s="53">
        <f t="shared" si="10"/>
        <v>8.539193303</v>
      </c>
      <c r="AA93" s="52">
        <f t="shared" si="11"/>
        <v>8.503667907</v>
      </c>
      <c r="AB93" s="52">
        <f t="shared" si="12"/>
        <v>0.004160275355</v>
      </c>
      <c r="AC93" s="55"/>
    </row>
    <row r="94">
      <c r="A94" s="32" t="s">
        <v>68</v>
      </c>
      <c r="B94" s="32">
        <v>7814.0</v>
      </c>
      <c r="C94" s="33">
        <v>100.0</v>
      </c>
      <c r="D94" s="56">
        <v>45.0</v>
      </c>
      <c r="E94" s="33">
        <v>46303.0</v>
      </c>
      <c r="F94" s="35" t="s">
        <v>79</v>
      </c>
      <c r="G94" s="36">
        <v>-0.035</v>
      </c>
      <c r="H94" s="36">
        <v>-0.01</v>
      </c>
      <c r="I94" s="36"/>
      <c r="J94" s="36"/>
      <c r="K94" s="36"/>
      <c r="L94" s="37">
        <v>0.1</v>
      </c>
      <c r="M94" s="36">
        <v>0.15</v>
      </c>
      <c r="N94" s="36"/>
      <c r="O94" s="36"/>
      <c r="P94" s="36"/>
      <c r="Q94" s="38">
        <f t="shared" si="1"/>
        <v>1.205</v>
      </c>
      <c r="R94" s="39">
        <f t="shared" si="2"/>
        <v>5.925646276</v>
      </c>
      <c r="S94" s="40">
        <f t="shared" si="3"/>
        <v>0.1316810284</v>
      </c>
      <c r="T94" s="39">
        <f t="shared" si="4"/>
        <v>4.917548777</v>
      </c>
      <c r="U94" s="41">
        <f t="shared" si="5"/>
        <v>0.1092788617</v>
      </c>
      <c r="V94" s="40">
        <f t="shared" si="6"/>
        <v>0.1090963889</v>
      </c>
      <c r="W94" s="40">
        <f t="shared" si="7"/>
        <v>0.001669790262</v>
      </c>
      <c r="X94" s="42">
        <f t="shared" si="8"/>
        <v>78.14</v>
      </c>
      <c r="Y94" s="40">
        <f t="shared" si="9"/>
        <v>10.28955556</v>
      </c>
      <c r="Z94" s="41">
        <f t="shared" si="10"/>
        <v>8.539050254</v>
      </c>
      <c r="AA94" s="40">
        <f t="shared" si="11"/>
        <v>8.504200949</v>
      </c>
      <c r="AB94" s="40">
        <f t="shared" si="12"/>
        <v>0.004081168692</v>
      </c>
      <c r="AC94" s="43"/>
    </row>
    <row r="95">
      <c r="A95" s="44" t="s">
        <v>68</v>
      </c>
      <c r="B95" s="44">
        <v>7900.0</v>
      </c>
      <c r="C95" s="45">
        <v>100.0</v>
      </c>
      <c r="D95" s="46">
        <v>45.0</v>
      </c>
      <c r="E95" s="45">
        <v>45086.0</v>
      </c>
      <c r="F95" s="47" t="s">
        <v>91</v>
      </c>
      <c r="G95" s="48">
        <v>-0.073</v>
      </c>
      <c r="H95" s="48">
        <v>-0.01</v>
      </c>
      <c r="I95" s="48"/>
      <c r="J95" s="48"/>
      <c r="K95" s="48"/>
      <c r="L95" s="49">
        <v>0.1</v>
      </c>
      <c r="M95" s="48">
        <v>0.15</v>
      </c>
      <c r="N95" s="48"/>
      <c r="O95" s="48"/>
      <c r="P95" s="48"/>
      <c r="Q95" s="50">
        <f t="shared" si="1"/>
        <v>1.167</v>
      </c>
      <c r="R95" s="51">
        <f t="shared" si="2"/>
        <v>5.707088608</v>
      </c>
      <c r="S95" s="52">
        <f t="shared" si="3"/>
        <v>0.1268241913</v>
      </c>
      <c r="T95" s="51">
        <f t="shared" si="4"/>
        <v>4.89039298</v>
      </c>
      <c r="U95" s="53">
        <f t="shared" si="5"/>
        <v>0.1086753996</v>
      </c>
      <c r="V95" s="52">
        <f t="shared" si="6"/>
        <v>0.1084871494</v>
      </c>
      <c r="W95" s="52">
        <f t="shared" si="7"/>
        <v>0.001732224629</v>
      </c>
      <c r="X95" s="54">
        <f t="shared" si="8"/>
        <v>79</v>
      </c>
      <c r="Y95" s="52">
        <f t="shared" si="9"/>
        <v>10.01911111</v>
      </c>
      <c r="Z95" s="53">
        <f t="shared" si="10"/>
        <v>8.585356565</v>
      </c>
      <c r="AA95" s="52">
        <f t="shared" si="11"/>
        <v>8.54978355</v>
      </c>
      <c r="AB95" s="52">
        <f t="shared" si="12"/>
        <v>0.004143452254</v>
      </c>
      <c r="AC95" s="55"/>
    </row>
    <row r="96">
      <c r="A96" s="32" t="s">
        <v>68</v>
      </c>
      <c r="B96" s="32">
        <v>7900.0</v>
      </c>
      <c r="C96" s="33">
        <v>100.0</v>
      </c>
      <c r="D96" s="56">
        <v>45.0</v>
      </c>
      <c r="E96" s="33">
        <v>45086.0</v>
      </c>
      <c r="F96" s="35" t="s">
        <v>91</v>
      </c>
      <c r="G96" s="36">
        <v>-0.073</v>
      </c>
      <c r="H96" s="36">
        <v>-0.01</v>
      </c>
      <c r="I96" s="36"/>
      <c r="J96" s="36"/>
      <c r="K96" s="36"/>
      <c r="L96" s="37">
        <v>0.1</v>
      </c>
      <c r="M96" s="36">
        <v>0.15</v>
      </c>
      <c r="N96" s="36"/>
      <c r="O96" s="36"/>
      <c r="P96" s="36"/>
      <c r="Q96" s="38">
        <f t="shared" si="1"/>
        <v>1.167</v>
      </c>
      <c r="R96" s="39">
        <f t="shared" si="2"/>
        <v>5.707088608</v>
      </c>
      <c r="S96" s="40">
        <f t="shared" si="3"/>
        <v>0.1268241913</v>
      </c>
      <c r="T96" s="39">
        <f t="shared" si="4"/>
        <v>4.89039298</v>
      </c>
      <c r="U96" s="41">
        <f t="shared" si="5"/>
        <v>0.1086753996</v>
      </c>
      <c r="V96" s="40">
        <f t="shared" si="6"/>
        <v>0.1084871494</v>
      </c>
      <c r="W96" s="40">
        <f t="shared" si="7"/>
        <v>0.001732224629</v>
      </c>
      <c r="X96" s="42">
        <f t="shared" si="8"/>
        <v>79</v>
      </c>
      <c r="Y96" s="40">
        <f t="shared" si="9"/>
        <v>10.01911111</v>
      </c>
      <c r="Z96" s="41">
        <f t="shared" si="10"/>
        <v>8.585356565</v>
      </c>
      <c r="AA96" s="40">
        <f t="shared" si="11"/>
        <v>8.54978355</v>
      </c>
      <c r="AB96" s="40">
        <f t="shared" si="12"/>
        <v>0.004143452254</v>
      </c>
      <c r="AC96" s="43"/>
    </row>
  </sheetData>
  <mergeCells count="2">
    <mergeCell ref="G1:K1"/>
    <mergeCell ref="L1:P1"/>
  </mergeCells>
  <conditionalFormatting sqref="W2:W96 AB2:AB96">
    <cfRule type="colorScale" priority="1">
      <colorScale>
        <cfvo type="min"/>
        <cfvo type="formula" val="0"/>
        <cfvo type="max"/>
        <color rgb="FFCFE2F3"/>
        <color rgb="FFFFFFFF"/>
        <color rgb="FFF4CCCC"/>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75"/>
  <cols>
    <col customWidth="1" min="1" max="1" width="12.63"/>
    <col customWidth="1" min="2" max="2" width="7.25"/>
    <col customWidth="1" min="3" max="3" width="9.13"/>
    <col customWidth="1" min="4" max="4" width="6.13"/>
    <col customWidth="1" min="5" max="5" width="7.5"/>
    <col customWidth="1" min="6" max="6" width="15.13"/>
    <col customWidth="1" min="7" max="7" width="7.63"/>
    <col customWidth="1" min="8" max="17" width="5.63"/>
    <col customWidth="1" min="18" max="18" width="9.5"/>
    <col customWidth="1" min="19" max="19" width="9.13"/>
    <col customWidth="1" min="20" max="20" width="8.88"/>
    <col customWidth="1" min="21" max="21" width="9.38"/>
    <col customWidth="1" min="22" max="22" width="9.63"/>
    <col customWidth="1" min="23" max="23" width="7.25"/>
    <col customWidth="1" min="24" max="24" width="11.0"/>
    <col customWidth="1" min="25" max="25" width="11.5"/>
    <col customWidth="1" min="26" max="26" width="11.75"/>
    <col customWidth="1" min="27" max="28" width="8.88"/>
    <col customWidth="1" min="29" max="30" width="8.63"/>
    <col customWidth="1" min="31" max="31" width="12.38"/>
    <col customWidth="1" min="32" max="33" width="8.88"/>
    <col customWidth="1" min="34" max="34" width="61.0"/>
  </cols>
  <sheetData>
    <row r="1">
      <c r="A1" s="19" t="s">
        <v>51</v>
      </c>
      <c r="B1" s="19" t="s">
        <v>52</v>
      </c>
      <c r="C1" s="20" t="s">
        <v>53</v>
      </c>
      <c r="D1" s="21" t="s">
        <v>54</v>
      </c>
      <c r="E1" s="20" t="s">
        <v>55</v>
      </c>
      <c r="F1" s="71" t="s">
        <v>56</v>
      </c>
      <c r="G1" s="72" t="s">
        <v>96</v>
      </c>
      <c r="H1" s="23" t="s">
        <v>57</v>
      </c>
      <c r="I1" s="24"/>
      <c r="J1" s="24"/>
      <c r="K1" s="24"/>
      <c r="L1" s="24"/>
      <c r="M1" s="25" t="s">
        <v>58</v>
      </c>
      <c r="N1" s="24"/>
      <c r="O1" s="24"/>
      <c r="P1" s="24"/>
      <c r="Q1" s="24"/>
      <c r="R1" s="73" t="s">
        <v>97</v>
      </c>
      <c r="S1" s="73" t="s">
        <v>98</v>
      </c>
      <c r="T1" s="74" t="s">
        <v>63</v>
      </c>
      <c r="U1" s="74" t="s">
        <v>99</v>
      </c>
      <c r="V1" s="73" t="s">
        <v>40</v>
      </c>
      <c r="W1" s="30" t="s">
        <v>59</v>
      </c>
      <c r="X1" s="28" t="s">
        <v>60</v>
      </c>
      <c r="Y1" s="27" t="s">
        <v>61</v>
      </c>
      <c r="Z1" s="29" t="s">
        <v>62</v>
      </c>
      <c r="AA1" s="28" t="s">
        <v>63</v>
      </c>
      <c r="AB1" s="75" t="s">
        <v>64</v>
      </c>
      <c r="AC1" s="27" t="s">
        <v>65</v>
      </c>
      <c r="AD1" s="28" t="s">
        <v>100</v>
      </c>
      <c r="AE1" s="29" t="s">
        <v>67</v>
      </c>
      <c r="AF1" s="28" t="s">
        <v>63</v>
      </c>
      <c r="AG1" s="28" t="s">
        <v>64</v>
      </c>
      <c r="AH1" s="31"/>
    </row>
    <row r="2">
      <c r="A2" s="32" t="s">
        <v>85</v>
      </c>
      <c r="B2" s="32">
        <v>50.0</v>
      </c>
      <c r="C2" s="33">
        <v>50.0</v>
      </c>
      <c r="D2" s="56">
        <v>35.0</v>
      </c>
      <c r="E2" s="33">
        <v>426.0</v>
      </c>
      <c r="F2" s="76" t="s">
        <v>69</v>
      </c>
      <c r="G2" s="77">
        <v>0.0</v>
      </c>
      <c r="H2" s="36">
        <v>-0.035</v>
      </c>
      <c r="I2" s="36">
        <v>-0.1</v>
      </c>
      <c r="J2" s="36">
        <v>-0.01</v>
      </c>
      <c r="K2" s="36" t="s">
        <v>101</v>
      </c>
      <c r="L2" s="36" t="s">
        <v>101</v>
      </c>
      <c r="M2" s="37">
        <v>0.094</v>
      </c>
      <c r="N2" s="36">
        <v>0.15</v>
      </c>
      <c r="O2" s="36"/>
      <c r="P2" s="36"/>
      <c r="Q2" s="36"/>
      <c r="R2" s="78">
        <f t="shared" ref="R2:R89" si="1">1+SUM(H2:Q2)</f>
        <v>1.099</v>
      </c>
      <c r="S2" s="78">
        <f t="shared" ref="S2:S89" si="2">R2-(X2/AA2)</f>
        <v>-0.01103428571</v>
      </c>
      <c r="T2" s="79">
        <f>0.9*(G2/(120+G2))</f>
        <v>0</v>
      </c>
      <c r="U2" s="79">
        <f t="shared" ref="U2:U89" si="3">S2-T2</f>
        <v>-0.01103428571</v>
      </c>
      <c r="V2" s="78">
        <f t="shared" ref="V2:V89" si="4">MAX(0.1,R2-T2)</f>
        <v>1.099</v>
      </c>
      <c r="W2" s="42">
        <f t="shared" ref="W2:W89" si="5">E2/B2</f>
        <v>8.52</v>
      </c>
      <c r="X2" s="40">
        <f t="shared" ref="X2:X89" si="6">W2/D2</f>
        <v>0.2434285714</v>
      </c>
      <c r="Y2" s="39">
        <f t="shared" ref="Y2:Y89" si="7">W2/V2</f>
        <v>7.752502275</v>
      </c>
      <c r="Z2" s="41">
        <f t="shared" ref="Z2:Z89" si="8">Y2/D2</f>
        <v>0.221500065</v>
      </c>
      <c r="AA2" s="40">
        <f t="shared" ref="AA2:AA89" si="9">AF2/AC2</f>
        <v>0.2192982456</v>
      </c>
      <c r="AB2" s="80">
        <f t="shared" ref="AB2:AB89" si="10">(Z2-AA2)/Z2</f>
        <v>0.009940490899</v>
      </c>
      <c r="AC2" s="39">
        <f t="shared" ref="AC2:AC89" si="11">B2/C2</f>
        <v>1</v>
      </c>
      <c r="AD2" s="40">
        <f t="shared" ref="AD2:AD89" si="12">X2*AC2</f>
        <v>0.2434285714</v>
      </c>
      <c r="AE2" s="41">
        <f t="shared" ref="AE2:AE89" si="13">Z2*AC2</f>
        <v>0.221500065</v>
      </c>
      <c r="AF2" s="40">
        <f t="shared" ref="AF2:AF89" si="14">50/3*AC2/(75+AC2)</f>
        <v>0.2192982456</v>
      </c>
      <c r="AG2" s="40">
        <f t="shared" ref="AG2:AG89" si="15">(AE2-AF2)/AE2</f>
        <v>0.009940490899</v>
      </c>
      <c r="AH2" s="81"/>
    </row>
    <row r="3">
      <c r="A3" s="44" t="s">
        <v>84</v>
      </c>
      <c r="B3" s="44">
        <v>4.0</v>
      </c>
      <c r="C3" s="45">
        <v>4.0</v>
      </c>
      <c r="D3" s="46">
        <v>403.0</v>
      </c>
      <c r="E3" s="45">
        <v>393.0</v>
      </c>
      <c r="F3" s="82" t="s">
        <v>69</v>
      </c>
      <c r="G3" s="83">
        <v>0.0</v>
      </c>
      <c r="H3" s="48">
        <v>-0.035</v>
      </c>
      <c r="I3" s="48">
        <v>-0.1</v>
      </c>
      <c r="J3" s="48">
        <v>-0.01</v>
      </c>
      <c r="K3" s="48" t="s">
        <v>101</v>
      </c>
      <c r="L3" s="48" t="s">
        <v>101</v>
      </c>
      <c r="M3" s="49">
        <v>0.094</v>
      </c>
      <c r="N3" s="48">
        <v>0.15</v>
      </c>
      <c r="O3" s="48"/>
      <c r="P3" s="48"/>
      <c r="Q3" s="48"/>
      <c r="R3" s="84">
        <f t="shared" si="1"/>
        <v>1.099</v>
      </c>
      <c r="S3" s="84">
        <f t="shared" si="2"/>
        <v>-0.01271215881</v>
      </c>
      <c r="T3" s="85">
        <f t="shared" ref="T3:T41" si="16">0.9*(G3/(120+G3))</f>
        <v>0</v>
      </c>
      <c r="U3" s="85">
        <f t="shared" si="3"/>
        <v>-0.01271215881</v>
      </c>
      <c r="V3" s="84">
        <f t="shared" si="4"/>
        <v>1.099</v>
      </c>
      <c r="W3" s="54">
        <f t="shared" si="5"/>
        <v>98.25</v>
      </c>
      <c r="X3" s="52">
        <f t="shared" si="6"/>
        <v>0.2437965261</v>
      </c>
      <c r="Y3" s="51">
        <f t="shared" si="7"/>
        <v>89.39945405</v>
      </c>
      <c r="Z3" s="53">
        <f t="shared" si="8"/>
        <v>0.2218348736</v>
      </c>
      <c r="AA3" s="52">
        <f t="shared" si="9"/>
        <v>0.2192982456</v>
      </c>
      <c r="AB3" s="86">
        <f t="shared" si="10"/>
        <v>0.01143475738</v>
      </c>
      <c r="AC3" s="51">
        <f t="shared" si="11"/>
        <v>1</v>
      </c>
      <c r="AD3" s="52">
        <f t="shared" si="12"/>
        <v>0.2437965261</v>
      </c>
      <c r="AE3" s="53">
        <f t="shared" si="13"/>
        <v>0.2218348736</v>
      </c>
      <c r="AF3" s="52">
        <f t="shared" si="14"/>
        <v>0.2192982456</v>
      </c>
      <c r="AG3" s="52">
        <f t="shared" si="15"/>
        <v>0.01143475738</v>
      </c>
      <c r="AH3" s="87"/>
    </row>
    <row r="4">
      <c r="A4" s="32" t="s">
        <v>84</v>
      </c>
      <c r="B4" s="32">
        <v>4.0</v>
      </c>
      <c r="C4" s="33">
        <v>4.0</v>
      </c>
      <c r="D4" s="56">
        <v>403.0</v>
      </c>
      <c r="E4" s="33">
        <v>553.0</v>
      </c>
      <c r="F4" s="76" t="s">
        <v>69</v>
      </c>
      <c r="G4" s="77">
        <v>0.0</v>
      </c>
      <c r="H4" s="36">
        <v>-0.035</v>
      </c>
      <c r="I4" s="36">
        <v>-0.1</v>
      </c>
      <c r="J4" s="36">
        <v>-0.01</v>
      </c>
      <c r="K4" s="36" t="s">
        <v>101</v>
      </c>
      <c r="L4" s="36" t="s">
        <v>101</v>
      </c>
      <c r="M4" s="37">
        <v>0.094</v>
      </c>
      <c r="N4" s="36">
        <v>0.15</v>
      </c>
      <c r="O4" s="36">
        <v>0.453</v>
      </c>
      <c r="P4" s="36"/>
      <c r="Q4" s="36"/>
      <c r="R4" s="78">
        <f t="shared" si="1"/>
        <v>1.552</v>
      </c>
      <c r="S4" s="78">
        <f t="shared" si="2"/>
        <v>-0.01231761787</v>
      </c>
      <c r="T4" s="79">
        <f t="shared" si="16"/>
        <v>0</v>
      </c>
      <c r="U4" s="79">
        <f t="shared" si="3"/>
        <v>-0.01231761787</v>
      </c>
      <c r="V4" s="78">
        <f t="shared" si="4"/>
        <v>1.552</v>
      </c>
      <c r="W4" s="42">
        <f t="shared" si="5"/>
        <v>138.25</v>
      </c>
      <c r="X4" s="40">
        <f t="shared" si="6"/>
        <v>0.3430521092</v>
      </c>
      <c r="Y4" s="39">
        <f t="shared" si="7"/>
        <v>89.07860825</v>
      </c>
      <c r="Z4" s="41">
        <f t="shared" si="8"/>
        <v>0.2210387301</v>
      </c>
      <c r="AA4" s="40">
        <f t="shared" si="9"/>
        <v>0.2192982456</v>
      </c>
      <c r="AB4" s="80">
        <f t="shared" si="10"/>
        <v>0.007874115669</v>
      </c>
      <c r="AC4" s="39">
        <f t="shared" si="11"/>
        <v>1</v>
      </c>
      <c r="AD4" s="40">
        <f t="shared" si="12"/>
        <v>0.3430521092</v>
      </c>
      <c r="AE4" s="41">
        <f t="shared" si="13"/>
        <v>0.2210387301</v>
      </c>
      <c r="AF4" s="40">
        <f t="shared" si="14"/>
        <v>0.2192982456</v>
      </c>
      <c r="AG4" s="40">
        <f t="shared" si="15"/>
        <v>0.007874115669</v>
      </c>
      <c r="AH4" s="81"/>
    </row>
    <row r="5">
      <c r="A5" s="44" t="s">
        <v>84</v>
      </c>
      <c r="B5" s="44">
        <v>4.0</v>
      </c>
      <c r="C5" s="45">
        <v>4.0</v>
      </c>
      <c r="D5" s="46">
        <v>403.0</v>
      </c>
      <c r="E5" s="45">
        <v>350.0</v>
      </c>
      <c r="F5" s="82" t="s">
        <v>69</v>
      </c>
      <c r="G5" s="83">
        <v>0.0</v>
      </c>
      <c r="H5" s="48">
        <v>-0.035</v>
      </c>
      <c r="I5" s="48">
        <v>-0.1</v>
      </c>
      <c r="J5" s="48">
        <v>-0.01</v>
      </c>
      <c r="K5" s="48">
        <v>-0.12</v>
      </c>
      <c r="L5" s="48" t="s">
        <v>101</v>
      </c>
      <c r="M5" s="49">
        <v>0.094</v>
      </c>
      <c r="N5" s="48">
        <v>0.15</v>
      </c>
      <c r="O5" s="48"/>
      <c r="P5" s="48"/>
      <c r="Q5" s="48"/>
      <c r="R5" s="84">
        <f t="shared" si="1"/>
        <v>0.979</v>
      </c>
      <c r="S5" s="84">
        <f t="shared" si="2"/>
        <v>-0.01107444169</v>
      </c>
      <c r="T5" s="85">
        <f t="shared" si="16"/>
        <v>0</v>
      </c>
      <c r="U5" s="85">
        <f t="shared" si="3"/>
        <v>-0.01107444169</v>
      </c>
      <c r="V5" s="84">
        <f t="shared" si="4"/>
        <v>0.979</v>
      </c>
      <c r="W5" s="54">
        <f t="shared" si="5"/>
        <v>87.5</v>
      </c>
      <c r="X5" s="52">
        <f t="shared" si="6"/>
        <v>0.2171215881</v>
      </c>
      <c r="Y5" s="51">
        <f t="shared" si="7"/>
        <v>89.37691522</v>
      </c>
      <c r="Z5" s="53">
        <f t="shared" si="8"/>
        <v>0.221778946</v>
      </c>
      <c r="AA5" s="52">
        <f t="shared" si="9"/>
        <v>0.2192982456</v>
      </c>
      <c r="AB5" s="86">
        <f t="shared" si="10"/>
        <v>0.01118546366</v>
      </c>
      <c r="AC5" s="51">
        <f t="shared" si="11"/>
        <v>1</v>
      </c>
      <c r="AD5" s="52">
        <f t="shared" si="12"/>
        <v>0.2171215881</v>
      </c>
      <c r="AE5" s="53">
        <f t="shared" si="13"/>
        <v>0.221778946</v>
      </c>
      <c r="AF5" s="52">
        <f t="shared" si="14"/>
        <v>0.2192982456</v>
      </c>
      <c r="AG5" s="52">
        <f t="shared" si="15"/>
        <v>0.01118546366</v>
      </c>
    </row>
    <row r="6">
      <c r="A6" s="32" t="s">
        <v>102</v>
      </c>
      <c r="B6" s="32">
        <v>2967.0</v>
      </c>
      <c r="C6" s="33">
        <v>100.0</v>
      </c>
      <c r="D6" s="56">
        <v>19.0</v>
      </c>
      <c r="E6" s="33">
        <v>10889.0</v>
      </c>
      <c r="F6" s="76" t="s">
        <v>89</v>
      </c>
      <c r="G6" s="77">
        <v>0.0</v>
      </c>
      <c r="H6" s="36">
        <v>-0.043</v>
      </c>
      <c r="I6" s="36" t="s">
        <v>101</v>
      </c>
      <c r="J6" s="36" t="s">
        <v>101</v>
      </c>
      <c r="K6" s="36" t="s">
        <v>101</v>
      </c>
      <c r="L6" s="36" t="s">
        <v>101</v>
      </c>
      <c r="M6" s="37">
        <v>0.094</v>
      </c>
      <c r="N6" s="36">
        <v>0.15</v>
      </c>
      <c r="O6" s="36"/>
      <c r="P6" s="36"/>
      <c r="Q6" s="36"/>
      <c r="R6" s="78">
        <f t="shared" si="1"/>
        <v>1.201</v>
      </c>
      <c r="S6" s="78">
        <f t="shared" si="2"/>
        <v>-0.01208246501</v>
      </c>
      <c r="T6" s="79">
        <f t="shared" si="16"/>
        <v>0</v>
      </c>
      <c r="U6" s="79">
        <f t="shared" si="3"/>
        <v>-0.01208246501</v>
      </c>
      <c r="V6" s="78">
        <f t="shared" si="4"/>
        <v>1.201</v>
      </c>
      <c r="W6" s="42">
        <f t="shared" si="5"/>
        <v>3.670037074</v>
      </c>
      <c r="X6" s="40">
        <f t="shared" si="6"/>
        <v>0.193159846</v>
      </c>
      <c r="Y6" s="39">
        <f t="shared" si="7"/>
        <v>3.055817714</v>
      </c>
      <c r="Z6" s="41">
        <f t="shared" si="8"/>
        <v>0.1608325113</v>
      </c>
      <c r="AA6" s="40">
        <f t="shared" si="9"/>
        <v>0.1592305978</v>
      </c>
      <c r="AB6" s="80">
        <f t="shared" si="10"/>
        <v>0.009960134911</v>
      </c>
      <c r="AC6" s="39">
        <f t="shared" si="11"/>
        <v>29.67</v>
      </c>
      <c r="AD6" s="40">
        <f t="shared" si="12"/>
        <v>5.731052632</v>
      </c>
      <c r="AE6" s="41">
        <f t="shared" si="13"/>
        <v>4.771900609</v>
      </c>
      <c r="AF6" s="40">
        <f t="shared" si="14"/>
        <v>4.724371835</v>
      </c>
      <c r="AG6" s="40">
        <f t="shared" si="15"/>
        <v>0.009960134911</v>
      </c>
      <c r="AH6" s="81"/>
    </row>
    <row r="7">
      <c r="A7" s="44" t="s">
        <v>84</v>
      </c>
      <c r="B7" s="44">
        <v>4.0</v>
      </c>
      <c r="C7" s="45">
        <v>4.0</v>
      </c>
      <c r="D7" s="46">
        <v>403.0</v>
      </c>
      <c r="E7" s="45">
        <v>422.0</v>
      </c>
      <c r="F7" s="82" t="s">
        <v>103</v>
      </c>
      <c r="G7" s="83">
        <v>7.5</v>
      </c>
      <c r="H7" s="48">
        <v>-0.013</v>
      </c>
      <c r="I7" s="48" t="s">
        <v>101</v>
      </c>
      <c r="J7" s="48" t="s">
        <v>101</v>
      </c>
      <c r="K7" s="48" t="s">
        <v>101</v>
      </c>
      <c r="L7" s="48" t="s">
        <v>101</v>
      </c>
      <c r="M7" s="49">
        <v>0.094</v>
      </c>
      <c r="N7" s="48">
        <v>0.15</v>
      </c>
      <c r="O7" s="48"/>
      <c r="P7" s="48"/>
      <c r="Q7" s="48"/>
      <c r="R7" s="84">
        <f t="shared" si="1"/>
        <v>1.231</v>
      </c>
      <c r="S7" s="84">
        <f t="shared" si="2"/>
        <v>0.03725310174</v>
      </c>
      <c r="T7" s="85">
        <f t="shared" si="16"/>
        <v>0.05294117647</v>
      </c>
      <c r="U7" s="85">
        <f t="shared" si="3"/>
        <v>-0.01568807473</v>
      </c>
      <c r="V7" s="84">
        <f t="shared" si="4"/>
        <v>1.178058824</v>
      </c>
      <c r="W7" s="54">
        <f t="shared" si="5"/>
        <v>105.5</v>
      </c>
      <c r="X7" s="52">
        <f t="shared" si="6"/>
        <v>0.2617866005</v>
      </c>
      <c r="Y7" s="51">
        <f t="shared" si="7"/>
        <v>89.55410196</v>
      </c>
      <c r="Z7" s="53">
        <f t="shared" si="8"/>
        <v>0.2222186153</v>
      </c>
      <c r="AA7" s="52">
        <f t="shared" si="9"/>
        <v>0.2192982456</v>
      </c>
      <c r="AB7" s="86">
        <f t="shared" si="10"/>
        <v>0.01314187686</v>
      </c>
      <c r="AC7" s="51">
        <f t="shared" si="11"/>
        <v>1</v>
      </c>
      <c r="AD7" s="52">
        <f t="shared" si="12"/>
        <v>0.2617866005</v>
      </c>
      <c r="AE7" s="53">
        <f t="shared" si="13"/>
        <v>0.2222186153</v>
      </c>
      <c r="AF7" s="52">
        <f t="shared" si="14"/>
        <v>0.2192982456</v>
      </c>
      <c r="AG7" s="52">
        <f t="shared" si="15"/>
        <v>0.01314187686</v>
      </c>
      <c r="AH7" s="87"/>
    </row>
    <row r="8">
      <c r="A8" s="32" t="s">
        <v>84</v>
      </c>
      <c r="B8" s="32">
        <v>4.0</v>
      </c>
      <c r="C8" s="33">
        <v>4.0</v>
      </c>
      <c r="D8" s="56">
        <v>403.0</v>
      </c>
      <c r="E8" s="33">
        <v>422.0</v>
      </c>
      <c r="F8" s="76" t="s">
        <v>103</v>
      </c>
      <c r="G8" s="77">
        <v>7.5</v>
      </c>
      <c r="H8" s="36">
        <v>-0.013</v>
      </c>
      <c r="I8" s="36" t="s">
        <v>101</v>
      </c>
      <c r="J8" s="36" t="s">
        <v>101</v>
      </c>
      <c r="K8" s="36" t="s">
        <v>101</v>
      </c>
      <c r="L8" s="36" t="s">
        <v>101</v>
      </c>
      <c r="M8" s="37">
        <v>0.094</v>
      </c>
      <c r="N8" s="36">
        <v>0.15</v>
      </c>
      <c r="O8" s="36"/>
      <c r="P8" s="36"/>
      <c r="Q8" s="36"/>
      <c r="R8" s="78">
        <f t="shared" si="1"/>
        <v>1.231</v>
      </c>
      <c r="S8" s="78">
        <f t="shared" si="2"/>
        <v>0.03725310174</v>
      </c>
      <c r="T8" s="79">
        <f t="shared" si="16"/>
        <v>0.05294117647</v>
      </c>
      <c r="U8" s="79">
        <f t="shared" si="3"/>
        <v>-0.01568807473</v>
      </c>
      <c r="V8" s="78">
        <f t="shared" si="4"/>
        <v>1.178058824</v>
      </c>
      <c r="W8" s="42">
        <f t="shared" si="5"/>
        <v>105.5</v>
      </c>
      <c r="X8" s="40">
        <f t="shared" si="6"/>
        <v>0.2617866005</v>
      </c>
      <c r="Y8" s="39">
        <f t="shared" si="7"/>
        <v>89.55410196</v>
      </c>
      <c r="Z8" s="41">
        <f t="shared" si="8"/>
        <v>0.2222186153</v>
      </c>
      <c r="AA8" s="40">
        <f t="shared" si="9"/>
        <v>0.2192982456</v>
      </c>
      <c r="AB8" s="80">
        <f t="shared" si="10"/>
        <v>0.01314187686</v>
      </c>
      <c r="AC8" s="39">
        <f t="shared" si="11"/>
        <v>1</v>
      </c>
      <c r="AD8" s="40">
        <f t="shared" si="12"/>
        <v>0.2617866005</v>
      </c>
      <c r="AE8" s="41">
        <f t="shared" si="13"/>
        <v>0.2222186153</v>
      </c>
      <c r="AF8" s="40">
        <f t="shared" si="14"/>
        <v>0.2192982456</v>
      </c>
      <c r="AG8" s="40">
        <f t="shared" si="15"/>
        <v>0.01314187686</v>
      </c>
      <c r="AH8" s="81"/>
    </row>
    <row r="9">
      <c r="A9" s="44" t="s">
        <v>85</v>
      </c>
      <c r="B9" s="44">
        <v>48.0</v>
      </c>
      <c r="C9" s="45">
        <v>50.0</v>
      </c>
      <c r="D9" s="46">
        <v>35.0</v>
      </c>
      <c r="E9" s="45">
        <v>440.0</v>
      </c>
      <c r="F9" s="82" t="s">
        <v>103</v>
      </c>
      <c r="G9" s="83">
        <v>7.5</v>
      </c>
      <c r="H9" s="48">
        <v>-0.013</v>
      </c>
      <c r="I9" s="48" t="s">
        <v>101</v>
      </c>
      <c r="J9" s="48" t="s">
        <v>101</v>
      </c>
      <c r="K9" s="48" t="s">
        <v>101</v>
      </c>
      <c r="L9" s="48" t="s">
        <v>101</v>
      </c>
      <c r="M9" s="49">
        <v>0.094</v>
      </c>
      <c r="N9" s="48">
        <v>0.15</v>
      </c>
      <c r="O9" s="48"/>
      <c r="P9" s="48"/>
      <c r="Q9" s="48"/>
      <c r="R9" s="84">
        <f t="shared" si="1"/>
        <v>1.231</v>
      </c>
      <c r="S9" s="84">
        <f t="shared" si="2"/>
        <v>0.03734285714</v>
      </c>
      <c r="T9" s="85">
        <f t="shared" si="16"/>
        <v>0.05294117647</v>
      </c>
      <c r="U9" s="85">
        <f t="shared" si="3"/>
        <v>-0.01559831933</v>
      </c>
      <c r="V9" s="84">
        <f t="shared" si="4"/>
        <v>1.178058824</v>
      </c>
      <c r="W9" s="54">
        <f t="shared" si="5"/>
        <v>9.166666667</v>
      </c>
      <c r="X9" s="52">
        <f t="shared" si="6"/>
        <v>0.2619047619</v>
      </c>
      <c r="Y9" s="51">
        <f t="shared" si="7"/>
        <v>7.781162098</v>
      </c>
      <c r="Z9" s="53">
        <f t="shared" si="8"/>
        <v>0.2223189171</v>
      </c>
      <c r="AA9" s="52">
        <f t="shared" si="9"/>
        <v>0.2194137265</v>
      </c>
      <c r="AB9" s="86">
        <f t="shared" si="10"/>
        <v>0.01306767142</v>
      </c>
      <c r="AC9" s="51">
        <f t="shared" si="11"/>
        <v>0.96</v>
      </c>
      <c r="AD9" s="52">
        <f t="shared" si="12"/>
        <v>0.2514285714</v>
      </c>
      <c r="AE9" s="53">
        <f t="shared" si="13"/>
        <v>0.2134261604</v>
      </c>
      <c r="AF9" s="52">
        <f t="shared" si="14"/>
        <v>0.2106371775</v>
      </c>
      <c r="AG9" s="52">
        <f t="shared" si="15"/>
        <v>0.01306767142</v>
      </c>
      <c r="AH9" s="87"/>
    </row>
    <row r="10">
      <c r="A10" s="32" t="s">
        <v>102</v>
      </c>
      <c r="B10" s="32">
        <v>81.0</v>
      </c>
      <c r="C10" s="33">
        <v>100.0</v>
      </c>
      <c r="D10" s="56">
        <v>19.0</v>
      </c>
      <c r="E10" s="33">
        <v>384.0</v>
      </c>
      <c r="F10" s="76" t="s">
        <v>69</v>
      </c>
      <c r="G10" s="77">
        <v>11.0</v>
      </c>
      <c r="H10" s="36">
        <v>-0.035</v>
      </c>
      <c r="I10" s="36">
        <v>-0.1</v>
      </c>
      <c r="J10" s="36">
        <v>-0.01</v>
      </c>
      <c r="K10" s="36" t="s">
        <v>101</v>
      </c>
      <c r="L10" s="36" t="s">
        <v>101</v>
      </c>
      <c r="M10" s="37">
        <v>0.094</v>
      </c>
      <c r="N10" s="36">
        <v>0.15</v>
      </c>
      <c r="O10" s="36">
        <v>0.1</v>
      </c>
      <c r="P10" s="36"/>
      <c r="Q10" s="36"/>
      <c r="R10" s="78">
        <f t="shared" si="1"/>
        <v>1.199</v>
      </c>
      <c r="S10" s="78">
        <f t="shared" si="2"/>
        <v>0.06406666667</v>
      </c>
      <c r="T10" s="79">
        <f t="shared" si="16"/>
        <v>0.07557251908</v>
      </c>
      <c r="U10" s="79">
        <f t="shared" si="3"/>
        <v>-0.01150585242</v>
      </c>
      <c r="V10" s="78">
        <f t="shared" si="4"/>
        <v>1.123427481</v>
      </c>
      <c r="W10" s="42">
        <f t="shared" si="5"/>
        <v>4.740740741</v>
      </c>
      <c r="X10" s="40">
        <f t="shared" si="6"/>
        <v>0.2495126706</v>
      </c>
      <c r="Y10" s="39">
        <f t="shared" si="7"/>
        <v>4.21989031</v>
      </c>
      <c r="Z10" s="41">
        <f t="shared" si="8"/>
        <v>0.22209949</v>
      </c>
      <c r="AA10" s="40">
        <f t="shared" si="9"/>
        <v>0.2198478653</v>
      </c>
      <c r="AB10" s="80">
        <f t="shared" si="10"/>
        <v>0.01013791038</v>
      </c>
      <c r="AC10" s="39">
        <f t="shared" si="11"/>
        <v>0.81</v>
      </c>
      <c r="AD10" s="40">
        <f t="shared" si="12"/>
        <v>0.2021052632</v>
      </c>
      <c r="AE10" s="41">
        <f t="shared" si="13"/>
        <v>0.1799005869</v>
      </c>
      <c r="AF10" s="40">
        <f t="shared" si="14"/>
        <v>0.1780767709</v>
      </c>
      <c r="AG10" s="40">
        <f t="shared" si="15"/>
        <v>0.01013791038</v>
      </c>
      <c r="AH10" s="81"/>
    </row>
    <row r="11">
      <c r="A11" s="44" t="s">
        <v>81</v>
      </c>
      <c r="B11" s="44">
        <v>1200.0</v>
      </c>
      <c r="C11" s="45">
        <v>50.0</v>
      </c>
      <c r="D11" s="46">
        <v>30.5</v>
      </c>
      <c r="E11" s="45">
        <v>4122.0</v>
      </c>
      <c r="F11" s="82" t="s">
        <v>94</v>
      </c>
      <c r="G11" s="83">
        <v>11.5</v>
      </c>
      <c r="H11" s="48">
        <v>-0.105</v>
      </c>
      <c r="I11" s="48">
        <v>-0.1</v>
      </c>
      <c r="J11" s="48">
        <v>-0.03</v>
      </c>
      <c r="K11" s="48">
        <v>-0.14</v>
      </c>
      <c r="L11" s="48" t="s">
        <v>101</v>
      </c>
      <c r="M11" s="49">
        <v>0.104</v>
      </c>
      <c r="N11" s="48"/>
      <c r="O11" s="48"/>
      <c r="P11" s="48"/>
      <c r="Q11" s="48"/>
      <c r="R11" s="84">
        <f t="shared" si="1"/>
        <v>0.729</v>
      </c>
      <c r="S11" s="84">
        <f t="shared" si="2"/>
        <v>0.06001967213</v>
      </c>
      <c r="T11" s="85">
        <f t="shared" si="16"/>
        <v>0.07870722433</v>
      </c>
      <c r="U11" s="85">
        <f t="shared" si="3"/>
        <v>-0.0186875522</v>
      </c>
      <c r="V11" s="84">
        <f t="shared" si="4"/>
        <v>0.6502927757</v>
      </c>
      <c r="W11" s="54">
        <f t="shared" si="5"/>
        <v>3.435</v>
      </c>
      <c r="X11" s="52">
        <f t="shared" si="6"/>
        <v>0.1126229508</v>
      </c>
      <c r="Y11" s="51">
        <f t="shared" si="7"/>
        <v>5.282236138</v>
      </c>
      <c r="Z11" s="53">
        <f t="shared" si="8"/>
        <v>0.1731880701</v>
      </c>
      <c r="AA11" s="52">
        <f t="shared" si="9"/>
        <v>0.1683501684</v>
      </c>
      <c r="AB11" s="86">
        <f t="shared" si="10"/>
        <v>0.02793438226</v>
      </c>
      <c r="AC11" s="51">
        <f t="shared" si="11"/>
        <v>24</v>
      </c>
      <c r="AD11" s="52">
        <f t="shared" si="12"/>
        <v>2.70295082</v>
      </c>
      <c r="AE11" s="53">
        <f t="shared" si="13"/>
        <v>4.156513682</v>
      </c>
      <c r="AF11" s="52">
        <f t="shared" si="14"/>
        <v>4.04040404</v>
      </c>
      <c r="AG11" s="52">
        <f t="shared" si="15"/>
        <v>0.02793438226</v>
      </c>
      <c r="AH11" s="87"/>
    </row>
    <row r="12">
      <c r="A12" s="32" t="s">
        <v>102</v>
      </c>
      <c r="B12" s="32">
        <v>2991.0</v>
      </c>
      <c r="C12" s="33">
        <v>100.0</v>
      </c>
      <c r="D12" s="56">
        <v>19.0</v>
      </c>
      <c r="E12" s="33">
        <v>10166.0</v>
      </c>
      <c r="F12" s="76" t="s">
        <v>89</v>
      </c>
      <c r="G12" s="77">
        <v>13.0</v>
      </c>
      <c r="H12" s="36">
        <v>-0.043</v>
      </c>
      <c r="I12" s="36" t="s">
        <v>101</v>
      </c>
      <c r="J12" s="36" t="s">
        <v>101</v>
      </c>
      <c r="K12" s="36" t="s">
        <v>101</v>
      </c>
      <c r="L12" s="36" t="s">
        <v>101</v>
      </c>
      <c r="M12" s="37">
        <v>0.094</v>
      </c>
      <c r="N12" s="36">
        <v>0.15</v>
      </c>
      <c r="O12" s="36"/>
      <c r="P12" s="36"/>
      <c r="Q12" s="36"/>
      <c r="R12" s="78">
        <f t="shared" si="1"/>
        <v>1.201</v>
      </c>
      <c r="S12" s="78">
        <f t="shared" si="2"/>
        <v>0.0749744919</v>
      </c>
      <c r="T12" s="79">
        <f t="shared" si="16"/>
        <v>0.08796992481</v>
      </c>
      <c r="U12" s="79">
        <f t="shared" si="3"/>
        <v>-0.01299543292</v>
      </c>
      <c r="V12" s="78">
        <f t="shared" si="4"/>
        <v>1.113030075</v>
      </c>
      <c r="W12" s="42">
        <f t="shared" si="5"/>
        <v>3.398863256</v>
      </c>
      <c r="X12" s="40">
        <f t="shared" si="6"/>
        <v>0.1788875398</v>
      </c>
      <c r="Y12" s="39">
        <f t="shared" si="7"/>
        <v>3.053702979</v>
      </c>
      <c r="Z12" s="41">
        <f t="shared" si="8"/>
        <v>0.1607212094</v>
      </c>
      <c r="AA12" s="40">
        <f t="shared" si="9"/>
        <v>0.1588663299</v>
      </c>
      <c r="AB12" s="80">
        <f t="shared" si="10"/>
        <v>0.0115409756</v>
      </c>
      <c r="AC12" s="39">
        <f t="shared" si="11"/>
        <v>29.91</v>
      </c>
      <c r="AD12" s="40">
        <f t="shared" si="12"/>
        <v>5.350526316</v>
      </c>
      <c r="AE12" s="41">
        <f t="shared" si="13"/>
        <v>4.807171374</v>
      </c>
      <c r="AF12" s="40">
        <f t="shared" si="14"/>
        <v>4.751691926</v>
      </c>
      <c r="AG12" s="40">
        <f t="shared" si="15"/>
        <v>0.0115409756</v>
      </c>
      <c r="AH12" s="81"/>
    </row>
    <row r="13">
      <c r="A13" s="44" t="s">
        <v>84</v>
      </c>
      <c r="B13" s="44">
        <v>97.0</v>
      </c>
      <c r="C13" s="45">
        <v>4.0</v>
      </c>
      <c r="D13" s="46">
        <v>403.0</v>
      </c>
      <c r="E13" s="45">
        <v>6684.0</v>
      </c>
      <c r="F13" s="82" t="s">
        <v>75</v>
      </c>
      <c r="G13" s="83">
        <v>13.0</v>
      </c>
      <c r="H13" s="48">
        <v>-0.043</v>
      </c>
      <c r="I13" s="48">
        <v>-0.1</v>
      </c>
      <c r="J13" s="48">
        <v>-0.01</v>
      </c>
      <c r="K13" s="48" t="s">
        <v>101</v>
      </c>
      <c r="L13" s="48" t="s">
        <v>101</v>
      </c>
      <c r="M13" s="49">
        <v>0.094</v>
      </c>
      <c r="N13" s="48">
        <v>0.15</v>
      </c>
      <c r="O13" s="48"/>
      <c r="P13" s="48"/>
      <c r="Q13" s="48"/>
      <c r="R13" s="84">
        <f t="shared" si="1"/>
        <v>1.091</v>
      </c>
      <c r="S13" s="84">
        <f t="shared" si="2"/>
        <v>0.07278046098</v>
      </c>
      <c r="T13" s="85">
        <f t="shared" si="16"/>
        <v>0.08796992481</v>
      </c>
      <c r="U13" s="85">
        <f t="shared" si="3"/>
        <v>-0.01518946384</v>
      </c>
      <c r="V13" s="84">
        <f t="shared" si="4"/>
        <v>1.003030075</v>
      </c>
      <c r="W13" s="54">
        <f t="shared" si="5"/>
        <v>68.90721649</v>
      </c>
      <c r="X13" s="52">
        <f t="shared" si="6"/>
        <v>0.1709856489</v>
      </c>
      <c r="Y13" s="51">
        <f t="shared" si="7"/>
        <v>68.6990532</v>
      </c>
      <c r="Z13" s="53">
        <f t="shared" si="8"/>
        <v>0.1704691146</v>
      </c>
      <c r="AA13" s="52">
        <f t="shared" si="9"/>
        <v>0.1679261125</v>
      </c>
      <c r="AB13" s="86">
        <f t="shared" si="10"/>
        <v>0.01491767075</v>
      </c>
      <c r="AC13" s="51">
        <f t="shared" si="11"/>
        <v>24.25</v>
      </c>
      <c r="AD13" s="52">
        <f t="shared" si="12"/>
        <v>4.146401985</v>
      </c>
      <c r="AE13" s="53">
        <f t="shared" si="13"/>
        <v>4.13387603</v>
      </c>
      <c r="AF13" s="52">
        <f t="shared" si="14"/>
        <v>4.072208228</v>
      </c>
      <c r="AG13" s="52">
        <f t="shared" si="15"/>
        <v>0.01491767075</v>
      </c>
      <c r="AH13" s="87"/>
    </row>
    <row r="14">
      <c r="A14" s="32" t="s">
        <v>84</v>
      </c>
      <c r="B14" s="32">
        <v>4.0</v>
      </c>
      <c r="C14" s="33">
        <v>4.0</v>
      </c>
      <c r="D14" s="56">
        <v>403.0</v>
      </c>
      <c r="E14" s="33">
        <v>564.0</v>
      </c>
      <c r="F14" s="76" t="s">
        <v>103</v>
      </c>
      <c r="G14" s="77">
        <v>15.0</v>
      </c>
      <c r="H14" s="36">
        <v>-0.013</v>
      </c>
      <c r="I14" s="36" t="s">
        <v>101</v>
      </c>
      <c r="J14" s="36" t="s">
        <v>101</v>
      </c>
      <c r="K14" s="36" t="s">
        <v>101</v>
      </c>
      <c r="L14" s="36" t="s">
        <v>101</v>
      </c>
      <c r="M14" s="37">
        <v>0.094</v>
      </c>
      <c r="N14" s="36">
        <v>0.15</v>
      </c>
      <c r="O14" s="36">
        <v>0.453</v>
      </c>
      <c r="P14" s="36"/>
      <c r="Q14" s="36"/>
      <c r="R14" s="78">
        <f t="shared" si="1"/>
        <v>1.684</v>
      </c>
      <c r="S14" s="78">
        <f t="shared" si="2"/>
        <v>0.08856575682</v>
      </c>
      <c r="T14" s="79">
        <f t="shared" si="16"/>
        <v>0.1</v>
      </c>
      <c r="U14" s="79">
        <f t="shared" si="3"/>
        <v>-0.01143424318</v>
      </c>
      <c r="V14" s="78">
        <f t="shared" si="4"/>
        <v>1.584</v>
      </c>
      <c r="W14" s="42">
        <f t="shared" si="5"/>
        <v>141</v>
      </c>
      <c r="X14" s="40">
        <f t="shared" si="6"/>
        <v>0.3498759305</v>
      </c>
      <c r="Y14" s="39">
        <f t="shared" si="7"/>
        <v>89.01515152</v>
      </c>
      <c r="Z14" s="41">
        <f t="shared" si="8"/>
        <v>0.2208812693</v>
      </c>
      <c r="AA14" s="40">
        <f t="shared" si="9"/>
        <v>0.2192982456</v>
      </c>
      <c r="AB14" s="80">
        <f t="shared" si="10"/>
        <v>0.007166853303</v>
      </c>
      <c r="AC14" s="39">
        <f t="shared" si="11"/>
        <v>1</v>
      </c>
      <c r="AD14" s="40">
        <f t="shared" si="12"/>
        <v>0.3498759305</v>
      </c>
      <c r="AE14" s="41">
        <f t="shared" si="13"/>
        <v>0.2208812693</v>
      </c>
      <c r="AF14" s="40">
        <f t="shared" si="14"/>
        <v>0.2192982456</v>
      </c>
      <c r="AG14" s="40">
        <f t="shared" si="15"/>
        <v>0.007166853303</v>
      </c>
      <c r="AH14" s="81"/>
    </row>
    <row r="15">
      <c r="A15" s="44" t="s">
        <v>84</v>
      </c>
      <c r="B15" s="44">
        <v>4.0</v>
      </c>
      <c r="C15" s="45">
        <v>4.0</v>
      </c>
      <c r="D15" s="46">
        <v>403.0</v>
      </c>
      <c r="E15" s="45">
        <v>404.0</v>
      </c>
      <c r="F15" s="82" t="s">
        <v>103</v>
      </c>
      <c r="G15" s="83">
        <v>15.0</v>
      </c>
      <c r="H15" s="48">
        <v>-0.013</v>
      </c>
      <c r="I15" s="48" t="s">
        <v>101</v>
      </c>
      <c r="J15" s="48" t="s">
        <v>101</v>
      </c>
      <c r="K15" s="48" t="s">
        <v>101</v>
      </c>
      <c r="L15" s="48" t="s">
        <v>101</v>
      </c>
      <c r="M15" s="49">
        <v>0.094</v>
      </c>
      <c r="N15" s="88">
        <v>0.15</v>
      </c>
      <c r="O15" s="48"/>
      <c r="P15" s="48"/>
      <c r="Q15" s="48"/>
      <c r="R15" s="84">
        <f t="shared" si="1"/>
        <v>1.231</v>
      </c>
      <c r="S15" s="84">
        <f t="shared" si="2"/>
        <v>0.08817121588</v>
      </c>
      <c r="T15" s="85">
        <f t="shared" si="16"/>
        <v>0.1</v>
      </c>
      <c r="U15" s="85">
        <f t="shared" si="3"/>
        <v>-0.01182878412</v>
      </c>
      <c r="V15" s="84">
        <f t="shared" si="4"/>
        <v>1.131</v>
      </c>
      <c r="W15" s="54">
        <f t="shared" si="5"/>
        <v>101</v>
      </c>
      <c r="X15" s="52">
        <f t="shared" si="6"/>
        <v>0.2506203474</v>
      </c>
      <c r="Y15" s="51">
        <f t="shared" si="7"/>
        <v>89.30150309</v>
      </c>
      <c r="Z15" s="53">
        <f t="shared" si="8"/>
        <v>0.2215918191</v>
      </c>
      <c r="AA15" s="52">
        <f t="shared" si="9"/>
        <v>0.2192982456</v>
      </c>
      <c r="AB15" s="86">
        <f t="shared" si="10"/>
        <v>0.01035044294</v>
      </c>
      <c r="AC15" s="51">
        <f t="shared" si="11"/>
        <v>1</v>
      </c>
      <c r="AD15" s="52">
        <f t="shared" si="12"/>
        <v>0.2506203474</v>
      </c>
      <c r="AE15" s="53">
        <f t="shared" si="13"/>
        <v>0.2215918191</v>
      </c>
      <c r="AF15" s="52">
        <f t="shared" si="14"/>
        <v>0.2192982456</v>
      </c>
      <c r="AG15" s="52">
        <f t="shared" si="15"/>
        <v>0.01035044294</v>
      </c>
      <c r="AH15" s="87"/>
    </row>
    <row r="16">
      <c r="A16" s="32" t="s">
        <v>85</v>
      </c>
      <c r="B16" s="32">
        <v>49.0</v>
      </c>
      <c r="C16" s="33">
        <v>50.0</v>
      </c>
      <c r="D16" s="56">
        <v>35.0</v>
      </c>
      <c r="E16" s="33">
        <v>365.0</v>
      </c>
      <c r="F16" s="76" t="s">
        <v>69</v>
      </c>
      <c r="G16" s="77">
        <v>22.0</v>
      </c>
      <c r="H16" s="36">
        <v>-0.035</v>
      </c>
      <c r="I16" s="36">
        <v>-0.1</v>
      </c>
      <c r="J16" s="36">
        <v>-0.01</v>
      </c>
      <c r="K16" s="36" t="s">
        <v>101</v>
      </c>
      <c r="L16" s="36" t="s">
        <v>101</v>
      </c>
      <c r="M16" s="37">
        <v>0.094</v>
      </c>
      <c r="N16" s="36">
        <v>0.15</v>
      </c>
      <c r="O16" s="36"/>
      <c r="P16" s="36"/>
      <c r="Q16" s="36"/>
      <c r="R16" s="78">
        <f t="shared" si="1"/>
        <v>1.099</v>
      </c>
      <c r="S16" s="78">
        <f t="shared" si="2"/>
        <v>0.1287597668</v>
      </c>
      <c r="T16" s="79">
        <f t="shared" si="16"/>
        <v>0.1394366197</v>
      </c>
      <c r="U16" s="79">
        <f t="shared" si="3"/>
        <v>-0.01067685295</v>
      </c>
      <c r="V16" s="78">
        <f t="shared" si="4"/>
        <v>0.9595633803</v>
      </c>
      <c r="W16" s="42">
        <f t="shared" si="5"/>
        <v>7.448979592</v>
      </c>
      <c r="X16" s="40">
        <f t="shared" si="6"/>
        <v>0.2128279883</v>
      </c>
      <c r="Y16" s="39">
        <f t="shared" si="7"/>
        <v>7.762884396</v>
      </c>
      <c r="Z16" s="41">
        <f t="shared" si="8"/>
        <v>0.221796697</v>
      </c>
      <c r="AA16" s="40">
        <f t="shared" si="9"/>
        <v>0.2193559709</v>
      </c>
      <c r="AB16" s="80">
        <f t="shared" si="10"/>
        <v>0.01100433953</v>
      </c>
      <c r="AC16" s="39">
        <f t="shared" si="11"/>
        <v>0.98</v>
      </c>
      <c r="AD16" s="40">
        <f t="shared" si="12"/>
        <v>0.2085714286</v>
      </c>
      <c r="AE16" s="41">
        <f t="shared" si="13"/>
        <v>0.2173607631</v>
      </c>
      <c r="AF16" s="40">
        <f t="shared" si="14"/>
        <v>0.2149688515</v>
      </c>
      <c r="AG16" s="40">
        <f t="shared" si="15"/>
        <v>0.01100433953</v>
      </c>
      <c r="AH16" s="81"/>
    </row>
    <row r="17">
      <c r="A17" s="44" t="s">
        <v>85</v>
      </c>
      <c r="B17" s="44">
        <v>44.0</v>
      </c>
      <c r="C17" s="45">
        <v>50.0</v>
      </c>
      <c r="D17" s="46">
        <v>35.0</v>
      </c>
      <c r="E17" s="45">
        <v>288.0</v>
      </c>
      <c r="F17" s="82" t="s">
        <v>69</v>
      </c>
      <c r="G17" s="83">
        <v>22.0</v>
      </c>
      <c r="H17" s="48">
        <v>-0.035</v>
      </c>
      <c r="I17" s="48">
        <v>-0.1</v>
      </c>
      <c r="J17" s="48">
        <v>-0.01</v>
      </c>
      <c r="K17" s="48">
        <v>-0.12</v>
      </c>
      <c r="L17" s="48" t="s">
        <v>101</v>
      </c>
      <c r="M17" s="49">
        <v>0.094</v>
      </c>
      <c r="N17" s="48">
        <v>0.15</v>
      </c>
      <c r="O17" s="48"/>
      <c r="P17" s="48"/>
      <c r="Q17" s="48"/>
      <c r="R17" s="84">
        <f t="shared" si="1"/>
        <v>0.979</v>
      </c>
      <c r="S17" s="84">
        <f t="shared" si="2"/>
        <v>0.1275672727</v>
      </c>
      <c r="T17" s="85">
        <f t="shared" si="16"/>
        <v>0.1394366197</v>
      </c>
      <c r="U17" s="85">
        <f t="shared" si="3"/>
        <v>-0.01186934699</v>
      </c>
      <c r="V17" s="84">
        <f t="shared" si="4"/>
        <v>0.8395633803</v>
      </c>
      <c r="W17" s="54">
        <f t="shared" si="5"/>
        <v>6.545454545</v>
      </c>
      <c r="X17" s="52">
        <f t="shared" si="6"/>
        <v>0.187012987</v>
      </c>
      <c r="Y17" s="51">
        <f t="shared" si="7"/>
        <v>7.796260174</v>
      </c>
      <c r="Z17" s="53">
        <f t="shared" si="8"/>
        <v>0.2227502907</v>
      </c>
      <c r="AA17" s="52">
        <f t="shared" si="9"/>
        <v>0.2196450536</v>
      </c>
      <c r="AB17" s="86">
        <f t="shared" si="10"/>
        <v>0.01394044017</v>
      </c>
      <c r="AC17" s="51">
        <f t="shared" si="11"/>
        <v>0.88</v>
      </c>
      <c r="AD17" s="52">
        <f t="shared" si="12"/>
        <v>0.1645714286</v>
      </c>
      <c r="AE17" s="53">
        <f t="shared" si="13"/>
        <v>0.1960202558</v>
      </c>
      <c r="AF17" s="52">
        <f t="shared" si="14"/>
        <v>0.1932876472</v>
      </c>
      <c r="AG17" s="52">
        <f t="shared" si="15"/>
        <v>0.01394044017</v>
      </c>
    </row>
    <row r="18">
      <c r="A18" s="32" t="s">
        <v>102</v>
      </c>
      <c r="B18" s="32">
        <v>2414.0</v>
      </c>
      <c r="C18" s="33">
        <v>100.0</v>
      </c>
      <c r="D18" s="56">
        <v>19.0</v>
      </c>
      <c r="E18" s="33">
        <v>11705.0</v>
      </c>
      <c r="F18" s="76" t="s">
        <v>85</v>
      </c>
      <c r="G18" s="77">
        <v>22.0</v>
      </c>
      <c r="H18" s="36">
        <v>-0.052</v>
      </c>
      <c r="I18" s="36">
        <v>-0.1</v>
      </c>
      <c r="J18" s="36" t="s">
        <v>101</v>
      </c>
      <c r="K18" s="36" t="s">
        <v>101</v>
      </c>
      <c r="L18" s="36" t="s">
        <v>101</v>
      </c>
      <c r="M18" s="37">
        <v>0.094</v>
      </c>
      <c r="N18" s="36">
        <v>0.15</v>
      </c>
      <c r="O18" s="36">
        <v>0.1</v>
      </c>
      <c r="P18" s="36">
        <v>0.453</v>
      </c>
      <c r="Q18" s="36"/>
      <c r="R18" s="78">
        <f t="shared" si="1"/>
        <v>1.645</v>
      </c>
      <c r="S18" s="78">
        <f t="shared" si="2"/>
        <v>0.126968735</v>
      </c>
      <c r="T18" s="79">
        <f t="shared" si="16"/>
        <v>0.1394366197</v>
      </c>
      <c r="U18" s="79">
        <f t="shared" si="3"/>
        <v>-0.01246788471</v>
      </c>
      <c r="V18" s="78">
        <f t="shared" si="4"/>
        <v>1.50556338</v>
      </c>
      <c r="W18" s="42">
        <f t="shared" si="5"/>
        <v>4.848798674</v>
      </c>
      <c r="X18" s="40">
        <f t="shared" si="6"/>
        <v>0.2551999302</v>
      </c>
      <c r="Y18" s="39">
        <f t="shared" si="7"/>
        <v>3.220587547</v>
      </c>
      <c r="Z18" s="41">
        <f t="shared" si="8"/>
        <v>0.1695046078</v>
      </c>
      <c r="AA18" s="40">
        <f t="shared" si="9"/>
        <v>0.1681124336</v>
      </c>
      <c r="AB18" s="80">
        <f t="shared" si="10"/>
        <v>0.008213193625</v>
      </c>
      <c r="AC18" s="39">
        <f t="shared" si="11"/>
        <v>24.14</v>
      </c>
      <c r="AD18" s="40">
        <f t="shared" si="12"/>
        <v>6.160526316</v>
      </c>
      <c r="AE18" s="41">
        <f t="shared" si="13"/>
        <v>4.091841231</v>
      </c>
      <c r="AF18" s="40">
        <f t="shared" si="14"/>
        <v>4.058234147</v>
      </c>
      <c r="AG18" s="40">
        <f t="shared" si="15"/>
        <v>0.008213193625</v>
      </c>
      <c r="AH18" s="81"/>
    </row>
    <row r="19">
      <c r="A19" s="44" t="s">
        <v>84</v>
      </c>
      <c r="B19" s="44">
        <v>62.0</v>
      </c>
      <c r="C19" s="45">
        <v>4.0</v>
      </c>
      <c r="D19" s="46">
        <v>403.0</v>
      </c>
      <c r="E19" s="45">
        <v>4450.0</v>
      </c>
      <c r="F19" s="82" t="s">
        <v>85</v>
      </c>
      <c r="G19" s="83">
        <v>22.0</v>
      </c>
      <c r="H19" s="48">
        <v>-0.052</v>
      </c>
      <c r="I19" s="48">
        <v>-0.1</v>
      </c>
      <c r="J19" s="48" t="s">
        <v>101</v>
      </c>
      <c r="K19" s="48" t="s">
        <v>101</v>
      </c>
      <c r="L19" s="48" t="s">
        <v>101</v>
      </c>
      <c r="M19" s="49">
        <v>0.094</v>
      </c>
      <c r="N19" s="48">
        <v>0.15</v>
      </c>
      <c r="O19" s="48"/>
      <c r="P19" s="48"/>
      <c r="Q19" s="48"/>
      <c r="R19" s="84">
        <f t="shared" si="1"/>
        <v>1.092</v>
      </c>
      <c r="S19" s="84">
        <f t="shared" si="2"/>
        <v>0.1249184343</v>
      </c>
      <c r="T19" s="85">
        <f t="shared" si="16"/>
        <v>0.1394366197</v>
      </c>
      <c r="U19" s="85">
        <f t="shared" si="3"/>
        <v>-0.0145181854</v>
      </c>
      <c r="V19" s="84">
        <f t="shared" si="4"/>
        <v>0.9525633803</v>
      </c>
      <c r="W19" s="54">
        <f t="shared" si="5"/>
        <v>71.77419355</v>
      </c>
      <c r="X19" s="52">
        <f t="shared" si="6"/>
        <v>0.1780997359</v>
      </c>
      <c r="Y19" s="51">
        <f t="shared" si="7"/>
        <v>75.34847028</v>
      </c>
      <c r="Z19" s="53">
        <f t="shared" si="8"/>
        <v>0.1869689089</v>
      </c>
      <c r="AA19" s="52">
        <f t="shared" si="9"/>
        <v>0.1841620626</v>
      </c>
      <c r="AB19" s="86">
        <f t="shared" si="10"/>
        <v>0.01501236908</v>
      </c>
      <c r="AC19" s="51">
        <f t="shared" si="11"/>
        <v>15.5</v>
      </c>
      <c r="AD19" s="52">
        <f t="shared" si="12"/>
        <v>2.760545906</v>
      </c>
      <c r="AE19" s="53">
        <f t="shared" si="13"/>
        <v>2.898018088</v>
      </c>
      <c r="AF19" s="52">
        <f t="shared" si="14"/>
        <v>2.854511971</v>
      </c>
      <c r="AG19" s="52">
        <f t="shared" si="15"/>
        <v>0.01501236908</v>
      </c>
      <c r="AH19" s="87"/>
    </row>
    <row r="20">
      <c r="A20" s="32" t="s">
        <v>85</v>
      </c>
      <c r="B20" s="32">
        <v>398.0</v>
      </c>
      <c r="C20" s="33">
        <v>50.0</v>
      </c>
      <c r="D20" s="56">
        <v>35.0</v>
      </c>
      <c r="E20" s="33">
        <v>2728.0</v>
      </c>
      <c r="F20" s="76" t="s">
        <v>86</v>
      </c>
      <c r="G20" s="77">
        <v>25.8</v>
      </c>
      <c r="H20" s="36">
        <v>-0.087</v>
      </c>
      <c r="I20" s="36" t="s">
        <v>101</v>
      </c>
      <c r="J20" s="36" t="s">
        <v>101</v>
      </c>
      <c r="K20" s="36" t="s">
        <v>101</v>
      </c>
      <c r="L20" s="36">
        <v>-0.04</v>
      </c>
      <c r="M20" s="37">
        <v>0.094</v>
      </c>
      <c r="N20" s="36">
        <v>0.15</v>
      </c>
      <c r="O20" s="36"/>
      <c r="P20" s="36"/>
      <c r="Q20" s="36"/>
      <c r="R20" s="78">
        <f t="shared" si="1"/>
        <v>1.117</v>
      </c>
      <c r="S20" s="78">
        <f t="shared" si="2"/>
        <v>0.1422051113</v>
      </c>
      <c r="T20" s="79">
        <f t="shared" si="16"/>
        <v>0.1592592593</v>
      </c>
      <c r="U20" s="79">
        <f t="shared" si="3"/>
        <v>-0.01705414799</v>
      </c>
      <c r="V20" s="78">
        <f t="shared" si="4"/>
        <v>0.9577407407</v>
      </c>
      <c r="W20" s="42">
        <f t="shared" si="5"/>
        <v>6.854271357</v>
      </c>
      <c r="X20" s="40">
        <f t="shared" si="6"/>
        <v>0.1958363245</v>
      </c>
      <c r="Y20" s="39">
        <f t="shared" si="7"/>
        <v>7.156708559</v>
      </c>
      <c r="Z20" s="41">
        <f t="shared" si="8"/>
        <v>0.2044773874</v>
      </c>
      <c r="AA20" s="40">
        <f t="shared" si="9"/>
        <v>0.2009000321</v>
      </c>
      <c r="AB20" s="80">
        <f t="shared" si="10"/>
        <v>0.01749511429</v>
      </c>
      <c r="AC20" s="39">
        <f t="shared" si="11"/>
        <v>7.96</v>
      </c>
      <c r="AD20" s="40">
        <f t="shared" si="12"/>
        <v>1.558857143</v>
      </c>
      <c r="AE20" s="41">
        <f t="shared" si="13"/>
        <v>1.627640004</v>
      </c>
      <c r="AF20" s="40">
        <f t="shared" si="14"/>
        <v>1.599164256</v>
      </c>
      <c r="AG20" s="40">
        <f t="shared" si="15"/>
        <v>0.01749511429</v>
      </c>
      <c r="AH20" s="81"/>
    </row>
    <row r="21">
      <c r="A21" s="44" t="s">
        <v>85</v>
      </c>
      <c r="B21" s="44">
        <v>488.0</v>
      </c>
      <c r="C21" s="45">
        <v>50.0</v>
      </c>
      <c r="D21" s="46">
        <v>35.0</v>
      </c>
      <c r="E21" s="45">
        <v>3217.0</v>
      </c>
      <c r="F21" s="82" t="s">
        <v>85</v>
      </c>
      <c r="G21" s="83">
        <v>26.5</v>
      </c>
      <c r="H21" s="48">
        <v>-0.039</v>
      </c>
      <c r="I21" s="48">
        <v>-0.1</v>
      </c>
      <c r="J21" s="48" t="s">
        <v>101</v>
      </c>
      <c r="K21" s="48" t="s">
        <v>101</v>
      </c>
      <c r="L21" s="48" t="s">
        <v>101</v>
      </c>
      <c r="M21" s="49">
        <v>0.094</v>
      </c>
      <c r="N21" s="48">
        <v>0.15</v>
      </c>
      <c r="O21" s="48"/>
      <c r="P21" s="48"/>
      <c r="Q21" s="48"/>
      <c r="R21" s="84">
        <f t="shared" si="1"/>
        <v>1.105</v>
      </c>
      <c r="S21" s="84">
        <f t="shared" si="2"/>
        <v>0.1471325995</v>
      </c>
      <c r="T21" s="85">
        <f t="shared" si="16"/>
        <v>0.1627986348</v>
      </c>
      <c r="U21" s="85">
        <f t="shared" si="3"/>
        <v>-0.01566603528</v>
      </c>
      <c r="V21" s="84">
        <f t="shared" si="4"/>
        <v>0.9422013652</v>
      </c>
      <c r="W21" s="54">
        <f t="shared" si="5"/>
        <v>6.592213115</v>
      </c>
      <c r="X21" s="52">
        <f t="shared" si="6"/>
        <v>0.1883489461</v>
      </c>
      <c r="Y21" s="51">
        <f t="shared" si="7"/>
        <v>6.996607475</v>
      </c>
      <c r="Z21" s="53">
        <f t="shared" si="8"/>
        <v>0.1999030707</v>
      </c>
      <c r="AA21" s="52">
        <f t="shared" si="9"/>
        <v>0.1966336322</v>
      </c>
      <c r="AB21" s="86">
        <f t="shared" si="10"/>
        <v>0.01635511896</v>
      </c>
      <c r="AC21" s="51">
        <f t="shared" si="11"/>
        <v>9.76</v>
      </c>
      <c r="AD21" s="52">
        <f t="shared" si="12"/>
        <v>1.838285714</v>
      </c>
      <c r="AE21" s="53">
        <f t="shared" si="13"/>
        <v>1.95105397</v>
      </c>
      <c r="AF21" s="52">
        <f t="shared" si="14"/>
        <v>1.91914425</v>
      </c>
      <c r="AG21" s="52">
        <f t="shared" si="15"/>
        <v>0.01635511896</v>
      </c>
      <c r="AH21" s="87"/>
    </row>
    <row r="22">
      <c r="A22" s="32" t="s">
        <v>85</v>
      </c>
      <c r="B22" s="32">
        <v>500.0</v>
      </c>
      <c r="C22" s="33">
        <v>50.0</v>
      </c>
      <c r="D22" s="56">
        <v>35.0</v>
      </c>
      <c r="E22" s="33">
        <v>3287.0</v>
      </c>
      <c r="F22" s="76" t="s">
        <v>85</v>
      </c>
      <c r="G22" s="77">
        <v>26.5</v>
      </c>
      <c r="H22" s="36">
        <v>-0.039</v>
      </c>
      <c r="I22" s="36">
        <v>-0.1</v>
      </c>
      <c r="J22" s="36" t="s">
        <v>101</v>
      </c>
      <c r="K22" s="36" t="s">
        <v>101</v>
      </c>
      <c r="L22" s="36" t="s">
        <v>101</v>
      </c>
      <c r="M22" s="37">
        <v>0.094</v>
      </c>
      <c r="N22" s="36">
        <v>0.15</v>
      </c>
      <c r="O22" s="36"/>
      <c r="P22" s="36"/>
      <c r="Q22" s="36"/>
      <c r="R22" s="78">
        <f t="shared" si="1"/>
        <v>1.105</v>
      </c>
      <c r="S22" s="78">
        <f t="shared" si="2"/>
        <v>0.1470742857</v>
      </c>
      <c r="T22" s="79">
        <f t="shared" si="16"/>
        <v>0.1627986348</v>
      </c>
      <c r="U22" s="79">
        <f t="shared" si="3"/>
        <v>-0.0157243491</v>
      </c>
      <c r="V22" s="78">
        <f t="shared" si="4"/>
        <v>0.9422013652</v>
      </c>
      <c r="W22" s="42">
        <f t="shared" si="5"/>
        <v>6.574</v>
      </c>
      <c r="X22" s="40">
        <f t="shared" si="6"/>
        <v>0.1878285714</v>
      </c>
      <c r="Y22" s="39">
        <f t="shared" si="7"/>
        <v>6.977277091</v>
      </c>
      <c r="Z22" s="41">
        <f t="shared" si="8"/>
        <v>0.199350774</v>
      </c>
      <c r="AA22" s="40">
        <f t="shared" si="9"/>
        <v>0.1960784314</v>
      </c>
      <c r="AB22" s="80">
        <f t="shared" si="10"/>
        <v>0.01641499843</v>
      </c>
      <c r="AC22" s="39">
        <f t="shared" si="11"/>
        <v>10</v>
      </c>
      <c r="AD22" s="40">
        <f t="shared" si="12"/>
        <v>1.878285714</v>
      </c>
      <c r="AE22" s="41">
        <f t="shared" si="13"/>
        <v>1.99350774</v>
      </c>
      <c r="AF22" s="40">
        <f t="shared" si="14"/>
        <v>1.960784314</v>
      </c>
      <c r="AG22" s="40">
        <f t="shared" si="15"/>
        <v>0.01641499843</v>
      </c>
      <c r="AH22" s="81"/>
    </row>
    <row r="23">
      <c r="A23" s="44" t="s">
        <v>84</v>
      </c>
      <c r="B23" s="44">
        <v>92.0</v>
      </c>
      <c r="C23" s="45">
        <v>4.0</v>
      </c>
      <c r="D23" s="46">
        <v>403.0</v>
      </c>
      <c r="E23" s="45">
        <v>5399.0</v>
      </c>
      <c r="F23" s="82" t="s">
        <v>83</v>
      </c>
      <c r="G23" s="83">
        <v>29.2</v>
      </c>
      <c r="H23" s="48">
        <v>-0.087</v>
      </c>
      <c r="I23" s="48">
        <v>-0.1</v>
      </c>
      <c r="J23" s="48" t="s">
        <v>101</v>
      </c>
      <c r="K23" s="48" t="s">
        <v>101</v>
      </c>
      <c r="L23" s="48">
        <v>-0.04</v>
      </c>
      <c r="M23" s="49">
        <v>0.094</v>
      </c>
      <c r="N23" s="48">
        <v>0.15</v>
      </c>
      <c r="O23" s="48"/>
      <c r="P23" s="48"/>
      <c r="Q23" s="48"/>
      <c r="R23" s="84">
        <f t="shared" si="1"/>
        <v>1.017</v>
      </c>
      <c r="S23" s="84">
        <f t="shared" si="2"/>
        <v>0.1607555292</v>
      </c>
      <c r="T23" s="85">
        <f t="shared" si="16"/>
        <v>0.1761394102</v>
      </c>
      <c r="U23" s="85">
        <f t="shared" si="3"/>
        <v>-0.015383881</v>
      </c>
      <c r="V23" s="84">
        <f t="shared" si="4"/>
        <v>0.8408605898</v>
      </c>
      <c r="W23" s="54">
        <f t="shared" si="5"/>
        <v>58.68478261</v>
      </c>
      <c r="X23" s="52">
        <f t="shared" si="6"/>
        <v>0.145619808</v>
      </c>
      <c r="Y23" s="51">
        <f t="shared" si="7"/>
        <v>69.7913344</v>
      </c>
      <c r="Z23" s="53">
        <f t="shared" si="8"/>
        <v>0.1731794898</v>
      </c>
      <c r="AA23" s="52">
        <f t="shared" si="9"/>
        <v>0.1700680272</v>
      </c>
      <c r="AB23" s="86">
        <f t="shared" si="10"/>
        <v>0.01796669237</v>
      </c>
      <c r="AC23" s="51">
        <f t="shared" si="11"/>
        <v>23</v>
      </c>
      <c r="AD23" s="52">
        <f t="shared" si="12"/>
        <v>3.349255583</v>
      </c>
      <c r="AE23" s="53">
        <f t="shared" si="13"/>
        <v>3.983128266</v>
      </c>
      <c r="AF23" s="52">
        <f t="shared" si="14"/>
        <v>3.911564626</v>
      </c>
      <c r="AG23" s="52">
        <f t="shared" si="15"/>
        <v>0.01796669237</v>
      </c>
      <c r="AH23" s="87"/>
    </row>
    <row r="24">
      <c r="A24" s="32" t="s">
        <v>102</v>
      </c>
      <c r="B24" s="32">
        <v>2987.0</v>
      </c>
      <c r="C24" s="33">
        <v>100.0</v>
      </c>
      <c r="D24" s="56">
        <v>19.0</v>
      </c>
      <c r="E24" s="33">
        <v>13945.0</v>
      </c>
      <c r="F24" s="76" t="s">
        <v>92</v>
      </c>
      <c r="G24" s="77">
        <v>31.0</v>
      </c>
      <c r="H24" s="36">
        <v>-0.079</v>
      </c>
      <c r="I24" s="36" t="s">
        <v>101</v>
      </c>
      <c r="J24" s="36" t="s">
        <v>101</v>
      </c>
      <c r="K24" s="36" t="s">
        <v>101</v>
      </c>
      <c r="L24" s="36" t="s">
        <v>101</v>
      </c>
      <c r="M24" s="37">
        <v>0.094</v>
      </c>
      <c r="N24" s="36">
        <v>0.15</v>
      </c>
      <c r="O24" s="36">
        <v>0.453</v>
      </c>
      <c r="P24" s="36">
        <v>0.1</v>
      </c>
      <c r="Q24" s="36"/>
      <c r="R24" s="78">
        <f t="shared" si="1"/>
        <v>1.718</v>
      </c>
      <c r="S24" s="78">
        <f t="shared" si="2"/>
        <v>0.1719191056</v>
      </c>
      <c r="T24" s="79">
        <f t="shared" si="16"/>
        <v>0.1847682119</v>
      </c>
      <c r="U24" s="79">
        <f t="shared" si="3"/>
        <v>-0.01284910632</v>
      </c>
      <c r="V24" s="78">
        <f t="shared" si="4"/>
        <v>1.533231788</v>
      </c>
      <c r="W24" s="42">
        <f t="shared" si="5"/>
        <v>4.668563776</v>
      </c>
      <c r="X24" s="40">
        <f t="shared" si="6"/>
        <v>0.245713883</v>
      </c>
      <c r="Y24" s="39">
        <f t="shared" si="7"/>
        <v>3.044917156</v>
      </c>
      <c r="Z24" s="41">
        <f t="shared" si="8"/>
        <v>0.1602587977</v>
      </c>
      <c r="AA24" s="40">
        <f t="shared" si="9"/>
        <v>0.1589269254</v>
      </c>
      <c r="AB24" s="80">
        <f t="shared" si="10"/>
        <v>0.008310759398</v>
      </c>
      <c r="AC24" s="39">
        <f t="shared" si="11"/>
        <v>29.87</v>
      </c>
      <c r="AD24" s="40">
        <f t="shared" si="12"/>
        <v>7.339473684</v>
      </c>
      <c r="AE24" s="41">
        <f t="shared" si="13"/>
        <v>4.786930288</v>
      </c>
      <c r="AF24" s="40">
        <f t="shared" si="14"/>
        <v>4.747147262</v>
      </c>
      <c r="AG24" s="40">
        <f t="shared" si="15"/>
        <v>0.008310759398</v>
      </c>
      <c r="AH24" s="81"/>
    </row>
    <row r="25">
      <c r="A25" s="44" t="s">
        <v>85</v>
      </c>
      <c r="B25" s="44">
        <v>485.0</v>
      </c>
      <c r="C25" s="45">
        <v>50.0</v>
      </c>
      <c r="D25" s="46">
        <v>35.0</v>
      </c>
      <c r="E25" s="45">
        <v>3436.0</v>
      </c>
      <c r="F25" s="82" t="s">
        <v>104</v>
      </c>
      <c r="G25" s="83">
        <v>32.0</v>
      </c>
      <c r="H25" s="48">
        <v>-0.039</v>
      </c>
      <c r="I25" s="48" t="s">
        <v>101</v>
      </c>
      <c r="J25" s="48" t="s">
        <v>101</v>
      </c>
      <c r="K25" s="48" t="s">
        <v>101</v>
      </c>
      <c r="L25" s="48" t="s">
        <v>101</v>
      </c>
      <c r="M25" s="49">
        <v>0.094</v>
      </c>
      <c r="N25" s="48">
        <v>0.15</v>
      </c>
      <c r="O25" s="48"/>
      <c r="P25" s="48"/>
      <c r="Q25" s="48"/>
      <c r="R25" s="84">
        <f t="shared" si="1"/>
        <v>1.205</v>
      </c>
      <c r="S25" s="84">
        <f t="shared" si="2"/>
        <v>0.1763253608</v>
      </c>
      <c r="T25" s="85">
        <f t="shared" si="16"/>
        <v>0.1894736842</v>
      </c>
      <c r="U25" s="85">
        <f t="shared" si="3"/>
        <v>-0.01314832339</v>
      </c>
      <c r="V25" s="84">
        <f t="shared" si="4"/>
        <v>1.015526316</v>
      </c>
      <c r="W25" s="54">
        <f t="shared" si="5"/>
        <v>7.084536082</v>
      </c>
      <c r="X25" s="52">
        <f t="shared" si="6"/>
        <v>0.2024153166</v>
      </c>
      <c r="Y25" s="51">
        <f t="shared" si="7"/>
        <v>6.976221071</v>
      </c>
      <c r="Z25" s="53">
        <f t="shared" si="8"/>
        <v>0.199320602</v>
      </c>
      <c r="AA25" s="52">
        <f t="shared" si="9"/>
        <v>0.196772924</v>
      </c>
      <c r="AB25" s="86">
        <f t="shared" si="10"/>
        <v>0.01278180961</v>
      </c>
      <c r="AC25" s="51">
        <f t="shared" si="11"/>
        <v>9.7</v>
      </c>
      <c r="AD25" s="52">
        <f t="shared" si="12"/>
        <v>1.963428571</v>
      </c>
      <c r="AE25" s="53">
        <f t="shared" si="13"/>
        <v>1.93340984</v>
      </c>
      <c r="AF25" s="52">
        <f t="shared" si="14"/>
        <v>1.908697363</v>
      </c>
      <c r="AG25" s="52">
        <f t="shared" si="15"/>
        <v>0.01278180961</v>
      </c>
      <c r="AH25" s="87"/>
    </row>
    <row r="26">
      <c r="A26" s="32" t="s">
        <v>85</v>
      </c>
      <c r="B26" s="32">
        <v>1250.0</v>
      </c>
      <c r="C26" s="33">
        <v>50.0</v>
      </c>
      <c r="D26" s="56">
        <v>35.0</v>
      </c>
      <c r="E26" s="33">
        <v>6417.0</v>
      </c>
      <c r="F26" s="76" t="s">
        <v>105</v>
      </c>
      <c r="G26" s="77">
        <v>34.0</v>
      </c>
      <c r="H26" s="36">
        <v>-0.079</v>
      </c>
      <c r="I26" s="36">
        <v>-0.1</v>
      </c>
      <c r="J26" s="36" t="s">
        <v>101</v>
      </c>
      <c r="K26" s="36" t="s">
        <v>101</v>
      </c>
      <c r="L26" s="36" t="s">
        <v>101</v>
      </c>
      <c r="M26" s="37">
        <v>0.094</v>
      </c>
      <c r="N26" s="36">
        <v>0.15</v>
      </c>
      <c r="O26" s="36"/>
      <c r="P26" s="36"/>
      <c r="Q26" s="36"/>
      <c r="R26" s="78">
        <f t="shared" si="1"/>
        <v>1.065</v>
      </c>
      <c r="S26" s="78">
        <f t="shared" si="2"/>
        <v>0.1849542857</v>
      </c>
      <c r="T26" s="79">
        <f t="shared" si="16"/>
        <v>0.1987012987</v>
      </c>
      <c r="U26" s="79">
        <f t="shared" si="3"/>
        <v>-0.01374701299</v>
      </c>
      <c r="V26" s="78">
        <f t="shared" si="4"/>
        <v>0.8662987013</v>
      </c>
      <c r="W26" s="42">
        <f t="shared" si="5"/>
        <v>5.1336</v>
      </c>
      <c r="X26" s="40">
        <f t="shared" si="6"/>
        <v>0.1466742857</v>
      </c>
      <c r="Y26" s="39">
        <f t="shared" si="7"/>
        <v>5.925900607</v>
      </c>
      <c r="Z26" s="41">
        <f t="shared" si="8"/>
        <v>0.1693114459</v>
      </c>
      <c r="AA26" s="40">
        <f t="shared" si="9"/>
        <v>0.1666666667</v>
      </c>
      <c r="AB26" s="80">
        <f t="shared" si="10"/>
        <v>0.0156207942</v>
      </c>
      <c r="AC26" s="39">
        <f t="shared" si="11"/>
        <v>25</v>
      </c>
      <c r="AD26" s="40">
        <f t="shared" si="12"/>
        <v>3.666857143</v>
      </c>
      <c r="AE26" s="41">
        <f t="shared" si="13"/>
        <v>4.232786148</v>
      </c>
      <c r="AF26" s="40">
        <f t="shared" si="14"/>
        <v>4.166666667</v>
      </c>
      <c r="AG26" s="40">
        <f t="shared" si="15"/>
        <v>0.0156207942</v>
      </c>
      <c r="AH26" s="81"/>
    </row>
    <row r="27">
      <c r="A27" s="44" t="s">
        <v>85</v>
      </c>
      <c r="B27" s="44">
        <v>1247.0</v>
      </c>
      <c r="C27" s="45">
        <v>50.0</v>
      </c>
      <c r="D27" s="46">
        <v>35.0</v>
      </c>
      <c r="E27" s="45">
        <v>6406.0</v>
      </c>
      <c r="F27" s="82" t="s">
        <v>105</v>
      </c>
      <c r="G27" s="83">
        <v>34.0</v>
      </c>
      <c r="H27" s="48">
        <v>-0.079</v>
      </c>
      <c r="I27" s="48">
        <v>-0.1</v>
      </c>
      <c r="J27" s="48" t="s">
        <v>101</v>
      </c>
      <c r="K27" s="48" t="s">
        <v>101</v>
      </c>
      <c r="L27" s="48" t="s">
        <v>101</v>
      </c>
      <c r="M27" s="49">
        <v>0.094</v>
      </c>
      <c r="N27" s="48">
        <v>0.15</v>
      </c>
      <c r="O27" s="48"/>
      <c r="P27" s="48"/>
      <c r="Q27" s="48"/>
      <c r="R27" s="84">
        <f t="shared" si="1"/>
        <v>1.065</v>
      </c>
      <c r="S27" s="84">
        <f t="shared" si="2"/>
        <v>0.1848776859</v>
      </c>
      <c r="T27" s="85">
        <f t="shared" si="16"/>
        <v>0.1987012987</v>
      </c>
      <c r="U27" s="85">
        <f t="shared" si="3"/>
        <v>-0.01382361283</v>
      </c>
      <c r="V27" s="84">
        <f t="shared" si="4"/>
        <v>0.8662987013</v>
      </c>
      <c r="W27" s="54">
        <f t="shared" si="5"/>
        <v>5.13712911</v>
      </c>
      <c r="X27" s="52">
        <f t="shared" si="6"/>
        <v>0.1467751174</v>
      </c>
      <c r="Y27" s="51">
        <f t="shared" si="7"/>
        <v>5.929974387</v>
      </c>
      <c r="Z27" s="53">
        <f t="shared" si="8"/>
        <v>0.1694278396</v>
      </c>
      <c r="AA27" s="52">
        <f t="shared" si="9"/>
        <v>0.1667667267</v>
      </c>
      <c r="AB27" s="86">
        <f t="shared" si="10"/>
        <v>0.01570646785</v>
      </c>
      <c r="AC27" s="51">
        <f t="shared" si="11"/>
        <v>24.94</v>
      </c>
      <c r="AD27" s="52">
        <f t="shared" si="12"/>
        <v>3.660571429</v>
      </c>
      <c r="AE27" s="53">
        <f t="shared" si="13"/>
        <v>4.22553032</v>
      </c>
      <c r="AF27" s="52">
        <f t="shared" si="14"/>
        <v>4.159162164</v>
      </c>
      <c r="AG27" s="52">
        <f t="shared" si="15"/>
        <v>0.01570646785</v>
      </c>
      <c r="AH27" s="87"/>
    </row>
    <row r="28">
      <c r="A28" s="32" t="s">
        <v>85</v>
      </c>
      <c r="B28" s="32">
        <v>449.0</v>
      </c>
      <c r="C28" s="33">
        <v>50.0</v>
      </c>
      <c r="D28" s="56">
        <v>35.0</v>
      </c>
      <c r="E28" s="33">
        <v>2426.0</v>
      </c>
      <c r="F28" s="76" t="s">
        <v>87</v>
      </c>
      <c r="G28" s="77">
        <f t="shared" ref="G28:G29" si="17">18.8*2</f>
        <v>37.6</v>
      </c>
      <c r="H28" s="36">
        <v>-0.087</v>
      </c>
      <c r="I28" s="36" t="s">
        <v>101</v>
      </c>
      <c r="J28" s="36" t="s">
        <v>101</v>
      </c>
      <c r="K28" s="36" t="s">
        <v>101</v>
      </c>
      <c r="L28" s="36">
        <v>-0.04</v>
      </c>
      <c r="M28" s="37">
        <v>0.094</v>
      </c>
      <c r="N28" s="36">
        <v>0.15</v>
      </c>
      <c r="O28" s="36"/>
      <c r="P28" s="36"/>
      <c r="Q28" s="36">
        <v>-0.14</v>
      </c>
      <c r="R28" s="78">
        <f t="shared" si="1"/>
        <v>0.977</v>
      </c>
      <c r="S28" s="78">
        <f t="shared" si="2"/>
        <v>0.199136252</v>
      </c>
      <c r="T28" s="79">
        <f t="shared" si="16"/>
        <v>0.2147208122</v>
      </c>
      <c r="U28" s="79">
        <f t="shared" si="3"/>
        <v>-0.01558456019</v>
      </c>
      <c r="V28" s="78">
        <f t="shared" si="4"/>
        <v>0.7622791878</v>
      </c>
      <c r="W28" s="42">
        <f t="shared" si="5"/>
        <v>5.40311804</v>
      </c>
      <c r="X28" s="40">
        <f t="shared" si="6"/>
        <v>0.1543748011</v>
      </c>
      <c r="Y28" s="39">
        <f t="shared" si="7"/>
        <v>7.08810909</v>
      </c>
      <c r="Z28" s="41">
        <f t="shared" si="8"/>
        <v>0.2025174026</v>
      </c>
      <c r="AA28" s="40">
        <f t="shared" si="9"/>
        <v>0.1984599508</v>
      </c>
      <c r="AB28" s="80">
        <f t="shared" si="10"/>
        <v>0.02003507714</v>
      </c>
      <c r="AC28" s="39">
        <f t="shared" si="11"/>
        <v>8.98</v>
      </c>
      <c r="AD28" s="40">
        <f t="shared" si="12"/>
        <v>1.386285714</v>
      </c>
      <c r="AE28" s="41">
        <f t="shared" si="13"/>
        <v>1.818606275</v>
      </c>
      <c r="AF28" s="40">
        <f t="shared" si="14"/>
        <v>1.782170358</v>
      </c>
      <c r="AG28" s="40">
        <f t="shared" si="15"/>
        <v>0.02003507714</v>
      </c>
      <c r="AH28" s="81"/>
    </row>
    <row r="29">
      <c r="A29" s="44" t="s">
        <v>84</v>
      </c>
      <c r="B29" s="44">
        <v>85.0</v>
      </c>
      <c r="C29" s="45">
        <v>4.0</v>
      </c>
      <c r="D29" s="46">
        <v>403.0</v>
      </c>
      <c r="E29" s="45">
        <v>4622.0</v>
      </c>
      <c r="F29" s="82" t="s">
        <v>87</v>
      </c>
      <c r="G29" s="83">
        <f t="shared" si="17"/>
        <v>37.6</v>
      </c>
      <c r="H29" s="48">
        <v>-0.087</v>
      </c>
      <c r="I29" s="48" t="s">
        <v>101</v>
      </c>
      <c r="J29" s="48" t="s">
        <v>101</v>
      </c>
      <c r="K29" s="48" t="s">
        <v>101</v>
      </c>
      <c r="L29" s="48">
        <v>-0.04</v>
      </c>
      <c r="M29" s="49">
        <v>0.094</v>
      </c>
      <c r="N29" s="48">
        <v>0.15</v>
      </c>
      <c r="O29" s="48"/>
      <c r="P29" s="48"/>
      <c r="Q29" s="48">
        <v>-0.14</v>
      </c>
      <c r="R29" s="84">
        <f t="shared" si="1"/>
        <v>0.977</v>
      </c>
      <c r="S29" s="84">
        <f t="shared" si="2"/>
        <v>0.1977838272</v>
      </c>
      <c r="T29" s="85">
        <f t="shared" si="16"/>
        <v>0.2147208122</v>
      </c>
      <c r="U29" s="85">
        <f t="shared" si="3"/>
        <v>-0.016936985</v>
      </c>
      <c r="V29" s="84">
        <f t="shared" si="4"/>
        <v>0.7622791878</v>
      </c>
      <c r="W29" s="54">
        <f t="shared" si="5"/>
        <v>54.37647059</v>
      </c>
      <c r="X29" s="52">
        <f t="shared" si="6"/>
        <v>0.1349292074</v>
      </c>
      <c r="Y29" s="51">
        <f t="shared" si="7"/>
        <v>71.33406166</v>
      </c>
      <c r="Z29" s="53">
        <f t="shared" si="8"/>
        <v>0.1770075972</v>
      </c>
      <c r="AA29" s="52">
        <f t="shared" si="9"/>
        <v>0.1731601732</v>
      </c>
      <c r="AB29" s="86">
        <f t="shared" si="10"/>
        <v>0.02173592592</v>
      </c>
      <c r="AC29" s="51">
        <f t="shared" si="11"/>
        <v>21.25</v>
      </c>
      <c r="AD29" s="52">
        <f t="shared" si="12"/>
        <v>2.867245658</v>
      </c>
      <c r="AE29" s="53">
        <f t="shared" si="13"/>
        <v>3.76141144</v>
      </c>
      <c r="AF29" s="52">
        <f t="shared" si="14"/>
        <v>3.67965368</v>
      </c>
      <c r="AG29" s="52">
        <f t="shared" si="15"/>
        <v>0.02173592592</v>
      </c>
      <c r="AH29" s="87"/>
    </row>
    <row r="30">
      <c r="A30" s="32" t="s">
        <v>84</v>
      </c>
      <c r="B30" s="32">
        <v>85.0</v>
      </c>
      <c r="C30" s="33">
        <v>4.0</v>
      </c>
      <c r="D30" s="56">
        <v>403.0</v>
      </c>
      <c r="E30" s="33">
        <v>4622.0</v>
      </c>
      <c r="F30" s="76" t="s">
        <v>87</v>
      </c>
      <c r="G30" s="77">
        <v>37.6</v>
      </c>
      <c r="H30" s="36">
        <v>-0.087</v>
      </c>
      <c r="I30" s="36" t="s">
        <v>101</v>
      </c>
      <c r="J30" s="36" t="s">
        <v>101</v>
      </c>
      <c r="K30" s="36" t="s">
        <v>101</v>
      </c>
      <c r="L30" s="36">
        <v>-0.04</v>
      </c>
      <c r="M30" s="37">
        <v>0.094</v>
      </c>
      <c r="N30" s="36">
        <v>0.15</v>
      </c>
      <c r="O30" s="36"/>
      <c r="P30" s="36"/>
      <c r="Q30" s="36">
        <v>-0.14</v>
      </c>
      <c r="R30" s="78">
        <f t="shared" si="1"/>
        <v>0.977</v>
      </c>
      <c r="S30" s="78">
        <f t="shared" si="2"/>
        <v>0.1977838272</v>
      </c>
      <c r="T30" s="79">
        <f t="shared" si="16"/>
        <v>0.2147208122</v>
      </c>
      <c r="U30" s="79">
        <f t="shared" si="3"/>
        <v>-0.016936985</v>
      </c>
      <c r="V30" s="78">
        <f t="shared" si="4"/>
        <v>0.7622791878</v>
      </c>
      <c r="W30" s="42">
        <f t="shared" si="5"/>
        <v>54.37647059</v>
      </c>
      <c r="X30" s="40">
        <f t="shared" si="6"/>
        <v>0.1349292074</v>
      </c>
      <c r="Y30" s="39">
        <f t="shared" si="7"/>
        <v>71.33406166</v>
      </c>
      <c r="Z30" s="41">
        <f t="shared" si="8"/>
        <v>0.1770075972</v>
      </c>
      <c r="AA30" s="40">
        <f t="shared" si="9"/>
        <v>0.1731601732</v>
      </c>
      <c r="AB30" s="80">
        <f t="shared" si="10"/>
        <v>0.02173592592</v>
      </c>
      <c r="AC30" s="39">
        <f t="shared" si="11"/>
        <v>21.25</v>
      </c>
      <c r="AD30" s="40">
        <f t="shared" si="12"/>
        <v>2.867245658</v>
      </c>
      <c r="AE30" s="41">
        <f t="shared" si="13"/>
        <v>3.76141144</v>
      </c>
      <c r="AF30" s="40">
        <f t="shared" si="14"/>
        <v>3.67965368</v>
      </c>
      <c r="AG30" s="40">
        <f t="shared" si="15"/>
        <v>0.02173592592</v>
      </c>
      <c r="AH30" s="81"/>
    </row>
    <row r="31">
      <c r="A31" s="44" t="s">
        <v>84</v>
      </c>
      <c r="B31" s="44">
        <v>85.0</v>
      </c>
      <c r="C31" s="45">
        <v>4.0</v>
      </c>
      <c r="D31" s="46">
        <v>403.0</v>
      </c>
      <c r="E31" s="45">
        <v>5031.0</v>
      </c>
      <c r="F31" s="82" t="s">
        <v>87</v>
      </c>
      <c r="G31" s="83">
        <v>37.6</v>
      </c>
      <c r="H31" s="48">
        <v>-0.087</v>
      </c>
      <c r="I31" s="48" t="s">
        <v>101</v>
      </c>
      <c r="J31" s="48" t="s">
        <v>101</v>
      </c>
      <c r="K31" s="48" t="s">
        <v>101</v>
      </c>
      <c r="L31" s="48">
        <v>-0.04</v>
      </c>
      <c r="M31" s="49">
        <v>0.094</v>
      </c>
      <c r="N31" s="48">
        <v>0.15</v>
      </c>
      <c r="O31" s="48"/>
      <c r="P31" s="48"/>
      <c r="Q31" s="48">
        <v>-0.071</v>
      </c>
      <c r="R31" s="84">
        <f t="shared" si="1"/>
        <v>1.046</v>
      </c>
      <c r="S31" s="84">
        <f t="shared" si="2"/>
        <v>0.1978311195</v>
      </c>
      <c r="T31" s="85">
        <f t="shared" si="16"/>
        <v>0.2147208122</v>
      </c>
      <c r="U31" s="85">
        <f t="shared" si="3"/>
        <v>-0.01688969264</v>
      </c>
      <c r="V31" s="84">
        <f t="shared" si="4"/>
        <v>0.8312791878</v>
      </c>
      <c r="W31" s="54">
        <f t="shared" si="5"/>
        <v>59.18823529</v>
      </c>
      <c r="X31" s="52">
        <f t="shared" si="6"/>
        <v>0.1468690702</v>
      </c>
      <c r="Y31" s="51">
        <f t="shared" si="7"/>
        <v>71.20139198</v>
      </c>
      <c r="Z31" s="53">
        <f t="shared" si="8"/>
        <v>0.176678392</v>
      </c>
      <c r="AA31" s="52">
        <f t="shared" si="9"/>
        <v>0.1731601732</v>
      </c>
      <c r="AB31" s="86">
        <f t="shared" si="10"/>
        <v>0.01991312465</v>
      </c>
      <c r="AC31" s="51">
        <f t="shared" si="11"/>
        <v>21.25</v>
      </c>
      <c r="AD31" s="52">
        <f t="shared" si="12"/>
        <v>3.120967742</v>
      </c>
      <c r="AE31" s="53">
        <f t="shared" si="13"/>
        <v>3.75441583</v>
      </c>
      <c r="AF31" s="52">
        <f t="shared" si="14"/>
        <v>3.67965368</v>
      </c>
      <c r="AG31" s="52">
        <f t="shared" si="15"/>
        <v>0.01991312465</v>
      </c>
      <c r="AH31" s="87"/>
    </row>
    <row r="32">
      <c r="A32" s="32" t="s">
        <v>94</v>
      </c>
      <c r="B32" s="32">
        <v>1337.0</v>
      </c>
      <c r="C32" s="33">
        <v>50.0</v>
      </c>
      <c r="D32" s="56">
        <v>36.8</v>
      </c>
      <c r="E32" s="33">
        <v>10337.0</v>
      </c>
      <c r="F32" s="76" t="s">
        <v>81</v>
      </c>
      <c r="G32" s="77">
        <v>38.5</v>
      </c>
      <c r="H32" s="36">
        <v>-0.105</v>
      </c>
      <c r="I32" s="36">
        <v>-0.15</v>
      </c>
      <c r="J32" s="36">
        <v>-0.1</v>
      </c>
      <c r="K32" s="36">
        <v>-0.03</v>
      </c>
      <c r="L32" s="36">
        <v>-0.14</v>
      </c>
      <c r="M32" s="37">
        <v>0.138</v>
      </c>
      <c r="N32" s="36">
        <v>0.03</v>
      </c>
      <c r="O32" s="36">
        <v>0.21</v>
      </c>
      <c r="P32" s="36">
        <v>0.5</v>
      </c>
      <c r="Q32" s="36">
        <v>0.132</v>
      </c>
      <c r="R32" s="78">
        <f t="shared" si="1"/>
        <v>1.485</v>
      </c>
      <c r="S32" s="78">
        <f t="shared" si="2"/>
        <v>0.2024973415</v>
      </c>
      <c r="T32" s="79">
        <f t="shared" si="16"/>
        <v>0.2186119874</v>
      </c>
      <c r="U32" s="79">
        <f t="shared" si="3"/>
        <v>-0.01611464583</v>
      </c>
      <c r="V32" s="78">
        <f t="shared" si="4"/>
        <v>1.266388013</v>
      </c>
      <c r="W32" s="42">
        <f t="shared" si="5"/>
        <v>7.731488407</v>
      </c>
      <c r="X32" s="40">
        <f t="shared" si="6"/>
        <v>0.2100947937</v>
      </c>
      <c r="Y32" s="39">
        <f t="shared" si="7"/>
        <v>6.105149709</v>
      </c>
      <c r="Z32" s="41">
        <f t="shared" si="8"/>
        <v>0.1659008073</v>
      </c>
      <c r="AA32" s="40">
        <f t="shared" si="9"/>
        <v>0.1638162637</v>
      </c>
      <c r="AB32" s="80">
        <f t="shared" si="10"/>
        <v>0.01256499994</v>
      </c>
      <c r="AC32" s="39">
        <f t="shared" si="11"/>
        <v>26.74</v>
      </c>
      <c r="AD32" s="40">
        <f t="shared" si="12"/>
        <v>5.617934783</v>
      </c>
      <c r="AE32" s="41">
        <f t="shared" si="13"/>
        <v>4.436187588</v>
      </c>
      <c r="AF32" s="40">
        <f t="shared" si="14"/>
        <v>4.380446891</v>
      </c>
      <c r="AG32" s="40">
        <f t="shared" si="15"/>
        <v>0.01256499994</v>
      </c>
      <c r="AH32" s="81"/>
    </row>
    <row r="33">
      <c r="A33" s="44" t="s">
        <v>102</v>
      </c>
      <c r="B33" s="44">
        <v>2951.0</v>
      </c>
      <c r="C33" s="45">
        <v>100.0</v>
      </c>
      <c r="D33" s="46">
        <v>19.0</v>
      </c>
      <c r="E33" s="45">
        <v>8754.0</v>
      </c>
      <c r="F33" s="82" t="s">
        <v>104</v>
      </c>
      <c r="G33" s="83">
        <v>40.5</v>
      </c>
      <c r="H33" s="48">
        <v>-0.052</v>
      </c>
      <c r="I33" s="48" t="s">
        <v>101</v>
      </c>
      <c r="J33" s="48" t="s">
        <v>101</v>
      </c>
      <c r="K33" s="48" t="s">
        <v>101</v>
      </c>
      <c r="L33" s="48" t="s">
        <v>101</v>
      </c>
      <c r="M33" s="49">
        <v>0.094</v>
      </c>
      <c r="N33" s="48">
        <v>0.15</v>
      </c>
      <c r="O33" s="48"/>
      <c r="P33" s="48"/>
      <c r="Q33" s="48"/>
      <c r="R33" s="84">
        <f t="shared" si="1"/>
        <v>1.192</v>
      </c>
      <c r="S33" s="84">
        <f t="shared" si="2"/>
        <v>0.212977146</v>
      </c>
      <c r="T33" s="85">
        <f t="shared" si="16"/>
        <v>0.2271028037</v>
      </c>
      <c r="U33" s="85">
        <f t="shared" si="3"/>
        <v>-0.01412565772</v>
      </c>
      <c r="V33" s="84">
        <f t="shared" si="4"/>
        <v>0.9648971963</v>
      </c>
      <c r="W33" s="54">
        <f t="shared" si="5"/>
        <v>2.96645205</v>
      </c>
      <c r="X33" s="52">
        <f t="shared" si="6"/>
        <v>0.1561290553</v>
      </c>
      <c r="Y33" s="51">
        <f t="shared" si="7"/>
        <v>3.074371095</v>
      </c>
      <c r="Z33" s="53">
        <f t="shared" si="8"/>
        <v>0.161809005</v>
      </c>
      <c r="AA33" s="52">
        <f t="shared" si="9"/>
        <v>0.1594743725</v>
      </c>
      <c r="AB33" s="86">
        <f t="shared" si="10"/>
        <v>0.01442832276</v>
      </c>
      <c r="AC33" s="51">
        <f t="shared" si="11"/>
        <v>29.51</v>
      </c>
      <c r="AD33" s="52">
        <f t="shared" si="12"/>
        <v>4.607368421</v>
      </c>
      <c r="AE33" s="53">
        <f t="shared" si="13"/>
        <v>4.774983738</v>
      </c>
      <c r="AF33" s="52">
        <f t="shared" si="14"/>
        <v>4.706088732</v>
      </c>
      <c r="AG33" s="52">
        <f t="shared" si="15"/>
        <v>0.01442832276</v>
      </c>
      <c r="AH33" s="87"/>
    </row>
    <row r="34">
      <c r="A34" s="32" t="s">
        <v>102</v>
      </c>
      <c r="B34" s="32">
        <v>2845.0</v>
      </c>
      <c r="C34" s="33">
        <v>100.0</v>
      </c>
      <c r="D34" s="56">
        <v>19.0</v>
      </c>
      <c r="E34" s="33">
        <v>8527.0</v>
      </c>
      <c r="F34" s="76" t="s">
        <v>104</v>
      </c>
      <c r="G34" s="77">
        <v>40.5</v>
      </c>
      <c r="H34" s="36">
        <v>-0.052</v>
      </c>
      <c r="I34" s="36" t="s">
        <v>101</v>
      </c>
      <c r="J34" s="36" t="s">
        <v>101</v>
      </c>
      <c r="K34" s="36" t="s">
        <v>101</v>
      </c>
      <c r="L34" s="36" t="s">
        <v>101</v>
      </c>
      <c r="M34" s="37">
        <v>0.094</v>
      </c>
      <c r="N34" s="36">
        <v>0.15</v>
      </c>
      <c r="O34" s="36"/>
      <c r="P34" s="36"/>
      <c r="Q34" s="36"/>
      <c r="R34" s="78">
        <f t="shared" si="1"/>
        <v>1.192</v>
      </c>
      <c r="S34" s="78">
        <f t="shared" si="2"/>
        <v>0.2128659883</v>
      </c>
      <c r="T34" s="79">
        <f t="shared" si="16"/>
        <v>0.2271028037</v>
      </c>
      <c r="U34" s="79">
        <f t="shared" si="3"/>
        <v>-0.01423681539</v>
      </c>
      <c r="V34" s="78">
        <f t="shared" si="4"/>
        <v>0.9648971963</v>
      </c>
      <c r="W34" s="42">
        <f t="shared" si="5"/>
        <v>2.997188049</v>
      </c>
      <c r="X34" s="40">
        <f t="shared" si="6"/>
        <v>0.1577467394</v>
      </c>
      <c r="Y34" s="39">
        <f t="shared" si="7"/>
        <v>3.106225265</v>
      </c>
      <c r="Z34" s="41">
        <f t="shared" si="8"/>
        <v>0.1634855403</v>
      </c>
      <c r="AA34" s="40">
        <f t="shared" si="9"/>
        <v>0.161108426</v>
      </c>
      <c r="AB34" s="80">
        <f t="shared" si="10"/>
        <v>0.01454021127</v>
      </c>
      <c r="AC34" s="39">
        <f t="shared" si="11"/>
        <v>28.45</v>
      </c>
      <c r="AD34" s="40">
        <f t="shared" si="12"/>
        <v>4.487894737</v>
      </c>
      <c r="AE34" s="41">
        <f t="shared" si="13"/>
        <v>4.651163621</v>
      </c>
      <c r="AF34" s="40">
        <f t="shared" si="14"/>
        <v>4.583534719</v>
      </c>
      <c r="AG34" s="40">
        <f t="shared" si="15"/>
        <v>0.01454021127</v>
      </c>
      <c r="AH34" s="81"/>
    </row>
    <row r="35">
      <c r="A35" s="44" t="s">
        <v>84</v>
      </c>
      <c r="B35" s="44">
        <v>75.0</v>
      </c>
      <c r="C35" s="45">
        <v>4.0</v>
      </c>
      <c r="D35" s="46">
        <v>403.0</v>
      </c>
      <c r="E35" s="45">
        <v>4692.0</v>
      </c>
      <c r="F35" s="82" t="s">
        <v>85</v>
      </c>
      <c r="G35" s="83">
        <v>42.0</v>
      </c>
      <c r="H35" s="48">
        <v>-0.052</v>
      </c>
      <c r="I35" s="48">
        <v>-0.1</v>
      </c>
      <c r="J35" s="48" t="s">
        <v>101</v>
      </c>
      <c r="K35" s="48" t="s">
        <v>101</v>
      </c>
      <c r="L35" s="48" t="s">
        <v>101</v>
      </c>
      <c r="M35" s="49">
        <v>0.094</v>
      </c>
      <c r="N35" s="48">
        <v>0.15</v>
      </c>
      <c r="O35" s="48"/>
      <c r="P35" s="48"/>
      <c r="Q35" s="48"/>
      <c r="R35" s="84">
        <f t="shared" si="1"/>
        <v>1.092</v>
      </c>
      <c r="S35" s="84">
        <f t="shared" si="2"/>
        <v>0.2187990074</v>
      </c>
      <c r="T35" s="85">
        <f t="shared" si="16"/>
        <v>0.2333333333</v>
      </c>
      <c r="U35" s="85">
        <f t="shared" si="3"/>
        <v>-0.01453432589</v>
      </c>
      <c r="V35" s="84">
        <f t="shared" si="4"/>
        <v>0.8586666667</v>
      </c>
      <c r="W35" s="54">
        <f t="shared" si="5"/>
        <v>62.56</v>
      </c>
      <c r="X35" s="52">
        <f t="shared" si="6"/>
        <v>0.155235732</v>
      </c>
      <c r="Y35" s="51">
        <f t="shared" si="7"/>
        <v>72.85714286</v>
      </c>
      <c r="Z35" s="53">
        <f t="shared" si="8"/>
        <v>0.180786955</v>
      </c>
      <c r="AA35" s="52">
        <f t="shared" si="9"/>
        <v>0.1777777778</v>
      </c>
      <c r="AB35" s="86">
        <f t="shared" si="10"/>
        <v>0.01664488017</v>
      </c>
      <c r="AC35" s="51">
        <f t="shared" si="11"/>
        <v>18.75</v>
      </c>
      <c r="AD35" s="52">
        <f t="shared" si="12"/>
        <v>2.910669975</v>
      </c>
      <c r="AE35" s="53">
        <f t="shared" si="13"/>
        <v>3.389755406</v>
      </c>
      <c r="AF35" s="52">
        <f t="shared" si="14"/>
        <v>3.333333333</v>
      </c>
      <c r="AG35" s="52">
        <f t="shared" si="15"/>
        <v>0.01664488017</v>
      </c>
      <c r="AH35" s="87"/>
    </row>
    <row r="36">
      <c r="A36" s="32" t="s">
        <v>85</v>
      </c>
      <c r="B36" s="32">
        <v>1247.0</v>
      </c>
      <c r="C36" s="33">
        <v>50.0</v>
      </c>
      <c r="D36" s="56">
        <v>35.0</v>
      </c>
      <c r="E36" s="33">
        <v>6348.0</v>
      </c>
      <c r="F36" s="76" t="s">
        <v>85</v>
      </c>
      <c r="G36" s="77">
        <v>42.0</v>
      </c>
      <c r="H36" s="36">
        <v>-0.052</v>
      </c>
      <c r="I36" s="36">
        <v>-0.1</v>
      </c>
      <c r="J36" s="36" t="s">
        <v>101</v>
      </c>
      <c r="K36" s="36" t="s">
        <v>101</v>
      </c>
      <c r="L36" s="36" t="s">
        <v>101</v>
      </c>
      <c r="M36" s="37">
        <v>0.094</v>
      </c>
      <c r="N36" s="36">
        <v>0.15</v>
      </c>
      <c r="O36" s="36"/>
      <c r="P36" s="36"/>
      <c r="Q36" s="36"/>
      <c r="R36" s="78">
        <f t="shared" si="1"/>
        <v>1.092</v>
      </c>
      <c r="S36" s="78">
        <f t="shared" si="2"/>
        <v>0.2198463237</v>
      </c>
      <c r="T36" s="79">
        <f t="shared" si="16"/>
        <v>0.2333333333</v>
      </c>
      <c r="U36" s="79">
        <f t="shared" si="3"/>
        <v>-0.01348700958</v>
      </c>
      <c r="V36" s="78">
        <f t="shared" si="4"/>
        <v>0.8586666667</v>
      </c>
      <c r="W36" s="42">
        <f t="shared" si="5"/>
        <v>5.090617482</v>
      </c>
      <c r="X36" s="40">
        <f t="shared" si="6"/>
        <v>0.1454462138</v>
      </c>
      <c r="Y36" s="39">
        <f t="shared" si="7"/>
        <v>5.928514148</v>
      </c>
      <c r="Z36" s="41">
        <f t="shared" si="8"/>
        <v>0.1693861185</v>
      </c>
      <c r="AA36" s="40">
        <f t="shared" si="9"/>
        <v>0.1667667267</v>
      </c>
      <c r="AB36" s="80">
        <f t="shared" si="10"/>
        <v>0.01546402882</v>
      </c>
      <c r="AC36" s="39">
        <f t="shared" si="11"/>
        <v>24.94</v>
      </c>
      <c r="AD36" s="40">
        <f t="shared" si="12"/>
        <v>3.627428571</v>
      </c>
      <c r="AE36" s="41">
        <f t="shared" si="13"/>
        <v>4.224489796</v>
      </c>
      <c r="AF36" s="40">
        <f t="shared" si="14"/>
        <v>4.159162164</v>
      </c>
      <c r="AG36" s="40">
        <f t="shared" si="15"/>
        <v>0.01546402882</v>
      </c>
      <c r="AH36" s="81"/>
    </row>
    <row r="37">
      <c r="A37" s="44" t="s">
        <v>102</v>
      </c>
      <c r="B37" s="44">
        <v>2508.0</v>
      </c>
      <c r="C37" s="45">
        <v>100.0</v>
      </c>
      <c r="D37" s="46">
        <v>19.0</v>
      </c>
      <c r="E37" s="45">
        <v>7706.0</v>
      </c>
      <c r="F37" s="82" t="s">
        <v>85</v>
      </c>
      <c r="G37" s="83">
        <v>42.0</v>
      </c>
      <c r="H37" s="48">
        <v>-0.052</v>
      </c>
      <c r="I37" s="48">
        <v>-0.1</v>
      </c>
      <c r="J37" s="48" t="s">
        <v>101</v>
      </c>
      <c r="K37" s="48" t="s">
        <v>101</v>
      </c>
      <c r="L37" s="48" t="s">
        <v>101</v>
      </c>
      <c r="M37" s="49">
        <v>0.094</v>
      </c>
      <c r="N37" s="48">
        <v>0.15</v>
      </c>
      <c r="O37" s="48">
        <v>0.1</v>
      </c>
      <c r="P37" s="48"/>
      <c r="Q37" s="48"/>
      <c r="R37" s="84">
        <f t="shared" si="1"/>
        <v>1.192</v>
      </c>
      <c r="S37" s="84">
        <f t="shared" si="2"/>
        <v>0.2209392093</v>
      </c>
      <c r="T37" s="85">
        <f t="shared" si="16"/>
        <v>0.2333333333</v>
      </c>
      <c r="U37" s="85">
        <f t="shared" si="3"/>
        <v>-0.01239412407</v>
      </c>
      <c r="V37" s="84">
        <f t="shared" si="4"/>
        <v>0.9586666667</v>
      </c>
      <c r="W37" s="54">
        <f t="shared" si="5"/>
        <v>3.072567783</v>
      </c>
      <c r="X37" s="52">
        <f t="shared" si="6"/>
        <v>0.1617140938</v>
      </c>
      <c r="Y37" s="51">
        <f t="shared" si="7"/>
        <v>3.205042889</v>
      </c>
      <c r="Z37" s="53">
        <f t="shared" si="8"/>
        <v>0.1686864679</v>
      </c>
      <c r="AA37" s="52">
        <f t="shared" si="9"/>
        <v>0.1665334399</v>
      </c>
      <c r="AB37" s="86">
        <f t="shared" si="10"/>
        <v>0.01276348936</v>
      </c>
      <c r="AC37" s="51">
        <f t="shared" si="11"/>
        <v>25.08</v>
      </c>
      <c r="AD37" s="52">
        <f t="shared" si="12"/>
        <v>4.055789474</v>
      </c>
      <c r="AE37" s="53">
        <f t="shared" si="13"/>
        <v>4.230656614</v>
      </c>
      <c r="AF37" s="52">
        <f t="shared" si="14"/>
        <v>4.176658673</v>
      </c>
      <c r="AG37" s="52">
        <f t="shared" si="15"/>
        <v>0.01276348936</v>
      </c>
      <c r="AH37" s="87"/>
    </row>
    <row r="38">
      <c r="A38" s="32" t="s">
        <v>85</v>
      </c>
      <c r="B38" s="32">
        <v>412.0</v>
      </c>
      <c r="C38" s="33">
        <v>50.0</v>
      </c>
      <c r="D38" s="56">
        <v>31.0</v>
      </c>
      <c r="E38" s="33">
        <v>2208.0</v>
      </c>
      <c r="F38" s="76" t="s">
        <v>86</v>
      </c>
      <c r="G38" s="77">
        <f>25.8*2</f>
        <v>51.6</v>
      </c>
      <c r="H38" s="36">
        <v>-0.087</v>
      </c>
      <c r="I38" s="36" t="s">
        <v>101</v>
      </c>
      <c r="J38" s="36" t="s">
        <v>101</v>
      </c>
      <c r="K38" s="36" t="s">
        <v>101</v>
      </c>
      <c r="L38" s="36">
        <v>-0.04</v>
      </c>
      <c r="M38" s="37">
        <v>0.094</v>
      </c>
      <c r="N38" s="36">
        <v>0.15</v>
      </c>
      <c r="O38" s="36"/>
      <c r="P38" s="36"/>
      <c r="Q38" s="36"/>
      <c r="R38" s="78">
        <f t="shared" si="1"/>
        <v>1.117</v>
      </c>
      <c r="S38" s="78">
        <f t="shared" si="2"/>
        <v>0.2535772628</v>
      </c>
      <c r="T38" s="79">
        <f t="shared" si="16"/>
        <v>0.2706293706</v>
      </c>
      <c r="U38" s="79">
        <f t="shared" si="3"/>
        <v>-0.01705210787</v>
      </c>
      <c r="V38" s="78">
        <f t="shared" si="4"/>
        <v>0.8463706294</v>
      </c>
      <c r="W38" s="42">
        <f t="shared" si="5"/>
        <v>5.359223301</v>
      </c>
      <c r="X38" s="40">
        <f t="shared" si="6"/>
        <v>0.172878171</v>
      </c>
      <c r="Y38" s="39">
        <f t="shared" si="7"/>
        <v>6.332005288</v>
      </c>
      <c r="Z38" s="41">
        <f t="shared" si="8"/>
        <v>0.2042582351</v>
      </c>
      <c r="AA38" s="40">
        <f t="shared" si="9"/>
        <v>0.2002242512</v>
      </c>
      <c r="AB38" s="80">
        <f t="shared" si="10"/>
        <v>0.01974943111</v>
      </c>
      <c r="AC38" s="39">
        <f t="shared" si="11"/>
        <v>8.24</v>
      </c>
      <c r="AD38" s="40">
        <f t="shared" si="12"/>
        <v>1.424516129</v>
      </c>
      <c r="AE38" s="41">
        <f t="shared" si="13"/>
        <v>1.683087857</v>
      </c>
      <c r="AF38" s="40">
        <f t="shared" si="14"/>
        <v>1.64984783</v>
      </c>
      <c r="AG38" s="40">
        <f t="shared" si="15"/>
        <v>0.01974943111</v>
      </c>
      <c r="AH38" s="81"/>
    </row>
    <row r="39">
      <c r="A39" s="44" t="s">
        <v>85</v>
      </c>
      <c r="B39" s="44">
        <v>490.0</v>
      </c>
      <c r="C39" s="45">
        <v>50.0</v>
      </c>
      <c r="D39" s="46">
        <v>35.0</v>
      </c>
      <c r="E39" s="45">
        <v>2841.0</v>
      </c>
      <c r="F39" s="82" t="s">
        <v>85</v>
      </c>
      <c r="G39" s="83">
        <v>53.0</v>
      </c>
      <c r="H39" s="48">
        <v>-0.039</v>
      </c>
      <c r="I39" s="48">
        <v>-0.1</v>
      </c>
      <c r="J39" s="48" t="s">
        <v>101</v>
      </c>
      <c r="K39" s="48" t="s">
        <v>101</v>
      </c>
      <c r="L39" s="48" t="s">
        <v>101</v>
      </c>
      <c r="M39" s="49">
        <v>0.094</v>
      </c>
      <c r="N39" s="48">
        <v>0.15</v>
      </c>
      <c r="O39" s="48"/>
      <c r="P39" s="48"/>
      <c r="Q39" s="48"/>
      <c r="R39" s="84">
        <f t="shared" si="1"/>
        <v>1.105</v>
      </c>
      <c r="S39" s="84">
        <f t="shared" si="2"/>
        <v>0.2621423907</v>
      </c>
      <c r="T39" s="85">
        <f t="shared" si="16"/>
        <v>0.2757225434</v>
      </c>
      <c r="U39" s="85">
        <f t="shared" si="3"/>
        <v>-0.01358015268</v>
      </c>
      <c r="V39" s="84">
        <f t="shared" si="4"/>
        <v>0.8292774566</v>
      </c>
      <c r="W39" s="54">
        <f t="shared" si="5"/>
        <v>5.797959184</v>
      </c>
      <c r="X39" s="52">
        <f t="shared" si="6"/>
        <v>0.1656559767</v>
      </c>
      <c r="Y39" s="51">
        <f t="shared" si="7"/>
        <v>6.991579401</v>
      </c>
      <c r="Z39" s="53">
        <f t="shared" si="8"/>
        <v>0.1997594115</v>
      </c>
      <c r="AA39" s="52">
        <f t="shared" si="9"/>
        <v>0.1965408805</v>
      </c>
      <c r="AB39" s="86">
        <f t="shared" si="10"/>
        <v>0.01611203664</v>
      </c>
      <c r="AC39" s="51">
        <f t="shared" si="11"/>
        <v>9.8</v>
      </c>
      <c r="AD39" s="52">
        <f t="shared" si="12"/>
        <v>1.623428571</v>
      </c>
      <c r="AE39" s="53">
        <f t="shared" si="13"/>
        <v>1.957642232</v>
      </c>
      <c r="AF39" s="52">
        <f t="shared" si="14"/>
        <v>1.926100629</v>
      </c>
      <c r="AG39" s="52">
        <f t="shared" si="15"/>
        <v>0.01611203664</v>
      </c>
      <c r="AH39" s="87"/>
    </row>
    <row r="40">
      <c r="A40" s="32" t="s">
        <v>84</v>
      </c>
      <c r="B40" s="32">
        <v>84.0</v>
      </c>
      <c r="C40" s="33">
        <v>4.0</v>
      </c>
      <c r="D40" s="56">
        <v>403.0</v>
      </c>
      <c r="E40" s="33">
        <v>7624.0</v>
      </c>
      <c r="F40" s="76" t="s">
        <v>85</v>
      </c>
      <c r="G40" s="77">
        <f>26.5*2</f>
        <v>53</v>
      </c>
      <c r="H40" s="36">
        <v>-0.039</v>
      </c>
      <c r="I40" s="36">
        <v>-0.1</v>
      </c>
      <c r="J40" s="36" t="s">
        <v>101</v>
      </c>
      <c r="K40" s="36" t="s">
        <v>101</v>
      </c>
      <c r="L40" s="36" t="s">
        <v>101</v>
      </c>
      <c r="M40" s="37">
        <v>0.094</v>
      </c>
      <c r="N40" s="36">
        <v>0.15</v>
      </c>
      <c r="O40" s="36">
        <v>0.453</v>
      </c>
      <c r="P40" s="36"/>
      <c r="Q40" s="36"/>
      <c r="R40" s="78">
        <f t="shared" si="1"/>
        <v>1.558</v>
      </c>
      <c r="S40" s="78">
        <f t="shared" si="2"/>
        <v>0.2607578873</v>
      </c>
      <c r="T40" s="79">
        <f t="shared" si="16"/>
        <v>0.2757225434</v>
      </c>
      <c r="U40" s="79">
        <f t="shared" si="3"/>
        <v>-0.01496465608</v>
      </c>
      <c r="V40" s="78">
        <f t="shared" si="4"/>
        <v>1.282277457</v>
      </c>
      <c r="W40" s="42">
        <f t="shared" si="5"/>
        <v>90.76190476</v>
      </c>
      <c r="X40" s="40">
        <f t="shared" si="6"/>
        <v>0.2252156446</v>
      </c>
      <c r="Y40" s="39">
        <f t="shared" si="7"/>
        <v>70.78179866</v>
      </c>
      <c r="Z40" s="41">
        <f t="shared" si="8"/>
        <v>0.1756372175</v>
      </c>
      <c r="AA40" s="40">
        <f t="shared" si="9"/>
        <v>0.1736111111</v>
      </c>
      <c r="AB40" s="80">
        <f t="shared" si="10"/>
        <v>0.01153574644</v>
      </c>
      <c r="AC40" s="39">
        <f t="shared" si="11"/>
        <v>21</v>
      </c>
      <c r="AD40" s="40">
        <f t="shared" si="12"/>
        <v>4.729528536</v>
      </c>
      <c r="AE40" s="41">
        <f t="shared" si="13"/>
        <v>3.688381568</v>
      </c>
      <c r="AF40" s="40">
        <f t="shared" si="14"/>
        <v>3.645833333</v>
      </c>
      <c r="AG40" s="40">
        <f t="shared" si="15"/>
        <v>0.01153574644</v>
      </c>
      <c r="AH40" s="81"/>
    </row>
    <row r="41">
      <c r="A41" s="44" t="s">
        <v>85</v>
      </c>
      <c r="B41" s="44">
        <v>450.0</v>
      </c>
      <c r="C41" s="45">
        <v>50.0</v>
      </c>
      <c r="D41" s="46">
        <v>35.0</v>
      </c>
      <c r="E41" s="45">
        <v>2634.0</v>
      </c>
      <c r="F41" s="82" t="s">
        <v>85</v>
      </c>
      <c r="G41" s="83">
        <v>53.0</v>
      </c>
      <c r="H41" s="48">
        <v>-0.039</v>
      </c>
      <c r="I41" s="48">
        <v>-0.1</v>
      </c>
      <c r="J41" s="48" t="s">
        <v>101</v>
      </c>
      <c r="K41" s="48" t="s">
        <v>101</v>
      </c>
      <c r="L41" s="48" t="s">
        <v>101</v>
      </c>
      <c r="M41" s="49">
        <v>0.094</v>
      </c>
      <c r="N41" s="48">
        <v>0.15</v>
      </c>
      <c r="O41" s="48"/>
      <c r="P41" s="48"/>
      <c r="Q41" s="48"/>
      <c r="R41" s="84">
        <f t="shared" si="1"/>
        <v>1.105</v>
      </c>
      <c r="S41" s="84">
        <f t="shared" si="2"/>
        <v>0.26212</v>
      </c>
      <c r="T41" s="85">
        <f t="shared" si="16"/>
        <v>0.2757225434</v>
      </c>
      <c r="U41" s="85">
        <f t="shared" si="3"/>
        <v>-0.01360254335</v>
      </c>
      <c r="V41" s="84">
        <f t="shared" si="4"/>
        <v>0.8292774566</v>
      </c>
      <c r="W41" s="54">
        <f t="shared" si="5"/>
        <v>5.853333333</v>
      </c>
      <c r="X41" s="52">
        <f t="shared" si="6"/>
        <v>0.1672380952</v>
      </c>
      <c r="Y41" s="51">
        <f t="shared" si="7"/>
        <v>7.058353373</v>
      </c>
      <c r="Z41" s="53">
        <f t="shared" si="8"/>
        <v>0.2016672392</v>
      </c>
      <c r="AA41" s="52">
        <f t="shared" si="9"/>
        <v>0.1984126984</v>
      </c>
      <c r="AB41" s="86">
        <f t="shared" si="10"/>
        <v>0.01613817311</v>
      </c>
      <c r="AC41" s="51">
        <f t="shared" si="11"/>
        <v>9</v>
      </c>
      <c r="AD41" s="52">
        <f t="shared" si="12"/>
        <v>1.505142857</v>
      </c>
      <c r="AE41" s="53">
        <f t="shared" si="13"/>
        <v>1.815005153</v>
      </c>
      <c r="AF41" s="52">
        <f t="shared" si="14"/>
        <v>1.785714286</v>
      </c>
      <c r="AG41" s="52">
        <f t="shared" si="15"/>
        <v>0.01613817311</v>
      </c>
      <c r="AH41" s="87"/>
    </row>
    <row r="42">
      <c r="A42" s="32" t="s">
        <v>84</v>
      </c>
      <c r="B42" s="32">
        <v>99.0</v>
      </c>
      <c r="C42" s="33">
        <v>4.0</v>
      </c>
      <c r="D42" s="56">
        <v>403.0</v>
      </c>
      <c r="E42" s="33">
        <v>5094.0</v>
      </c>
      <c r="F42" s="76" t="s">
        <v>83</v>
      </c>
      <c r="G42" s="77">
        <v>57.0</v>
      </c>
      <c r="H42" s="36">
        <v>-0.085</v>
      </c>
      <c r="I42" s="36">
        <v>-0.1</v>
      </c>
      <c r="J42" s="36">
        <v>-0.02</v>
      </c>
      <c r="K42" s="36" t="s">
        <v>101</v>
      </c>
      <c r="L42" s="36" t="s">
        <v>101</v>
      </c>
      <c r="M42" s="37">
        <v>0.094</v>
      </c>
      <c r="N42" s="36">
        <v>0.15</v>
      </c>
      <c r="O42" s="36"/>
      <c r="P42" s="36"/>
      <c r="Q42" s="36"/>
      <c r="R42" s="78">
        <f t="shared" si="1"/>
        <v>1.039</v>
      </c>
      <c r="S42" s="78">
        <f t="shared" si="2"/>
        <v>0.2748425446</v>
      </c>
      <c r="T42" s="79">
        <f t="shared" ref="T42:T43" si="18">0.9*G42/(120+G42)</f>
        <v>0.2898305085</v>
      </c>
      <c r="U42" s="79">
        <f t="shared" si="3"/>
        <v>-0.01498796392</v>
      </c>
      <c r="V42" s="78">
        <f t="shared" si="4"/>
        <v>0.7491694915</v>
      </c>
      <c r="W42" s="42">
        <f t="shared" si="5"/>
        <v>51.45454545</v>
      </c>
      <c r="X42" s="40">
        <f t="shared" si="6"/>
        <v>0.1276787728</v>
      </c>
      <c r="Y42" s="39">
        <f t="shared" si="7"/>
        <v>68.68211538</v>
      </c>
      <c r="Z42" s="41">
        <f t="shared" si="8"/>
        <v>0.1704270853</v>
      </c>
      <c r="AA42" s="40">
        <f t="shared" si="9"/>
        <v>0.1670843776</v>
      </c>
      <c r="AB42" s="80">
        <f t="shared" si="10"/>
        <v>0.01961371157</v>
      </c>
      <c r="AC42" s="39">
        <f t="shared" si="11"/>
        <v>24.75</v>
      </c>
      <c r="AD42" s="40">
        <f t="shared" si="12"/>
        <v>3.160049628</v>
      </c>
      <c r="AE42" s="41">
        <f t="shared" si="13"/>
        <v>4.218070361</v>
      </c>
      <c r="AF42" s="40">
        <f t="shared" si="14"/>
        <v>4.135338346</v>
      </c>
      <c r="AG42" s="40">
        <f t="shared" si="15"/>
        <v>0.01961371157</v>
      </c>
      <c r="AH42" s="81"/>
    </row>
    <row r="43">
      <c r="A43" s="44" t="s">
        <v>84</v>
      </c>
      <c r="B43" s="44">
        <v>98.0</v>
      </c>
      <c r="C43" s="45">
        <v>4.0</v>
      </c>
      <c r="D43" s="46">
        <v>403.0</v>
      </c>
      <c r="E43" s="45">
        <v>8052.0</v>
      </c>
      <c r="F43" s="82" t="s">
        <v>83</v>
      </c>
      <c r="G43" s="83">
        <v>57.0</v>
      </c>
      <c r="H43" s="48">
        <v>-0.085</v>
      </c>
      <c r="I43" s="48">
        <v>-0.1</v>
      </c>
      <c r="J43" s="48">
        <v>-0.02</v>
      </c>
      <c r="K43" s="48" t="s">
        <v>101</v>
      </c>
      <c r="L43" s="48" t="s">
        <v>101</v>
      </c>
      <c r="M43" s="49">
        <v>0.094</v>
      </c>
      <c r="N43" s="48">
        <v>0.15</v>
      </c>
      <c r="O43" s="48">
        <v>0.453</v>
      </c>
      <c r="P43" s="48"/>
      <c r="Q43" s="48"/>
      <c r="R43" s="84">
        <f t="shared" si="1"/>
        <v>1.492</v>
      </c>
      <c r="S43" s="84">
        <f t="shared" si="2"/>
        <v>0.2748419507</v>
      </c>
      <c r="T43" s="85">
        <f t="shared" si="18"/>
        <v>0.2898305085</v>
      </c>
      <c r="U43" s="85">
        <f t="shared" si="3"/>
        <v>-0.0149885578</v>
      </c>
      <c r="V43" s="84">
        <f t="shared" si="4"/>
        <v>1.202169492</v>
      </c>
      <c r="W43" s="54">
        <f t="shared" si="5"/>
        <v>82.16326531</v>
      </c>
      <c r="X43" s="52">
        <f t="shared" si="6"/>
        <v>0.2038790702</v>
      </c>
      <c r="Y43" s="51">
        <f t="shared" si="7"/>
        <v>68.34582468</v>
      </c>
      <c r="Z43" s="53">
        <f t="shared" si="8"/>
        <v>0.1695926171</v>
      </c>
      <c r="AA43" s="52">
        <f t="shared" si="9"/>
        <v>0.1675041876</v>
      </c>
      <c r="AB43" s="86">
        <f t="shared" si="10"/>
        <v>0.01231438909</v>
      </c>
      <c r="AC43" s="51">
        <f t="shared" si="11"/>
        <v>24.5</v>
      </c>
      <c r="AD43" s="52">
        <f t="shared" si="12"/>
        <v>4.995037221</v>
      </c>
      <c r="AE43" s="53">
        <f t="shared" si="13"/>
        <v>4.155019118</v>
      </c>
      <c r="AF43" s="52">
        <f t="shared" si="14"/>
        <v>4.103852596</v>
      </c>
      <c r="AG43" s="52">
        <f t="shared" si="15"/>
        <v>0.01231438909</v>
      </c>
      <c r="AH43" s="87"/>
    </row>
    <row r="44">
      <c r="A44" s="32" t="s">
        <v>84</v>
      </c>
      <c r="B44" s="32">
        <v>96.0</v>
      </c>
      <c r="C44" s="33">
        <v>4.0</v>
      </c>
      <c r="D44" s="56">
        <v>403.0</v>
      </c>
      <c r="E44" s="33">
        <v>4997.0</v>
      </c>
      <c r="F44" s="76" t="s">
        <v>83</v>
      </c>
      <c r="G44" s="77">
        <v>57.0</v>
      </c>
      <c r="H44" s="36">
        <v>-0.085</v>
      </c>
      <c r="I44" s="36">
        <v>-0.1</v>
      </c>
      <c r="J44" s="36">
        <v>-0.02</v>
      </c>
      <c r="K44" s="36" t="s">
        <v>101</v>
      </c>
      <c r="L44" s="36" t="s">
        <v>101</v>
      </c>
      <c r="M44" s="37">
        <v>0.094</v>
      </c>
      <c r="N44" s="36">
        <v>0.15</v>
      </c>
      <c r="O44" s="36"/>
      <c r="P44" s="36"/>
      <c r="Q44" s="36"/>
      <c r="R44" s="78">
        <f t="shared" si="1"/>
        <v>1.039</v>
      </c>
      <c r="S44" s="78">
        <f t="shared" si="2"/>
        <v>0.2717807072</v>
      </c>
      <c r="T44" s="79">
        <f t="shared" ref="T44:T57" si="19">0.9*(G44/(120+G44))</f>
        <v>0.2898305085</v>
      </c>
      <c r="U44" s="79">
        <f t="shared" si="3"/>
        <v>-0.01804980128</v>
      </c>
      <c r="V44" s="78">
        <f t="shared" si="4"/>
        <v>0.7491694915</v>
      </c>
      <c r="W44" s="42">
        <f t="shared" si="5"/>
        <v>52.05208333</v>
      </c>
      <c r="X44" s="40">
        <f t="shared" si="6"/>
        <v>0.1291614971</v>
      </c>
      <c r="Y44" s="39">
        <f t="shared" si="7"/>
        <v>69.47971577</v>
      </c>
      <c r="Z44" s="41">
        <f t="shared" si="8"/>
        <v>0.1724062426</v>
      </c>
      <c r="AA44" s="40">
        <f t="shared" si="9"/>
        <v>0.1683501684</v>
      </c>
      <c r="AB44" s="80">
        <f t="shared" si="10"/>
        <v>0.02352626094</v>
      </c>
      <c r="AC44" s="39">
        <f t="shared" si="11"/>
        <v>24</v>
      </c>
      <c r="AD44" s="40">
        <f t="shared" si="12"/>
        <v>3.099875931</v>
      </c>
      <c r="AE44" s="41">
        <f t="shared" si="13"/>
        <v>4.137749822</v>
      </c>
      <c r="AF44" s="40">
        <f t="shared" si="14"/>
        <v>4.04040404</v>
      </c>
      <c r="AG44" s="40">
        <f t="shared" si="15"/>
        <v>0.02352626094</v>
      </c>
      <c r="AH44" s="81"/>
    </row>
    <row r="45">
      <c r="A45" s="44" t="s">
        <v>85</v>
      </c>
      <c r="B45" s="44">
        <v>450.0</v>
      </c>
      <c r="C45" s="45">
        <v>50.0</v>
      </c>
      <c r="D45" s="46">
        <v>35.0</v>
      </c>
      <c r="E45" s="45">
        <v>3718.0</v>
      </c>
      <c r="F45" s="82" t="s">
        <v>83</v>
      </c>
      <c r="G45" s="83">
        <f>29.2*2</f>
        <v>58.4</v>
      </c>
      <c r="H45" s="48">
        <v>-0.087</v>
      </c>
      <c r="I45" s="48">
        <v>-0.1</v>
      </c>
      <c r="J45" s="48" t="s">
        <v>101</v>
      </c>
      <c r="K45" s="48" t="s">
        <v>101</v>
      </c>
      <c r="L45" s="48">
        <v>-0.04</v>
      </c>
      <c r="M45" s="49">
        <v>0.094</v>
      </c>
      <c r="N45" s="48">
        <v>0.15</v>
      </c>
      <c r="O45" s="48">
        <v>0.453</v>
      </c>
      <c r="P45" s="48"/>
      <c r="Q45" s="48"/>
      <c r="R45" s="84">
        <f t="shared" si="1"/>
        <v>1.47</v>
      </c>
      <c r="S45" s="84">
        <f t="shared" si="2"/>
        <v>0.28024</v>
      </c>
      <c r="T45" s="85">
        <f t="shared" si="19"/>
        <v>0.2946188341</v>
      </c>
      <c r="U45" s="85">
        <f t="shared" si="3"/>
        <v>-0.01437883408</v>
      </c>
      <c r="V45" s="84">
        <f t="shared" si="4"/>
        <v>1.175381166</v>
      </c>
      <c r="W45" s="54">
        <f t="shared" si="5"/>
        <v>8.262222222</v>
      </c>
      <c r="X45" s="52">
        <f t="shared" si="6"/>
        <v>0.2360634921</v>
      </c>
      <c r="Y45" s="51">
        <f t="shared" si="7"/>
        <v>7.029398175</v>
      </c>
      <c r="Z45" s="53">
        <f t="shared" si="8"/>
        <v>0.2008399478</v>
      </c>
      <c r="AA45" s="52">
        <f t="shared" si="9"/>
        <v>0.1984126984</v>
      </c>
      <c r="AB45" s="86">
        <f t="shared" si="10"/>
        <v>0.01208549126</v>
      </c>
      <c r="AC45" s="51">
        <f t="shared" si="11"/>
        <v>9</v>
      </c>
      <c r="AD45" s="52">
        <f t="shared" si="12"/>
        <v>2.124571429</v>
      </c>
      <c r="AE45" s="53">
        <f t="shared" si="13"/>
        <v>1.807559531</v>
      </c>
      <c r="AF45" s="52">
        <f t="shared" si="14"/>
        <v>1.785714286</v>
      </c>
      <c r="AG45" s="52">
        <f t="shared" si="15"/>
        <v>0.01208549126</v>
      </c>
      <c r="AH45" s="87"/>
    </row>
    <row r="46">
      <c r="A46" s="32" t="s">
        <v>84</v>
      </c>
      <c r="B46" s="32">
        <v>59.0</v>
      </c>
      <c r="C46" s="33">
        <v>4.0</v>
      </c>
      <c r="D46" s="56">
        <v>403.0</v>
      </c>
      <c r="E46" s="33">
        <v>3356.0</v>
      </c>
      <c r="F46" s="76" t="s">
        <v>106</v>
      </c>
      <c r="G46" s="77">
        <v>59.0</v>
      </c>
      <c r="H46" s="36">
        <v>-0.052</v>
      </c>
      <c r="I46" s="36" t="s">
        <v>101</v>
      </c>
      <c r="J46" s="36" t="s">
        <v>101</v>
      </c>
      <c r="K46" s="36" t="s">
        <v>101</v>
      </c>
      <c r="L46" s="36">
        <v>-0.15</v>
      </c>
      <c r="M46" s="37">
        <v>0.094</v>
      </c>
      <c r="N46" s="36">
        <v>0.15</v>
      </c>
      <c r="O46" s="36"/>
      <c r="P46" s="36"/>
      <c r="Q46" s="36"/>
      <c r="R46" s="78">
        <f t="shared" si="1"/>
        <v>1.042</v>
      </c>
      <c r="S46" s="78">
        <f t="shared" si="2"/>
        <v>0.2819352315</v>
      </c>
      <c r="T46" s="79">
        <f t="shared" si="19"/>
        <v>0.2966480447</v>
      </c>
      <c r="U46" s="79">
        <f t="shared" si="3"/>
        <v>-0.01471281317</v>
      </c>
      <c r="V46" s="78">
        <f t="shared" si="4"/>
        <v>0.7453519553</v>
      </c>
      <c r="W46" s="42">
        <f t="shared" si="5"/>
        <v>56.88135593</v>
      </c>
      <c r="X46" s="40">
        <f t="shared" si="6"/>
        <v>0.1411448038</v>
      </c>
      <c r="Y46" s="39">
        <f t="shared" si="7"/>
        <v>76.31476047</v>
      </c>
      <c r="Z46" s="41">
        <f t="shared" si="8"/>
        <v>0.1893666513</v>
      </c>
      <c r="AA46" s="40">
        <f t="shared" si="9"/>
        <v>0.1857010214</v>
      </c>
      <c r="AB46" s="80">
        <f t="shared" si="10"/>
        <v>0.01935731503</v>
      </c>
      <c r="AC46" s="39">
        <f t="shared" si="11"/>
        <v>14.75</v>
      </c>
      <c r="AD46" s="40">
        <f t="shared" si="12"/>
        <v>2.081885856</v>
      </c>
      <c r="AE46" s="41">
        <f t="shared" si="13"/>
        <v>2.793158106</v>
      </c>
      <c r="AF46" s="40">
        <f t="shared" si="14"/>
        <v>2.739090065</v>
      </c>
      <c r="AG46" s="40">
        <f t="shared" si="15"/>
        <v>0.01935731503</v>
      </c>
      <c r="AH46" s="81"/>
    </row>
    <row r="47">
      <c r="A47" s="44" t="s">
        <v>85</v>
      </c>
      <c r="B47" s="44">
        <v>1125.0</v>
      </c>
      <c r="C47" s="45">
        <v>50.0</v>
      </c>
      <c r="D47" s="46">
        <v>35.0</v>
      </c>
      <c r="E47" s="45">
        <v>5109.0</v>
      </c>
      <c r="F47" s="82" t="s">
        <v>106</v>
      </c>
      <c r="G47" s="83">
        <v>59.0</v>
      </c>
      <c r="H47" s="48">
        <v>-0.052</v>
      </c>
      <c r="I47" s="48" t="s">
        <v>101</v>
      </c>
      <c r="J47" s="48" t="s">
        <v>101</v>
      </c>
      <c r="K47" s="48" t="s">
        <v>101</v>
      </c>
      <c r="L47" s="48">
        <v>-0.15</v>
      </c>
      <c r="M47" s="49">
        <v>0.094</v>
      </c>
      <c r="N47" s="48">
        <v>0.15</v>
      </c>
      <c r="O47" s="48"/>
      <c r="P47" s="48"/>
      <c r="Q47" s="48"/>
      <c r="R47" s="84">
        <f t="shared" si="1"/>
        <v>1.042</v>
      </c>
      <c r="S47" s="84">
        <f t="shared" si="2"/>
        <v>0.2829485714</v>
      </c>
      <c r="T47" s="85">
        <f t="shared" si="19"/>
        <v>0.2966480447</v>
      </c>
      <c r="U47" s="85">
        <f t="shared" si="3"/>
        <v>-0.01369947326</v>
      </c>
      <c r="V47" s="84">
        <f t="shared" si="4"/>
        <v>0.7453519553</v>
      </c>
      <c r="W47" s="54">
        <f t="shared" si="5"/>
        <v>4.541333333</v>
      </c>
      <c r="X47" s="52">
        <f t="shared" si="6"/>
        <v>0.129752381</v>
      </c>
      <c r="Y47" s="51">
        <f t="shared" si="7"/>
        <v>6.092871027</v>
      </c>
      <c r="Z47" s="53">
        <f t="shared" si="8"/>
        <v>0.1740820293</v>
      </c>
      <c r="AA47" s="52">
        <f t="shared" si="9"/>
        <v>0.1709401709</v>
      </c>
      <c r="AB47" s="86">
        <f t="shared" si="10"/>
        <v>0.01804814898</v>
      </c>
      <c r="AC47" s="51">
        <f t="shared" si="11"/>
        <v>22.5</v>
      </c>
      <c r="AD47" s="52">
        <f t="shared" si="12"/>
        <v>2.919428571</v>
      </c>
      <c r="AE47" s="53">
        <f t="shared" si="13"/>
        <v>3.91684566</v>
      </c>
      <c r="AF47" s="52">
        <f t="shared" si="14"/>
        <v>3.846153846</v>
      </c>
      <c r="AG47" s="52">
        <f t="shared" si="15"/>
        <v>0.01804814898</v>
      </c>
      <c r="AH47" s="87"/>
    </row>
    <row r="48">
      <c r="A48" s="32" t="s">
        <v>81</v>
      </c>
      <c r="B48" s="32">
        <v>1302.0</v>
      </c>
      <c r="C48" s="33">
        <v>50.0</v>
      </c>
      <c r="D48" s="56">
        <v>28.8</v>
      </c>
      <c r="E48" s="33">
        <v>6767.0</v>
      </c>
      <c r="F48" s="76" t="s">
        <v>107</v>
      </c>
      <c r="G48" s="77">
        <v>64.5</v>
      </c>
      <c r="H48" s="36">
        <v>-0.117</v>
      </c>
      <c r="I48" s="36" t="s">
        <v>101</v>
      </c>
      <c r="J48" s="36" t="s">
        <v>101</v>
      </c>
      <c r="K48" s="36" t="s">
        <v>101</v>
      </c>
      <c r="L48" s="36" t="s">
        <v>101</v>
      </c>
      <c r="M48" s="37">
        <v>0.138</v>
      </c>
      <c r="N48" s="36">
        <v>0.03</v>
      </c>
      <c r="O48" s="36">
        <v>0.21</v>
      </c>
      <c r="P48" s="36">
        <v>0.132</v>
      </c>
      <c r="Q48" s="36"/>
      <c r="R48" s="78">
        <f t="shared" si="1"/>
        <v>1.393</v>
      </c>
      <c r="S48" s="78">
        <f t="shared" si="2"/>
        <v>0.2989496928</v>
      </c>
      <c r="T48" s="79">
        <f t="shared" si="19"/>
        <v>0.3146341463</v>
      </c>
      <c r="U48" s="79">
        <f t="shared" si="3"/>
        <v>-0.01568445356</v>
      </c>
      <c r="V48" s="78">
        <f t="shared" si="4"/>
        <v>1.078365854</v>
      </c>
      <c r="W48" s="42">
        <f t="shared" si="5"/>
        <v>5.197388633</v>
      </c>
      <c r="X48" s="40">
        <f t="shared" si="6"/>
        <v>0.1804648831</v>
      </c>
      <c r="Y48" s="39">
        <f t="shared" si="7"/>
        <v>4.819689547</v>
      </c>
      <c r="Z48" s="41">
        <f t="shared" si="8"/>
        <v>0.1673503315</v>
      </c>
      <c r="AA48" s="40">
        <f t="shared" si="9"/>
        <v>0.1649511745</v>
      </c>
      <c r="AB48" s="80">
        <f t="shared" si="10"/>
        <v>0.0143361356</v>
      </c>
      <c r="AC48" s="39">
        <f t="shared" si="11"/>
        <v>26.04</v>
      </c>
      <c r="AD48" s="40">
        <f t="shared" si="12"/>
        <v>4.699305556</v>
      </c>
      <c r="AE48" s="41">
        <f t="shared" si="13"/>
        <v>4.357802632</v>
      </c>
      <c r="AF48" s="40">
        <f t="shared" si="14"/>
        <v>4.295328583</v>
      </c>
      <c r="AG48" s="40">
        <f t="shared" si="15"/>
        <v>0.0143361356</v>
      </c>
      <c r="AH48" s="81"/>
    </row>
    <row r="49">
      <c r="A49" s="44" t="s">
        <v>81</v>
      </c>
      <c r="B49" s="44">
        <v>1267.0</v>
      </c>
      <c r="C49" s="45">
        <v>50.0</v>
      </c>
      <c r="D49" s="46">
        <v>28.8</v>
      </c>
      <c r="E49" s="45">
        <v>7430.0</v>
      </c>
      <c r="F49" s="82" t="s">
        <v>107</v>
      </c>
      <c r="G49" s="83">
        <v>64.5</v>
      </c>
      <c r="H49" s="48">
        <v>-0.117</v>
      </c>
      <c r="I49" s="48" t="s">
        <v>101</v>
      </c>
      <c r="J49" s="48" t="s">
        <v>101</v>
      </c>
      <c r="K49" s="48" t="s">
        <v>101</v>
      </c>
      <c r="L49" s="48" t="s">
        <v>101</v>
      </c>
      <c r="M49" s="49">
        <v>0.138</v>
      </c>
      <c r="N49" s="48">
        <v>0.03</v>
      </c>
      <c r="O49" s="48">
        <v>0.21</v>
      </c>
      <c r="P49" s="48">
        <v>0.264</v>
      </c>
      <c r="Q49" s="48"/>
      <c r="R49" s="84">
        <f t="shared" si="1"/>
        <v>1.525</v>
      </c>
      <c r="S49" s="84">
        <f t="shared" si="2"/>
        <v>0.29912819</v>
      </c>
      <c r="T49" s="85">
        <f t="shared" si="19"/>
        <v>0.3146341463</v>
      </c>
      <c r="U49" s="85">
        <f t="shared" si="3"/>
        <v>-0.01550595639</v>
      </c>
      <c r="V49" s="84">
        <f t="shared" si="4"/>
        <v>1.210365854</v>
      </c>
      <c r="W49" s="54">
        <f t="shared" si="5"/>
        <v>5.864246251</v>
      </c>
      <c r="X49" s="52">
        <f t="shared" si="6"/>
        <v>0.2036196615</v>
      </c>
      <c r="Y49" s="51">
        <f t="shared" si="7"/>
        <v>4.845019573</v>
      </c>
      <c r="Z49" s="53">
        <f t="shared" si="8"/>
        <v>0.1682298463</v>
      </c>
      <c r="AA49" s="52">
        <f t="shared" si="9"/>
        <v>0.1661019201</v>
      </c>
      <c r="AB49" s="86">
        <f t="shared" si="10"/>
        <v>0.01264892158</v>
      </c>
      <c r="AC49" s="51">
        <f t="shared" si="11"/>
        <v>25.34</v>
      </c>
      <c r="AD49" s="52">
        <f t="shared" si="12"/>
        <v>5.159722222</v>
      </c>
      <c r="AE49" s="53">
        <f t="shared" si="13"/>
        <v>4.262944305</v>
      </c>
      <c r="AF49" s="52">
        <f t="shared" si="14"/>
        <v>4.209022656</v>
      </c>
      <c r="AG49" s="52">
        <f t="shared" si="15"/>
        <v>0.01264892158</v>
      </c>
      <c r="AH49" s="87"/>
    </row>
    <row r="50">
      <c r="A50" s="32" t="s">
        <v>85</v>
      </c>
      <c r="B50" s="32">
        <v>1250.0</v>
      </c>
      <c r="C50" s="33">
        <v>50.0</v>
      </c>
      <c r="D50" s="56">
        <v>35.0</v>
      </c>
      <c r="E50" s="33">
        <v>5448.0</v>
      </c>
      <c r="F50" s="76" t="s">
        <v>108</v>
      </c>
      <c r="G50" s="77">
        <v>80.0</v>
      </c>
      <c r="H50" s="36" t="s">
        <v>101</v>
      </c>
      <c r="I50" s="36" t="s">
        <v>101</v>
      </c>
      <c r="J50" s="36" t="s">
        <v>101</v>
      </c>
      <c r="K50" s="36" t="s">
        <v>101</v>
      </c>
      <c r="L50" s="36">
        <v>-0.15</v>
      </c>
      <c r="M50" s="37">
        <v>0.094</v>
      </c>
      <c r="N50" s="36">
        <v>0.15</v>
      </c>
      <c r="O50" s="36"/>
      <c r="P50" s="36"/>
      <c r="Q50" s="36"/>
      <c r="R50" s="78">
        <f t="shared" si="1"/>
        <v>1.094</v>
      </c>
      <c r="S50" s="78">
        <f t="shared" si="2"/>
        <v>0.3468457143</v>
      </c>
      <c r="T50" s="79">
        <f t="shared" si="19"/>
        <v>0.36</v>
      </c>
      <c r="U50" s="79">
        <f t="shared" si="3"/>
        <v>-0.01315428571</v>
      </c>
      <c r="V50" s="78">
        <f t="shared" si="4"/>
        <v>0.734</v>
      </c>
      <c r="W50" s="42">
        <f t="shared" si="5"/>
        <v>4.3584</v>
      </c>
      <c r="X50" s="40">
        <f t="shared" si="6"/>
        <v>0.1245257143</v>
      </c>
      <c r="Y50" s="39">
        <f t="shared" si="7"/>
        <v>5.937874659</v>
      </c>
      <c r="Z50" s="41">
        <f t="shared" si="8"/>
        <v>0.1696535617</v>
      </c>
      <c r="AA50" s="40">
        <f t="shared" si="9"/>
        <v>0.1666666667</v>
      </c>
      <c r="AB50" s="80">
        <f t="shared" si="10"/>
        <v>0.01760584924</v>
      </c>
      <c r="AC50" s="39">
        <f t="shared" si="11"/>
        <v>25</v>
      </c>
      <c r="AD50" s="40">
        <f t="shared" si="12"/>
        <v>3.113142857</v>
      </c>
      <c r="AE50" s="41">
        <f t="shared" si="13"/>
        <v>4.241339042</v>
      </c>
      <c r="AF50" s="40">
        <f t="shared" si="14"/>
        <v>4.166666667</v>
      </c>
      <c r="AG50" s="40">
        <f t="shared" si="15"/>
        <v>0.01760584924</v>
      </c>
      <c r="AH50" s="81"/>
    </row>
    <row r="51">
      <c r="A51" s="44" t="s">
        <v>84</v>
      </c>
      <c r="B51" s="44">
        <v>100.0</v>
      </c>
      <c r="C51" s="45">
        <v>4.0</v>
      </c>
      <c r="D51" s="46">
        <v>403.0</v>
      </c>
      <c r="E51" s="45">
        <v>8068.0</v>
      </c>
      <c r="F51" s="82" t="s">
        <v>108</v>
      </c>
      <c r="G51" s="83">
        <v>80.0</v>
      </c>
      <c r="H51" s="48" t="s">
        <v>101</v>
      </c>
      <c r="I51" s="48" t="s">
        <v>101</v>
      </c>
      <c r="J51" s="48" t="s">
        <v>101</v>
      </c>
      <c r="K51" s="48" t="s">
        <v>101</v>
      </c>
      <c r="L51" s="48">
        <v>-0.15</v>
      </c>
      <c r="M51" s="49">
        <v>0.094</v>
      </c>
      <c r="N51" s="48">
        <v>0.15</v>
      </c>
      <c r="O51" s="48">
        <v>0.453</v>
      </c>
      <c r="P51" s="48"/>
      <c r="Q51" s="48"/>
      <c r="R51" s="84">
        <f t="shared" si="1"/>
        <v>1.547</v>
      </c>
      <c r="S51" s="84">
        <f t="shared" si="2"/>
        <v>0.345808933</v>
      </c>
      <c r="T51" s="85">
        <f t="shared" si="19"/>
        <v>0.36</v>
      </c>
      <c r="U51" s="85">
        <f t="shared" si="3"/>
        <v>-0.014191067</v>
      </c>
      <c r="V51" s="84">
        <f t="shared" si="4"/>
        <v>1.187</v>
      </c>
      <c r="W51" s="54">
        <f t="shared" si="5"/>
        <v>80.68</v>
      </c>
      <c r="X51" s="52">
        <f t="shared" si="6"/>
        <v>0.2001985112</v>
      </c>
      <c r="Y51" s="51">
        <f t="shared" si="7"/>
        <v>67.96967144</v>
      </c>
      <c r="Z51" s="53">
        <f t="shared" si="8"/>
        <v>0.1686592343</v>
      </c>
      <c r="AA51" s="52">
        <f t="shared" si="9"/>
        <v>0.1666666667</v>
      </c>
      <c r="AB51" s="86">
        <f t="shared" si="10"/>
        <v>0.01181416295</v>
      </c>
      <c r="AC51" s="51">
        <f t="shared" si="11"/>
        <v>25</v>
      </c>
      <c r="AD51" s="52">
        <f t="shared" si="12"/>
        <v>5.004962779</v>
      </c>
      <c r="AE51" s="53">
        <f t="shared" si="13"/>
        <v>4.216480859</v>
      </c>
      <c r="AF51" s="52">
        <f t="shared" si="14"/>
        <v>4.166666667</v>
      </c>
      <c r="AG51" s="52">
        <f t="shared" si="15"/>
        <v>0.01181416295</v>
      </c>
      <c r="AH51" s="87"/>
    </row>
    <row r="52">
      <c r="A52" s="32" t="s">
        <v>84</v>
      </c>
      <c r="B52" s="32">
        <v>82.0</v>
      </c>
      <c r="C52" s="33">
        <v>4.0</v>
      </c>
      <c r="D52" s="56">
        <v>403.0</v>
      </c>
      <c r="E52" s="33">
        <v>4696.0</v>
      </c>
      <c r="F52" s="76" t="s">
        <v>92</v>
      </c>
      <c r="G52" s="77">
        <v>82.0</v>
      </c>
      <c r="H52" s="36">
        <v>-0.079</v>
      </c>
      <c r="I52" s="36" t="s">
        <v>101</v>
      </c>
      <c r="J52" s="36" t="s">
        <v>101</v>
      </c>
      <c r="K52" s="36" t="s">
        <v>101</v>
      </c>
      <c r="L52" s="36" t="s">
        <v>101</v>
      </c>
      <c r="M52" s="37">
        <v>0.094</v>
      </c>
      <c r="N52" s="36">
        <v>0.15</v>
      </c>
      <c r="O52" s="36"/>
      <c r="P52" s="36"/>
      <c r="Q52" s="36"/>
      <c r="R52" s="78">
        <f t="shared" si="1"/>
        <v>1.165</v>
      </c>
      <c r="S52" s="78">
        <f t="shared" si="2"/>
        <v>0.3507386673</v>
      </c>
      <c r="T52" s="79">
        <f t="shared" si="19"/>
        <v>0.3653465347</v>
      </c>
      <c r="U52" s="79">
        <f t="shared" si="3"/>
        <v>-0.01460786734</v>
      </c>
      <c r="V52" s="78">
        <f t="shared" si="4"/>
        <v>0.7996534653</v>
      </c>
      <c r="W52" s="42">
        <f t="shared" si="5"/>
        <v>57.26829268</v>
      </c>
      <c r="X52" s="40">
        <f t="shared" si="6"/>
        <v>0.1421049446</v>
      </c>
      <c r="Y52" s="39">
        <f t="shared" si="7"/>
        <v>71.6163878</v>
      </c>
      <c r="Z52" s="41">
        <f t="shared" si="8"/>
        <v>0.1777081583</v>
      </c>
      <c r="AA52" s="40">
        <f t="shared" si="9"/>
        <v>0.1745200698</v>
      </c>
      <c r="AB52" s="80">
        <f t="shared" si="10"/>
        <v>0.01794002337</v>
      </c>
      <c r="AC52" s="39">
        <f t="shared" si="11"/>
        <v>20.5</v>
      </c>
      <c r="AD52" s="40">
        <f t="shared" si="12"/>
        <v>2.913151365</v>
      </c>
      <c r="AE52" s="41">
        <f t="shared" si="13"/>
        <v>3.643017246</v>
      </c>
      <c r="AF52" s="40">
        <f t="shared" si="14"/>
        <v>3.577661431</v>
      </c>
      <c r="AG52" s="40">
        <f t="shared" si="15"/>
        <v>0.01794002337</v>
      </c>
      <c r="AH52" s="81"/>
    </row>
    <row r="53">
      <c r="A53" s="44" t="s">
        <v>85</v>
      </c>
      <c r="B53" s="44">
        <v>1241.0</v>
      </c>
      <c r="C53" s="45">
        <v>50.0</v>
      </c>
      <c r="D53" s="46">
        <v>35.0</v>
      </c>
      <c r="E53" s="45">
        <v>4446.0</v>
      </c>
      <c r="F53" s="82" t="s">
        <v>92</v>
      </c>
      <c r="G53" s="83">
        <v>82.0</v>
      </c>
      <c r="H53" s="48">
        <v>-0.079</v>
      </c>
      <c r="I53" s="48" t="s">
        <v>101</v>
      </c>
      <c r="J53" s="48" t="s">
        <v>101</v>
      </c>
      <c r="K53" s="48" t="s">
        <v>101</v>
      </c>
      <c r="L53" s="48">
        <v>-0.2</v>
      </c>
      <c r="M53" s="49">
        <v>0.094</v>
      </c>
      <c r="N53" s="48">
        <v>0.15</v>
      </c>
      <c r="O53" s="48"/>
      <c r="P53" s="48"/>
      <c r="Q53" s="48"/>
      <c r="R53" s="84">
        <f t="shared" si="1"/>
        <v>0.965</v>
      </c>
      <c r="S53" s="84">
        <f t="shared" si="2"/>
        <v>0.3519463981</v>
      </c>
      <c r="T53" s="85">
        <f t="shared" si="19"/>
        <v>0.3653465347</v>
      </c>
      <c r="U53" s="85">
        <f t="shared" si="3"/>
        <v>-0.01340013659</v>
      </c>
      <c r="V53" s="84">
        <f t="shared" si="4"/>
        <v>0.5996534653</v>
      </c>
      <c r="W53" s="54">
        <f t="shared" si="5"/>
        <v>3.582594682</v>
      </c>
      <c r="X53" s="52">
        <f t="shared" si="6"/>
        <v>0.102359848</v>
      </c>
      <c r="Y53" s="51">
        <f t="shared" si="7"/>
        <v>5.974441721</v>
      </c>
      <c r="Z53" s="53">
        <f t="shared" si="8"/>
        <v>0.1706983349</v>
      </c>
      <c r="AA53" s="52">
        <f t="shared" si="9"/>
        <v>0.1669672076</v>
      </c>
      <c r="AB53" s="86">
        <f t="shared" si="10"/>
        <v>0.02185801787</v>
      </c>
      <c r="AC53" s="51">
        <f t="shared" si="11"/>
        <v>24.82</v>
      </c>
      <c r="AD53" s="52">
        <f t="shared" si="12"/>
        <v>2.540571429</v>
      </c>
      <c r="AE53" s="53">
        <f t="shared" si="13"/>
        <v>4.236732672</v>
      </c>
      <c r="AF53" s="52">
        <f t="shared" si="14"/>
        <v>4.144126094</v>
      </c>
      <c r="AG53" s="52">
        <f t="shared" si="15"/>
        <v>0.02185801787</v>
      </c>
      <c r="AH53" s="87"/>
    </row>
    <row r="54">
      <c r="A54" s="32" t="s">
        <v>85</v>
      </c>
      <c r="B54" s="32">
        <v>1000.0</v>
      </c>
      <c r="C54" s="33">
        <v>50.0</v>
      </c>
      <c r="D54" s="56">
        <v>28.3</v>
      </c>
      <c r="E54" s="33">
        <v>2684.0</v>
      </c>
      <c r="F54" s="76" t="s">
        <v>81</v>
      </c>
      <c r="G54" s="77">
        <f>39.8+47.8</f>
        <v>87.6</v>
      </c>
      <c r="H54" s="36">
        <v>-0.117</v>
      </c>
      <c r="I54" s="36">
        <v>-0.15</v>
      </c>
      <c r="J54" s="36">
        <v>-0.1</v>
      </c>
      <c r="K54" s="36" t="s">
        <v>101</v>
      </c>
      <c r="L54" s="36" t="s">
        <v>101</v>
      </c>
      <c r="M54" s="37">
        <v>0.138</v>
      </c>
      <c r="N54" s="36">
        <v>0.132</v>
      </c>
      <c r="O54" s="36"/>
      <c r="P54" s="36"/>
      <c r="Q54" s="36"/>
      <c r="R54" s="78">
        <f t="shared" si="1"/>
        <v>0.903</v>
      </c>
      <c r="S54" s="78">
        <f t="shared" si="2"/>
        <v>0.3624063604</v>
      </c>
      <c r="T54" s="79">
        <f t="shared" si="19"/>
        <v>0.3797687861</v>
      </c>
      <c r="U54" s="79">
        <f t="shared" si="3"/>
        <v>-0.0173624257</v>
      </c>
      <c r="V54" s="78">
        <f t="shared" si="4"/>
        <v>0.5232312139</v>
      </c>
      <c r="W54" s="42">
        <f t="shared" si="5"/>
        <v>2.684</v>
      </c>
      <c r="X54" s="40">
        <f t="shared" si="6"/>
        <v>0.0948409894</v>
      </c>
      <c r="Y54" s="39">
        <f t="shared" si="7"/>
        <v>5.129663386</v>
      </c>
      <c r="Z54" s="41">
        <f t="shared" si="8"/>
        <v>0.1812601903</v>
      </c>
      <c r="AA54" s="40">
        <f t="shared" si="9"/>
        <v>0.1754385965</v>
      </c>
      <c r="AB54" s="80">
        <f t="shared" si="10"/>
        <v>0.03211733256</v>
      </c>
      <c r="AC54" s="39">
        <f t="shared" si="11"/>
        <v>20</v>
      </c>
      <c r="AD54" s="40">
        <f t="shared" si="12"/>
        <v>1.896819788</v>
      </c>
      <c r="AE54" s="41">
        <f t="shared" si="13"/>
        <v>3.625203806</v>
      </c>
      <c r="AF54" s="40">
        <f t="shared" si="14"/>
        <v>3.50877193</v>
      </c>
      <c r="AG54" s="40">
        <f t="shared" si="15"/>
        <v>0.03211733256</v>
      </c>
      <c r="AH54" s="81"/>
    </row>
    <row r="55">
      <c r="A55" s="44" t="s">
        <v>85</v>
      </c>
      <c r="B55" s="44">
        <v>1143.0</v>
      </c>
      <c r="C55" s="45">
        <v>50.0</v>
      </c>
      <c r="D55" s="46">
        <v>35.0</v>
      </c>
      <c r="E55" s="45">
        <v>4436.0</v>
      </c>
      <c r="F55" s="82" t="s">
        <v>106</v>
      </c>
      <c r="G55" s="83">
        <v>98.0</v>
      </c>
      <c r="H55" s="48">
        <v>-0.052</v>
      </c>
      <c r="I55" s="48" t="s">
        <v>101</v>
      </c>
      <c r="J55" s="48" t="s">
        <v>101</v>
      </c>
      <c r="K55" s="48" t="s">
        <v>101</v>
      </c>
      <c r="L55" s="48">
        <v>-0.15</v>
      </c>
      <c r="M55" s="49">
        <v>0.094</v>
      </c>
      <c r="N55" s="48">
        <v>0.15</v>
      </c>
      <c r="O55" s="48"/>
      <c r="P55" s="48"/>
      <c r="Q55" s="48"/>
      <c r="R55" s="84">
        <f t="shared" si="1"/>
        <v>1.042</v>
      </c>
      <c r="S55" s="84">
        <f t="shared" si="2"/>
        <v>0.3909209449</v>
      </c>
      <c r="T55" s="85">
        <f t="shared" si="19"/>
        <v>0.404587156</v>
      </c>
      <c r="U55" s="85">
        <f t="shared" si="3"/>
        <v>-0.01366621108</v>
      </c>
      <c r="V55" s="84">
        <f t="shared" si="4"/>
        <v>0.637412844</v>
      </c>
      <c r="W55" s="54">
        <f t="shared" si="5"/>
        <v>3.881014873</v>
      </c>
      <c r="X55" s="52">
        <f t="shared" si="6"/>
        <v>0.1108861392</v>
      </c>
      <c r="Y55" s="51">
        <f t="shared" si="7"/>
        <v>6.088698886</v>
      </c>
      <c r="Z55" s="53">
        <f t="shared" si="8"/>
        <v>0.1739628253</v>
      </c>
      <c r="AA55" s="52">
        <f t="shared" si="9"/>
        <v>0.1703113291</v>
      </c>
      <c r="AB55" s="86">
        <f t="shared" si="10"/>
        <v>0.02099009479</v>
      </c>
      <c r="AC55" s="51">
        <f t="shared" si="11"/>
        <v>22.86</v>
      </c>
      <c r="AD55" s="52">
        <f t="shared" si="12"/>
        <v>2.534857143</v>
      </c>
      <c r="AE55" s="53">
        <f t="shared" si="13"/>
        <v>3.976790186</v>
      </c>
      <c r="AF55" s="52">
        <f t="shared" si="14"/>
        <v>3.893316983</v>
      </c>
      <c r="AG55" s="52">
        <f t="shared" si="15"/>
        <v>0.02099009479</v>
      </c>
      <c r="AH55" s="87"/>
    </row>
    <row r="56">
      <c r="A56" s="32" t="s">
        <v>102</v>
      </c>
      <c r="B56" s="32">
        <v>3000.0</v>
      </c>
      <c r="C56" s="33">
        <v>100.0</v>
      </c>
      <c r="D56" s="56">
        <v>19.0</v>
      </c>
      <c r="E56" s="33">
        <v>7212.0</v>
      </c>
      <c r="F56" s="76" t="s">
        <v>108</v>
      </c>
      <c r="G56" s="77">
        <v>100.0</v>
      </c>
      <c r="H56" s="36" t="s">
        <v>101</v>
      </c>
      <c r="I56" s="36" t="s">
        <v>101</v>
      </c>
      <c r="J56" s="36" t="s">
        <v>101</v>
      </c>
      <c r="K56" s="36" t="s">
        <v>101</v>
      </c>
      <c r="L56" s="36">
        <v>-0.15</v>
      </c>
      <c r="M56" s="37">
        <v>0.094</v>
      </c>
      <c r="N56" s="36">
        <v>0.15</v>
      </c>
      <c r="O56" s="36">
        <v>0.1</v>
      </c>
      <c r="P56" s="36"/>
      <c r="Q56" s="36"/>
      <c r="R56" s="78">
        <f t="shared" si="1"/>
        <v>1.194</v>
      </c>
      <c r="S56" s="78">
        <f t="shared" si="2"/>
        <v>0.3968842105</v>
      </c>
      <c r="T56" s="79">
        <f t="shared" si="19"/>
        <v>0.4090909091</v>
      </c>
      <c r="U56" s="79">
        <f t="shared" si="3"/>
        <v>-0.01220669856</v>
      </c>
      <c r="V56" s="78">
        <f t="shared" si="4"/>
        <v>0.7849090909</v>
      </c>
      <c r="W56" s="42">
        <f t="shared" si="5"/>
        <v>2.404</v>
      </c>
      <c r="X56" s="40">
        <f t="shared" si="6"/>
        <v>0.1265263158</v>
      </c>
      <c r="Y56" s="39">
        <f t="shared" si="7"/>
        <v>3.062775075</v>
      </c>
      <c r="Z56" s="41">
        <f t="shared" si="8"/>
        <v>0.1611986882</v>
      </c>
      <c r="AA56" s="40">
        <f t="shared" si="9"/>
        <v>0.1587301587</v>
      </c>
      <c r="AB56" s="80">
        <f t="shared" si="10"/>
        <v>0.0153135827</v>
      </c>
      <c r="AC56" s="39">
        <f t="shared" si="11"/>
        <v>30</v>
      </c>
      <c r="AD56" s="40">
        <f t="shared" si="12"/>
        <v>3.795789474</v>
      </c>
      <c r="AE56" s="41">
        <f t="shared" si="13"/>
        <v>4.835960645</v>
      </c>
      <c r="AF56" s="40">
        <f t="shared" si="14"/>
        <v>4.761904762</v>
      </c>
      <c r="AG56" s="40">
        <f t="shared" si="15"/>
        <v>0.0153135827</v>
      </c>
      <c r="AH56" s="81"/>
    </row>
    <row r="57">
      <c r="A57" s="44" t="s">
        <v>102</v>
      </c>
      <c r="B57" s="44">
        <v>2973.0</v>
      </c>
      <c r="C57" s="45">
        <v>100.0</v>
      </c>
      <c r="D57" s="46">
        <v>19.0</v>
      </c>
      <c r="E57" s="45">
        <v>7165.0</v>
      </c>
      <c r="F57" s="82" t="s">
        <v>108</v>
      </c>
      <c r="G57" s="83">
        <v>100.0</v>
      </c>
      <c r="H57" s="48" t="s">
        <v>101</v>
      </c>
      <c r="I57" s="48" t="s">
        <v>101</v>
      </c>
      <c r="J57" s="48" t="s">
        <v>101</v>
      </c>
      <c r="K57" s="48" t="s">
        <v>101</v>
      </c>
      <c r="L57" s="48">
        <v>-0.15</v>
      </c>
      <c r="M57" s="49">
        <v>0.094</v>
      </c>
      <c r="N57" s="48">
        <v>0.15</v>
      </c>
      <c r="O57" s="48">
        <v>0.1</v>
      </c>
      <c r="P57" s="48"/>
      <c r="Q57" s="48"/>
      <c r="R57" s="84">
        <f t="shared" si="1"/>
        <v>1.194</v>
      </c>
      <c r="S57" s="84">
        <f t="shared" si="2"/>
        <v>0.3969417919</v>
      </c>
      <c r="T57" s="85">
        <f t="shared" si="19"/>
        <v>0.4090909091</v>
      </c>
      <c r="U57" s="85">
        <f t="shared" si="3"/>
        <v>-0.01214911717</v>
      </c>
      <c r="V57" s="84">
        <f t="shared" si="4"/>
        <v>0.7849090909</v>
      </c>
      <c r="W57" s="54">
        <f t="shared" si="5"/>
        <v>2.410023545</v>
      </c>
      <c r="X57" s="52">
        <f t="shared" si="6"/>
        <v>0.1268433445</v>
      </c>
      <c r="Y57" s="51">
        <f t="shared" si="7"/>
        <v>3.07044927</v>
      </c>
      <c r="Z57" s="53">
        <f t="shared" si="8"/>
        <v>0.1616025932</v>
      </c>
      <c r="AA57" s="52">
        <f t="shared" si="9"/>
        <v>0.1591393743</v>
      </c>
      <c r="AB57" s="86">
        <f t="shared" si="10"/>
        <v>0.0152424466</v>
      </c>
      <c r="AC57" s="51">
        <f t="shared" si="11"/>
        <v>29.73</v>
      </c>
      <c r="AD57" s="52">
        <f t="shared" si="12"/>
        <v>3.771052632</v>
      </c>
      <c r="AE57" s="53">
        <f t="shared" si="13"/>
        <v>4.804445095</v>
      </c>
      <c r="AF57" s="52">
        <f t="shared" si="14"/>
        <v>4.731213597</v>
      </c>
      <c r="AG57" s="52">
        <f t="shared" si="15"/>
        <v>0.0152424466</v>
      </c>
      <c r="AH57" s="87"/>
    </row>
    <row r="58">
      <c r="A58" s="32" t="s">
        <v>84</v>
      </c>
      <c r="B58" s="32">
        <v>82.0</v>
      </c>
      <c r="C58" s="33">
        <v>4.0</v>
      </c>
      <c r="D58" s="56">
        <v>403.0</v>
      </c>
      <c r="E58" s="33">
        <v>7031.0</v>
      </c>
      <c r="F58" s="76" t="s">
        <v>92</v>
      </c>
      <c r="G58" s="77">
        <v>102.0</v>
      </c>
      <c r="H58" s="36">
        <v>-0.079</v>
      </c>
      <c r="I58" s="36" t="s">
        <v>101</v>
      </c>
      <c r="J58" s="36" t="s">
        <v>101</v>
      </c>
      <c r="K58" s="36" t="s">
        <v>101</v>
      </c>
      <c r="L58" s="36" t="s">
        <v>101</v>
      </c>
      <c r="M58" s="37">
        <v>0.094</v>
      </c>
      <c r="N58" s="36">
        <v>0.15</v>
      </c>
      <c r="O58" s="36">
        <v>0.453</v>
      </c>
      <c r="P58" s="36"/>
      <c r="Q58" s="36"/>
      <c r="R58" s="78">
        <f t="shared" si="1"/>
        <v>1.618</v>
      </c>
      <c r="S58" s="78">
        <f t="shared" si="2"/>
        <v>0.3988621316</v>
      </c>
      <c r="T58" s="79">
        <f>0.9*(G58/(120+G58))</f>
        <v>0.4135135135</v>
      </c>
      <c r="U58" s="79">
        <f t="shared" si="3"/>
        <v>-0.01465138194</v>
      </c>
      <c r="V58" s="78">
        <f t="shared" si="4"/>
        <v>1.204486486</v>
      </c>
      <c r="W58" s="42">
        <f t="shared" si="5"/>
        <v>85.74390244</v>
      </c>
      <c r="X58" s="40">
        <f t="shared" si="6"/>
        <v>0.2127640259</v>
      </c>
      <c r="Y58" s="39">
        <f t="shared" si="7"/>
        <v>71.18710206</v>
      </c>
      <c r="Z58" s="41">
        <f t="shared" si="8"/>
        <v>0.1766429331</v>
      </c>
      <c r="AA58" s="40">
        <f t="shared" si="9"/>
        <v>0.1745200698</v>
      </c>
      <c r="AB58" s="80">
        <f t="shared" si="10"/>
        <v>0.01201782204</v>
      </c>
      <c r="AC58" s="39">
        <f t="shared" si="11"/>
        <v>20.5</v>
      </c>
      <c r="AD58" s="40">
        <f t="shared" si="12"/>
        <v>4.361662531</v>
      </c>
      <c r="AE58" s="41">
        <f t="shared" si="13"/>
        <v>3.621180129</v>
      </c>
      <c r="AF58" s="40">
        <f t="shared" si="14"/>
        <v>3.577661431</v>
      </c>
      <c r="AG58" s="40">
        <f t="shared" si="15"/>
        <v>0.01201782204</v>
      </c>
      <c r="AH58" s="81"/>
    </row>
    <row r="59">
      <c r="A59" s="44" t="s">
        <v>84</v>
      </c>
      <c r="B59" s="44">
        <v>94.0</v>
      </c>
      <c r="C59" s="45">
        <v>4.0</v>
      </c>
      <c r="D59" s="46">
        <v>403.0</v>
      </c>
      <c r="E59" s="45">
        <v>3815.0</v>
      </c>
      <c r="F59" s="82" t="s">
        <v>92</v>
      </c>
      <c r="G59" s="83">
        <v>107.0</v>
      </c>
      <c r="H59" s="48">
        <v>-0.039</v>
      </c>
      <c r="I59" s="48">
        <v>-0.2</v>
      </c>
      <c r="J59" s="48" t="s">
        <v>101</v>
      </c>
      <c r="K59" s="48" t="s">
        <v>101</v>
      </c>
      <c r="L59" s="48" t="s">
        <v>101</v>
      </c>
      <c r="M59" s="49">
        <v>0.094</v>
      </c>
      <c r="N59" s="48">
        <v>0.15</v>
      </c>
      <c r="O59" s="48"/>
      <c r="P59" s="48"/>
      <c r="Q59" s="48"/>
      <c r="R59" s="84">
        <f t="shared" si="1"/>
        <v>1.005</v>
      </c>
      <c r="S59" s="84">
        <f t="shared" si="2"/>
        <v>0.4098189114</v>
      </c>
      <c r="T59" s="85">
        <f t="shared" ref="T59:T89" si="20">0.9*(G59/(120+G59))</f>
        <v>0.4242290749</v>
      </c>
      <c r="U59" s="85">
        <f t="shared" si="3"/>
        <v>-0.01441016353</v>
      </c>
      <c r="V59" s="84">
        <f t="shared" si="4"/>
        <v>0.5807709251</v>
      </c>
      <c r="W59" s="54">
        <f t="shared" si="5"/>
        <v>40.58510638</v>
      </c>
      <c r="X59" s="52">
        <f t="shared" si="6"/>
        <v>0.10070746</v>
      </c>
      <c r="Y59" s="51">
        <f t="shared" si="7"/>
        <v>69.88143626</v>
      </c>
      <c r="Z59" s="53">
        <f t="shared" si="8"/>
        <v>0.1734030676</v>
      </c>
      <c r="AA59" s="52">
        <f t="shared" si="9"/>
        <v>0.1692047377</v>
      </c>
      <c r="AB59" s="86">
        <f t="shared" si="10"/>
        <v>0.02421139349</v>
      </c>
      <c r="AC59" s="51">
        <f t="shared" si="11"/>
        <v>23.5</v>
      </c>
      <c r="AD59" s="52">
        <f t="shared" si="12"/>
        <v>2.36662531</v>
      </c>
      <c r="AE59" s="53">
        <f t="shared" si="13"/>
        <v>4.074972089</v>
      </c>
      <c r="AF59" s="52">
        <f t="shared" si="14"/>
        <v>3.976311337</v>
      </c>
      <c r="AG59" s="52">
        <f t="shared" si="15"/>
        <v>0.02421139349</v>
      </c>
      <c r="AH59" s="87"/>
    </row>
    <row r="60">
      <c r="A60" s="32" t="s">
        <v>94</v>
      </c>
      <c r="B60" s="32">
        <v>1228.0</v>
      </c>
      <c r="C60" s="33">
        <v>50.0</v>
      </c>
      <c r="D60" s="56">
        <v>36.8</v>
      </c>
      <c r="E60" s="33">
        <v>6916.0</v>
      </c>
      <c r="F60" s="76" t="s">
        <v>109</v>
      </c>
      <c r="G60" s="77">
        <v>107.2</v>
      </c>
      <c r="H60" s="36">
        <v>-0.117</v>
      </c>
      <c r="I60" s="36" t="s">
        <v>101</v>
      </c>
      <c r="J60" s="36" t="s">
        <v>101</v>
      </c>
      <c r="K60" s="36" t="s">
        <v>101</v>
      </c>
      <c r="L60" s="36">
        <v>-0.2</v>
      </c>
      <c r="M60" s="37">
        <v>0.138</v>
      </c>
      <c r="N60" s="36">
        <v>0.03</v>
      </c>
      <c r="O60" s="36">
        <v>0.21</v>
      </c>
      <c r="P60" s="36">
        <v>0.264</v>
      </c>
      <c r="Q60" s="36"/>
      <c r="R60" s="78">
        <f t="shared" si="1"/>
        <v>1.325</v>
      </c>
      <c r="S60" s="78">
        <f t="shared" si="2"/>
        <v>0.4107921682</v>
      </c>
      <c r="T60" s="79">
        <f t="shared" si="20"/>
        <v>0.4246478873</v>
      </c>
      <c r="U60" s="79">
        <f t="shared" si="3"/>
        <v>-0.01385571908</v>
      </c>
      <c r="V60" s="78">
        <f t="shared" si="4"/>
        <v>0.9003521127</v>
      </c>
      <c r="W60" s="42">
        <f t="shared" si="5"/>
        <v>5.631921824</v>
      </c>
      <c r="X60" s="40">
        <f t="shared" si="6"/>
        <v>0.1530413539</v>
      </c>
      <c r="Y60" s="39">
        <f t="shared" si="7"/>
        <v>6.255243637</v>
      </c>
      <c r="Z60" s="41">
        <f t="shared" si="8"/>
        <v>0.1699794467</v>
      </c>
      <c r="AA60" s="40">
        <f t="shared" si="9"/>
        <v>0.1674032409</v>
      </c>
      <c r="AB60" s="80">
        <f t="shared" si="10"/>
        <v>0.01515598379</v>
      </c>
      <c r="AC60" s="39">
        <f t="shared" si="11"/>
        <v>24.56</v>
      </c>
      <c r="AD60" s="40">
        <f t="shared" si="12"/>
        <v>3.758695652</v>
      </c>
      <c r="AE60" s="41">
        <f t="shared" si="13"/>
        <v>4.17469521</v>
      </c>
      <c r="AF60" s="40">
        <f t="shared" si="14"/>
        <v>4.111423597</v>
      </c>
      <c r="AG60" s="40">
        <f t="shared" si="15"/>
        <v>0.01515598379</v>
      </c>
      <c r="AH60" s="81"/>
    </row>
    <row r="61">
      <c r="A61" s="44" t="s">
        <v>84</v>
      </c>
      <c r="B61" s="44">
        <v>81.0</v>
      </c>
      <c r="C61" s="45">
        <v>4.0</v>
      </c>
      <c r="D61" s="46">
        <v>403.0</v>
      </c>
      <c r="E61" s="45">
        <v>3485.0</v>
      </c>
      <c r="F61" s="82" t="s">
        <v>106</v>
      </c>
      <c r="G61" s="83">
        <f>59*2</f>
        <v>118</v>
      </c>
      <c r="H61" s="48">
        <v>-0.052</v>
      </c>
      <c r="I61" s="48" t="s">
        <v>101</v>
      </c>
      <c r="J61" s="48" t="s">
        <v>101</v>
      </c>
      <c r="K61" s="48" t="s">
        <v>101</v>
      </c>
      <c r="L61" s="48">
        <v>-0.15</v>
      </c>
      <c r="M61" s="49">
        <v>0.094</v>
      </c>
      <c r="N61" s="48">
        <v>0.15</v>
      </c>
      <c r="O61" s="48"/>
      <c r="P61" s="48"/>
      <c r="Q61" s="48"/>
      <c r="R61" s="84">
        <f t="shared" si="1"/>
        <v>1.042</v>
      </c>
      <c r="S61" s="84">
        <f t="shared" si="2"/>
        <v>0.4318607665</v>
      </c>
      <c r="T61" s="85">
        <f t="shared" si="20"/>
        <v>0.4462184874</v>
      </c>
      <c r="U61" s="85">
        <f t="shared" si="3"/>
        <v>-0.01435772092</v>
      </c>
      <c r="V61" s="84">
        <f t="shared" si="4"/>
        <v>0.5957815126</v>
      </c>
      <c r="W61" s="54">
        <f t="shared" si="5"/>
        <v>43.02469136</v>
      </c>
      <c r="X61" s="52">
        <f t="shared" si="6"/>
        <v>0.1067610207</v>
      </c>
      <c r="Y61" s="51">
        <f t="shared" si="7"/>
        <v>72.21555293</v>
      </c>
      <c r="Z61" s="53">
        <f t="shared" si="8"/>
        <v>0.1791949204</v>
      </c>
      <c r="AA61" s="52">
        <f t="shared" si="9"/>
        <v>0.1749781277</v>
      </c>
      <c r="AB61" s="86">
        <f t="shared" si="10"/>
        <v>0.02353187622</v>
      </c>
      <c r="AC61" s="51">
        <f t="shared" si="11"/>
        <v>20.25</v>
      </c>
      <c r="AD61" s="52">
        <f t="shared" si="12"/>
        <v>2.16191067</v>
      </c>
      <c r="AE61" s="53">
        <f t="shared" si="13"/>
        <v>3.628697139</v>
      </c>
      <c r="AF61" s="52">
        <f t="shared" si="14"/>
        <v>3.543307087</v>
      </c>
      <c r="AG61" s="52">
        <f t="shared" si="15"/>
        <v>0.02353187622</v>
      </c>
      <c r="AH61" s="87"/>
    </row>
    <row r="62">
      <c r="A62" s="32" t="s">
        <v>85</v>
      </c>
      <c r="B62" s="32">
        <v>1250.0</v>
      </c>
      <c r="C62" s="33">
        <v>50.0</v>
      </c>
      <c r="D62" s="56">
        <v>35.0</v>
      </c>
      <c r="E62" s="33">
        <v>7745.0</v>
      </c>
      <c r="F62" s="76" t="s">
        <v>106</v>
      </c>
      <c r="G62" s="77">
        <v>118.0</v>
      </c>
      <c r="H62" s="36">
        <v>-0.052</v>
      </c>
      <c r="I62" s="36" t="s">
        <v>101</v>
      </c>
      <c r="J62" s="36" t="s">
        <v>101</v>
      </c>
      <c r="K62" s="36" t="s">
        <v>101</v>
      </c>
      <c r="L62" s="36">
        <v>-0.15</v>
      </c>
      <c r="M62" s="37">
        <v>0.094</v>
      </c>
      <c r="N62" s="36">
        <v>0.15</v>
      </c>
      <c r="O62" s="36">
        <v>0.453</v>
      </c>
      <c r="P62" s="36"/>
      <c r="Q62" s="36"/>
      <c r="R62" s="78">
        <f t="shared" si="1"/>
        <v>1.495</v>
      </c>
      <c r="S62" s="78">
        <f t="shared" si="2"/>
        <v>0.4328285714</v>
      </c>
      <c r="T62" s="79">
        <f t="shared" si="20"/>
        <v>0.4462184874</v>
      </c>
      <c r="U62" s="79">
        <f t="shared" si="3"/>
        <v>-0.01338991597</v>
      </c>
      <c r="V62" s="78">
        <f t="shared" si="4"/>
        <v>1.048781513</v>
      </c>
      <c r="W62" s="42">
        <f t="shared" si="5"/>
        <v>6.196</v>
      </c>
      <c r="X62" s="40">
        <f t="shared" si="6"/>
        <v>0.1770285714</v>
      </c>
      <c r="Y62" s="39">
        <f t="shared" si="7"/>
        <v>5.907808181</v>
      </c>
      <c r="Z62" s="41">
        <f t="shared" si="8"/>
        <v>0.1687945195</v>
      </c>
      <c r="AA62" s="40">
        <f t="shared" si="9"/>
        <v>0.1666666667</v>
      </c>
      <c r="AB62" s="80">
        <f t="shared" si="10"/>
        <v>0.01260617223</v>
      </c>
      <c r="AC62" s="39">
        <f t="shared" si="11"/>
        <v>25</v>
      </c>
      <c r="AD62" s="40">
        <f t="shared" si="12"/>
        <v>4.425714286</v>
      </c>
      <c r="AE62" s="41">
        <f t="shared" si="13"/>
        <v>4.219862986</v>
      </c>
      <c r="AF62" s="40">
        <f t="shared" si="14"/>
        <v>4.166666667</v>
      </c>
      <c r="AG62" s="40">
        <f t="shared" si="15"/>
        <v>0.01260617223</v>
      </c>
      <c r="AH62" s="81"/>
    </row>
    <row r="63">
      <c r="A63" s="44" t="s">
        <v>84</v>
      </c>
      <c r="B63" s="44">
        <v>73.0</v>
      </c>
      <c r="C63" s="45">
        <v>4.0</v>
      </c>
      <c r="D63" s="46">
        <v>403.0</v>
      </c>
      <c r="E63" s="45">
        <v>3208.0</v>
      </c>
      <c r="F63" s="82" t="s">
        <v>106</v>
      </c>
      <c r="G63" s="83">
        <v>118.0</v>
      </c>
      <c r="H63" s="48">
        <v>-0.052</v>
      </c>
      <c r="I63" s="48" t="s">
        <v>101</v>
      </c>
      <c r="J63" s="48" t="s">
        <v>101</v>
      </c>
      <c r="K63" s="48" t="s">
        <v>101</v>
      </c>
      <c r="L63" s="48">
        <v>-0.15</v>
      </c>
      <c r="M63" s="49">
        <v>0.094</v>
      </c>
      <c r="N63" s="48">
        <v>0.15</v>
      </c>
      <c r="O63" s="48"/>
      <c r="P63" s="48"/>
      <c r="Q63" s="48"/>
      <c r="R63" s="84">
        <f t="shared" si="1"/>
        <v>1.042</v>
      </c>
      <c r="S63" s="84">
        <f t="shared" si="2"/>
        <v>0.4318922465</v>
      </c>
      <c r="T63" s="85">
        <f t="shared" si="20"/>
        <v>0.4462184874</v>
      </c>
      <c r="U63" s="85">
        <f t="shared" si="3"/>
        <v>-0.01432624089</v>
      </c>
      <c r="V63" s="84">
        <f t="shared" si="4"/>
        <v>0.5957815126</v>
      </c>
      <c r="W63" s="54">
        <f t="shared" si="5"/>
        <v>43.94520548</v>
      </c>
      <c r="X63" s="52">
        <f t="shared" si="6"/>
        <v>0.1090451749</v>
      </c>
      <c r="Y63" s="51">
        <f t="shared" si="7"/>
        <v>73.76060611</v>
      </c>
      <c r="Z63" s="53">
        <f t="shared" si="8"/>
        <v>0.1830287993</v>
      </c>
      <c r="AA63" s="52">
        <f t="shared" si="9"/>
        <v>0.1787310098</v>
      </c>
      <c r="AB63" s="86">
        <f t="shared" si="10"/>
        <v>0.02348149291</v>
      </c>
      <c r="AC63" s="51">
        <f t="shared" si="11"/>
        <v>18.25</v>
      </c>
      <c r="AD63" s="52">
        <f t="shared" si="12"/>
        <v>1.990074442</v>
      </c>
      <c r="AE63" s="53">
        <f t="shared" si="13"/>
        <v>3.340275587</v>
      </c>
      <c r="AF63" s="52">
        <f t="shared" si="14"/>
        <v>3.261840929</v>
      </c>
      <c r="AG63" s="52">
        <f t="shared" si="15"/>
        <v>0.02348149291</v>
      </c>
      <c r="AH63" s="87"/>
    </row>
    <row r="64">
      <c r="A64" s="32" t="s">
        <v>84</v>
      </c>
      <c r="B64" s="32">
        <v>69.0</v>
      </c>
      <c r="C64" s="33">
        <v>4.0</v>
      </c>
      <c r="D64" s="56">
        <v>403.0</v>
      </c>
      <c r="E64" s="33">
        <v>3065.0</v>
      </c>
      <c r="F64" s="76" t="s">
        <v>106</v>
      </c>
      <c r="G64" s="77">
        <v>118.0</v>
      </c>
      <c r="H64" s="36">
        <v>-0.052</v>
      </c>
      <c r="I64" s="36" t="s">
        <v>101</v>
      </c>
      <c r="J64" s="36" t="s">
        <v>101</v>
      </c>
      <c r="K64" s="36" t="s">
        <v>101</v>
      </c>
      <c r="L64" s="36">
        <v>-0.15</v>
      </c>
      <c r="M64" s="37">
        <v>0.094</v>
      </c>
      <c r="N64" s="36">
        <v>0.15</v>
      </c>
      <c r="O64" s="36"/>
      <c r="P64" s="36"/>
      <c r="Q64" s="36"/>
      <c r="R64" s="78">
        <f t="shared" si="1"/>
        <v>1.042</v>
      </c>
      <c r="S64" s="78">
        <f t="shared" si="2"/>
        <v>0.4319099148</v>
      </c>
      <c r="T64" s="79">
        <f t="shared" si="20"/>
        <v>0.4462184874</v>
      </c>
      <c r="U64" s="79">
        <f t="shared" si="3"/>
        <v>-0.01430857263</v>
      </c>
      <c r="V64" s="78">
        <f t="shared" si="4"/>
        <v>0.5957815126</v>
      </c>
      <c r="W64" s="42">
        <f t="shared" si="5"/>
        <v>44.42028986</v>
      </c>
      <c r="X64" s="40">
        <f t="shared" si="6"/>
        <v>0.1102240443</v>
      </c>
      <c r="Y64" s="39">
        <f t="shared" si="7"/>
        <v>74.55801987</v>
      </c>
      <c r="Z64" s="41">
        <f t="shared" si="8"/>
        <v>0.1850074935</v>
      </c>
      <c r="AA64" s="40">
        <f t="shared" si="9"/>
        <v>0.1806684734</v>
      </c>
      <c r="AB64" s="80">
        <f t="shared" si="10"/>
        <v>0.02345321285</v>
      </c>
      <c r="AC64" s="39">
        <f t="shared" si="11"/>
        <v>17.25</v>
      </c>
      <c r="AD64" s="40">
        <f t="shared" si="12"/>
        <v>1.901364764</v>
      </c>
      <c r="AE64" s="41">
        <f t="shared" si="13"/>
        <v>3.191379262</v>
      </c>
      <c r="AF64" s="40">
        <f t="shared" si="14"/>
        <v>3.116531165</v>
      </c>
      <c r="AG64" s="40">
        <f t="shared" si="15"/>
        <v>0.02345321285</v>
      </c>
      <c r="AH64" s="81"/>
    </row>
    <row r="65">
      <c r="A65" s="44" t="s">
        <v>84</v>
      </c>
      <c r="B65" s="44">
        <v>57.0</v>
      </c>
      <c r="C65" s="45">
        <v>4.0</v>
      </c>
      <c r="D65" s="46">
        <v>403.0</v>
      </c>
      <c r="E65" s="45">
        <v>2617.0</v>
      </c>
      <c r="F65" s="82" t="s">
        <v>106</v>
      </c>
      <c r="G65" s="83">
        <v>118.0</v>
      </c>
      <c r="H65" s="48">
        <v>-0.052</v>
      </c>
      <c r="I65" s="48" t="s">
        <v>101</v>
      </c>
      <c r="J65" s="48" t="s">
        <v>101</v>
      </c>
      <c r="K65" s="48" t="s">
        <v>101</v>
      </c>
      <c r="L65" s="48">
        <v>-0.15</v>
      </c>
      <c r="M65" s="49">
        <v>0.094</v>
      </c>
      <c r="N65" s="48">
        <v>0.15</v>
      </c>
      <c r="O65" s="48"/>
      <c r="P65" s="48"/>
      <c r="Q65" s="48"/>
      <c r="R65" s="84">
        <f t="shared" si="1"/>
        <v>1.042</v>
      </c>
      <c r="S65" s="84">
        <f t="shared" si="2"/>
        <v>0.4319249053</v>
      </c>
      <c r="T65" s="85">
        <f t="shared" si="20"/>
        <v>0.4462184874</v>
      </c>
      <c r="U65" s="85">
        <f t="shared" si="3"/>
        <v>-0.01429358208</v>
      </c>
      <c r="V65" s="84">
        <f t="shared" si="4"/>
        <v>0.5957815126</v>
      </c>
      <c r="W65" s="54">
        <f t="shared" si="5"/>
        <v>45.9122807</v>
      </c>
      <c r="X65" s="52">
        <f t="shared" si="6"/>
        <v>0.1139262548</v>
      </c>
      <c r="Y65" s="51">
        <f t="shared" si="7"/>
        <v>77.06227825</v>
      </c>
      <c r="Z65" s="53">
        <f t="shared" si="8"/>
        <v>0.1912215341</v>
      </c>
      <c r="AA65" s="52">
        <f t="shared" si="9"/>
        <v>0.1867413632</v>
      </c>
      <c r="AB65" s="86">
        <f t="shared" si="10"/>
        <v>0.02342921749</v>
      </c>
      <c r="AC65" s="51">
        <f t="shared" si="11"/>
        <v>14.25</v>
      </c>
      <c r="AD65" s="52">
        <f t="shared" si="12"/>
        <v>1.623449132</v>
      </c>
      <c r="AE65" s="53">
        <f t="shared" si="13"/>
        <v>2.724906861</v>
      </c>
      <c r="AF65" s="52">
        <f t="shared" si="14"/>
        <v>2.661064426</v>
      </c>
      <c r="AG65" s="52">
        <f t="shared" si="15"/>
        <v>0.02342921749</v>
      </c>
      <c r="AH65" s="87"/>
    </row>
    <row r="66">
      <c r="A66" s="32" t="s">
        <v>102</v>
      </c>
      <c r="B66" s="32">
        <v>2129.0</v>
      </c>
      <c r="C66" s="33">
        <v>100.0</v>
      </c>
      <c r="D66" s="56">
        <v>19.0</v>
      </c>
      <c r="E66" s="33">
        <v>4957.0</v>
      </c>
      <c r="F66" s="76" t="s">
        <v>106</v>
      </c>
      <c r="G66" s="77">
        <v>118.0</v>
      </c>
      <c r="H66" s="36">
        <v>-0.052</v>
      </c>
      <c r="I66" s="36" t="s">
        <v>101</v>
      </c>
      <c r="J66" s="36" t="s">
        <v>101</v>
      </c>
      <c r="K66" s="36" t="s">
        <v>101</v>
      </c>
      <c r="L66" s="36">
        <v>-0.15</v>
      </c>
      <c r="M66" s="37">
        <v>0.094</v>
      </c>
      <c r="N66" s="36">
        <v>0.15</v>
      </c>
      <c r="O66" s="36">
        <v>0.1</v>
      </c>
      <c r="P66" s="36"/>
      <c r="Q66" s="36"/>
      <c r="R66" s="78">
        <f t="shared" si="1"/>
        <v>1.142</v>
      </c>
      <c r="S66" s="78">
        <f t="shared" si="2"/>
        <v>0.4340181998</v>
      </c>
      <c r="T66" s="79">
        <f t="shared" si="20"/>
        <v>0.4462184874</v>
      </c>
      <c r="U66" s="79">
        <f t="shared" si="3"/>
        <v>-0.0122002876</v>
      </c>
      <c r="V66" s="78">
        <f t="shared" si="4"/>
        <v>0.6957815126</v>
      </c>
      <c r="W66" s="42">
        <f t="shared" si="5"/>
        <v>2.328323156</v>
      </c>
      <c r="X66" s="40">
        <f t="shared" si="6"/>
        <v>0.122543324</v>
      </c>
      <c r="Y66" s="39">
        <f t="shared" si="7"/>
        <v>3.346342371</v>
      </c>
      <c r="Z66" s="41">
        <f t="shared" si="8"/>
        <v>0.1761232827</v>
      </c>
      <c r="AA66" s="40">
        <f t="shared" si="9"/>
        <v>0.1730882404</v>
      </c>
      <c r="AB66" s="80">
        <f t="shared" si="10"/>
        <v>0.01723248761</v>
      </c>
      <c r="AC66" s="39">
        <f t="shared" si="11"/>
        <v>21.29</v>
      </c>
      <c r="AD66" s="40">
        <f t="shared" si="12"/>
        <v>2.608947368</v>
      </c>
      <c r="AE66" s="41">
        <f t="shared" si="13"/>
        <v>3.749664688</v>
      </c>
      <c r="AF66" s="40">
        <f t="shared" si="14"/>
        <v>3.685048638</v>
      </c>
      <c r="AG66" s="40">
        <f t="shared" si="15"/>
        <v>0.01723248761</v>
      </c>
      <c r="AH66" s="81"/>
    </row>
    <row r="67">
      <c r="A67" s="44" t="s">
        <v>84</v>
      </c>
      <c r="B67" s="44">
        <v>59.0</v>
      </c>
      <c r="C67" s="45">
        <v>4.0</v>
      </c>
      <c r="D67" s="46">
        <v>403.0</v>
      </c>
      <c r="E67" s="45">
        <v>2694.0</v>
      </c>
      <c r="F67" s="82" t="s">
        <v>106</v>
      </c>
      <c r="G67" s="83">
        <v>118.0</v>
      </c>
      <c r="H67" s="48">
        <v>-0.052</v>
      </c>
      <c r="I67" s="48" t="s">
        <v>101</v>
      </c>
      <c r="J67" s="48" t="s">
        <v>101</v>
      </c>
      <c r="K67" s="48" t="s">
        <v>101</v>
      </c>
      <c r="L67" s="48">
        <v>-0.15</v>
      </c>
      <c r="M67" s="49">
        <v>0.094</v>
      </c>
      <c r="N67" s="48">
        <v>0.15</v>
      </c>
      <c r="O67" s="48"/>
      <c r="P67" s="48"/>
      <c r="Q67" s="48"/>
      <c r="R67" s="84">
        <f t="shared" si="1"/>
        <v>1.042</v>
      </c>
      <c r="S67" s="84">
        <f t="shared" si="2"/>
        <v>0.431864575</v>
      </c>
      <c r="T67" s="85">
        <f t="shared" si="20"/>
        <v>0.4462184874</v>
      </c>
      <c r="U67" s="85">
        <f t="shared" si="3"/>
        <v>-0.01435391239</v>
      </c>
      <c r="V67" s="84">
        <f t="shared" si="4"/>
        <v>0.5957815126</v>
      </c>
      <c r="W67" s="54">
        <f t="shared" si="5"/>
        <v>45.66101695</v>
      </c>
      <c r="X67" s="52">
        <f t="shared" si="6"/>
        <v>0.1133027716</v>
      </c>
      <c r="Y67" s="51">
        <f t="shared" si="7"/>
        <v>76.64054017</v>
      </c>
      <c r="Z67" s="53">
        <f t="shared" si="8"/>
        <v>0.1901750376</v>
      </c>
      <c r="AA67" s="52">
        <f t="shared" si="9"/>
        <v>0.1857010214</v>
      </c>
      <c r="AB67" s="86">
        <f t="shared" si="10"/>
        <v>0.02352578099</v>
      </c>
      <c r="AC67" s="51">
        <f t="shared" si="11"/>
        <v>14.75</v>
      </c>
      <c r="AD67" s="52">
        <f t="shared" si="12"/>
        <v>1.671215881</v>
      </c>
      <c r="AE67" s="53">
        <f t="shared" si="13"/>
        <v>2.805081805</v>
      </c>
      <c r="AF67" s="52">
        <f t="shared" si="14"/>
        <v>2.739090065</v>
      </c>
      <c r="AG67" s="52">
        <f t="shared" si="15"/>
        <v>0.02352578099</v>
      </c>
      <c r="AH67" s="87"/>
    </row>
    <row r="68">
      <c r="A68" s="32" t="s">
        <v>102</v>
      </c>
      <c r="B68" s="32">
        <v>6079.0</v>
      </c>
      <c r="C68" s="33">
        <v>100.0</v>
      </c>
      <c r="D68" s="56">
        <v>19.0</v>
      </c>
      <c r="E68" s="33">
        <v>15862.0</v>
      </c>
      <c r="F68" s="76" t="s">
        <v>108</v>
      </c>
      <c r="G68" s="77">
        <v>180.0</v>
      </c>
      <c r="H68" s="36" t="s">
        <v>101</v>
      </c>
      <c r="I68" s="36" t="s">
        <v>101</v>
      </c>
      <c r="J68" s="36" t="s">
        <v>101</v>
      </c>
      <c r="K68" s="36" t="s">
        <v>101</v>
      </c>
      <c r="L68" s="36">
        <v>-0.15</v>
      </c>
      <c r="M68" s="37">
        <v>0.094</v>
      </c>
      <c r="N68" s="36">
        <v>0.15</v>
      </c>
      <c r="O68" s="36">
        <v>0.1</v>
      </c>
      <c r="P68" s="36">
        <v>0.453</v>
      </c>
      <c r="Q68" s="36"/>
      <c r="R68" s="78">
        <f t="shared" si="1"/>
        <v>1.647</v>
      </c>
      <c r="S68" s="78">
        <f t="shared" si="2"/>
        <v>0.5281000874</v>
      </c>
      <c r="T68" s="79">
        <f t="shared" si="20"/>
        <v>0.54</v>
      </c>
      <c r="U68" s="79">
        <f t="shared" si="3"/>
        <v>-0.01189991255</v>
      </c>
      <c r="V68" s="78">
        <f t="shared" si="4"/>
        <v>1.107</v>
      </c>
      <c r="W68" s="42">
        <f t="shared" si="5"/>
        <v>2.609310742</v>
      </c>
      <c r="X68" s="40">
        <f t="shared" si="6"/>
        <v>0.1373321443</v>
      </c>
      <c r="Y68" s="39">
        <f t="shared" si="7"/>
        <v>2.357100941</v>
      </c>
      <c r="Z68" s="41">
        <f t="shared" si="8"/>
        <v>0.1240579443</v>
      </c>
      <c r="AA68" s="40">
        <f t="shared" si="9"/>
        <v>0.1227385424</v>
      </c>
      <c r="AB68" s="80">
        <f t="shared" si="10"/>
        <v>0.01063536821</v>
      </c>
      <c r="AC68" s="39">
        <f t="shared" si="11"/>
        <v>60.79</v>
      </c>
      <c r="AD68" s="40">
        <f t="shared" si="12"/>
        <v>8.348421053</v>
      </c>
      <c r="AE68" s="41">
        <f t="shared" si="13"/>
        <v>7.541482432</v>
      </c>
      <c r="AF68" s="40">
        <f t="shared" si="14"/>
        <v>7.46127599</v>
      </c>
      <c r="AG68" s="40">
        <f t="shared" si="15"/>
        <v>0.01063536821</v>
      </c>
      <c r="AH68" s="81"/>
    </row>
    <row r="69">
      <c r="A69" s="44" t="s">
        <v>102</v>
      </c>
      <c r="B69" s="44">
        <v>5527.0</v>
      </c>
      <c r="C69" s="45">
        <v>100.0</v>
      </c>
      <c r="D69" s="46">
        <v>19.0</v>
      </c>
      <c r="E69" s="45">
        <v>15033.0</v>
      </c>
      <c r="F69" s="82" t="s">
        <v>108</v>
      </c>
      <c r="G69" s="83">
        <v>180.0</v>
      </c>
      <c r="H69" s="48" t="s">
        <v>101</v>
      </c>
      <c r="I69" s="48" t="s">
        <v>101</v>
      </c>
      <c r="J69" s="48" t="s">
        <v>101</v>
      </c>
      <c r="K69" s="48" t="s">
        <v>101</v>
      </c>
      <c r="L69" s="48">
        <v>-0.15</v>
      </c>
      <c r="M69" s="49">
        <v>0.094</v>
      </c>
      <c r="N69" s="48">
        <v>0.15</v>
      </c>
      <c r="O69" s="48">
        <v>0.1</v>
      </c>
      <c r="P69" s="48">
        <v>0.453</v>
      </c>
      <c r="Q69" s="48"/>
      <c r="R69" s="84">
        <f t="shared" si="1"/>
        <v>1.647</v>
      </c>
      <c r="S69" s="84">
        <f t="shared" si="2"/>
        <v>0.5280820127</v>
      </c>
      <c r="T69" s="85">
        <f t="shared" si="20"/>
        <v>0.54</v>
      </c>
      <c r="U69" s="85">
        <f t="shared" si="3"/>
        <v>-0.0119179873</v>
      </c>
      <c r="V69" s="84">
        <f t="shared" si="4"/>
        <v>1.107</v>
      </c>
      <c r="W69" s="54">
        <f t="shared" si="5"/>
        <v>2.719920391</v>
      </c>
      <c r="X69" s="52">
        <f t="shared" si="6"/>
        <v>0.1431537048</v>
      </c>
      <c r="Y69" s="51">
        <f t="shared" si="7"/>
        <v>2.457019323</v>
      </c>
      <c r="Z69" s="53">
        <f t="shared" si="8"/>
        <v>0.1293168065</v>
      </c>
      <c r="AA69" s="52">
        <f t="shared" si="9"/>
        <v>0.1279394079</v>
      </c>
      <c r="AB69" s="86">
        <f t="shared" si="10"/>
        <v>0.01065135017</v>
      </c>
      <c r="AC69" s="51">
        <f t="shared" si="11"/>
        <v>55.27</v>
      </c>
      <c r="AD69" s="52">
        <f t="shared" si="12"/>
        <v>7.912105263</v>
      </c>
      <c r="AE69" s="53">
        <f t="shared" si="13"/>
        <v>7.147339894</v>
      </c>
      <c r="AF69" s="52">
        <f t="shared" si="14"/>
        <v>7.071211074</v>
      </c>
      <c r="AG69" s="52">
        <f t="shared" si="15"/>
        <v>0.01065135017</v>
      </c>
      <c r="AH69" s="87"/>
    </row>
    <row r="70">
      <c r="A70" s="32" t="s">
        <v>102</v>
      </c>
      <c r="B70" s="32">
        <v>5369.0</v>
      </c>
      <c r="C70" s="33">
        <v>100.0</v>
      </c>
      <c r="D70" s="56">
        <v>19.0</v>
      </c>
      <c r="E70" s="33">
        <v>14783.0</v>
      </c>
      <c r="F70" s="76" t="s">
        <v>108</v>
      </c>
      <c r="G70" s="77">
        <v>180.0</v>
      </c>
      <c r="H70" s="36" t="s">
        <v>101</v>
      </c>
      <c r="I70" s="36" t="s">
        <v>101</v>
      </c>
      <c r="J70" s="36" t="s">
        <v>101</v>
      </c>
      <c r="K70" s="36" t="s">
        <v>101</v>
      </c>
      <c r="L70" s="36">
        <v>-0.15</v>
      </c>
      <c r="M70" s="37">
        <v>0.094</v>
      </c>
      <c r="N70" s="36">
        <v>0.15</v>
      </c>
      <c r="O70" s="36">
        <v>0.1</v>
      </c>
      <c r="P70" s="36">
        <v>0.453</v>
      </c>
      <c r="Q70" s="36"/>
      <c r="R70" s="78">
        <f t="shared" si="1"/>
        <v>1.647</v>
      </c>
      <c r="S70" s="78">
        <f t="shared" si="2"/>
        <v>0.5280475713</v>
      </c>
      <c r="T70" s="79">
        <f t="shared" si="20"/>
        <v>0.54</v>
      </c>
      <c r="U70" s="79">
        <f t="shared" si="3"/>
        <v>-0.01195242866</v>
      </c>
      <c r="V70" s="78">
        <f t="shared" si="4"/>
        <v>1.107</v>
      </c>
      <c r="W70" s="42">
        <f t="shared" si="5"/>
        <v>2.753399143</v>
      </c>
      <c r="X70" s="40">
        <f t="shared" si="6"/>
        <v>0.1449157444</v>
      </c>
      <c r="Y70" s="39">
        <f t="shared" si="7"/>
        <v>2.487262099</v>
      </c>
      <c r="Z70" s="41">
        <f t="shared" si="8"/>
        <v>0.1309085315</v>
      </c>
      <c r="AA70" s="40">
        <f t="shared" si="9"/>
        <v>0.1295101925</v>
      </c>
      <c r="AB70" s="80">
        <f t="shared" si="10"/>
        <v>0.01068180233</v>
      </c>
      <c r="AC70" s="39">
        <f t="shared" si="11"/>
        <v>53.69</v>
      </c>
      <c r="AD70" s="40">
        <f t="shared" si="12"/>
        <v>7.780526316</v>
      </c>
      <c r="AE70" s="41">
        <f t="shared" si="13"/>
        <v>7.028479057</v>
      </c>
      <c r="AF70" s="40">
        <f t="shared" si="14"/>
        <v>6.953402233</v>
      </c>
      <c r="AG70" s="40">
        <f t="shared" si="15"/>
        <v>0.01068180233</v>
      </c>
      <c r="AH70" s="81"/>
    </row>
    <row r="71">
      <c r="A71" s="44" t="s">
        <v>85</v>
      </c>
      <c r="B71" s="44">
        <v>1222.0</v>
      </c>
      <c r="C71" s="45">
        <v>50.0</v>
      </c>
      <c r="D71" s="46">
        <v>35.0</v>
      </c>
      <c r="E71" s="45">
        <v>3908.0</v>
      </c>
      <c r="F71" s="82" t="s">
        <v>108</v>
      </c>
      <c r="G71" s="83">
        <v>200.0</v>
      </c>
      <c r="H71" s="48" t="s">
        <v>101</v>
      </c>
      <c r="I71" s="48" t="s">
        <v>101</v>
      </c>
      <c r="J71" s="48" t="s">
        <v>101</v>
      </c>
      <c r="K71" s="48" t="s">
        <v>101</v>
      </c>
      <c r="L71" s="48">
        <v>-0.15</v>
      </c>
      <c r="M71" s="49">
        <v>0.094</v>
      </c>
      <c r="N71" s="48">
        <v>0.15</v>
      </c>
      <c r="O71" s="48"/>
      <c r="P71" s="48"/>
      <c r="Q71" s="48"/>
      <c r="R71" s="84">
        <f t="shared" si="1"/>
        <v>1.094</v>
      </c>
      <c r="S71" s="84">
        <f t="shared" si="2"/>
        <v>0.5488353706</v>
      </c>
      <c r="T71" s="85">
        <f t="shared" si="20"/>
        <v>0.5625</v>
      </c>
      <c r="U71" s="85">
        <f t="shared" si="3"/>
        <v>-0.01366462941</v>
      </c>
      <c r="V71" s="84">
        <f t="shared" si="4"/>
        <v>0.5315</v>
      </c>
      <c r="W71" s="54">
        <f t="shared" si="5"/>
        <v>3.198036007</v>
      </c>
      <c r="X71" s="52">
        <f t="shared" si="6"/>
        <v>0.09137245733</v>
      </c>
      <c r="Y71" s="51">
        <f t="shared" si="7"/>
        <v>6.017000953</v>
      </c>
      <c r="Z71" s="53">
        <f t="shared" si="8"/>
        <v>0.1719143129</v>
      </c>
      <c r="AA71" s="52">
        <f t="shared" si="9"/>
        <v>0.1676052561</v>
      </c>
      <c r="AB71" s="86">
        <f t="shared" si="10"/>
        <v>0.02506514303</v>
      </c>
      <c r="AC71" s="51">
        <f t="shared" si="11"/>
        <v>24.44</v>
      </c>
      <c r="AD71" s="52">
        <f t="shared" si="12"/>
        <v>2.233142857</v>
      </c>
      <c r="AE71" s="53">
        <f t="shared" si="13"/>
        <v>4.201585808</v>
      </c>
      <c r="AF71" s="52">
        <f t="shared" si="14"/>
        <v>4.096272459</v>
      </c>
      <c r="AG71" s="52">
        <f t="shared" si="15"/>
        <v>0.02506514303</v>
      </c>
      <c r="AH71" s="87"/>
    </row>
    <row r="72">
      <c r="A72" s="32" t="s">
        <v>102</v>
      </c>
      <c r="B72" s="32">
        <v>6080.0</v>
      </c>
      <c r="C72" s="33">
        <v>100.0</v>
      </c>
      <c r="D72" s="56">
        <v>19.0</v>
      </c>
      <c r="E72" s="33">
        <v>9129.0</v>
      </c>
      <c r="F72" s="76" t="s">
        <v>108</v>
      </c>
      <c r="G72" s="77">
        <v>200.0</v>
      </c>
      <c r="H72" s="36" t="s">
        <v>101</v>
      </c>
      <c r="I72" s="36" t="s">
        <v>101</v>
      </c>
      <c r="J72" s="36" t="s">
        <v>101</v>
      </c>
      <c r="K72" s="36" t="s">
        <v>101</v>
      </c>
      <c r="L72" s="36">
        <v>-0.15</v>
      </c>
      <c r="M72" s="37">
        <v>0.094</v>
      </c>
      <c r="N72" s="36">
        <v>0.15</v>
      </c>
      <c r="O72" s="36">
        <v>0.1</v>
      </c>
      <c r="P72" s="36"/>
      <c r="Q72" s="36"/>
      <c r="R72" s="78">
        <f t="shared" si="1"/>
        <v>1.194</v>
      </c>
      <c r="S72" s="78">
        <f t="shared" si="2"/>
        <v>0.5501020429</v>
      </c>
      <c r="T72" s="79">
        <f t="shared" si="20"/>
        <v>0.5625</v>
      </c>
      <c r="U72" s="79">
        <f t="shared" si="3"/>
        <v>-0.01239795706</v>
      </c>
      <c r="V72" s="78">
        <f t="shared" si="4"/>
        <v>0.6315</v>
      </c>
      <c r="W72" s="42">
        <f t="shared" si="5"/>
        <v>1.501480263</v>
      </c>
      <c r="X72" s="40">
        <f t="shared" si="6"/>
        <v>0.07902527701</v>
      </c>
      <c r="Y72" s="39">
        <f t="shared" si="7"/>
        <v>2.377640955</v>
      </c>
      <c r="Z72" s="41">
        <f t="shared" si="8"/>
        <v>0.1251389976</v>
      </c>
      <c r="AA72" s="40">
        <f t="shared" si="9"/>
        <v>0.1227295042</v>
      </c>
      <c r="AB72" s="80">
        <f t="shared" si="10"/>
        <v>0.01925453704</v>
      </c>
      <c r="AC72" s="39">
        <f t="shared" si="11"/>
        <v>60.8</v>
      </c>
      <c r="AD72" s="40">
        <f t="shared" si="12"/>
        <v>4.804736842</v>
      </c>
      <c r="AE72" s="41">
        <f t="shared" si="13"/>
        <v>7.608451056</v>
      </c>
      <c r="AF72" s="40">
        <f t="shared" si="14"/>
        <v>7.461953854</v>
      </c>
      <c r="AG72" s="40">
        <f t="shared" si="15"/>
        <v>0.01925453704</v>
      </c>
      <c r="AH72" s="81"/>
    </row>
    <row r="73">
      <c r="A73" s="44" t="s">
        <v>102</v>
      </c>
      <c r="B73" s="44">
        <v>6025.0</v>
      </c>
      <c r="C73" s="45">
        <v>100.0</v>
      </c>
      <c r="D73" s="46">
        <v>19.0</v>
      </c>
      <c r="E73" s="45">
        <v>9083.0</v>
      </c>
      <c r="F73" s="82" t="s">
        <v>108</v>
      </c>
      <c r="G73" s="83">
        <v>200.0</v>
      </c>
      <c r="H73" s="48" t="s">
        <v>101</v>
      </c>
      <c r="I73" s="48" t="s">
        <v>101</v>
      </c>
      <c r="J73" s="48" t="s">
        <v>101</v>
      </c>
      <c r="K73" s="48" t="s">
        <v>101</v>
      </c>
      <c r="L73" s="48">
        <v>-0.15</v>
      </c>
      <c r="M73" s="49">
        <v>0.094</v>
      </c>
      <c r="N73" s="48">
        <v>0.15</v>
      </c>
      <c r="O73" s="48">
        <v>0.1</v>
      </c>
      <c r="P73" s="48"/>
      <c r="Q73" s="48"/>
      <c r="R73" s="84">
        <f t="shared" si="1"/>
        <v>1.194</v>
      </c>
      <c r="S73" s="84">
        <f t="shared" si="2"/>
        <v>0.550116663</v>
      </c>
      <c r="T73" s="85">
        <f t="shared" si="20"/>
        <v>0.5625</v>
      </c>
      <c r="U73" s="85">
        <f t="shared" si="3"/>
        <v>-0.01238333697</v>
      </c>
      <c r="V73" s="84">
        <f t="shared" si="4"/>
        <v>0.6315</v>
      </c>
      <c r="W73" s="54">
        <f t="shared" si="5"/>
        <v>1.507551867</v>
      </c>
      <c r="X73" s="52">
        <f t="shared" si="6"/>
        <v>0.07934483512</v>
      </c>
      <c r="Y73" s="51">
        <f t="shared" si="7"/>
        <v>2.38725553</v>
      </c>
      <c r="Z73" s="53">
        <f t="shared" si="8"/>
        <v>0.1256450279</v>
      </c>
      <c r="AA73" s="52">
        <f t="shared" si="9"/>
        <v>0.123228589</v>
      </c>
      <c r="AB73" s="86">
        <f t="shared" si="10"/>
        <v>0.01923226812</v>
      </c>
      <c r="AC73" s="51">
        <f t="shared" si="11"/>
        <v>60.25</v>
      </c>
      <c r="AD73" s="52">
        <f t="shared" si="12"/>
        <v>4.780526316</v>
      </c>
      <c r="AE73" s="53">
        <f t="shared" si="13"/>
        <v>7.570112931</v>
      </c>
      <c r="AF73" s="52">
        <f t="shared" si="14"/>
        <v>7.424522489</v>
      </c>
      <c r="AG73" s="52">
        <f t="shared" si="15"/>
        <v>0.01923226812</v>
      </c>
      <c r="AH73" s="87"/>
    </row>
    <row r="74">
      <c r="A74" s="32" t="s">
        <v>102</v>
      </c>
      <c r="B74" s="32">
        <v>5433.0</v>
      </c>
      <c r="C74" s="33">
        <v>100.0</v>
      </c>
      <c r="D74" s="56">
        <v>19.0</v>
      </c>
      <c r="E74" s="33">
        <v>8566.0</v>
      </c>
      <c r="F74" s="76" t="s">
        <v>108</v>
      </c>
      <c r="G74" s="77">
        <v>200.0</v>
      </c>
      <c r="H74" s="36" t="s">
        <v>101</v>
      </c>
      <c r="I74" s="36" t="s">
        <v>101</v>
      </c>
      <c r="J74" s="36" t="s">
        <v>101</v>
      </c>
      <c r="K74" s="36" t="s">
        <v>101</v>
      </c>
      <c r="L74" s="36">
        <v>-0.15</v>
      </c>
      <c r="M74" s="37">
        <v>0.094</v>
      </c>
      <c r="N74" s="36">
        <v>0.15</v>
      </c>
      <c r="O74" s="36">
        <v>0.1</v>
      </c>
      <c r="P74" s="36"/>
      <c r="Q74" s="36"/>
      <c r="R74" s="78">
        <f t="shared" si="1"/>
        <v>1.194</v>
      </c>
      <c r="S74" s="78">
        <f t="shared" si="2"/>
        <v>0.550074992</v>
      </c>
      <c r="T74" s="79">
        <f t="shared" si="20"/>
        <v>0.5625</v>
      </c>
      <c r="U74" s="79">
        <f t="shared" si="3"/>
        <v>-0.01242500799</v>
      </c>
      <c r="V74" s="78">
        <f t="shared" si="4"/>
        <v>0.6315</v>
      </c>
      <c r="W74" s="42">
        <f t="shared" si="5"/>
        <v>1.576661145</v>
      </c>
      <c r="X74" s="40">
        <f t="shared" si="6"/>
        <v>0.08298216552</v>
      </c>
      <c r="Y74" s="39">
        <f t="shared" si="7"/>
        <v>2.496692233</v>
      </c>
      <c r="Z74" s="41">
        <f t="shared" si="8"/>
        <v>0.1314048543</v>
      </c>
      <c r="AA74" s="40">
        <f t="shared" si="9"/>
        <v>0.1288693008</v>
      </c>
      <c r="AB74" s="80">
        <f t="shared" si="10"/>
        <v>0.01929573761</v>
      </c>
      <c r="AC74" s="39">
        <f t="shared" si="11"/>
        <v>54.33</v>
      </c>
      <c r="AD74" s="40">
        <f t="shared" si="12"/>
        <v>4.508421053</v>
      </c>
      <c r="AE74" s="41">
        <f t="shared" si="13"/>
        <v>7.139225737</v>
      </c>
      <c r="AF74" s="40">
        <f t="shared" si="14"/>
        <v>7.00146911</v>
      </c>
      <c r="AG74" s="40">
        <f t="shared" si="15"/>
        <v>0.01929573761</v>
      </c>
      <c r="AH74" s="81"/>
    </row>
    <row r="75">
      <c r="A75" s="44" t="s">
        <v>102</v>
      </c>
      <c r="B75" s="44">
        <v>4754.0</v>
      </c>
      <c r="C75" s="45">
        <v>100.0</v>
      </c>
      <c r="D75" s="46">
        <v>19.0</v>
      </c>
      <c r="E75" s="45">
        <v>7912.0</v>
      </c>
      <c r="F75" s="82" t="s">
        <v>108</v>
      </c>
      <c r="G75" s="83">
        <v>200.0</v>
      </c>
      <c r="H75" s="48" t="s">
        <v>101</v>
      </c>
      <c r="I75" s="48" t="s">
        <v>101</v>
      </c>
      <c r="J75" s="48" t="s">
        <v>101</v>
      </c>
      <c r="K75" s="48" t="s">
        <v>101</v>
      </c>
      <c r="L75" s="48">
        <v>-0.15</v>
      </c>
      <c r="M75" s="49">
        <v>0.094</v>
      </c>
      <c r="N75" s="48">
        <v>0.15</v>
      </c>
      <c r="O75" s="48">
        <v>0.1</v>
      </c>
      <c r="P75" s="48"/>
      <c r="Q75" s="48"/>
      <c r="R75" s="84">
        <f t="shared" si="1"/>
        <v>1.194</v>
      </c>
      <c r="S75" s="84">
        <f t="shared" si="2"/>
        <v>0.5499751478</v>
      </c>
      <c r="T75" s="85">
        <f t="shared" si="20"/>
        <v>0.5625</v>
      </c>
      <c r="U75" s="85">
        <f t="shared" si="3"/>
        <v>-0.0125248522</v>
      </c>
      <c r="V75" s="84">
        <f t="shared" si="4"/>
        <v>0.6315</v>
      </c>
      <c r="W75" s="54">
        <f t="shared" si="5"/>
        <v>1.664282709</v>
      </c>
      <c r="X75" s="52">
        <f t="shared" si="6"/>
        <v>0.08759382681</v>
      </c>
      <c r="Y75" s="51">
        <f t="shared" si="7"/>
        <v>2.63544372</v>
      </c>
      <c r="Z75" s="53">
        <f t="shared" si="8"/>
        <v>0.1387075642</v>
      </c>
      <c r="AA75" s="52">
        <f t="shared" si="9"/>
        <v>0.1360100103</v>
      </c>
      <c r="AB75" s="86">
        <f t="shared" si="10"/>
        <v>0.01944777777</v>
      </c>
      <c r="AC75" s="51">
        <f t="shared" si="11"/>
        <v>47.54</v>
      </c>
      <c r="AD75" s="52">
        <f t="shared" si="12"/>
        <v>4.164210526</v>
      </c>
      <c r="AE75" s="53">
        <f t="shared" si="13"/>
        <v>6.594157603</v>
      </c>
      <c r="AF75" s="52">
        <f t="shared" si="14"/>
        <v>6.465915891</v>
      </c>
      <c r="AG75" s="52">
        <f t="shared" si="15"/>
        <v>0.01944777777</v>
      </c>
      <c r="AH75" s="87"/>
    </row>
    <row r="76">
      <c r="A76" s="32" t="s">
        <v>85</v>
      </c>
      <c r="B76" s="32">
        <v>1947.0</v>
      </c>
      <c r="C76" s="33">
        <v>50.0</v>
      </c>
      <c r="D76" s="56">
        <v>35.0</v>
      </c>
      <c r="E76" s="33">
        <v>4516.0</v>
      </c>
      <c r="F76" s="76" t="s">
        <v>110</v>
      </c>
      <c r="G76" s="77">
        <v>245.0</v>
      </c>
      <c r="H76" s="36" t="s">
        <v>101</v>
      </c>
      <c r="I76" s="36" t="s">
        <v>101</v>
      </c>
      <c r="J76" s="36" t="s">
        <v>101</v>
      </c>
      <c r="K76" s="36" t="s">
        <v>101</v>
      </c>
      <c r="L76" s="36">
        <v>-0.2</v>
      </c>
      <c r="M76" s="37">
        <v>0.094</v>
      </c>
      <c r="N76" s="36">
        <v>0.15</v>
      </c>
      <c r="O76" s="36"/>
      <c r="P76" s="36"/>
      <c r="Q76" s="36"/>
      <c r="R76" s="78">
        <f t="shared" si="1"/>
        <v>1.044</v>
      </c>
      <c r="S76" s="78">
        <f t="shared" si="2"/>
        <v>0.5909486771</v>
      </c>
      <c r="T76" s="79">
        <f t="shared" si="20"/>
        <v>0.604109589</v>
      </c>
      <c r="U76" s="79">
        <f t="shared" si="3"/>
        <v>-0.01316091196</v>
      </c>
      <c r="V76" s="78">
        <f t="shared" si="4"/>
        <v>0.439890411</v>
      </c>
      <c r="W76" s="42">
        <f t="shared" si="5"/>
        <v>2.319465845</v>
      </c>
      <c r="X76" s="40">
        <f t="shared" si="6"/>
        <v>0.06627045271</v>
      </c>
      <c r="Y76" s="39">
        <f t="shared" si="7"/>
        <v>5.272826566</v>
      </c>
      <c r="Z76" s="41">
        <f t="shared" si="8"/>
        <v>0.1506521876</v>
      </c>
      <c r="AA76" s="40">
        <f t="shared" si="9"/>
        <v>0.1462758177</v>
      </c>
      <c r="AB76" s="80">
        <f t="shared" si="10"/>
        <v>0.02904949459</v>
      </c>
      <c r="AC76" s="39">
        <f t="shared" si="11"/>
        <v>38.94</v>
      </c>
      <c r="AD76" s="40">
        <f t="shared" si="12"/>
        <v>2.580571429</v>
      </c>
      <c r="AE76" s="41">
        <f t="shared" si="13"/>
        <v>5.866396185</v>
      </c>
      <c r="AF76" s="40">
        <f t="shared" si="14"/>
        <v>5.695980341</v>
      </c>
      <c r="AG76" s="40">
        <f t="shared" si="15"/>
        <v>0.02904949459</v>
      </c>
      <c r="AH76" s="81"/>
    </row>
    <row r="77">
      <c r="A77" s="44" t="s">
        <v>85</v>
      </c>
      <c r="B77" s="44">
        <v>1930.0</v>
      </c>
      <c r="C77" s="45">
        <v>50.0</v>
      </c>
      <c r="D77" s="46">
        <v>35.0</v>
      </c>
      <c r="E77" s="45">
        <v>4490.0</v>
      </c>
      <c r="F77" s="82" t="s">
        <v>110</v>
      </c>
      <c r="G77" s="83">
        <v>245.0</v>
      </c>
      <c r="H77" s="48" t="s">
        <v>101</v>
      </c>
      <c r="I77" s="48" t="s">
        <v>101</v>
      </c>
      <c r="J77" s="48" t="s">
        <v>101</v>
      </c>
      <c r="K77" s="48" t="s">
        <v>101</v>
      </c>
      <c r="L77" s="48">
        <v>-0.2</v>
      </c>
      <c r="M77" s="49">
        <v>0.094</v>
      </c>
      <c r="N77" s="48">
        <v>0.15</v>
      </c>
      <c r="O77" s="48"/>
      <c r="P77" s="48"/>
      <c r="Q77" s="48"/>
      <c r="R77" s="84">
        <f t="shared" si="1"/>
        <v>1.044</v>
      </c>
      <c r="S77" s="84">
        <f t="shared" si="2"/>
        <v>0.5909453738</v>
      </c>
      <c r="T77" s="85">
        <f t="shared" si="20"/>
        <v>0.604109589</v>
      </c>
      <c r="U77" s="85">
        <f t="shared" si="3"/>
        <v>-0.01316421524</v>
      </c>
      <c r="V77" s="84">
        <f t="shared" si="4"/>
        <v>0.439890411</v>
      </c>
      <c r="W77" s="54">
        <f t="shared" si="5"/>
        <v>2.32642487</v>
      </c>
      <c r="X77" s="52">
        <f t="shared" si="6"/>
        <v>0.06646928201</v>
      </c>
      <c r="Y77" s="51">
        <f t="shared" si="7"/>
        <v>5.288646473</v>
      </c>
      <c r="Z77" s="53">
        <f t="shared" si="8"/>
        <v>0.1511041849</v>
      </c>
      <c r="AA77" s="52">
        <f t="shared" si="9"/>
        <v>0.146713615</v>
      </c>
      <c r="AB77" s="86">
        <f t="shared" si="10"/>
        <v>0.02905657394</v>
      </c>
      <c r="AC77" s="51">
        <f t="shared" si="11"/>
        <v>38.6</v>
      </c>
      <c r="AD77" s="52">
        <f t="shared" si="12"/>
        <v>2.565714286</v>
      </c>
      <c r="AE77" s="53">
        <f t="shared" si="13"/>
        <v>5.832621539</v>
      </c>
      <c r="AF77" s="52">
        <f t="shared" si="14"/>
        <v>5.66314554</v>
      </c>
      <c r="AG77" s="52">
        <f t="shared" si="15"/>
        <v>0.02905657394</v>
      </c>
      <c r="AH77" s="87"/>
    </row>
    <row r="78">
      <c r="A78" s="32" t="s">
        <v>85</v>
      </c>
      <c r="B78" s="32">
        <v>1909.0</v>
      </c>
      <c r="C78" s="33">
        <v>50.0</v>
      </c>
      <c r="D78" s="56">
        <v>35.0</v>
      </c>
      <c r="E78" s="33">
        <v>4458.0</v>
      </c>
      <c r="F78" s="76" t="s">
        <v>110</v>
      </c>
      <c r="G78" s="77">
        <v>245.0</v>
      </c>
      <c r="H78" s="36" t="s">
        <v>101</v>
      </c>
      <c r="I78" s="36" t="s">
        <v>101</v>
      </c>
      <c r="J78" s="36" t="s">
        <v>101</v>
      </c>
      <c r="K78" s="36" t="s">
        <v>101</v>
      </c>
      <c r="L78" s="36">
        <v>-0.2</v>
      </c>
      <c r="M78" s="37">
        <v>0.094</v>
      </c>
      <c r="N78" s="36">
        <v>0.15</v>
      </c>
      <c r="O78" s="36"/>
      <c r="P78" s="36"/>
      <c r="Q78" s="36"/>
      <c r="R78" s="78">
        <f t="shared" si="1"/>
        <v>1.044</v>
      </c>
      <c r="S78" s="78">
        <f t="shared" si="2"/>
        <v>0.5909073352</v>
      </c>
      <c r="T78" s="79">
        <f t="shared" si="20"/>
        <v>0.604109589</v>
      </c>
      <c r="U78" s="79">
        <f t="shared" si="3"/>
        <v>-0.01320225386</v>
      </c>
      <c r="V78" s="78">
        <f t="shared" si="4"/>
        <v>0.439890411</v>
      </c>
      <c r="W78" s="42">
        <f t="shared" si="5"/>
        <v>2.33525406</v>
      </c>
      <c r="X78" s="40">
        <f t="shared" si="6"/>
        <v>0.06672154456</v>
      </c>
      <c r="Y78" s="39">
        <f t="shared" si="7"/>
        <v>5.308717811</v>
      </c>
      <c r="Z78" s="41">
        <f t="shared" si="8"/>
        <v>0.1516776518</v>
      </c>
      <c r="AA78" s="40">
        <f t="shared" si="9"/>
        <v>0.147258055</v>
      </c>
      <c r="AB78" s="80">
        <f t="shared" si="10"/>
        <v>0.02913808783</v>
      </c>
      <c r="AC78" s="39">
        <f t="shared" si="11"/>
        <v>38.18</v>
      </c>
      <c r="AD78" s="40">
        <f t="shared" si="12"/>
        <v>2.547428571</v>
      </c>
      <c r="AE78" s="41">
        <f t="shared" si="13"/>
        <v>5.791052744</v>
      </c>
      <c r="AF78" s="40">
        <f t="shared" si="14"/>
        <v>5.62231254</v>
      </c>
      <c r="AG78" s="40">
        <f t="shared" si="15"/>
        <v>0.02913808783</v>
      </c>
      <c r="AH78" s="81"/>
    </row>
    <row r="79">
      <c r="A79" s="44" t="s">
        <v>85</v>
      </c>
      <c r="B79" s="44">
        <v>1888.0</v>
      </c>
      <c r="C79" s="45">
        <v>50.0</v>
      </c>
      <c r="D79" s="46">
        <v>35.0</v>
      </c>
      <c r="E79" s="45">
        <v>4425.0</v>
      </c>
      <c r="F79" s="82" t="s">
        <v>110</v>
      </c>
      <c r="G79" s="83">
        <v>245.0</v>
      </c>
      <c r="H79" s="48" t="s">
        <v>101</v>
      </c>
      <c r="I79" s="48" t="s">
        <v>101</v>
      </c>
      <c r="J79" s="48" t="s">
        <v>101</v>
      </c>
      <c r="K79" s="48" t="s">
        <v>101</v>
      </c>
      <c r="L79" s="48">
        <v>-0.2</v>
      </c>
      <c r="M79" s="49">
        <v>0.094</v>
      </c>
      <c r="N79" s="48">
        <v>0.15</v>
      </c>
      <c r="O79" s="48"/>
      <c r="P79" s="48"/>
      <c r="Q79" s="48"/>
      <c r="R79" s="84">
        <f t="shared" si="1"/>
        <v>1.044</v>
      </c>
      <c r="S79" s="84">
        <f t="shared" si="2"/>
        <v>0.5909464286</v>
      </c>
      <c r="T79" s="85">
        <f t="shared" si="20"/>
        <v>0.604109589</v>
      </c>
      <c r="U79" s="85">
        <f t="shared" si="3"/>
        <v>-0.01316316047</v>
      </c>
      <c r="V79" s="84">
        <f t="shared" si="4"/>
        <v>0.439890411</v>
      </c>
      <c r="W79" s="54">
        <f t="shared" si="5"/>
        <v>2.34375</v>
      </c>
      <c r="X79" s="52">
        <f t="shared" si="6"/>
        <v>0.06696428571</v>
      </c>
      <c r="Y79" s="51">
        <f t="shared" si="7"/>
        <v>5.328031577</v>
      </c>
      <c r="Z79" s="53">
        <f t="shared" si="8"/>
        <v>0.1522294736</v>
      </c>
      <c r="AA79" s="52">
        <f t="shared" si="9"/>
        <v>0.1478065508</v>
      </c>
      <c r="AB79" s="86">
        <f t="shared" si="10"/>
        <v>0.02905431344</v>
      </c>
      <c r="AC79" s="51">
        <f t="shared" si="11"/>
        <v>37.76</v>
      </c>
      <c r="AD79" s="52">
        <f t="shared" si="12"/>
        <v>2.528571429</v>
      </c>
      <c r="AE79" s="53">
        <f t="shared" si="13"/>
        <v>5.748184924</v>
      </c>
      <c r="AF79" s="52">
        <f t="shared" si="14"/>
        <v>5.581175358</v>
      </c>
      <c r="AG79" s="52">
        <f t="shared" si="15"/>
        <v>0.02905431344</v>
      </c>
      <c r="AH79" s="87"/>
    </row>
    <row r="80">
      <c r="A80" s="32" t="s">
        <v>102</v>
      </c>
      <c r="B80" s="32">
        <v>3886.0</v>
      </c>
      <c r="C80" s="33">
        <v>100.0</v>
      </c>
      <c r="D80" s="56">
        <v>19.0</v>
      </c>
      <c r="E80" s="33">
        <v>5804.0</v>
      </c>
      <c r="F80" s="76" t="s">
        <v>110</v>
      </c>
      <c r="G80" s="77">
        <v>265.0</v>
      </c>
      <c r="H80" s="36" t="s">
        <v>101</v>
      </c>
      <c r="I80" s="36" t="s">
        <v>101</v>
      </c>
      <c r="J80" s="36" t="s">
        <v>101</v>
      </c>
      <c r="K80" s="36" t="s">
        <v>101</v>
      </c>
      <c r="L80" s="36">
        <v>-0.2</v>
      </c>
      <c r="M80" s="37">
        <v>0.094</v>
      </c>
      <c r="N80" s="36">
        <v>0.15</v>
      </c>
      <c r="O80" s="36">
        <v>0.1</v>
      </c>
      <c r="P80" s="36"/>
      <c r="Q80" s="36"/>
      <c r="R80" s="78">
        <f t="shared" si="1"/>
        <v>1.144</v>
      </c>
      <c r="S80" s="78">
        <f t="shared" si="2"/>
        <v>0.6069763199</v>
      </c>
      <c r="T80" s="79">
        <f t="shared" si="20"/>
        <v>0.6194805195</v>
      </c>
      <c r="U80" s="79">
        <f t="shared" si="3"/>
        <v>-0.01250419963</v>
      </c>
      <c r="V80" s="78">
        <f t="shared" si="4"/>
        <v>0.5245194805</v>
      </c>
      <c r="W80" s="42">
        <f t="shared" si="5"/>
        <v>1.49356665</v>
      </c>
      <c r="X80" s="40">
        <f t="shared" si="6"/>
        <v>0.07860877103</v>
      </c>
      <c r="Y80" s="39">
        <f t="shared" si="7"/>
        <v>2.847495098</v>
      </c>
      <c r="Z80" s="41">
        <f t="shared" si="8"/>
        <v>0.149868163</v>
      </c>
      <c r="AA80" s="40">
        <f t="shared" si="9"/>
        <v>0.1463785936</v>
      </c>
      <c r="AB80" s="80">
        <f t="shared" si="10"/>
        <v>0.02328426118</v>
      </c>
      <c r="AC80" s="39">
        <f t="shared" si="11"/>
        <v>38.86</v>
      </c>
      <c r="AD80" s="40">
        <f t="shared" si="12"/>
        <v>3.054736842</v>
      </c>
      <c r="AE80" s="41">
        <f t="shared" si="13"/>
        <v>5.823876816</v>
      </c>
      <c r="AF80" s="40">
        <f t="shared" si="14"/>
        <v>5.688272147</v>
      </c>
      <c r="AG80" s="40">
        <f t="shared" si="15"/>
        <v>0.02328426118</v>
      </c>
      <c r="AH80" s="81"/>
    </row>
    <row r="81">
      <c r="A81" s="44" t="s">
        <v>102</v>
      </c>
      <c r="B81" s="44">
        <v>3780.0</v>
      </c>
      <c r="C81" s="45">
        <v>100.0</v>
      </c>
      <c r="D81" s="46">
        <v>19.0</v>
      </c>
      <c r="E81" s="45">
        <v>5708.0</v>
      </c>
      <c r="F81" s="82" t="s">
        <v>110</v>
      </c>
      <c r="G81" s="83">
        <v>265.0</v>
      </c>
      <c r="H81" s="48" t="s">
        <v>101</v>
      </c>
      <c r="I81" s="48" t="s">
        <v>101</v>
      </c>
      <c r="J81" s="48" t="s">
        <v>101</v>
      </c>
      <c r="K81" s="48" t="s">
        <v>101</v>
      </c>
      <c r="L81" s="48">
        <v>-0.2</v>
      </c>
      <c r="M81" s="49">
        <v>0.094</v>
      </c>
      <c r="N81" s="48">
        <v>0.15</v>
      </c>
      <c r="O81" s="48">
        <v>0.1</v>
      </c>
      <c r="P81" s="48"/>
      <c r="Q81" s="48"/>
      <c r="R81" s="84">
        <f t="shared" si="1"/>
        <v>1.144</v>
      </c>
      <c r="S81" s="84">
        <f t="shared" si="2"/>
        <v>0.6061032581</v>
      </c>
      <c r="T81" s="85">
        <f t="shared" si="20"/>
        <v>0.6194805195</v>
      </c>
      <c r="U81" s="85">
        <f t="shared" si="3"/>
        <v>-0.01337726134</v>
      </c>
      <c r="V81" s="84">
        <f t="shared" si="4"/>
        <v>0.5245194805</v>
      </c>
      <c r="W81" s="54">
        <f t="shared" si="5"/>
        <v>1.51005291</v>
      </c>
      <c r="X81" s="52">
        <f t="shared" si="6"/>
        <v>0.07947646895</v>
      </c>
      <c r="Y81" s="51">
        <f t="shared" si="7"/>
        <v>2.878926267</v>
      </c>
      <c r="Z81" s="53">
        <f t="shared" si="8"/>
        <v>0.1515224351</v>
      </c>
      <c r="AA81" s="52">
        <f t="shared" si="9"/>
        <v>0.1477541371</v>
      </c>
      <c r="AB81" s="86">
        <f t="shared" si="10"/>
        <v>0.02486957123</v>
      </c>
      <c r="AC81" s="51">
        <f t="shared" si="11"/>
        <v>37.8</v>
      </c>
      <c r="AD81" s="52">
        <f t="shared" si="12"/>
        <v>3.004210526</v>
      </c>
      <c r="AE81" s="53">
        <f t="shared" si="13"/>
        <v>5.727548047</v>
      </c>
      <c r="AF81" s="52">
        <f t="shared" si="14"/>
        <v>5.585106383</v>
      </c>
      <c r="AG81" s="52">
        <f t="shared" si="15"/>
        <v>0.02486957123</v>
      </c>
      <c r="AH81" s="87"/>
    </row>
    <row r="82">
      <c r="A82" s="32" t="s">
        <v>102</v>
      </c>
      <c r="B82" s="32">
        <v>3744.0</v>
      </c>
      <c r="C82" s="33">
        <v>100.0</v>
      </c>
      <c r="D82" s="56">
        <v>19.0</v>
      </c>
      <c r="E82" s="33">
        <v>5663.0</v>
      </c>
      <c r="F82" s="76" t="s">
        <v>110</v>
      </c>
      <c r="G82" s="77">
        <v>265.0</v>
      </c>
      <c r="H82" s="36" t="s">
        <v>101</v>
      </c>
      <c r="I82" s="36" t="s">
        <v>101</v>
      </c>
      <c r="J82" s="36" t="s">
        <v>101</v>
      </c>
      <c r="K82" s="36" t="s">
        <v>101</v>
      </c>
      <c r="L82" s="36">
        <v>-0.2</v>
      </c>
      <c r="M82" s="37">
        <v>0.094</v>
      </c>
      <c r="N82" s="36">
        <v>0.15</v>
      </c>
      <c r="O82" s="36">
        <v>0.1</v>
      </c>
      <c r="P82" s="36"/>
      <c r="Q82" s="36"/>
      <c r="R82" s="78">
        <f t="shared" si="1"/>
        <v>1.144</v>
      </c>
      <c r="S82" s="78">
        <f t="shared" si="2"/>
        <v>0.606932085</v>
      </c>
      <c r="T82" s="79">
        <f t="shared" si="20"/>
        <v>0.6194805195</v>
      </c>
      <c r="U82" s="79">
        <f t="shared" si="3"/>
        <v>-0.01254843446</v>
      </c>
      <c r="V82" s="78">
        <f t="shared" si="4"/>
        <v>0.5245194805</v>
      </c>
      <c r="W82" s="42">
        <f t="shared" si="5"/>
        <v>1.512553419</v>
      </c>
      <c r="X82" s="40">
        <f t="shared" si="6"/>
        <v>0.07960807467</v>
      </c>
      <c r="Y82" s="39">
        <f t="shared" si="7"/>
        <v>2.883693504</v>
      </c>
      <c r="Z82" s="41">
        <f t="shared" si="8"/>
        <v>0.1517733423</v>
      </c>
      <c r="AA82" s="40">
        <f t="shared" si="9"/>
        <v>0.1482272027</v>
      </c>
      <c r="AB82" s="80">
        <f t="shared" si="10"/>
        <v>0.02336470698</v>
      </c>
      <c r="AC82" s="39">
        <f t="shared" si="11"/>
        <v>37.44</v>
      </c>
      <c r="AD82" s="40">
        <f t="shared" si="12"/>
        <v>2.980526316</v>
      </c>
      <c r="AE82" s="41">
        <f t="shared" si="13"/>
        <v>5.682393937</v>
      </c>
      <c r="AF82" s="40">
        <f t="shared" si="14"/>
        <v>5.549626467</v>
      </c>
      <c r="AG82" s="40">
        <f t="shared" si="15"/>
        <v>0.02336470698</v>
      </c>
      <c r="AH82" s="81"/>
    </row>
    <row r="83">
      <c r="A83" s="44" t="s">
        <v>102</v>
      </c>
      <c r="B83" s="44">
        <v>3910.0</v>
      </c>
      <c r="C83" s="45">
        <v>100.0</v>
      </c>
      <c r="D83" s="46">
        <v>19.0</v>
      </c>
      <c r="E83" s="45">
        <v>9561.0</v>
      </c>
      <c r="F83" s="82" t="s">
        <v>110</v>
      </c>
      <c r="G83" s="83">
        <v>510.0</v>
      </c>
      <c r="H83" s="48" t="s">
        <v>101</v>
      </c>
      <c r="I83" s="48" t="s">
        <v>101</v>
      </c>
      <c r="J83" s="48" t="s">
        <v>101</v>
      </c>
      <c r="K83" s="48" t="s">
        <v>101</v>
      </c>
      <c r="L83" s="48">
        <v>-0.2</v>
      </c>
      <c r="M83" s="49">
        <v>0.094</v>
      </c>
      <c r="N83" s="48">
        <v>0.15</v>
      </c>
      <c r="O83" s="48">
        <v>0.1</v>
      </c>
      <c r="P83" s="48">
        <v>0.453</v>
      </c>
      <c r="Q83" s="48"/>
      <c r="R83" s="84">
        <f t="shared" si="1"/>
        <v>1.597</v>
      </c>
      <c r="S83" s="84">
        <f t="shared" si="2"/>
        <v>0.7159311347</v>
      </c>
      <c r="T83" s="85">
        <f t="shared" si="20"/>
        <v>0.7285714286</v>
      </c>
      <c r="U83" s="85">
        <f t="shared" si="3"/>
        <v>-0.01264029383</v>
      </c>
      <c r="V83" s="84">
        <f t="shared" si="4"/>
        <v>0.8684285714</v>
      </c>
      <c r="W83" s="54">
        <f t="shared" si="5"/>
        <v>2.445268542</v>
      </c>
      <c r="X83" s="52">
        <f t="shared" si="6"/>
        <v>0.1286983443</v>
      </c>
      <c r="Y83" s="51">
        <f t="shared" si="7"/>
        <v>2.815739397</v>
      </c>
      <c r="Z83" s="53">
        <f t="shared" si="8"/>
        <v>0.1481968104</v>
      </c>
      <c r="AA83" s="52">
        <f t="shared" si="9"/>
        <v>0.1460706982</v>
      </c>
      <c r="AB83" s="86">
        <f t="shared" si="10"/>
        <v>0.01434654467</v>
      </c>
      <c r="AC83" s="51">
        <f t="shared" si="11"/>
        <v>39.1</v>
      </c>
      <c r="AD83" s="52">
        <f t="shared" si="12"/>
        <v>5.032105263</v>
      </c>
      <c r="AE83" s="53">
        <f t="shared" si="13"/>
        <v>5.794495286</v>
      </c>
      <c r="AF83" s="52">
        <f t="shared" si="14"/>
        <v>5.7113643</v>
      </c>
      <c r="AG83" s="52">
        <f t="shared" si="15"/>
        <v>0.01434654467</v>
      </c>
      <c r="AH83" s="87"/>
    </row>
    <row r="84">
      <c r="A84" s="32" t="s">
        <v>85</v>
      </c>
      <c r="B84" s="32">
        <v>1941.0</v>
      </c>
      <c r="C84" s="33">
        <v>50.0</v>
      </c>
      <c r="D84" s="56">
        <v>35.0</v>
      </c>
      <c r="E84" s="33">
        <v>3274.0</v>
      </c>
      <c r="F84" s="76" t="s">
        <v>110</v>
      </c>
      <c r="G84" s="77">
        <v>510.0</v>
      </c>
      <c r="H84" s="36" t="s">
        <v>101</v>
      </c>
      <c r="I84" s="36" t="s">
        <v>101</v>
      </c>
      <c r="J84" s="36" t="s">
        <v>101</v>
      </c>
      <c r="K84" s="36" t="s">
        <v>101</v>
      </c>
      <c r="L84" s="36">
        <v>-0.2</v>
      </c>
      <c r="M84" s="37">
        <v>0.094</v>
      </c>
      <c r="N84" s="36">
        <v>0.15</v>
      </c>
      <c r="O84" s="36"/>
      <c r="P84" s="36"/>
      <c r="Q84" s="36"/>
      <c r="R84" s="78">
        <f t="shared" si="1"/>
        <v>1.044</v>
      </c>
      <c r="S84" s="78">
        <f t="shared" si="2"/>
        <v>0.7148795054</v>
      </c>
      <c r="T84" s="79">
        <f t="shared" si="20"/>
        <v>0.7285714286</v>
      </c>
      <c r="U84" s="79">
        <f t="shared" si="3"/>
        <v>-0.01369192316</v>
      </c>
      <c r="V84" s="78">
        <f t="shared" si="4"/>
        <v>0.3154285714</v>
      </c>
      <c r="W84" s="42">
        <f t="shared" si="5"/>
        <v>1.686759402</v>
      </c>
      <c r="X84" s="40">
        <f t="shared" si="6"/>
        <v>0.04819312578</v>
      </c>
      <c r="Y84" s="39">
        <f t="shared" si="7"/>
        <v>5.347516221</v>
      </c>
      <c r="Z84" s="41">
        <f t="shared" si="8"/>
        <v>0.1527861778</v>
      </c>
      <c r="AA84" s="40">
        <f t="shared" si="9"/>
        <v>0.1464300357</v>
      </c>
      <c r="AB84" s="80">
        <f t="shared" si="10"/>
        <v>0.04160155137</v>
      </c>
      <c r="AC84" s="39">
        <f t="shared" si="11"/>
        <v>38.82</v>
      </c>
      <c r="AD84" s="40">
        <f t="shared" si="12"/>
        <v>1.870857143</v>
      </c>
      <c r="AE84" s="41">
        <f t="shared" si="13"/>
        <v>5.93115942</v>
      </c>
      <c r="AF84" s="40">
        <f t="shared" si="14"/>
        <v>5.684413987</v>
      </c>
      <c r="AG84" s="40">
        <f t="shared" si="15"/>
        <v>0.04160155137</v>
      </c>
      <c r="AH84" s="81"/>
    </row>
    <row r="85">
      <c r="A85" s="44" t="s">
        <v>102</v>
      </c>
      <c r="B85" s="44">
        <v>3803.0</v>
      </c>
      <c r="C85" s="45">
        <v>100.0</v>
      </c>
      <c r="D85" s="46">
        <v>19.0</v>
      </c>
      <c r="E85" s="45">
        <v>9387.0</v>
      </c>
      <c r="F85" s="82" t="s">
        <v>110</v>
      </c>
      <c r="G85" s="83">
        <v>510.0</v>
      </c>
      <c r="H85" s="48" t="s">
        <v>101</v>
      </c>
      <c r="I85" s="48" t="s">
        <v>101</v>
      </c>
      <c r="J85" s="48" t="s">
        <v>101</v>
      </c>
      <c r="K85" s="48" t="s">
        <v>101</v>
      </c>
      <c r="L85" s="48">
        <v>-0.2</v>
      </c>
      <c r="M85" s="49">
        <v>0.094</v>
      </c>
      <c r="N85" s="48">
        <v>0.15</v>
      </c>
      <c r="O85" s="48">
        <v>0.1</v>
      </c>
      <c r="P85" s="48">
        <v>0.453</v>
      </c>
      <c r="Q85" s="48"/>
      <c r="R85" s="84">
        <f t="shared" si="1"/>
        <v>1.597</v>
      </c>
      <c r="S85" s="84">
        <f t="shared" si="2"/>
        <v>0.7159676211</v>
      </c>
      <c r="T85" s="85">
        <f t="shared" si="20"/>
        <v>0.7285714286</v>
      </c>
      <c r="U85" s="85">
        <f t="shared" si="3"/>
        <v>-0.01260380744</v>
      </c>
      <c r="V85" s="84">
        <f t="shared" si="4"/>
        <v>0.8684285714</v>
      </c>
      <c r="W85" s="54">
        <f t="shared" si="5"/>
        <v>2.468314489</v>
      </c>
      <c r="X85" s="52">
        <f t="shared" si="6"/>
        <v>0.1299112889</v>
      </c>
      <c r="Y85" s="51">
        <f t="shared" si="7"/>
        <v>2.842276924</v>
      </c>
      <c r="Z85" s="53">
        <f t="shared" si="8"/>
        <v>0.1495935223</v>
      </c>
      <c r="AA85" s="52">
        <f t="shared" si="9"/>
        <v>0.1474534784</v>
      </c>
      <c r="AB85" s="86">
        <f t="shared" si="10"/>
        <v>0.01430572558</v>
      </c>
      <c r="AC85" s="51">
        <f t="shared" si="11"/>
        <v>38.03</v>
      </c>
      <c r="AD85" s="52">
        <f t="shared" si="12"/>
        <v>4.940526316</v>
      </c>
      <c r="AE85" s="53">
        <f t="shared" si="13"/>
        <v>5.689041653</v>
      </c>
      <c r="AF85" s="52">
        <f t="shared" si="14"/>
        <v>5.607655785</v>
      </c>
      <c r="AG85" s="52">
        <f t="shared" si="15"/>
        <v>0.01430572558</v>
      </c>
      <c r="AH85" s="87"/>
    </row>
    <row r="86">
      <c r="A86" s="32" t="s">
        <v>85</v>
      </c>
      <c r="B86" s="32">
        <v>1919.0</v>
      </c>
      <c r="C86" s="33">
        <v>50.0</v>
      </c>
      <c r="D86" s="56">
        <v>35.0</v>
      </c>
      <c r="E86" s="33">
        <v>3249.0</v>
      </c>
      <c r="F86" s="76" t="s">
        <v>110</v>
      </c>
      <c r="G86" s="77">
        <v>510.0</v>
      </c>
      <c r="H86" s="36" t="s">
        <v>101</v>
      </c>
      <c r="I86" s="36" t="s">
        <v>101</v>
      </c>
      <c r="J86" s="36" t="s">
        <v>101</v>
      </c>
      <c r="K86" s="36" t="s">
        <v>101</v>
      </c>
      <c r="L86" s="36">
        <v>-0.2</v>
      </c>
      <c r="M86" s="37">
        <v>0.094</v>
      </c>
      <c r="N86" s="36">
        <v>0.15</v>
      </c>
      <c r="O86" s="36"/>
      <c r="P86" s="36"/>
      <c r="Q86" s="36"/>
      <c r="R86" s="78">
        <f t="shared" si="1"/>
        <v>1.044</v>
      </c>
      <c r="S86" s="78">
        <f t="shared" si="2"/>
        <v>0.7149253748</v>
      </c>
      <c r="T86" s="79">
        <f t="shared" si="20"/>
        <v>0.7285714286</v>
      </c>
      <c r="U86" s="79">
        <f t="shared" si="3"/>
        <v>-0.01364605375</v>
      </c>
      <c r="V86" s="78">
        <f t="shared" si="4"/>
        <v>0.3154285714</v>
      </c>
      <c r="W86" s="42">
        <f t="shared" si="5"/>
        <v>1.693069307</v>
      </c>
      <c r="X86" s="40">
        <f t="shared" si="6"/>
        <v>0.04837340877</v>
      </c>
      <c r="Y86" s="39">
        <f t="shared" si="7"/>
        <v>5.367520448</v>
      </c>
      <c r="Z86" s="41">
        <f t="shared" si="8"/>
        <v>0.1533577271</v>
      </c>
      <c r="AA86" s="40">
        <f t="shared" si="9"/>
        <v>0.1469982948</v>
      </c>
      <c r="AB86" s="80">
        <f t="shared" si="10"/>
        <v>0.04146796108</v>
      </c>
      <c r="AC86" s="39">
        <f t="shared" si="11"/>
        <v>38.38</v>
      </c>
      <c r="AD86" s="40">
        <f t="shared" si="12"/>
        <v>1.856571429</v>
      </c>
      <c r="AE86" s="41">
        <f t="shared" si="13"/>
        <v>5.885869565</v>
      </c>
      <c r="AF86" s="40">
        <f t="shared" si="14"/>
        <v>5.641794555</v>
      </c>
      <c r="AG86" s="40">
        <f t="shared" si="15"/>
        <v>0.04146796108</v>
      </c>
      <c r="AH86" s="81"/>
    </row>
    <row r="87">
      <c r="A87" s="44" t="s">
        <v>102</v>
      </c>
      <c r="B87" s="44">
        <v>3701.0</v>
      </c>
      <c r="C87" s="45">
        <v>100.0</v>
      </c>
      <c r="D87" s="46">
        <v>19.0</v>
      </c>
      <c r="E87" s="45">
        <v>9219.0</v>
      </c>
      <c r="F87" s="82" t="s">
        <v>110</v>
      </c>
      <c r="G87" s="83">
        <v>510.0</v>
      </c>
      <c r="H87" s="48" t="s">
        <v>101</v>
      </c>
      <c r="I87" s="48" t="s">
        <v>101</v>
      </c>
      <c r="J87" s="48" t="s">
        <v>101</v>
      </c>
      <c r="K87" s="48" t="s">
        <v>101</v>
      </c>
      <c r="L87" s="48">
        <v>-0.2</v>
      </c>
      <c r="M87" s="49">
        <v>0.094</v>
      </c>
      <c r="N87" s="48">
        <v>0.15</v>
      </c>
      <c r="O87" s="48">
        <v>0.1</v>
      </c>
      <c r="P87" s="48">
        <v>0.453</v>
      </c>
      <c r="Q87" s="48"/>
      <c r="R87" s="84">
        <f t="shared" si="1"/>
        <v>1.597</v>
      </c>
      <c r="S87" s="84">
        <f t="shared" si="2"/>
        <v>0.7159122229</v>
      </c>
      <c r="T87" s="85">
        <f t="shared" si="20"/>
        <v>0.7285714286</v>
      </c>
      <c r="U87" s="85">
        <f t="shared" si="3"/>
        <v>-0.0126592057</v>
      </c>
      <c r="V87" s="84">
        <f t="shared" si="4"/>
        <v>0.8684285714</v>
      </c>
      <c r="W87" s="54">
        <f t="shared" si="5"/>
        <v>2.490948392</v>
      </c>
      <c r="X87" s="52">
        <f t="shared" si="6"/>
        <v>0.131102547</v>
      </c>
      <c r="Y87" s="51">
        <f t="shared" si="7"/>
        <v>2.868339981</v>
      </c>
      <c r="Z87" s="53">
        <f t="shared" si="8"/>
        <v>0.1509652622</v>
      </c>
      <c r="AA87" s="52">
        <f t="shared" si="9"/>
        <v>0.1487962384</v>
      </c>
      <c r="AB87" s="86">
        <f t="shared" si="10"/>
        <v>0.01436770096</v>
      </c>
      <c r="AC87" s="51">
        <f t="shared" si="11"/>
        <v>37.01</v>
      </c>
      <c r="AD87" s="52">
        <f t="shared" si="12"/>
        <v>4.852105263</v>
      </c>
      <c r="AE87" s="53">
        <f t="shared" si="13"/>
        <v>5.587224353</v>
      </c>
      <c r="AF87" s="52">
        <f t="shared" si="14"/>
        <v>5.506948784</v>
      </c>
      <c r="AG87" s="52">
        <f t="shared" si="15"/>
        <v>0.01436770096</v>
      </c>
      <c r="AH87" s="87"/>
    </row>
    <row r="88">
      <c r="A88" s="32" t="s">
        <v>85</v>
      </c>
      <c r="B88" s="32">
        <v>1975.0</v>
      </c>
      <c r="C88" s="33">
        <v>50.0</v>
      </c>
      <c r="D88" s="56">
        <v>35.0</v>
      </c>
      <c r="E88" s="33">
        <v>3261.0</v>
      </c>
      <c r="F88" s="76" t="s">
        <v>110</v>
      </c>
      <c r="G88" s="77">
        <f>265*2</f>
        <v>530</v>
      </c>
      <c r="H88" s="36" t="s">
        <v>101</v>
      </c>
      <c r="I88" s="36" t="s">
        <v>101</v>
      </c>
      <c r="J88" s="36" t="s">
        <v>101</v>
      </c>
      <c r="K88" s="36" t="s">
        <v>101</v>
      </c>
      <c r="L88" s="36">
        <v>-0.2</v>
      </c>
      <c r="M88" s="37">
        <v>0.094</v>
      </c>
      <c r="N88" s="36">
        <v>0.15</v>
      </c>
      <c r="O88" s="36"/>
      <c r="P88" s="36"/>
      <c r="Q88" s="36"/>
      <c r="R88" s="78">
        <f t="shared" si="1"/>
        <v>1.044</v>
      </c>
      <c r="S88" s="78">
        <f t="shared" si="2"/>
        <v>0.7199049548</v>
      </c>
      <c r="T88" s="79">
        <f t="shared" si="20"/>
        <v>0.7338461538</v>
      </c>
      <c r="U88" s="79">
        <f t="shared" si="3"/>
        <v>-0.01394119905</v>
      </c>
      <c r="V88" s="78">
        <f t="shared" si="4"/>
        <v>0.3101538462</v>
      </c>
      <c r="W88" s="42">
        <f t="shared" si="5"/>
        <v>1.651139241</v>
      </c>
      <c r="X88" s="40">
        <f t="shared" si="6"/>
        <v>0.04717540687</v>
      </c>
      <c r="Y88" s="39">
        <f t="shared" si="7"/>
        <v>5.323613623</v>
      </c>
      <c r="Z88" s="41">
        <f t="shared" si="8"/>
        <v>0.1521032464</v>
      </c>
      <c r="AA88" s="40">
        <f t="shared" si="9"/>
        <v>0.1455604076</v>
      </c>
      <c r="AB88" s="80">
        <f t="shared" si="10"/>
        <v>0.04301577349</v>
      </c>
      <c r="AC88" s="39">
        <f t="shared" si="11"/>
        <v>39.5</v>
      </c>
      <c r="AD88" s="40">
        <f t="shared" si="12"/>
        <v>1.863428571</v>
      </c>
      <c r="AE88" s="41">
        <f t="shared" si="13"/>
        <v>6.008078231</v>
      </c>
      <c r="AF88" s="40">
        <f t="shared" si="14"/>
        <v>5.749636099</v>
      </c>
      <c r="AG88" s="40">
        <f t="shared" si="15"/>
        <v>0.04301577349</v>
      </c>
      <c r="AH88" s="81"/>
    </row>
    <row r="89">
      <c r="A89" s="44" t="s">
        <v>85</v>
      </c>
      <c r="B89" s="44">
        <v>1769.0</v>
      </c>
      <c r="C89" s="45">
        <v>50.0</v>
      </c>
      <c r="D89" s="46">
        <v>35.0</v>
      </c>
      <c r="E89" s="45">
        <v>3030.0</v>
      </c>
      <c r="F89" s="82" t="s">
        <v>110</v>
      </c>
      <c r="G89" s="83">
        <v>530.0</v>
      </c>
      <c r="H89" s="48" t="s">
        <v>101</v>
      </c>
      <c r="I89" s="48" t="s">
        <v>101</v>
      </c>
      <c r="J89" s="48" t="s">
        <v>101</v>
      </c>
      <c r="K89" s="48" t="s">
        <v>101</v>
      </c>
      <c r="L89" s="48">
        <v>-0.2</v>
      </c>
      <c r="M89" s="49">
        <v>0.094</v>
      </c>
      <c r="N89" s="48">
        <v>0.15</v>
      </c>
      <c r="O89" s="48"/>
      <c r="P89" s="48"/>
      <c r="Q89" s="48"/>
      <c r="R89" s="84">
        <f t="shared" si="1"/>
        <v>1.044</v>
      </c>
      <c r="S89" s="84">
        <f t="shared" si="2"/>
        <v>0.7198930146</v>
      </c>
      <c r="T89" s="85">
        <f t="shared" si="20"/>
        <v>0.7338461538</v>
      </c>
      <c r="U89" s="85">
        <f t="shared" si="3"/>
        <v>-0.01395313923</v>
      </c>
      <c r="V89" s="84">
        <f t="shared" si="4"/>
        <v>0.3101538462</v>
      </c>
      <c r="W89" s="54">
        <f t="shared" si="5"/>
        <v>1.712832109</v>
      </c>
      <c r="X89" s="52">
        <f t="shared" si="6"/>
        <v>0.04893806024</v>
      </c>
      <c r="Y89" s="51">
        <f t="shared" si="7"/>
        <v>5.522524159</v>
      </c>
      <c r="Z89" s="53">
        <f t="shared" si="8"/>
        <v>0.1577864046</v>
      </c>
      <c r="AA89" s="52">
        <f t="shared" si="9"/>
        <v>0.1509935375</v>
      </c>
      <c r="AB89" s="86">
        <f t="shared" si="10"/>
        <v>0.04305102901</v>
      </c>
      <c r="AC89" s="51">
        <f t="shared" si="11"/>
        <v>35.38</v>
      </c>
      <c r="AD89" s="52">
        <f t="shared" si="12"/>
        <v>1.731428571</v>
      </c>
      <c r="AE89" s="53">
        <f t="shared" si="13"/>
        <v>5.582482993</v>
      </c>
      <c r="AF89" s="52">
        <f t="shared" si="14"/>
        <v>5.342151356</v>
      </c>
      <c r="AG89" s="52">
        <f t="shared" si="15"/>
        <v>0.04305102901</v>
      </c>
      <c r="AH89" s="87"/>
    </row>
  </sheetData>
  <mergeCells count="2">
    <mergeCell ref="H1:L1"/>
    <mergeCell ref="M1:Q1"/>
  </mergeCells>
  <conditionalFormatting sqref="AB1:AB89 AG2:AG89">
    <cfRule type="colorScale" priority="1">
      <colorScale>
        <cfvo type="min"/>
        <cfvo type="formula" val="0"/>
        <cfvo type="max"/>
        <color rgb="FFCFE2F3"/>
        <color rgb="FFFFFFFF"/>
        <color rgb="FFF4CCCC"/>
      </colorScale>
    </cfRule>
  </conditionalFormatting>
  <conditionalFormatting sqref="U2:U89">
    <cfRule type="colorScale" priority="2">
      <colorScale>
        <cfvo type="min"/>
        <cfvo type="formula" val="0"/>
        <cfvo type="max"/>
        <color rgb="FFCFE2F3"/>
        <color rgb="FFFFFFFF"/>
        <color rgb="FFF4CCC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3.75"/>
    <col customWidth="1" min="2" max="2" width="9.13"/>
    <col customWidth="1" min="3" max="3" width="16.5"/>
    <col customWidth="1" min="4" max="4" width="9.63"/>
    <col customWidth="1" min="5" max="5" width="4.88"/>
    <col customWidth="1" min="6" max="6" width="9.63"/>
    <col customWidth="1" min="7" max="8" width="8.88"/>
    <col customWidth="1" min="9" max="9" width="62.88"/>
  </cols>
  <sheetData>
    <row r="1">
      <c r="A1" s="89" t="s">
        <v>111</v>
      </c>
      <c r="B1" s="90" t="s">
        <v>112</v>
      </c>
      <c r="C1" s="91" t="s">
        <v>113</v>
      </c>
      <c r="D1" s="90" t="s">
        <v>114</v>
      </c>
      <c r="E1" s="92" t="s">
        <v>48</v>
      </c>
      <c r="F1" s="93" t="s">
        <v>115</v>
      </c>
      <c r="G1" s="94" t="s">
        <v>63</v>
      </c>
      <c r="H1" s="95" t="s">
        <v>64</v>
      </c>
      <c r="I1" s="96"/>
    </row>
    <row r="2">
      <c r="A2" s="97" t="s">
        <v>116</v>
      </c>
      <c r="B2" s="98">
        <f t="shared" ref="B2:B3" si="1">6/50</f>
        <v>0.12</v>
      </c>
      <c r="C2" s="99" t="s">
        <v>117</v>
      </c>
      <c r="D2" s="98">
        <v>0.3</v>
      </c>
      <c r="E2" s="100">
        <v>3.0</v>
      </c>
      <c r="F2" s="101">
        <f t="shared" ref="F2:F64" si="2">E2/D2</f>
        <v>10</v>
      </c>
      <c r="G2" s="102">
        <f t="shared" ref="G2:G64" si="3">7500*B2/(75+B2)</f>
        <v>11.98083067</v>
      </c>
      <c r="H2" s="103">
        <f t="shared" ref="H2:H64" si="4">(F2-G2)/F2</f>
        <v>-0.1980830671</v>
      </c>
      <c r="I2" s="104"/>
    </row>
    <row r="3">
      <c r="A3" s="97" t="s">
        <v>116</v>
      </c>
      <c r="B3" s="98">
        <f t="shared" si="1"/>
        <v>0.12</v>
      </c>
      <c r="C3" s="99" t="s">
        <v>118</v>
      </c>
      <c r="D3" s="98">
        <v>0.2</v>
      </c>
      <c r="E3" s="100">
        <v>2.0</v>
      </c>
      <c r="F3" s="101">
        <f t="shared" si="2"/>
        <v>10</v>
      </c>
      <c r="G3" s="102">
        <f t="shared" si="3"/>
        <v>11.98083067</v>
      </c>
      <c r="H3" s="103">
        <f t="shared" si="4"/>
        <v>-0.1980830671</v>
      </c>
      <c r="I3" s="104"/>
    </row>
    <row r="4">
      <c r="A4" s="97" t="s">
        <v>116</v>
      </c>
      <c r="B4" s="97">
        <f t="shared" ref="B4:B6" si="5">9/50</f>
        <v>0.18</v>
      </c>
      <c r="C4" s="99" t="s">
        <v>117</v>
      </c>
      <c r="D4" s="98">
        <v>0.3</v>
      </c>
      <c r="E4" s="100">
        <v>5.0</v>
      </c>
      <c r="F4" s="101">
        <f t="shared" si="2"/>
        <v>16.66666667</v>
      </c>
      <c r="G4" s="102">
        <f t="shared" si="3"/>
        <v>17.95690343</v>
      </c>
      <c r="H4" s="103">
        <f t="shared" si="4"/>
        <v>-0.07741420591</v>
      </c>
      <c r="I4" s="104"/>
    </row>
    <row r="5">
      <c r="A5" s="97" t="s">
        <v>116</v>
      </c>
      <c r="B5" s="97">
        <f t="shared" si="5"/>
        <v>0.18</v>
      </c>
      <c r="C5" s="99" t="s">
        <v>119</v>
      </c>
      <c r="D5" s="98">
        <v>3.0</v>
      </c>
      <c r="E5" s="100">
        <v>53.0</v>
      </c>
      <c r="F5" s="101">
        <f t="shared" si="2"/>
        <v>17.66666667</v>
      </c>
      <c r="G5" s="102">
        <f t="shared" si="3"/>
        <v>17.95690343</v>
      </c>
      <c r="H5" s="103">
        <f t="shared" si="4"/>
        <v>-0.01642849614</v>
      </c>
      <c r="I5" s="104"/>
    </row>
    <row r="6">
      <c r="A6" s="97" t="s">
        <v>116</v>
      </c>
      <c r="B6" s="98">
        <f t="shared" si="5"/>
        <v>0.18</v>
      </c>
      <c r="C6" s="99" t="s">
        <v>118</v>
      </c>
      <c r="D6" s="98">
        <v>0.2</v>
      </c>
      <c r="E6" s="100">
        <v>3.0</v>
      </c>
      <c r="F6" s="101">
        <f t="shared" si="2"/>
        <v>15</v>
      </c>
      <c r="G6" s="102">
        <f t="shared" si="3"/>
        <v>17.95690343</v>
      </c>
      <c r="H6" s="103">
        <f t="shared" si="4"/>
        <v>-0.1971268955</v>
      </c>
      <c r="I6" s="104"/>
    </row>
    <row r="7">
      <c r="A7" s="97" t="s">
        <v>116</v>
      </c>
      <c r="B7" s="98">
        <f>12/50</f>
        <v>0.24</v>
      </c>
      <c r="C7" s="99" t="s">
        <v>118</v>
      </c>
      <c r="D7" s="98">
        <v>0.2</v>
      </c>
      <c r="E7" s="100">
        <v>4.0</v>
      </c>
      <c r="F7" s="101">
        <f t="shared" si="2"/>
        <v>20</v>
      </c>
      <c r="G7" s="102">
        <f t="shared" si="3"/>
        <v>23.92344498</v>
      </c>
      <c r="H7" s="103">
        <f t="shared" si="4"/>
        <v>-0.1961722488</v>
      </c>
      <c r="I7" s="104"/>
    </row>
    <row r="8">
      <c r="A8" s="97" t="s">
        <v>116</v>
      </c>
      <c r="B8" s="98">
        <f t="shared" ref="B8:B9" si="6">17/50</f>
        <v>0.34</v>
      </c>
      <c r="C8" s="99" t="s">
        <v>117</v>
      </c>
      <c r="D8" s="98">
        <v>0.3</v>
      </c>
      <c r="E8" s="100">
        <v>10.0</v>
      </c>
      <c r="F8" s="101">
        <f t="shared" si="2"/>
        <v>33.33333333</v>
      </c>
      <c r="G8" s="102">
        <f t="shared" si="3"/>
        <v>33.84656225</v>
      </c>
      <c r="H8" s="103">
        <f t="shared" si="4"/>
        <v>-0.01539686753</v>
      </c>
      <c r="I8" s="104"/>
    </row>
    <row r="9">
      <c r="A9" s="97" t="s">
        <v>116</v>
      </c>
      <c r="B9" s="98">
        <f t="shared" si="6"/>
        <v>0.34</v>
      </c>
      <c r="C9" s="99" t="s">
        <v>119</v>
      </c>
      <c r="D9" s="98">
        <v>3.0</v>
      </c>
      <c r="E9" s="100">
        <v>101.0</v>
      </c>
      <c r="F9" s="101">
        <f t="shared" si="2"/>
        <v>33.66666667</v>
      </c>
      <c r="G9" s="102">
        <f t="shared" si="3"/>
        <v>33.84656225</v>
      </c>
      <c r="H9" s="103">
        <f t="shared" si="4"/>
        <v>-0.005343433202</v>
      </c>
      <c r="I9" s="104"/>
    </row>
    <row r="10">
      <c r="A10" s="97" t="s">
        <v>116</v>
      </c>
      <c r="B10" s="98">
        <f>23/50</f>
        <v>0.46</v>
      </c>
      <c r="C10" s="99" t="s">
        <v>118</v>
      </c>
      <c r="D10" s="98">
        <v>0.2</v>
      </c>
      <c r="E10" s="100">
        <v>8.0</v>
      </c>
      <c r="F10" s="101">
        <f t="shared" si="2"/>
        <v>40</v>
      </c>
      <c r="G10" s="102">
        <f t="shared" si="3"/>
        <v>45.71958654</v>
      </c>
      <c r="H10" s="103">
        <f t="shared" si="4"/>
        <v>-0.1429896634</v>
      </c>
      <c r="I10" s="104"/>
    </row>
    <row r="11">
      <c r="A11" s="97" t="s">
        <v>116</v>
      </c>
      <c r="B11" s="98">
        <f t="shared" ref="B11:B12" si="7">28/50</f>
        <v>0.56</v>
      </c>
      <c r="C11" s="99" t="s">
        <v>117</v>
      </c>
      <c r="D11" s="98">
        <v>0.3</v>
      </c>
      <c r="E11" s="100">
        <v>16.0</v>
      </c>
      <c r="F11" s="101">
        <f t="shared" si="2"/>
        <v>53.33333333</v>
      </c>
      <c r="G11" s="102">
        <f t="shared" si="3"/>
        <v>55.58496559</v>
      </c>
      <c r="H11" s="103">
        <f t="shared" si="4"/>
        <v>-0.04221810482</v>
      </c>
      <c r="I11" s="104"/>
    </row>
    <row r="12">
      <c r="A12" s="97" t="s">
        <v>116</v>
      </c>
      <c r="B12" s="98">
        <f t="shared" si="7"/>
        <v>0.56</v>
      </c>
      <c r="C12" s="99" t="s">
        <v>119</v>
      </c>
      <c r="D12" s="98">
        <v>3.0</v>
      </c>
      <c r="E12" s="100">
        <v>166.0</v>
      </c>
      <c r="F12" s="101">
        <f t="shared" si="2"/>
        <v>55.33333333</v>
      </c>
      <c r="G12" s="102">
        <f t="shared" si="3"/>
        <v>55.58496559</v>
      </c>
      <c r="H12" s="103">
        <f t="shared" si="4"/>
        <v>-0.004547570908</v>
      </c>
      <c r="I12" s="104"/>
    </row>
    <row r="13">
      <c r="A13" s="97" t="s">
        <v>116</v>
      </c>
      <c r="B13" s="98">
        <f>29/50</f>
        <v>0.58</v>
      </c>
      <c r="C13" s="99" t="s">
        <v>118</v>
      </c>
      <c r="D13" s="98">
        <v>0.2</v>
      </c>
      <c r="E13" s="100">
        <v>11.0</v>
      </c>
      <c r="F13" s="101">
        <f t="shared" si="2"/>
        <v>55</v>
      </c>
      <c r="G13" s="102">
        <f t="shared" si="3"/>
        <v>57.55490871</v>
      </c>
      <c r="H13" s="103">
        <f t="shared" si="4"/>
        <v>-0.04645288556</v>
      </c>
      <c r="I13" s="104"/>
    </row>
    <row r="14">
      <c r="A14" s="97" t="s">
        <v>116</v>
      </c>
      <c r="B14" s="98">
        <f t="shared" ref="B14:B16" si="8">32/50</f>
        <v>0.64</v>
      </c>
      <c r="C14" s="99" t="s">
        <v>117</v>
      </c>
      <c r="D14" s="98">
        <v>0.3</v>
      </c>
      <c r="E14" s="100">
        <v>19.0</v>
      </c>
      <c r="F14" s="101">
        <f t="shared" si="2"/>
        <v>63.33333333</v>
      </c>
      <c r="G14" s="102">
        <f t="shared" si="3"/>
        <v>63.45848757</v>
      </c>
      <c r="H14" s="103">
        <f t="shared" si="4"/>
        <v>-0.001976119569</v>
      </c>
      <c r="I14" s="104"/>
    </row>
    <row r="15">
      <c r="A15" s="97" t="s">
        <v>116</v>
      </c>
      <c r="B15" s="98">
        <f t="shared" si="8"/>
        <v>0.64</v>
      </c>
      <c r="C15" s="99" t="s">
        <v>119</v>
      </c>
      <c r="D15" s="98">
        <v>3.0</v>
      </c>
      <c r="E15" s="100">
        <v>190.0</v>
      </c>
      <c r="F15" s="101">
        <f t="shared" si="2"/>
        <v>63.33333333</v>
      </c>
      <c r="G15" s="102">
        <f t="shared" si="3"/>
        <v>63.45848757</v>
      </c>
      <c r="H15" s="103">
        <f t="shared" si="4"/>
        <v>-0.001976119569</v>
      </c>
      <c r="I15" s="104"/>
    </row>
    <row r="16">
      <c r="A16" s="97" t="s">
        <v>116</v>
      </c>
      <c r="B16" s="98">
        <f t="shared" si="8"/>
        <v>0.64</v>
      </c>
      <c r="C16" s="99" t="s">
        <v>118</v>
      </c>
      <c r="D16" s="98">
        <v>0.2</v>
      </c>
      <c r="E16" s="100">
        <v>12.0</v>
      </c>
      <c r="F16" s="101">
        <f t="shared" si="2"/>
        <v>60</v>
      </c>
      <c r="G16" s="102">
        <f t="shared" si="3"/>
        <v>63.45848757</v>
      </c>
      <c r="H16" s="103">
        <f t="shared" si="4"/>
        <v>-0.05764145955</v>
      </c>
      <c r="I16" s="104"/>
    </row>
    <row r="17">
      <c r="A17" s="97" t="s">
        <v>116</v>
      </c>
      <c r="B17" s="98">
        <f t="shared" ref="B17:B18" si="9">39/50</f>
        <v>0.78</v>
      </c>
      <c r="C17" s="99" t="s">
        <v>117</v>
      </c>
      <c r="D17" s="98">
        <v>0.3</v>
      </c>
      <c r="E17" s="100">
        <v>23.0</v>
      </c>
      <c r="F17" s="101">
        <f t="shared" si="2"/>
        <v>76.66666667</v>
      </c>
      <c r="G17" s="102">
        <f t="shared" si="3"/>
        <v>77.19714964</v>
      </c>
      <c r="H17" s="103">
        <f t="shared" si="4"/>
        <v>-0.006919343179</v>
      </c>
      <c r="I17" s="104"/>
    </row>
    <row r="18">
      <c r="A18" s="97" t="s">
        <v>116</v>
      </c>
      <c r="B18" s="98">
        <f t="shared" si="9"/>
        <v>0.78</v>
      </c>
      <c r="C18" s="99" t="s">
        <v>119</v>
      </c>
      <c r="D18" s="98">
        <v>3.0</v>
      </c>
      <c r="E18" s="100">
        <v>231.0</v>
      </c>
      <c r="F18" s="101">
        <f t="shared" si="2"/>
        <v>77</v>
      </c>
      <c r="G18" s="102">
        <f t="shared" si="3"/>
        <v>77.19714964</v>
      </c>
      <c r="H18" s="103">
        <f t="shared" si="4"/>
        <v>-0.002560384983</v>
      </c>
      <c r="I18" s="104"/>
    </row>
    <row r="19">
      <c r="A19" s="97" t="s">
        <v>116</v>
      </c>
      <c r="B19" s="98">
        <f>41/50</f>
        <v>0.82</v>
      </c>
      <c r="C19" s="99" t="s">
        <v>118</v>
      </c>
      <c r="D19" s="98">
        <v>0.2</v>
      </c>
      <c r="E19" s="100">
        <v>16.0</v>
      </c>
      <c r="F19" s="101">
        <f t="shared" si="2"/>
        <v>80</v>
      </c>
      <c r="G19" s="102">
        <f t="shared" si="3"/>
        <v>81.11316275</v>
      </c>
      <c r="H19" s="103">
        <f t="shared" si="4"/>
        <v>-0.01391453442</v>
      </c>
      <c r="I19" s="104"/>
    </row>
    <row r="20">
      <c r="A20" s="97" t="s">
        <v>116</v>
      </c>
      <c r="B20" s="98">
        <v>1.0</v>
      </c>
      <c r="C20" s="99" t="s">
        <v>117</v>
      </c>
      <c r="D20" s="98">
        <v>0.3</v>
      </c>
      <c r="E20" s="100">
        <v>29.0</v>
      </c>
      <c r="F20" s="101">
        <f t="shared" si="2"/>
        <v>96.66666667</v>
      </c>
      <c r="G20" s="102">
        <f t="shared" si="3"/>
        <v>98.68421053</v>
      </c>
      <c r="H20" s="103">
        <f t="shared" si="4"/>
        <v>-0.02087114338</v>
      </c>
      <c r="I20" s="104"/>
    </row>
    <row r="21">
      <c r="A21" s="97" t="s">
        <v>116</v>
      </c>
      <c r="B21" s="98">
        <v>1.0</v>
      </c>
      <c r="C21" s="99" t="s">
        <v>119</v>
      </c>
      <c r="D21" s="98">
        <v>3.0</v>
      </c>
      <c r="E21" s="100">
        <v>296.0</v>
      </c>
      <c r="F21" s="101">
        <f t="shared" si="2"/>
        <v>98.66666667</v>
      </c>
      <c r="G21" s="102">
        <f t="shared" si="3"/>
        <v>98.68421053</v>
      </c>
      <c r="H21" s="103">
        <f t="shared" si="4"/>
        <v>-0.0001778093883</v>
      </c>
      <c r="I21" s="104"/>
    </row>
    <row r="22">
      <c r="A22" s="97" t="s">
        <v>120</v>
      </c>
      <c r="B22" s="98">
        <f>7/4</f>
        <v>1.75</v>
      </c>
      <c r="C22" s="99" t="s">
        <v>121</v>
      </c>
      <c r="D22" s="98">
        <v>1.0</v>
      </c>
      <c r="E22" s="100">
        <v>171.0</v>
      </c>
      <c r="F22" s="101">
        <f t="shared" si="2"/>
        <v>171</v>
      </c>
      <c r="G22" s="102">
        <f t="shared" si="3"/>
        <v>171.009772</v>
      </c>
      <c r="H22" s="103">
        <f t="shared" si="4"/>
        <v>-0.00005714612264</v>
      </c>
      <c r="I22" s="104"/>
    </row>
    <row r="23">
      <c r="A23" s="97" t="s">
        <v>120</v>
      </c>
      <c r="B23" s="98">
        <v>2.0</v>
      </c>
      <c r="C23" s="99" t="s">
        <v>121</v>
      </c>
      <c r="D23" s="98">
        <v>1.0</v>
      </c>
      <c r="E23" s="100">
        <v>194.0</v>
      </c>
      <c r="F23" s="101">
        <f t="shared" si="2"/>
        <v>194</v>
      </c>
      <c r="G23" s="102">
        <f t="shared" si="3"/>
        <v>194.8051948</v>
      </c>
      <c r="H23" s="103">
        <f t="shared" si="4"/>
        <v>-0.004150488687</v>
      </c>
      <c r="I23" s="104"/>
    </row>
    <row r="24">
      <c r="A24" s="97" t="s">
        <v>120</v>
      </c>
      <c r="B24" s="98">
        <v>3.0</v>
      </c>
      <c r="C24" s="99" t="s">
        <v>121</v>
      </c>
      <c r="D24" s="98">
        <v>1.0</v>
      </c>
      <c r="E24" s="100">
        <v>288.0</v>
      </c>
      <c r="F24" s="101">
        <f t="shared" si="2"/>
        <v>288</v>
      </c>
      <c r="G24" s="102">
        <f t="shared" si="3"/>
        <v>288.4615385</v>
      </c>
      <c r="H24" s="103">
        <f t="shared" si="4"/>
        <v>-0.001602564103</v>
      </c>
      <c r="I24" s="104"/>
    </row>
    <row r="25">
      <c r="A25" s="97" t="s">
        <v>120</v>
      </c>
      <c r="B25" s="98">
        <v>4.0</v>
      </c>
      <c r="C25" s="99" t="s">
        <v>121</v>
      </c>
      <c r="D25" s="98">
        <v>1.0</v>
      </c>
      <c r="E25" s="100">
        <v>379.0</v>
      </c>
      <c r="F25" s="101">
        <f t="shared" si="2"/>
        <v>379</v>
      </c>
      <c r="G25" s="102">
        <f t="shared" si="3"/>
        <v>379.7468354</v>
      </c>
      <c r="H25" s="103">
        <f t="shared" si="4"/>
        <v>-0.001970542066</v>
      </c>
      <c r="I25" s="104"/>
    </row>
    <row r="26">
      <c r="A26" s="97" t="s">
        <v>120</v>
      </c>
      <c r="B26" s="98">
        <v>4.5</v>
      </c>
      <c r="C26" s="99" t="s">
        <v>121</v>
      </c>
      <c r="D26" s="98">
        <v>1.0</v>
      </c>
      <c r="E26" s="100">
        <v>424.0</v>
      </c>
      <c r="F26" s="101">
        <f t="shared" si="2"/>
        <v>424</v>
      </c>
      <c r="G26" s="102">
        <f t="shared" si="3"/>
        <v>424.5283019</v>
      </c>
      <c r="H26" s="103">
        <f t="shared" si="4"/>
        <v>-0.001245995016</v>
      </c>
      <c r="I26" s="104"/>
    </row>
    <row r="27">
      <c r="A27" s="97" t="s">
        <v>120</v>
      </c>
      <c r="B27" s="98">
        <v>5.0</v>
      </c>
      <c r="C27" s="99" t="s">
        <v>121</v>
      </c>
      <c r="D27" s="98">
        <v>1.0</v>
      </c>
      <c r="E27" s="100">
        <v>468.0</v>
      </c>
      <c r="F27" s="101">
        <f t="shared" si="2"/>
        <v>468</v>
      </c>
      <c r="G27" s="102">
        <f t="shared" si="3"/>
        <v>468.75</v>
      </c>
      <c r="H27" s="103">
        <f t="shared" si="4"/>
        <v>-0.001602564103</v>
      </c>
      <c r="I27" s="104"/>
    </row>
    <row r="28">
      <c r="A28" s="105" t="s">
        <v>116</v>
      </c>
      <c r="B28" s="105">
        <f>(8+355)/50</f>
        <v>7.26</v>
      </c>
      <c r="C28" s="99" t="s">
        <v>117</v>
      </c>
      <c r="D28" s="98">
        <v>0.3</v>
      </c>
      <c r="E28" s="106">
        <v>198.0</v>
      </c>
      <c r="F28" s="101">
        <f t="shared" si="2"/>
        <v>660</v>
      </c>
      <c r="G28" s="102">
        <f t="shared" si="3"/>
        <v>661.9256018</v>
      </c>
      <c r="H28" s="103">
        <f t="shared" si="4"/>
        <v>-0.00291757841</v>
      </c>
      <c r="I28" s="104"/>
    </row>
    <row r="29">
      <c r="A29" s="97" t="s">
        <v>120</v>
      </c>
      <c r="B29" s="98">
        <v>10.0</v>
      </c>
      <c r="C29" s="99" t="s">
        <v>121</v>
      </c>
      <c r="D29" s="98">
        <v>1.0</v>
      </c>
      <c r="E29" s="100">
        <v>882.0</v>
      </c>
      <c r="F29" s="101">
        <f t="shared" si="2"/>
        <v>882</v>
      </c>
      <c r="G29" s="102">
        <f t="shared" si="3"/>
        <v>882.3529412</v>
      </c>
      <c r="H29" s="103">
        <f t="shared" si="4"/>
        <v>-0.000400160064</v>
      </c>
      <c r="I29" s="104"/>
    </row>
    <row r="30">
      <c r="A30" s="105" t="s">
        <v>116</v>
      </c>
      <c r="B30" s="105">
        <f>(520+189)/50</f>
        <v>14.18</v>
      </c>
      <c r="C30" s="99" t="s">
        <v>117</v>
      </c>
      <c r="D30" s="98">
        <v>0.3</v>
      </c>
      <c r="E30" s="106">
        <v>357.0</v>
      </c>
      <c r="F30" s="101">
        <f t="shared" si="2"/>
        <v>1190</v>
      </c>
      <c r="G30" s="102">
        <f t="shared" si="3"/>
        <v>1192.531958</v>
      </c>
      <c r="H30" s="103">
        <f t="shared" si="4"/>
        <v>-0.002127695662</v>
      </c>
      <c r="I30" s="104"/>
    </row>
    <row r="31">
      <c r="A31" s="97" t="s">
        <v>120</v>
      </c>
      <c r="B31" s="98">
        <v>20.0</v>
      </c>
      <c r="C31" s="99" t="s">
        <v>121</v>
      </c>
      <c r="D31" s="98">
        <v>1.0</v>
      </c>
      <c r="E31" s="100">
        <v>1578.0</v>
      </c>
      <c r="F31" s="101">
        <f t="shared" si="2"/>
        <v>1578</v>
      </c>
      <c r="G31" s="102">
        <f t="shared" si="3"/>
        <v>1578.947368</v>
      </c>
      <c r="H31" s="103">
        <f t="shared" si="4"/>
        <v>-0.0006003602161</v>
      </c>
      <c r="I31" s="104"/>
    </row>
    <row r="32">
      <c r="A32" s="105" t="s">
        <v>116</v>
      </c>
      <c r="B32" s="105">
        <f>(182+173+684)/50</f>
        <v>20.78</v>
      </c>
      <c r="C32" s="99" t="s">
        <v>117</v>
      </c>
      <c r="D32" s="98">
        <v>0.26</v>
      </c>
      <c r="E32" s="106">
        <v>423.0</v>
      </c>
      <c r="F32" s="101">
        <f t="shared" si="2"/>
        <v>1626.923077</v>
      </c>
      <c r="G32" s="102">
        <f t="shared" si="3"/>
        <v>1627.166423</v>
      </c>
      <c r="H32" s="103">
        <f t="shared" si="4"/>
        <v>-0.0001495744533</v>
      </c>
      <c r="I32" s="104"/>
    </row>
    <row r="33">
      <c r="A33" s="105" t="s">
        <v>116</v>
      </c>
      <c r="B33" s="105">
        <f>(882+455)/50</f>
        <v>26.74</v>
      </c>
      <c r="C33" s="99" t="s">
        <v>117</v>
      </c>
      <c r="D33" s="98">
        <v>0.3</v>
      </c>
      <c r="E33" s="106">
        <v>591.0</v>
      </c>
      <c r="F33" s="101">
        <f t="shared" si="2"/>
        <v>1970</v>
      </c>
      <c r="G33" s="102">
        <f t="shared" si="3"/>
        <v>1971.201101</v>
      </c>
      <c r="H33" s="103">
        <f t="shared" si="4"/>
        <v>-0.0006096958606</v>
      </c>
      <c r="I33" s="104"/>
    </row>
    <row r="34">
      <c r="A34" s="97" t="s">
        <v>120</v>
      </c>
      <c r="B34" s="98">
        <v>30.0</v>
      </c>
      <c r="C34" s="99" t="s">
        <v>121</v>
      </c>
      <c r="D34" s="98">
        <v>1.0</v>
      </c>
      <c r="E34" s="100">
        <v>2142.0</v>
      </c>
      <c r="F34" s="101">
        <f t="shared" si="2"/>
        <v>2142</v>
      </c>
      <c r="G34" s="102">
        <f t="shared" si="3"/>
        <v>2142.857143</v>
      </c>
      <c r="H34" s="103">
        <f t="shared" si="4"/>
        <v>-0.000400160064</v>
      </c>
      <c r="I34" s="104"/>
    </row>
    <row r="35">
      <c r="A35" s="105" t="s">
        <v>116</v>
      </c>
      <c r="B35" s="105">
        <f>(857+729)/50</f>
        <v>31.72</v>
      </c>
      <c r="C35" s="99" t="s">
        <v>117</v>
      </c>
      <c r="D35" s="98">
        <v>0.3</v>
      </c>
      <c r="E35" s="106">
        <v>668.0</v>
      </c>
      <c r="F35" s="101">
        <f t="shared" si="2"/>
        <v>2226.666667</v>
      </c>
      <c r="G35" s="102">
        <f t="shared" si="3"/>
        <v>2229.197901</v>
      </c>
      <c r="H35" s="103">
        <f t="shared" si="4"/>
        <v>-0.001136781908</v>
      </c>
      <c r="I35" s="104"/>
    </row>
    <row r="36">
      <c r="A36" s="105" t="s">
        <v>116</v>
      </c>
      <c r="B36" s="105">
        <f>(1504+292)/50</f>
        <v>35.92</v>
      </c>
      <c r="C36" s="99" t="s">
        <v>117</v>
      </c>
      <c r="D36" s="98">
        <v>0.3</v>
      </c>
      <c r="E36" s="106">
        <v>728.0</v>
      </c>
      <c r="F36" s="101">
        <f t="shared" si="2"/>
        <v>2426.666667</v>
      </c>
      <c r="G36" s="102">
        <f t="shared" si="3"/>
        <v>2428.777497</v>
      </c>
      <c r="H36" s="103">
        <f t="shared" si="4"/>
        <v>-0.0008698477865</v>
      </c>
      <c r="I36" s="104"/>
    </row>
    <row r="37">
      <c r="A37" s="97" t="s">
        <v>120</v>
      </c>
      <c r="B37" s="98">
        <v>40.0</v>
      </c>
      <c r="C37" s="99" t="s">
        <v>121</v>
      </c>
      <c r="D37" s="98">
        <v>1.0</v>
      </c>
      <c r="E37" s="100">
        <v>2608.0</v>
      </c>
      <c r="F37" s="101">
        <f t="shared" si="2"/>
        <v>2608</v>
      </c>
      <c r="G37" s="102">
        <f t="shared" si="3"/>
        <v>2608.695652</v>
      </c>
      <c r="H37" s="103">
        <f t="shared" si="4"/>
        <v>-0.0002667377967</v>
      </c>
      <c r="I37" s="104"/>
    </row>
    <row r="38">
      <c r="A38" s="105" t="s">
        <v>116</v>
      </c>
      <c r="B38" s="105">
        <f>(1142+947)/50</f>
        <v>41.78</v>
      </c>
      <c r="C38" s="99" t="s">
        <v>117</v>
      </c>
      <c r="D38" s="98">
        <v>0.3</v>
      </c>
      <c r="E38" s="106">
        <v>804.0</v>
      </c>
      <c r="F38" s="101">
        <f t="shared" si="2"/>
        <v>2680</v>
      </c>
      <c r="G38" s="102">
        <f t="shared" si="3"/>
        <v>2683.250557</v>
      </c>
      <c r="H38" s="103">
        <f t="shared" si="4"/>
        <v>-0.001212894255</v>
      </c>
      <c r="I38" s="104"/>
    </row>
    <row r="39">
      <c r="A39" s="105" t="s">
        <v>116</v>
      </c>
      <c r="B39" s="105">
        <f>(1052+619+798)/50</f>
        <v>49.38</v>
      </c>
      <c r="C39" s="99" t="s">
        <v>117</v>
      </c>
      <c r="D39" s="98">
        <v>0.3</v>
      </c>
      <c r="E39" s="106">
        <v>891.0</v>
      </c>
      <c r="F39" s="101">
        <f t="shared" si="2"/>
        <v>2970</v>
      </c>
      <c r="G39" s="102">
        <f t="shared" si="3"/>
        <v>2977.568741</v>
      </c>
      <c r="H39" s="103">
        <f t="shared" si="4"/>
        <v>-0.002548397628</v>
      </c>
      <c r="I39" s="104"/>
    </row>
    <row r="40">
      <c r="A40" s="105" t="s">
        <v>116</v>
      </c>
      <c r="B40" s="105">
        <v>50.0</v>
      </c>
      <c r="C40" s="99" t="s">
        <v>117</v>
      </c>
      <c r="D40" s="98">
        <v>0.3</v>
      </c>
      <c r="E40" s="106">
        <v>900.0</v>
      </c>
      <c r="F40" s="101">
        <f t="shared" si="2"/>
        <v>3000</v>
      </c>
      <c r="G40" s="102">
        <f t="shared" si="3"/>
        <v>3000</v>
      </c>
      <c r="H40" s="103">
        <f t="shared" si="4"/>
        <v>0</v>
      </c>
      <c r="I40" s="104"/>
    </row>
    <row r="41">
      <c r="A41" s="97" t="s">
        <v>120</v>
      </c>
      <c r="B41" s="98">
        <v>50.0</v>
      </c>
      <c r="C41" s="99" t="s">
        <v>121</v>
      </c>
      <c r="D41" s="98">
        <v>1.0</v>
      </c>
      <c r="E41" s="100">
        <v>3000.0</v>
      </c>
      <c r="F41" s="101">
        <f t="shared" si="2"/>
        <v>3000</v>
      </c>
      <c r="G41" s="102">
        <f t="shared" si="3"/>
        <v>3000</v>
      </c>
      <c r="H41" s="103">
        <f t="shared" si="4"/>
        <v>0</v>
      </c>
      <c r="I41" s="104"/>
    </row>
    <row r="42">
      <c r="A42" s="105" t="s">
        <v>116</v>
      </c>
      <c r="B42" s="105">
        <f>(1082+709+800)/50</f>
        <v>51.82</v>
      </c>
      <c r="C42" s="99" t="s">
        <v>117</v>
      </c>
      <c r="D42" s="98">
        <v>0.3</v>
      </c>
      <c r="E42" s="106">
        <v>919.0</v>
      </c>
      <c r="F42" s="101">
        <f t="shared" si="2"/>
        <v>3063.333333</v>
      </c>
      <c r="G42" s="102">
        <f t="shared" si="3"/>
        <v>3064.579719</v>
      </c>
      <c r="H42" s="103">
        <f t="shared" si="4"/>
        <v>-0.000406872455</v>
      </c>
      <c r="I42" s="104"/>
    </row>
    <row r="43">
      <c r="A43" s="105" t="s">
        <v>116</v>
      </c>
      <c r="B43" s="105">
        <f>(1459+1133)/50</f>
        <v>51.84</v>
      </c>
      <c r="C43" s="99" t="s">
        <v>117</v>
      </c>
      <c r="D43" s="98">
        <v>0.3</v>
      </c>
      <c r="E43" s="106">
        <v>919.0</v>
      </c>
      <c r="F43" s="101">
        <f t="shared" si="2"/>
        <v>3063.333333</v>
      </c>
      <c r="G43" s="102">
        <f t="shared" si="3"/>
        <v>3065.279092</v>
      </c>
      <c r="H43" s="103">
        <f t="shared" si="4"/>
        <v>-0.0006351768561</v>
      </c>
      <c r="I43" s="104"/>
    </row>
    <row r="44">
      <c r="A44" s="105" t="s">
        <v>116</v>
      </c>
      <c r="B44" s="105">
        <f>(950+850+950)/50</f>
        <v>55</v>
      </c>
      <c r="C44" s="99" t="s">
        <v>117</v>
      </c>
      <c r="D44" s="98">
        <v>0.26</v>
      </c>
      <c r="E44" s="106">
        <v>825.0</v>
      </c>
      <c r="F44" s="101">
        <f t="shared" si="2"/>
        <v>3173.076923</v>
      </c>
      <c r="G44" s="102">
        <f t="shared" si="3"/>
        <v>3173.076923</v>
      </c>
      <c r="H44" s="103">
        <f t="shared" si="4"/>
        <v>0</v>
      </c>
      <c r="I44" s="104"/>
    </row>
    <row r="45">
      <c r="A45" s="97" t="s">
        <v>120</v>
      </c>
      <c r="B45" s="98">
        <v>55.0</v>
      </c>
      <c r="C45" s="99" t="s">
        <v>121</v>
      </c>
      <c r="D45" s="98">
        <v>1.0</v>
      </c>
      <c r="E45" s="100">
        <v>3173.0</v>
      </c>
      <c r="F45" s="101">
        <f t="shared" si="2"/>
        <v>3173</v>
      </c>
      <c r="G45" s="102">
        <f t="shared" si="3"/>
        <v>3173.076923</v>
      </c>
      <c r="H45" s="103">
        <f t="shared" si="4"/>
        <v>-0.00002424301195</v>
      </c>
      <c r="I45" s="104"/>
    </row>
    <row r="46">
      <c r="A46" s="105" t="s">
        <v>116</v>
      </c>
      <c r="B46" s="105">
        <f>(465+1212+1121)/50</f>
        <v>55.96</v>
      </c>
      <c r="C46" s="99" t="s">
        <v>117</v>
      </c>
      <c r="D46" s="98">
        <v>0.3</v>
      </c>
      <c r="E46" s="106">
        <v>961.0</v>
      </c>
      <c r="F46" s="101">
        <f t="shared" si="2"/>
        <v>3203.333333</v>
      </c>
      <c r="G46" s="102">
        <f t="shared" si="3"/>
        <v>3204.795357</v>
      </c>
      <c r="H46" s="103">
        <f t="shared" si="4"/>
        <v>-0.0004564070846</v>
      </c>
      <c r="I46" s="104"/>
    </row>
    <row r="47">
      <c r="A47" s="105" t="s">
        <v>116</v>
      </c>
      <c r="B47" s="105">
        <f>(457+2526)/50</f>
        <v>59.66</v>
      </c>
      <c r="C47" s="99" t="s">
        <v>117</v>
      </c>
      <c r="D47" s="98">
        <v>0.3</v>
      </c>
      <c r="E47" s="106">
        <v>996.0</v>
      </c>
      <c r="F47" s="101">
        <f t="shared" si="2"/>
        <v>3320</v>
      </c>
      <c r="G47" s="102">
        <f t="shared" si="3"/>
        <v>3322.813011</v>
      </c>
      <c r="H47" s="103">
        <f t="shared" si="4"/>
        <v>-0.0008472923329</v>
      </c>
      <c r="I47" s="104"/>
    </row>
    <row r="48">
      <c r="A48" s="97" t="s">
        <v>120</v>
      </c>
      <c r="B48" s="98">
        <v>60.4</v>
      </c>
      <c r="C48" s="99" t="s">
        <v>121</v>
      </c>
      <c r="D48" s="98">
        <v>1.0</v>
      </c>
      <c r="E48" s="100">
        <v>3345.0</v>
      </c>
      <c r="F48" s="101">
        <f t="shared" si="2"/>
        <v>3345</v>
      </c>
      <c r="G48" s="102">
        <f t="shared" si="3"/>
        <v>3345.642541</v>
      </c>
      <c r="H48" s="103">
        <f t="shared" si="4"/>
        <v>-0.0001920898716</v>
      </c>
      <c r="I48" s="104"/>
    </row>
    <row r="49">
      <c r="A49" s="105" t="s">
        <v>116</v>
      </c>
      <c r="B49" s="105">
        <f>(1050+1250+1042)/50</f>
        <v>66.84</v>
      </c>
      <c r="C49" s="99" t="s">
        <v>117</v>
      </c>
      <c r="D49" s="98">
        <v>0.3</v>
      </c>
      <c r="E49" s="106">
        <v>1060.0</v>
      </c>
      <c r="F49" s="101">
        <f t="shared" si="2"/>
        <v>3533.333333</v>
      </c>
      <c r="G49" s="102">
        <f t="shared" si="3"/>
        <v>3534.263959</v>
      </c>
      <c r="H49" s="103">
        <f t="shared" si="4"/>
        <v>-0.0002633847333</v>
      </c>
      <c r="I49" s="104"/>
    </row>
    <row r="50">
      <c r="A50" s="105" t="s">
        <v>116</v>
      </c>
      <c r="B50" s="105">
        <f>(2150+1250)/50</f>
        <v>68</v>
      </c>
      <c r="C50" s="99" t="s">
        <v>117</v>
      </c>
      <c r="D50" s="98">
        <v>0.3</v>
      </c>
      <c r="E50" s="106">
        <v>1069.0</v>
      </c>
      <c r="F50" s="101">
        <f t="shared" si="2"/>
        <v>3563.333333</v>
      </c>
      <c r="G50" s="102">
        <f t="shared" si="3"/>
        <v>3566.433566</v>
      </c>
      <c r="H50" s="103">
        <f t="shared" si="4"/>
        <v>-0.0008700373527</v>
      </c>
      <c r="I50" s="104"/>
    </row>
    <row r="51">
      <c r="A51" s="97" t="s">
        <v>120</v>
      </c>
      <c r="B51" s="98">
        <v>70.0</v>
      </c>
      <c r="C51" s="99" t="s">
        <v>121</v>
      </c>
      <c r="D51" s="98">
        <v>1.0</v>
      </c>
      <c r="E51" s="100">
        <v>3620.0</v>
      </c>
      <c r="F51" s="101">
        <f t="shared" si="2"/>
        <v>3620</v>
      </c>
      <c r="G51" s="102">
        <f t="shared" si="3"/>
        <v>3620.689655</v>
      </c>
      <c r="H51" s="103">
        <f t="shared" si="4"/>
        <v>-0.0001905124786</v>
      </c>
      <c r="I51" s="104"/>
    </row>
    <row r="52">
      <c r="A52" s="97" t="s">
        <v>122</v>
      </c>
      <c r="B52" s="105">
        <f>(3592-43)/50</f>
        <v>70.98</v>
      </c>
      <c r="C52" s="99" t="s">
        <v>123</v>
      </c>
      <c r="D52" s="98">
        <v>1.0</v>
      </c>
      <c r="E52" s="100">
        <v>3646.0</v>
      </c>
      <c r="F52" s="101">
        <f t="shared" si="2"/>
        <v>3646</v>
      </c>
      <c r="G52" s="102">
        <f t="shared" si="3"/>
        <v>3646.732429</v>
      </c>
      <c r="H52" s="103">
        <f t="shared" si="4"/>
        <v>-0.0002008856555</v>
      </c>
      <c r="I52" s="104"/>
    </row>
    <row r="53">
      <c r="A53" s="105" t="s">
        <v>116</v>
      </c>
      <c r="B53" s="105">
        <v>71.0</v>
      </c>
      <c r="C53" s="99" t="s">
        <v>117</v>
      </c>
      <c r="D53" s="98">
        <v>0.3</v>
      </c>
      <c r="E53" s="106">
        <v>1094.0</v>
      </c>
      <c r="F53" s="101">
        <f t="shared" si="2"/>
        <v>3646.666667</v>
      </c>
      <c r="G53" s="102">
        <f t="shared" si="3"/>
        <v>3647.260274</v>
      </c>
      <c r="H53" s="103">
        <f t="shared" si="4"/>
        <v>-0.0001627807969</v>
      </c>
      <c r="I53" s="104"/>
    </row>
    <row r="54">
      <c r="A54" s="97" t="s">
        <v>122</v>
      </c>
      <c r="B54" s="105">
        <f>(3636-44)/50</f>
        <v>71.84</v>
      </c>
      <c r="C54" s="99" t="s">
        <v>123</v>
      </c>
      <c r="D54" s="98">
        <v>1.0</v>
      </c>
      <c r="E54" s="100">
        <v>3669.0</v>
      </c>
      <c r="F54" s="101">
        <f t="shared" si="2"/>
        <v>3669</v>
      </c>
      <c r="G54" s="102">
        <f t="shared" si="3"/>
        <v>3669.299918</v>
      </c>
      <c r="H54" s="103">
        <f t="shared" si="4"/>
        <v>-0.00008174387528</v>
      </c>
      <c r="I54" s="104"/>
    </row>
    <row r="55">
      <c r="A55" s="97" t="s">
        <v>122</v>
      </c>
      <c r="B55" s="105">
        <f>(3664-44)/50</f>
        <v>72.4</v>
      </c>
      <c r="C55" s="99" t="s">
        <v>123</v>
      </c>
      <c r="D55" s="98">
        <v>1.0</v>
      </c>
      <c r="E55" s="100">
        <v>3683.0</v>
      </c>
      <c r="F55" s="101">
        <f t="shared" si="2"/>
        <v>3683</v>
      </c>
      <c r="G55" s="102">
        <f t="shared" si="3"/>
        <v>3683.85346</v>
      </c>
      <c r="H55" s="103">
        <f t="shared" si="4"/>
        <v>-0.0002317295609</v>
      </c>
      <c r="I55" s="104"/>
    </row>
    <row r="56">
      <c r="A56" s="105" t="s">
        <v>116</v>
      </c>
      <c r="B56" s="105">
        <f>(1450+1100+1100)/50</f>
        <v>73</v>
      </c>
      <c r="C56" s="99" t="s">
        <v>117</v>
      </c>
      <c r="D56" s="98">
        <v>0.3</v>
      </c>
      <c r="E56" s="106">
        <v>1109.0</v>
      </c>
      <c r="F56" s="101">
        <f t="shared" si="2"/>
        <v>3696.666667</v>
      </c>
      <c r="G56" s="102">
        <f t="shared" si="3"/>
        <v>3699.324324</v>
      </c>
      <c r="H56" s="103">
        <f t="shared" si="4"/>
        <v>-0.0007189335413</v>
      </c>
      <c r="I56" s="104"/>
    </row>
    <row r="57">
      <c r="A57" s="97" t="s">
        <v>122</v>
      </c>
      <c r="B57" s="105">
        <f>(3708-44)/50</f>
        <v>73.28</v>
      </c>
      <c r="C57" s="99" t="s">
        <v>123</v>
      </c>
      <c r="D57" s="98">
        <v>1.0</v>
      </c>
      <c r="E57" s="100">
        <v>3706.0</v>
      </c>
      <c r="F57" s="101">
        <f t="shared" si="2"/>
        <v>3706</v>
      </c>
      <c r="G57" s="102">
        <f t="shared" si="3"/>
        <v>3706.501214</v>
      </c>
      <c r="H57" s="103">
        <f t="shared" si="4"/>
        <v>-0.0001352439071</v>
      </c>
      <c r="I57" s="104"/>
    </row>
    <row r="58">
      <c r="A58" s="107" t="s">
        <v>116</v>
      </c>
      <c r="B58" s="105">
        <f>(754+1450+1500)/50</f>
        <v>74.08</v>
      </c>
      <c r="C58" s="99" t="s">
        <v>117</v>
      </c>
      <c r="D58" s="98">
        <v>0.3</v>
      </c>
      <c r="E58" s="106">
        <v>1118.0</v>
      </c>
      <c r="F58" s="101">
        <f t="shared" si="2"/>
        <v>3726.666667</v>
      </c>
      <c r="G58" s="102">
        <f t="shared" si="3"/>
        <v>3726.858063</v>
      </c>
      <c r="H58" s="103">
        <f t="shared" si="4"/>
        <v>-0.00005135852909</v>
      </c>
      <c r="I58" s="104"/>
    </row>
    <row r="59">
      <c r="A59" s="107"/>
      <c r="B59" s="105"/>
      <c r="C59" s="99"/>
      <c r="D59" s="98"/>
      <c r="E59" s="106"/>
      <c r="F59" s="101" t="str">
        <f t="shared" si="2"/>
        <v>#DIV/0!</v>
      </c>
      <c r="G59" s="102">
        <f t="shared" si="3"/>
        <v>0</v>
      </c>
      <c r="H59" s="103" t="str">
        <f t="shared" si="4"/>
        <v>#DIV/0!</v>
      </c>
      <c r="I59" s="104"/>
    </row>
    <row r="60">
      <c r="A60" s="107"/>
      <c r="B60" s="105"/>
      <c r="C60" s="99"/>
      <c r="D60" s="98"/>
      <c r="E60" s="106"/>
      <c r="F60" s="101" t="str">
        <f t="shared" si="2"/>
        <v>#DIV/0!</v>
      </c>
      <c r="G60" s="102">
        <f t="shared" si="3"/>
        <v>0</v>
      </c>
      <c r="H60" s="103" t="str">
        <f t="shared" si="4"/>
        <v>#DIV/0!</v>
      </c>
      <c r="I60" s="104"/>
    </row>
    <row r="61">
      <c r="A61" s="107"/>
      <c r="B61" s="105"/>
      <c r="C61" s="99"/>
      <c r="D61" s="98"/>
      <c r="E61" s="106"/>
      <c r="F61" s="101" t="str">
        <f t="shared" si="2"/>
        <v>#DIV/0!</v>
      </c>
      <c r="G61" s="102">
        <f t="shared" si="3"/>
        <v>0</v>
      </c>
      <c r="H61" s="103" t="str">
        <f t="shared" si="4"/>
        <v>#DIV/0!</v>
      </c>
      <c r="I61" s="104"/>
    </row>
    <row r="62">
      <c r="A62" s="107"/>
      <c r="B62" s="105"/>
      <c r="C62" s="99"/>
      <c r="D62" s="98"/>
      <c r="E62" s="106"/>
      <c r="F62" s="101" t="str">
        <f t="shared" si="2"/>
        <v>#DIV/0!</v>
      </c>
      <c r="G62" s="102">
        <f t="shared" si="3"/>
        <v>0</v>
      </c>
      <c r="H62" s="103" t="str">
        <f t="shared" si="4"/>
        <v>#DIV/0!</v>
      </c>
      <c r="I62" s="104"/>
    </row>
    <row r="63">
      <c r="A63" s="107"/>
      <c r="B63" s="105"/>
      <c r="C63" s="99"/>
      <c r="D63" s="98"/>
      <c r="E63" s="106"/>
      <c r="F63" s="101" t="str">
        <f t="shared" si="2"/>
        <v>#DIV/0!</v>
      </c>
      <c r="G63" s="102">
        <f t="shared" si="3"/>
        <v>0</v>
      </c>
      <c r="H63" s="103" t="str">
        <f t="shared" si="4"/>
        <v>#DIV/0!</v>
      </c>
      <c r="I63" s="104"/>
    </row>
    <row r="64">
      <c r="A64" s="107"/>
      <c r="B64" s="105"/>
      <c r="C64" s="99"/>
      <c r="D64" s="98"/>
      <c r="E64" s="106"/>
      <c r="F64" s="101" t="str">
        <f t="shared" si="2"/>
        <v>#DIV/0!</v>
      </c>
      <c r="G64" s="102">
        <f t="shared" si="3"/>
        <v>0</v>
      </c>
      <c r="H64" s="103" t="str">
        <f t="shared" si="4"/>
        <v>#DIV/0!</v>
      </c>
      <c r="I64" s="104"/>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1.0" ySplit="3.0" topLeftCell="L4" activePane="bottomRight" state="frozen"/>
      <selection activeCell="L1" sqref="L1" pane="topRight"/>
      <selection activeCell="A4" sqref="A4" pane="bottomLeft"/>
      <selection activeCell="L4" sqref="L4" pane="bottomRight"/>
    </sheetView>
  </sheetViews>
  <sheetFormatPr customHeight="1" defaultColWidth="12.63" defaultRowHeight="15.75"/>
  <cols>
    <col customWidth="1" min="1" max="1" width="7.13"/>
    <col customWidth="1" min="2" max="11" width="5.13"/>
    <col customWidth="1" min="12" max="12" width="7.5"/>
    <col customWidth="1" min="13" max="13" width="6.5"/>
    <col customWidth="1" min="14" max="23" width="5.13"/>
    <col customWidth="1" min="24" max="24" width="8.63"/>
    <col customWidth="1" min="25" max="25" width="9.38"/>
    <col customWidth="1" min="26" max="26" width="8.63"/>
    <col customWidth="1" min="27" max="27" width="9.38"/>
    <col customWidth="1" min="28" max="28" width="44.38"/>
  </cols>
  <sheetData>
    <row r="1">
      <c r="A1" s="108" t="s">
        <v>124</v>
      </c>
      <c r="B1" s="109" t="s">
        <v>125</v>
      </c>
      <c r="K1" s="110"/>
      <c r="L1" s="111" t="s">
        <v>126</v>
      </c>
      <c r="M1" s="112" t="s">
        <v>127</v>
      </c>
      <c r="N1" s="113" t="s">
        <v>128</v>
      </c>
      <c r="W1" s="114"/>
      <c r="X1" s="115" t="s">
        <v>129</v>
      </c>
      <c r="Y1" s="116" t="s">
        <v>99</v>
      </c>
      <c r="Z1" s="117" t="s">
        <v>130</v>
      </c>
      <c r="AA1" s="118" t="s">
        <v>99</v>
      </c>
      <c r="AB1" s="119"/>
    </row>
    <row r="2">
      <c r="A2" s="120"/>
      <c r="K2" s="121"/>
      <c r="M2" s="120"/>
      <c r="N2" s="122">
        <v>0.0</v>
      </c>
      <c r="O2" s="123">
        <v>-1.0</v>
      </c>
      <c r="P2" s="123">
        <v>-2.0</v>
      </c>
      <c r="Q2" s="123">
        <v>-3.0</v>
      </c>
      <c r="R2" s="123">
        <v>-4.0</v>
      </c>
      <c r="S2" s="123">
        <v>-5.0</v>
      </c>
      <c r="T2" s="123">
        <v>-6.0</v>
      </c>
      <c r="U2" s="123">
        <v>-7.0</v>
      </c>
      <c r="V2" s="123">
        <v>-8.0</v>
      </c>
      <c r="W2" s="123">
        <v>-9.0</v>
      </c>
      <c r="X2" s="124"/>
      <c r="Y2" s="120"/>
      <c r="AB2" s="124"/>
    </row>
    <row r="3">
      <c r="A3" s="125"/>
      <c r="B3" s="126">
        <v>0.0</v>
      </c>
      <c r="C3" s="126">
        <v>-1.0</v>
      </c>
      <c r="D3" s="126">
        <v>-2.0</v>
      </c>
      <c r="E3" s="126">
        <v>-3.0</v>
      </c>
      <c r="F3" s="126">
        <v>-4.0</v>
      </c>
      <c r="G3" s="126">
        <v>-5.0</v>
      </c>
      <c r="H3" s="126">
        <v>-6.0</v>
      </c>
      <c r="I3" s="126">
        <v>-7.0</v>
      </c>
      <c r="J3" s="126">
        <v>-8.0</v>
      </c>
      <c r="K3" s="127">
        <v>-9.0</v>
      </c>
      <c r="L3" s="128"/>
      <c r="M3" s="125"/>
      <c r="N3" s="129">
        <v>0.95</v>
      </c>
      <c r="O3" s="130">
        <v>0.825</v>
      </c>
      <c r="P3" s="130">
        <v>0.72</v>
      </c>
      <c r="Q3" s="130">
        <v>0.625</v>
      </c>
      <c r="R3" s="130">
        <v>0.545</v>
      </c>
      <c r="S3" s="130">
        <v>0.472</v>
      </c>
      <c r="T3" s="130">
        <v>0.41</v>
      </c>
      <c r="U3" s="130">
        <v>0.36</v>
      </c>
      <c r="V3" s="126"/>
      <c r="W3" s="126"/>
      <c r="X3" s="131"/>
      <c r="Y3" s="125"/>
      <c r="Z3" s="128"/>
      <c r="AA3" s="128"/>
      <c r="AB3" s="131"/>
    </row>
    <row r="4">
      <c r="A4" s="132">
        <f>3985+13300</f>
        <v>17285</v>
      </c>
      <c r="B4" s="133">
        <f>1099</f>
        <v>1099</v>
      </c>
      <c r="C4" s="133">
        <f>1236+8608</f>
        <v>9844</v>
      </c>
      <c r="D4" s="133">
        <f>1249+10026</f>
        <v>11275</v>
      </c>
      <c r="E4" s="133"/>
      <c r="F4" s="133"/>
      <c r="G4" s="133"/>
      <c r="H4" s="133"/>
      <c r="I4" s="133"/>
      <c r="J4" s="133"/>
      <c r="K4" s="134"/>
      <c r="L4" s="135">
        <f t="shared" ref="L4:L64" si="2">SUM(B4:K4)</f>
        <v>22218</v>
      </c>
      <c r="M4" s="136">
        <f t="shared" ref="M4:M64" si="3">A4/L4</f>
        <v>0.7779728148</v>
      </c>
      <c r="N4" s="137">
        <f t="shared" ref="N4:W4" si="1">N$3</f>
        <v>0.95</v>
      </c>
      <c r="O4" s="136">
        <f t="shared" si="1"/>
        <v>0.825</v>
      </c>
      <c r="P4" s="136">
        <f t="shared" si="1"/>
        <v>0.72</v>
      </c>
      <c r="Q4" s="136">
        <f t="shared" si="1"/>
        <v>0.625</v>
      </c>
      <c r="R4" s="136">
        <f t="shared" si="1"/>
        <v>0.545</v>
      </c>
      <c r="S4" s="136">
        <f t="shared" si="1"/>
        <v>0.472</v>
      </c>
      <c r="T4" s="136">
        <f t="shared" si="1"/>
        <v>0.41</v>
      </c>
      <c r="U4" s="136">
        <f t="shared" si="1"/>
        <v>0.36</v>
      </c>
      <c r="V4" s="136" t="str">
        <f t="shared" si="1"/>
        <v/>
      </c>
      <c r="W4" s="136" t="str">
        <f t="shared" si="1"/>
        <v/>
      </c>
      <c r="X4" s="138">
        <f t="shared" ref="X4:X64" si="5">B4*N4+C4*O4+D4*P4+E4*Q4+F4*R4+G4*S4+H4*T4+I4*U4+J4*V4+K4*W4</f>
        <v>17283.35</v>
      </c>
      <c r="Y4" s="139">
        <f t="shared" ref="Y4:Y64" si="6">X4-A4</f>
        <v>-1.65</v>
      </c>
      <c r="Z4" s="136">
        <f t="shared" ref="Z4:Z64" si="7">X4/L4</f>
        <v>0.7778985507</v>
      </c>
      <c r="AA4" s="136">
        <f t="shared" ref="AA4:AA64" si="8">Z4-M4</f>
        <v>-0.00007426411018</v>
      </c>
      <c r="AB4" s="137"/>
    </row>
    <row r="5">
      <c r="A5" s="140">
        <f>3921+12305</f>
        <v>16226</v>
      </c>
      <c r="B5" s="141">
        <f>803</f>
        <v>803</v>
      </c>
      <c r="C5" s="141">
        <f>989+5198</f>
        <v>6187</v>
      </c>
      <c r="D5" s="141">
        <f>1022+7020</f>
        <v>8042</v>
      </c>
      <c r="E5" s="141">
        <f>7306</f>
        <v>7306</v>
      </c>
      <c r="F5" s="141"/>
      <c r="G5" s="141"/>
      <c r="H5" s="141"/>
      <c r="I5" s="141"/>
      <c r="J5" s="141"/>
      <c r="K5" s="142"/>
      <c r="L5" s="143">
        <f t="shared" si="2"/>
        <v>22338</v>
      </c>
      <c r="M5" s="144">
        <f t="shared" si="3"/>
        <v>0.7263855314</v>
      </c>
      <c r="N5" s="145">
        <f t="shared" ref="N5:W5" si="4">N$3</f>
        <v>0.95</v>
      </c>
      <c r="O5" s="144">
        <f t="shared" si="4"/>
        <v>0.825</v>
      </c>
      <c r="P5" s="144">
        <f t="shared" si="4"/>
        <v>0.72</v>
      </c>
      <c r="Q5" s="144">
        <f t="shared" si="4"/>
        <v>0.625</v>
      </c>
      <c r="R5" s="144">
        <f t="shared" si="4"/>
        <v>0.545</v>
      </c>
      <c r="S5" s="144">
        <f t="shared" si="4"/>
        <v>0.472</v>
      </c>
      <c r="T5" s="144">
        <f t="shared" si="4"/>
        <v>0.41</v>
      </c>
      <c r="U5" s="144">
        <f t="shared" si="4"/>
        <v>0.36</v>
      </c>
      <c r="V5" s="144" t="str">
        <f t="shared" si="4"/>
        <v/>
      </c>
      <c r="W5" s="144" t="str">
        <f t="shared" si="4"/>
        <v/>
      </c>
      <c r="X5" s="146">
        <f t="shared" si="5"/>
        <v>16223.615</v>
      </c>
      <c r="Y5" s="147">
        <f t="shared" si="6"/>
        <v>-2.385</v>
      </c>
      <c r="Z5" s="144">
        <f t="shared" si="7"/>
        <v>0.7262787626</v>
      </c>
      <c r="AA5" s="144">
        <f t="shared" si="8"/>
        <v>-0.0001067687349</v>
      </c>
      <c r="AB5" s="145"/>
    </row>
    <row r="6">
      <c r="A6" s="148">
        <f>4011+2390</f>
        <v>6401</v>
      </c>
      <c r="B6" s="149">
        <f>425</f>
        <v>425</v>
      </c>
      <c r="C6" s="149">
        <f>505+1091</f>
        <v>1596</v>
      </c>
      <c r="D6" s="149">
        <f>669+2196</f>
        <v>2865</v>
      </c>
      <c r="E6" s="149">
        <f>4191</f>
        <v>4191</v>
      </c>
      <c r="F6" s="149"/>
      <c r="G6" s="149"/>
      <c r="H6" s="149"/>
      <c r="I6" s="149"/>
      <c r="J6" s="149"/>
      <c r="K6" s="150"/>
      <c r="L6" s="135">
        <f t="shared" si="2"/>
        <v>9077</v>
      </c>
      <c r="M6" s="136">
        <f t="shared" si="3"/>
        <v>0.7051889391</v>
      </c>
      <c r="N6" s="137">
        <f t="shared" ref="N6:W6" si="9">N$3</f>
        <v>0.95</v>
      </c>
      <c r="O6" s="136">
        <f t="shared" si="9"/>
        <v>0.825</v>
      </c>
      <c r="P6" s="136">
        <f t="shared" si="9"/>
        <v>0.72</v>
      </c>
      <c r="Q6" s="136">
        <f t="shared" si="9"/>
        <v>0.625</v>
      </c>
      <c r="R6" s="136">
        <f t="shared" si="9"/>
        <v>0.545</v>
      </c>
      <c r="S6" s="136">
        <f t="shared" si="9"/>
        <v>0.472</v>
      </c>
      <c r="T6" s="136">
        <f t="shared" si="9"/>
        <v>0.41</v>
      </c>
      <c r="U6" s="136">
        <f t="shared" si="9"/>
        <v>0.36</v>
      </c>
      <c r="V6" s="136" t="str">
        <f t="shared" si="9"/>
        <v/>
      </c>
      <c r="W6" s="136" t="str">
        <f t="shared" si="9"/>
        <v/>
      </c>
      <c r="X6" s="138">
        <f t="shared" si="5"/>
        <v>6402.625</v>
      </c>
      <c r="Y6" s="139">
        <f t="shared" si="6"/>
        <v>1.625</v>
      </c>
      <c r="Z6" s="136">
        <f t="shared" si="7"/>
        <v>0.705367963</v>
      </c>
      <c r="AA6" s="136">
        <f t="shared" si="8"/>
        <v>0.0001790239066</v>
      </c>
      <c r="AB6" s="137"/>
    </row>
    <row r="7">
      <c r="A7" s="140">
        <f>3988+13117</f>
        <v>17105</v>
      </c>
      <c r="B7" s="141">
        <f>1116</f>
        <v>1116</v>
      </c>
      <c r="C7" s="141">
        <f>1248+8486</f>
        <v>9734</v>
      </c>
      <c r="D7" s="141">
        <f>1249+9881</f>
        <v>11130</v>
      </c>
      <c r="E7" s="141"/>
      <c r="F7" s="141"/>
      <c r="G7" s="141"/>
      <c r="H7" s="141"/>
      <c r="I7" s="141"/>
      <c r="J7" s="141"/>
      <c r="K7" s="142"/>
      <c r="L7" s="143">
        <f t="shared" si="2"/>
        <v>21980</v>
      </c>
      <c r="M7" s="144">
        <f t="shared" si="3"/>
        <v>0.7782074613</v>
      </c>
      <c r="N7" s="145">
        <f t="shared" ref="N7:W7" si="10">N$3</f>
        <v>0.95</v>
      </c>
      <c r="O7" s="144">
        <f t="shared" si="10"/>
        <v>0.825</v>
      </c>
      <c r="P7" s="144">
        <f t="shared" si="10"/>
        <v>0.72</v>
      </c>
      <c r="Q7" s="144">
        <f t="shared" si="10"/>
        <v>0.625</v>
      </c>
      <c r="R7" s="144">
        <f t="shared" si="10"/>
        <v>0.545</v>
      </c>
      <c r="S7" s="144">
        <f t="shared" si="10"/>
        <v>0.472</v>
      </c>
      <c r="T7" s="144">
        <f t="shared" si="10"/>
        <v>0.41</v>
      </c>
      <c r="U7" s="144">
        <f t="shared" si="10"/>
        <v>0.36</v>
      </c>
      <c r="V7" s="144" t="str">
        <f t="shared" si="10"/>
        <v/>
      </c>
      <c r="W7" s="144" t="str">
        <f t="shared" si="10"/>
        <v/>
      </c>
      <c r="X7" s="146">
        <f t="shared" si="5"/>
        <v>17104.35</v>
      </c>
      <c r="Y7" s="147">
        <f t="shared" si="6"/>
        <v>-0.65</v>
      </c>
      <c r="Z7" s="144">
        <f t="shared" si="7"/>
        <v>0.778177889</v>
      </c>
      <c r="AA7" s="144">
        <f t="shared" si="8"/>
        <v>-0.00002957233849</v>
      </c>
      <c r="AB7" s="145"/>
    </row>
    <row r="8">
      <c r="A8" s="132">
        <f>3924+12178</f>
        <v>16102</v>
      </c>
      <c r="B8" s="133">
        <f>850</f>
        <v>850</v>
      </c>
      <c r="C8" s="133">
        <f>1025+5160</f>
        <v>6185</v>
      </c>
      <c r="D8" s="133">
        <f>1036+6408</f>
        <v>7444</v>
      </c>
      <c r="E8" s="133">
        <v>7727.0</v>
      </c>
      <c r="F8" s="133"/>
      <c r="G8" s="133"/>
      <c r="H8" s="133"/>
      <c r="I8" s="133"/>
      <c r="J8" s="133"/>
      <c r="K8" s="134"/>
      <c r="L8" s="135">
        <f t="shared" si="2"/>
        <v>22206</v>
      </c>
      <c r="M8" s="136">
        <f t="shared" si="3"/>
        <v>0.7251193371</v>
      </c>
      <c r="N8" s="137">
        <f t="shared" ref="N8:W8" si="11">N$3</f>
        <v>0.95</v>
      </c>
      <c r="O8" s="136">
        <f t="shared" si="11"/>
        <v>0.825</v>
      </c>
      <c r="P8" s="136">
        <f t="shared" si="11"/>
        <v>0.72</v>
      </c>
      <c r="Q8" s="136">
        <f t="shared" si="11"/>
        <v>0.625</v>
      </c>
      <c r="R8" s="136">
        <f t="shared" si="11"/>
        <v>0.545</v>
      </c>
      <c r="S8" s="136">
        <f t="shared" si="11"/>
        <v>0.472</v>
      </c>
      <c r="T8" s="136">
        <f t="shared" si="11"/>
        <v>0.41</v>
      </c>
      <c r="U8" s="136">
        <f t="shared" si="11"/>
        <v>0.36</v>
      </c>
      <c r="V8" s="136" t="str">
        <f t="shared" si="11"/>
        <v/>
      </c>
      <c r="W8" s="136" t="str">
        <f t="shared" si="11"/>
        <v/>
      </c>
      <c r="X8" s="138">
        <f t="shared" si="5"/>
        <v>16099.18</v>
      </c>
      <c r="Y8" s="139">
        <f t="shared" si="6"/>
        <v>-2.82</v>
      </c>
      <c r="Z8" s="136">
        <f t="shared" si="7"/>
        <v>0.7249923444</v>
      </c>
      <c r="AA8" s="136">
        <f t="shared" si="8"/>
        <v>-0.0001269927047</v>
      </c>
      <c r="AB8" s="137"/>
    </row>
    <row r="9">
      <c r="A9" s="151">
        <f>3992+3406</f>
        <v>7398</v>
      </c>
      <c r="B9" s="152">
        <v>363.0</v>
      </c>
      <c r="C9" s="152">
        <f>621+624</f>
        <v>1245</v>
      </c>
      <c r="D9" s="152">
        <f>739+3302</f>
        <v>4041</v>
      </c>
      <c r="E9" s="152">
        <f>4993</f>
        <v>4993</v>
      </c>
      <c r="F9" s="152"/>
      <c r="G9" s="152"/>
      <c r="H9" s="152"/>
      <c r="I9" s="152"/>
      <c r="J9" s="152"/>
      <c r="K9" s="153"/>
      <c r="L9" s="143">
        <f t="shared" si="2"/>
        <v>10642</v>
      </c>
      <c r="M9" s="144">
        <f t="shared" si="3"/>
        <v>0.6951700808</v>
      </c>
      <c r="N9" s="145">
        <f t="shared" ref="N9:W9" si="12">N$3</f>
        <v>0.95</v>
      </c>
      <c r="O9" s="144">
        <f t="shared" si="12"/>
        <v>0.825</v>
      </c>
      <c r="P9" s="144">
        <f t="shared" si="12"/>
        <v>0.72</v>
      </c>
      <c r="Q9" s="144">
        <f t="shared" si="12"/>
        <v>0.625</v>
      </c>
      <c r="R9" s="144">
        <f t="shared" si="12"/>
        <v>0.545</v>
      </c>
      <c r="S9" s="144">
        <f t="shared" si="12"/>
        <v>0.472</v>
      </c>
      <c r="T9" s="144">
        <f t="shared" si="12"/>
        <v>0.41</v>
      </c>
      <c r="U9" s="144">
        <f t="shared" si="12"/>
        <v>0.36</v>
      </c>
      <c r="V9" s="144" t="str">
        <f t="shared" si="12"/>
        <v/>
      </c>
      <c r="W9" s="144" t="str">
        <f t="shared" si="12"/>
        <v/>
      </c>
      <c r="X9" s="146">
        <f t="shared" si="5"/>
        <v>7402.12</v>
      </c>
      <c r="Y9" s="147">
        <f t="shared" si="6"/>
        <v>4.12</v>
      </c>
      <c r="Z9" s="144">
        <f t="shared" si="7"/>
        <v>0.6955572261</v>
      </c>
      <c r="AA9" s="144">
        <f t="shared" si="8"/>
        <v>0.0003871452734</v>
      </c>
      <c r="AB9" s="145"/>
    </row>
    <row r="10">
      <c r="A10" s="132">
        <f>3933+14156</f>
        <v>18089</v>
      </c>
      <c r="B10" s="133">
        <f>1161</f>
        <v>1161</v>
      </c>
      <c r="C10" s="133">
        <f>1258+8777</f>
        <v>10035</v>
      </c>
      <c r="D10" s="133">
        <f>1251+10842</f>
        <v>12093</v>
      </c>
      <c r="E10" s="133"/>
      <c r="F10" s="133"/>
      <c r="G10" s="133"/>
      <c r="H10" s="133"/>
      <c r="I10" s="133"/>
      <c r="J10" s="133"/>
      <c r="K10" s="134"/>
      <c r="L10" s="135">
        <f t="shared" si="2"/>
        <v>23289</v>
      </c>
      <c r="M10" s="136">
        <f t="shared" si="3"/>
        <v>0.7767186225</v>
      </c>
      <c r="N10" s="137">
        <f t="shared" ref="N10:W10" si="13">N$3</f>
        <v>0.95</v>
      </c>
      <c r="O10" s="136">
        <f t="shared" si="13"/>
        <v>0.825</v>
      </c>
      <c r="P10" s="136">
        <f t="shared" si="13"/>
        <v>0.72</v>
      </c>
      <c r="Q10" s="136">
        <f t="shared" si="13"/>
        <v>0.625</v>
      </c>
      <c r="R10" s="136">
        <f t="shared" si="13"/>
        <v>0.545</v>
      </c>
      <c r="S10" s="136">
        <f t="shared" si="13"/>
        <v>0.472</v>
      </c>
      <c r="T10" s="136">
        <f t="shared" si="13"/>
        <v>0.41</v>
      </c>
      <c r="U10" s="136">
        <f t="shared" si="13"/>
        <v>0.36</v>
      </c>
      <c r="V10" s="136" t="str">
        <f t="shared" si="13"/>
        <v/>
      </c>
      <c r="W10" s="136" t="str">
        <f t="shared" si="13"/>
        <v/>
      </c>
      <c r="X10" s="138">
        <f t="shared" si="5"/>
        <v>18088.785</v>
      </c>
      <c r="Y10" s="139">
        <f t="shared" si="6"/>
        <v>-0.215</v>
      </c>
      <c r="Z10" s="136">
        <f t="shared" si="7"/>
        <v>0.7767093907</v>
      </c>
      <c r="AA10" s="136">
        <f t="shared" si="8"/>
        <v>-0.000009231826184</v>
      </c>
      <c r="AB10" s="137"/>
    </row>
    <row r="11">
      <c r="A11" s="140">
        <f>3848+14169</f>
        <v>18017</v>
      </c>
      <c r="B11" s="141">
        <f>912</f>
        <v>912</v>
      </c>
      <c r="C11" s="141">
        <f>1009+6148</f>
        <v>7157</v>
      </c>
      <c r="D11" s="141">
        <f>1084+7541</f>
        <v>8625</v>
      </c>
      <c r="E11" s="141">
        <f>8052</f>
        <v>8052</v>
      </c>
      <c r="F11" s="141"/>
      <c r="G11" s="141"/>
      <c r="H11" s="141"/>
      <c r="I11" s="141"/>
      <c r="J11" s="141"/>
      <c r="K11" s="142"/>
      <c r="L11" s="143">
        <f t="shared" si="2"/>
        <v>24746</v>
      </c>
      <c r="M11" s="144">
        <f t="shared" si="3"/>
        <v>0.728077265</v>
      </c>
      <c r="N11" s="145">
        <f t="shared" ref="N11:W11" si="14">N$3</f>
        <v>0.95</v>
      </c>
      <c r="O11" s="144">
        <f t="shared" si="14"/>
        <v>0.825</v>
      </c>
      <c r="P11" s="144">
        <f t="shared" si="14"/>
        <v>0.72</v>
      </c>
      <c r="Q11" s="144">
        <f t="shared" si="14"/>
        <v>0.625</v>
      </c>
      <c r="R11" s="144">
        <f t="shared" si="14"/>
        <v>0.545</v>
      </c>
      <c r="S11" s="144">
        <f t="shared" si="14"/>
        <v>0.472</v>
      </c>
      <c r="T11" s="144">
        <f t="shared" si="14"/>
        <v>0.41</v>
      </c>
      <c r="U11" s="144">
        <f t="shared" si="14"/>
        <v>0.36</v>
      </c>
      <c r="V11" s="144" t="str">
        <f t="shared" si="14"/>
        <v/>
      </c>
      <c r="W11" s="144" t="str">
        <f t="shared" si="14"/>
        <v/>
      </c>
      <c r="X11" s="146">
        <f t="shared" si="5"/>
        <v>18013.425</v>
      </c>
      <c r="Y11" s="147">
        <f t="shared" si="6"/>
        <v>-3.575</v>
      </c>
      <c r="Z11" s="144">
        <f t="shared" si="7"/>
        <v>0.7279327972</v>
      </c>
      <c r="AA11" s="144">
        <f t="shared" si="8"/>
        <v>-0.0001444677928</v>
      </c>
      <c r="AB11" s="145"/>
    </row>
    <row r="12">
      <c r="A12" s="148">
        <f>3887+6945</f>
        <v>10832</v>
      </c>
      <c r="B12" s="149">
        <f>622</f>
        <v>622</v>
      </c>
      <c r="C12" s="149">
        <f>678+3259</f>
        <v>3937</v>
      </c>
      <c r="D12" s="149">
        <f>805+4036</f>
        <v>4841</v>
      </c>
      <c r="E12" s="149">
        <f>5610</f>
        <v>5610</v>
      </c>
      <c r="F12" s="149"/>
      <c r="G12" s="149"/>
      <c r="H12" s="149"/>
      <c r="I12" s="149"/>
      <c r="J12" s="149"/>
      <c r="K12" s="150"/>
      <c r="L12" s="135">
        <f t="shared" si="2"/>
        <v>15010</v>
      </c>
      <c r="M12" s="136">
        <f t="shared" si="3"/>
        <v>0.7216522318</v>
      </c>
      <c r="N12" s="137">
        <f t="shared" ref="N12:W12" si="15">N$3</f>
        <v>0.95</v>
      </c>
      <c r="O12" s="136">
        <f t="shared" si="15"/>
        <v>0.825</v>
      </c>
      <c r="P12" s="136">
        <f t="shared" si="15"/>
        <v>0.72</v>
      </c>
      <c r="Q12" s="136">
        <f t="shared" si="15"/>
        <v>0.625</v>
      </c>
      <c r="R12" s="136">
        <f t="shared" si="15"/>
        <v>0.545</v>
      </c>
      <c r="S12" s="136">
        <f t="shared" si="15"/>
        <v>0.472</v>
      </c>
      <c r="T12" s="136">
        <f t="shared" si="15"/>
        <v>0.41</v>
      </c>
      <c r="U12" s="136">
        <f t="shared" si="15"/>
        <v>0.36</v>
      </c>
      <c r="V12" s="136" t="str">
        <f t="shared" si="15"/>
        <v/>
      </c>
      <c r="W12" s="136" t="str">
        <f t="shared" si="15"/>
        <v/>
      </c>
      <c r="X12" s="138">
        <f t="shared" si="5"/>
        <v>10830.695</v>
      </c>
      <c r="Y12" s="139">
        <f t="shared" si="6"/>
        <v>-1.305</v>
      </c>
      <c r="Z12" s="136">
        <f t="shared" si="7"/>
        <v>0.7215652898</v>
      </c>
      <c r="AA12" s="136">
        <f t="shared" si="8"/>
        <v>-0.00008694203864</v>
      </c>
      <c r="AB12" s="137"/>
    </row>
    <row r="13">
      <c r="A13" s="140">
        <f>3936+14033</f>
        <v>17969</v>
      </c>
      <c r="B13" s="141">
        <f>1138</f>
        <v>1138</v>
      </c>
      <c r="C13" s="141">
        <f>1183+9087</f>
        <v>10270</v>
      </c>
      <c r="D13" s="141">
        <f>1251+10435</f>
        <v>11686</v>
      </c>
      <c r="E13" s="141"/>
      <c r="F13" s="141"/>
      <c r="G13" s="141"/>
      <c r="H13" s="141"/>
      <c r="I13" s="141"/>
      <c r="J13" s="141"/>
      <c r="K13" s="142"/>
      <c r="L13" s="143">
        <f t="shared" si="2"/>
        <v>23094</v>
      </c>
      <c r="M13" s="144">
        <f t="shared" si="3"/>
        <v>0.7780808868</v>
      </c>
      <c r="N13" s="145">
        <f t="shared" ref="N13:W13" si="16">N$3</f>
        <v>0.95</v>
      </c>
      <c r="O13" s="144">
        <f t="shared" si="16"/>
        <v>0.825</v>
      </c>
      <c r="P13" s="144">
        <f t="shared" si="16"/>
        <v>0.72</v>
      </c>
      <c r="Q13" s="144">
        <f t="shared" si="16"/>
        <v>0.625</v>
      </c>
      <c r="R13" s="144">
        <f t="shared" si="16"/>
        <v>0.545</v>
      </c>
      <c r="S13" s="144">
        <f t="shared" si="16"/>
        <v>0.472</v>
      </c>
      <c r="T13" s="144">
        <f t="shared" si="16"/>
        <v>0.41</v>
      </c>
      <c r="U13" s="144">
        <f t="shared" si="16"/>
        <v>0.36</v>
      </c>
      <c r="V13" s="144" t="str">
        <f t="shared" si="16"/>
        <v/>
      </c>
      <c r="W13" s="144" t="str">
        <f t="shared" si="16"/>
        <v/>
      </c>
      <c r="X13" s="146">
        <f t="shared" si="5"/>
        <v>17967.77</v>
      </c>
      <c r="Y13" s="147">
        <f t="shared" si="6"/>
        <v>-1.23</v>
      </c>
      <c r="Z13" s="144">
        <f t="shared" si="7"/>
        <v>0.7780276262</v>
      </c>
      <c r="AA13" s="144">
        <f t="shared" si="8"/>
        <v>-0.00005326058717</v>
      </c>
      <c r="AB13" s="145"/>
    </row>
    <row r="14">
      <c r="A14" s="132">
        <f>3870+12895</f>
        <v>16765</v>
      </c>
      <c r="B14" s="133">
        <v>864.0</v>
      </c>
      <c r="C14" s="133">
        <f>989+5604</f>
        <v>6593</v>
      </c>
      <c r="D14" s="133">
        <f>1079+6424</f>
        <v>7503</v>
      </c>
      <c r="E14" s="133">
        <f>8158</f>
        <v>8158</v>
      </c>
      <c r="F14" s="133"/>
      <c r="G14" s="133"/>
      <c r="H14" s="133"/>
      <c r="I14" s="133"/>
      <c r="J14" s="133"/>
      <c r="K14" s="134"/>
      <c r="L14" s="135">
        <f t="shared" si="2"/>
        <v>23118</v>
      </c>
      <c r="M14" s="136">
        <f t="shared" si="3"/>
        <v>0.7251924907</v>
      </c>
      <c r="N14" s="137">
        <f t="shared" ref="N14:W14" si="17">N$3</f>
        <v>0.95</v>
      </c>
      <c r="O14" s="136">
        <f t="shared" si="17"/>
        <v>0.825</v>
      </c>
      <c r="P14" s="136">
        <f t="shared" si="17"/>
        <v>0.72</v>
      </c>
      <c r="Q14" s="136">
        <f t="shared" si="17"/>
        <v>0.625</v>
      </c>
      <c r="R14" s="136">
        <f t="shared" si="17"/>
        <v>0.545</v>
      </c>
      <c r="S14" s="136">
        <f t="shared" si="17"/>
        <v>0.472</v>
      </c>
      <c r="T14" s="136">
        <f t="shared" si="17"/>
        <v>0.41</v>
      </c>
      <c r="U14" s="136">
        <f t="shared" si="17"/>
        <v>0.36</v>
      </c>
      <c r="V14" s="136" t="str">
        <f t="shared" si="17"/>
        <v/>
      </c>
      <c r="W14" s="136" t="str">
        <f t="shared" si="17"/>
        <v/>
      </c>
      <c r="X14" s="138">
        <f t="shared" si="5"/>
        <v>16760.935</v>
      </c>
      <c r="Y14" s="139">
        <f t="shared" si="6"/>
        <v>-4.065</v>
      </c>
      <c r="Z14" s="136">
        <f t="shared" si="7"/>
        <v>0.7250166537</v>
      </c>
      <c r="AA14" s="136">
        <f t="shared" si="8"/>
        <v>-0.0001758370101</v>
      </c>
      <c r="AB14" s="137"/>
    </row>
    <row r="15">
      <c r="A15" s="151">
        <f>3929+4667</f>
        <v>8596</v>
      </c>
      <c r="B15" s="152">
        <f>484</f>
        <v>484</v>
      </c>
      <c r="C15" s="152">
        <f>592+1589</f>
        <v>2181</v>
      </c>
      <c r="D15" s="152">
        <f>784+3528</f>
        <v>4312</v>
      </c>
      <c r="E15" s="152">
        <v>5176.0</v>
      </c>
      <c r="F15" s="152"/>
      <c r="G15" s="152"/>
      <c r="H15" s="152"/>
      <c r="I15" s="152"/>
      <c r="J15" s="152"/>
      <c r="K15" s="153"/>
      <c r="L15" s="143">
        <f t="shared" si="2"/>
        <v>12153</v>
      </c>
      <c r="M15" s="144">
        <f t="shared" si="3"/>
        <v>0.7073150662</v>
      </c>
      <c r="N15" s="145">
        <f t="shared" ref="N15:W15" si="18">N$3</f>
        <v>0.95</v>
      </c>
      <c r="O15" s="144">
        <f t="shared" si="18"/>
        <v>0.825</v>
      </c>
      <c r="P15" s="144">
        <f t="shared" si="18"/>
        <v>0.72</v>
      </c>
      <c r="Q15" s="144">
        <f t="shared" si="18"/>
        <v>0.625</v>
      </c>
      <c r="R15" s="144">
        <f t="shared" si="18"/>
        <v>0.545</v>
      </c>
      <c r="S15" s="144">
        <f t="shared" si="18"/>
        <v>0.472</v>
      </c>
      <c r="T15" s="144">
        <f t="shared" si="18"/>
        <v>0.41</v>
      </c>
      <c r="U15" s="144">
        <f t="shared" si="18"/>
        <v>0.36</v>
      </c>
      <c r="V15" s="144" t="str">
        <f t="shared" si="18"/>
        <v/>
      </c>
      <c r="W15" s="144" t="str">
        <f t="shared" si="18"/>
        <v/>
      </c>
      <c r="X15" s="146">
        <f t="shared" si="5"/>
        <v>8598.765</v>
      </c>
      <c r="Y15" s="147">
        <f t="shared" si="6"/>
        <v>2.765</v>
      </c>
      <c r="Z15" s="144">
        <f t="shared" si="7"/>
        <v>0.7075425821</v>
      </c>
      <c r="AA15" s="144">
        <f t="shared" si="8"/>
        <v>0.0002275158397</v>
      </c>
      <c r="AB15" s="145"/>
    </row>
    <row r="16">
      <c r="A16" s="132">
        <v>1080.0</v>
      </c>
      <c r="B16" s="133"/>
      <c r="C16" s="133">
        <v>1308.0</v>
      </c>
      <c r="D16" s="133"/>
      <c r="E16" s="133"/>
      <c r="F16" s="133"/>
      <c r="G16" s="133"/>
      <c r="H16" s="133"/>
      <c r="I16" s="133"/>
      <c r="J16" s="133"/>
      <c r="K16" s="134"/>
      <c r="L16" s="135">
        <f t="shared" si="2"/>
        <v>1308</v>
      </c>
      <c r="M16" s="136">
        <f t="shared" si="3"/>
        <v>0.8256880734</v>
      </c>
      <c r="N16" s="137">
        <f t="shared" ref="N16:W16" si="19">N$3</f>
        <v>0.95</v>
      </c>
      <c r="O16" s="136">
        <f t="shared" si="19"/>
        <v>0.825</v>
      </c>
      <c r="P16" s="136">
        <f t="shared" si="19"/>
        <v>0.72</v>
      </c>
      <c r="Q16" s="136">
        <f t="shared" si="19"/>
        <v>0.625</v>
      </c>
      <c r="R16" s="136">
        <f t="shared" si="19"/>
        <v>0.545</v>
      </c>
      <c r="S16" s="136">
        <f t="shared" si="19"/>
        <v>0.472</v>
      </c>
      <c r="T16" s="136">
        <f t="shared" si="19"/>
        <v>0.41</v>
      </c>
      <c r="U16" s="136">
        <f t="shared" si="19"/>
        <v>0.36</v>
      </c>
      <c r="V16" s="136" t="str">
        <f t="shared" si="19"/>
        <v/>
      </c>
      <c r="W16" s="136" t="str">
        <f t="shared" si="19"/>
        <v/>
      </c>
      <c r="X16" s="138">
        <f t="shared" si="5"/>
        <v>1079.1</v>
      </c>
      <c r="Y16" s="139">
        <f t="shared" si="6"/>
        <v>-0.9</v>
      </c>
      <c r="Z16" s="136">
        <f t="shared" si="7"/>
        <v>0.825</v>
      </c>
      <c r="AA16" s="136">
        <f t="shared" si="8"/>
        <v>-0.0006880733945</v>
      </c>
      <c r="AB16" s="137"/>
    </row>
    <row r="17">
      <c r="A17" s="140">
        <v>247.0</v>
      </c>
      <c r="B17" s="141"/>
      <c r="C17" s="141">
        <v>300.0</v>
      </c>
      <c r="D17" s="141"/>
      <c r="E17" s="141"/>
      <c r="F17" s="141"/>
      <c r="G17" s="141"/>
      <c r="H17" s="141"/>
      <c r="I17" s="141"/>
      <c r="J17" s="141"/>
      <c r="K17" s="142"/>
      <c r="L17" s="143">
        <f t="shared" si="2"/>
        <v>300</v>
      </c>
      <c r="M17" s="144">
        <f t="shared" si="3"/>
        <v>0.8233333333</v>
      </c>
      <c r="N17" s="145">
        <f t="shared" ref="N17:W17" si="20">N$3</f>
        <v>0.95</v>
      </c>
      <c r="O17" s="144">
        <f t="shared" si="20"/>
        <v>0.825</v>
      </c>
      <c r="P17" s="144">
        <f t="shared" si="20"/>
        <v>0.72</v>
      </c>
      <c r="Q17" s="144">
        <f t="shared" si="20"/>
        <v>0.625</v>
      </c>
      <c r="R17" s="144">
        <f t="shared" si="20"/>
        <v>0.545</v>
      </c>
      <c r="S17" s="144">
        <f t="shared" si="20"/>
        <v>0.472</v>
      </c>
      <c r="T17" s="144">
        <f t="shared" si="20"/>
        <v>0.41</v>
      </c>
      <c r="U17" s="144">
        <f t="shared" si="20"/>
        <v>0.36</v>
      </c>
      <c r="V17" s="144" t="str">
        <f t="shared" si="20"/>
        <v/>
      </c>
      <c r="W17" s="144" t="str">
        <f t="shared" si="20"/>
        <v/>
      </c>
      <c r="X17" s="146">
        <f t="shared" si="5"/>
        <v>247.5</v>
      </c>
      <c r="Y17" s="147">
        <f t="shared" si="6"/>
        <v>0.5</v>
      </c>
      <c r="Z17" s="144">
        <f t="shared" si="7"/>
        <v>0.825</v>
      </c>
      <c r="AA17" s="144">
        <f t="shared" si="8"/>
        <v>0.001666666667</v>
      </c>
      <c r="AB17" s="145"/>
    </row>
    <row r="18">
      <c r="A18" s="132">
        <v>619.0</v>
      </c>
      <c r="B18" s="133">
        <v>127.0</v>
      </c>
      <c r="C18" s="133">
        <v>605.0</v>
      </c>
      <c r="D18" s="133"/>
      <c r="E18" s="133"/>
      <c r="F18" s="133"/>
      <c r="G18" s="133"/>
      <c r="H18" s="133"/>
      <c r="I18" s="133"/>
      <c r="J18" s="133"/>
      <c r="K18" s="134"/>
      <c r="L18" s="135">
        <f t="shared" si="2"/>
        <v>732</v>
      </c>
      <c r="M18" s="136">
        <f t="shared" si="3"/>
        <v>0.8456284153</v>
      </c>
      <c r="N18" s="137">
        <f t="shared" ref="N18:W18" si="21">N$3</f>
        <v>0.95</v>
      </c>
      <c r="O18" s="136">
        <f t="shared" si="21"/>
        <v>0.825</v>
      </c>
      <c r="P18" s="136">
        <f t="shared" si="21"/>
        <v>0.72</v>
      </c>
      <c r="Q18" s="136">
        <f t="shared" si="21"/>
        <v>0.625</v>
      </c>
      <c r="R18" s="136">
        <f t="shared" si="21"/>
        <v>0.545</v>
      </c>
      <c r="S18" s="136">
        <f t="shared" si="21"/>
        <v>0.472</v>
      </c>
      <c r="T18" s="136">
        <f t="shared" si="21"/>
        <v>0.41</v>
      </c>
      <c r="U18" s="136">
        <f t="shared" si="21"/>
        <v>0.36</v>
      </c>
      <c r="V18" s="136" t="str">
        <f t="shared" si="21"/>
        <v/>
      </c>
      <c r="W18" s="136" t="str">
        <f t="shared" si="21"/>
        <v/>
      </c>
      <c r="X18" s="138">
        <f t="shared" si="5"/>
        <v>619.775</v>
      </c>
      <c r="Y18" s="139">
        <f t="shared" si="6"/>
        <v>0.775</v>
      </c>
      <c r="Z18" s="136">
        <f t="shared" si="7"/>
        <v>0.8466871585</v>
      </c>
      <c r="AA18" s="136">
        <f t="shared" si="8"/>
        <v>0.001058743169</v>
      </c>
      <c r="AB18" s="137"/>
    </row>
    <row r="19">
      <c r="A19" s="140">
        <v>602.0</v>
      </c>
      <c r="B19" s="141">
        <v>634.0</v>
      </c>
      <c r="C19" s="141"/>
      <c r="D19" s="141"/>
      <c r="E19" s="141"/>
      <c r="F19" s="141"/>
      <c r="G19" s="141"/>
      <c r="H19" s="141"/>
      <c r="I19" s="141"/>
      <c r="J19" s="141"/>
      <c r="K19" s="142"/>
      <c r="L19" s="143">
        <f t="shared" si="2"/>
        <v>634</v>
      </c>
      <c r="M19" s="144">
        <f t="shared" si="3"/>
        <v>0.9495268139</v>
      </c>
      <c r="N19" s="145">
        <f t="shared" ref="N19:W19" si="22">N$3</f>
        <v>0.95</v>
      </c>
      <c r="O19" s="144">
        <f t="shared" si="22"/>
        <v>0.825</v>
      </c>
      <c r="P19" s="144">
        <f t="shared" si="22"/>
        <v>0.72</v>
      </c>
      <c r="Q19" s="144">
        <f t="shared" si="22"/>
        <v>0.625</v>
      </c>
      <c r="R19" s="144">
        <f t="shared" si="22"/>
        <v>0.545</v>
      </c>
      <c r="S19" s="144">
        <f t="shared" si="22"/>
        <v>0.472</v>
      </c>
      <c r="T19" s="144">
        <f t="shared" si="22"/>
        <v>0.41</v>
      </c>
      <c r="U19" s="144">
        <f t="shared" si="22"/>
        <v>0.36</v>
      </c>
      <c r="V19" s="144" t="str">
        <f t="shared" si="22"/>
        <v/>
      </c>
      <c r="W19" s="144" t="str">
        <f t="shared" si="22"/>
        <v/>
      </c>
      <c r="X19" s="146">
        <f t="shared" si="5"/>
        <v>602.3</v>
      </c>
      <c r="Y19" s="147">
        <f t="shared" si="6"/>
        <v>0.3</v>
      </c>
      <c r="Z19" s="144">
        <f t="shared" si="7"/>
        <v>0.95</v>
      </c>
      <c r="AA19" s="144">
        <f t="shared" si="8"/>
        <v>0.0004731861199</v>
      </c>
      <c r="AB19" s="145"/>
    </row>
    <row r="20">
      <c r="A20" s="132">
        <v>716.0</v>
      </c>
      <c r="B20" s="133">
        <v>754.0</v>
      </c>
      <c r="C20" s="133"/>
      <c r="D20" s="133"/>
      <c r="E20" s="133"/>
      <c r="F20" s="133"/>
      <c r="G20" s="133"/>
      <c r="H20" s="133"/>
      <c r="I20" s="133"/>
      <c r="J20" s="133"/>
      <c r="K20" s="134"/>
      <c r="L20" s="135">
        <f t="shared" si="2"/>
        <v>754</v>
      </c>
      <c r="M20" s="136">
        <f t="shared" si="3"/>
        <v>0.949602122</v>
      </c>
      <c r="N20" s="137">
        <f t="shared" ref="N20:W20" si="23">N$3</f>
        <v>0.95</v>
      </c>
      <c r="O20" s="136">
        <f t="shared" si="23"/>
        <v>0.825</v>
      </c>
      <c r="P20" s="136">
        <f t="shared" si="23"/>
        <v>0.72</v>
      </c>
      <c r="Q20" s="136">
        <f t="shared" si="23"/>
        <v>0.625</v>
      </c>
      <c r="R20" s="136">
        <f t="shared" si="23"/>
        <v>0.545</v>
      </c>
      <c r="S20" s="136">
        <f t="shared" si="23"/>
        <v>0.472</v>
      </c>
      <c r="T20" s="136">
        <f t="shared" si="23"/>
        <v>0.41</v>
      </c>
      <c r="U20" s="136">
        <f t="shared" si="23"/>
        <v>0.36</v>
      </c>
      <c r="V20" s="136" t="str">
        <f t="shared" si="23"/>
        <v/>
      </c>
      <c r="W20" s="136" t="str">
        <f t="shared" si="23"/>
        <v/>
      </c>
      <c r="X20" s="138">
        <f t="shared" si="5"/>
        <v>716.3</v>
      </c>
      <c r="Y20" s="139">
        <f t="shared" si="6"/>
        <v>0.3</v>
      </c>
      <c r="Z20" s="136">
        <f t="shared" si="7"/>
        <v>0.95</v>
      </c>
      <c r="AA20" s="136">
        <f t="shared" si="8"/>
        <v>0.0003978779841</v>
      </c>
      <c r="AB20" s="137"/>
    </row>
    <row r="21">
      <c r="A21" s="140">
        <v>585.0</v>
      </c>
      <c r="B21" s="141">
        <v>616.0</v>
      </c>
      <c r="C21" s="141"/>
      <c r="D21" s="141"/>
      <c r="E21" s="141"/>
      <c r="F21" s="141"/>
      <c r="G21" s="141"/>
      <c r="H21" s="141"/>
      <c r="I21" s="141"/>
      <c r="J21" s="141"/>
      <c r="K21" s="142"/>
      <c r="L21" s="143">
        <f t="shared" si="2"/>
        <v>616</v>
      </c>
      <c r="M21" s="144">
        <f t="shared" si="3"/>
        <v>0.9496753247</v>
      </c>
      <c r="N21" s="145">
        <f t="shared" ref="N21:W21" si="24">N$3</f>
        <v>0.95</v>
      </c>
      <c r="O21" s="144">
        <f t="shared" si="24"/>
        <v>0.825</v>
      </c>
      <c r="P21" s="144">
        <f t="shared" si="24"/>
        <v>0.72</v>
      </c>
      <c r="Q21" s="144">
        <f t="shared" si="24"/>
        <v>0.625</v>
      </c>
      <c r="R21" s="144">
        <f t="shared" si="24"/>
        <v>0.545</v>
      </c>
      <c r="S21" s="144">
        <f t="shared" si="24"/>
        <v>0.472</v>
      </c>
      <c r="T21" s="144">
        <f t="shared" si="24"/>
        <v>0.41</v>
      </c>
      <c r="U21" s="144">
        <f t="shared" si="24"/>
        <v>0.36</v>
      </c>
      <c r="V21" s="144" t="str">
        <f t="shared" si="24"/>
        <v/>
      </c>
      <c r="W21" s="144" t="str">
        <f t="shared" si="24"/>
        <v/>
      </c>
      <c r="X21" s="146">
        <f t="shared" si="5"/>
        <v>585.2</v>
      </c>
      <c r="Y21" s="147">
        <f t="shared" si="6"/>
        <v>0.2</v>
      </c>
      <c r="Z21" s="144">
        <f t="shared" si="7"/>
        <v>0.95</v>
      </c>
      <c r="AA21" s="144">
        <f t="shared" si="8"/>
        <v>0.0003246753247</v>
      </c>
      <c r="AB21" s="145"/>
    </row>
    <row r="22">
      <c r="A22" s="132">
        <v>172.0</v>
      </c>
      <c r="B22" s="133">
        <v>182.0</v>
      </c>
      <c r="C22" s="133"/>
      <c r="D22" s="133"/>
      <c r="E22" s="133"/>
      <c r="F22" s="133"/>
      <c r="G22" s="133"/>
      <c r="H22" s="133"/>
      <c r="I22" s="133"/>
      <c r="J22" s="133"/>
      <c r="K22" s="134"/>
      <c r="L22" s="135">
        <f t="shared" si="2"/>
        <v>182</v>
      </c>
      <c r="M22" s="136">
        <f t="shared" si="3"/>
        <v>0.9450549451</v>
      </c>
      <c r="N22" s="137">
        <f t="shared" ref="N22:W22" si="25">N$3</f>
        <v>0.95</v>
      </c>
      <c r="O22" s="136">
        <f t="shared" si="25"/>
        <v>0.825</v>
      </c>
      <c r="P22" s="136">
        <f t="shared" si="25"/>
        <v>0.72</v>
      </c>
      <c r="Q22" s="136">
        <f t="shared" si="25"/>
        <v>0.625</v>
      </c>
      <c r="R22" s="136">
        <f t="shared" si="25"/>
        <v>0.545</v>
      </c>
      <c r="S22" s="136">
        <f t="shared" si="25"/>
        <v>0.472</v>
      </c>
      <c r="T22" s="136">
        <f t="shared" si="25"/>
        <v>0.41</v>
      </c>
      <c r="U22" s="136">
        <f t="shared" si="25"/>
        <v>0.36</v>
      </c>
      <c r="V22" s="136" t="str">
        <f t="shared" si="25"/>
        <v/>
      </c>
      <c r="W22" s="136" t="str">
        <f t="shared" si="25"/>
        <v/>
      </c>
      <c r="X22" s="138">
        <f t="shared" si="5"/>
        <v>172.9</v>
      </c>
      <c r="Y22" s="139">
        <f t="shared" si="6"/>
        <v>0.9</v>
      </c>
      <c r="Z22" s="136">
        <f t="shared" si="7"/>
        <v>0.95</v>
      </c>
      <c r="AA22" s="136">
        <f t="shared" si="8"/>
        <v>0.004945054945</v>
      </c>
      <c r="AB22" s="137"/>
    </row>
    <row r="23">
      <c r="A23" s="140">
        <v>447.0</v>
      </c>
      <c r="B23" s="141"/>
      <c r="C23" s="141">
        <v>542.0</v>
      </c>
      <c r="D23" s="141"/>
      <c r="E23" s="141"/>
      <c r="F23" s="141"/>
      <c r="G23" s="141"/>
      <c r="H23" s="141"/>
      <c r="I23" s="141"/>
      <c r="J23" s="141"/>
      <c r="K23" s="142"/>
      <c r="L23" s="143">
        <f t="shared" si="2"/>
        <v>542</v>
      </c>
      <c r="M23" s="144">
        <f t="shared" si="3"/>
        <v>0.8247232472</v>
      </c>
      <c r="N23" s="145">
        <f t="shared" ref="N23:W23" si="26">N$3</f>
        <v>0.95</v>
      </c>
      <c r="O23" s="144">
        <f t="shared" si="26"/>
        <v>0.825</v>
      </c>
      <c r="P23" s="144">
        <f t="shared" si="26"/>
        <v>0.72</v>
      </c>
      <c r="Q23" s="144">
        <f t="shared" si="26"/>
        <v>0.625</v>
      </c>
      <c r="R23" s="144">
        <f t="shared" si="26"/>
        <v>0.545</v>
      </c>
      <c r="S23" s="144">
        <f t="shared" si="26"/>
        <v>0.472</v>
      </c>
      <c r="T23" s="144">
        <f t="shared" si="26"/>
        <v>0.41</v>
      </c>
      <c r="U23" s="144">
        <f t="shared" si="26"/>
        <v>0.36</v>
      </c>
      <c r="V23" s="144" t="str">
        <f t="shared" si="26"/>
        <v/>
      </c>
      <c r="W23" s="144" t="str">
        <f t="shared" si="26"/>
        <v/>
      </c>
      <c r="X23" s="146">
        <f t="shared" si="5"/>
        <v>447.15</v>
      </c>
      <c r="Y23" s="147">
        <f t="shared" si="6"/>
        <v>0.15</v>
      </c>
      <c r="Z23" s="144">
        <f t="shared" si="7"/>
        <v>0.825</v>
      </c>
      <c r="AA23" s="144">
        <f t="shared" si="8"/>
        <v>0.0002767527675</v>
      </c>
      <c r="AB23" s="145"/>
    </row>
    <row r="24">
      <c r="A24" s="132">
        <v>792.0</v>
      </c>
      <c r="B24" s="133"/>
      <c r="C24" s="133">
        <f>539+421</f>
        <v>960</v>
      </c>
      <c r="D24" s="133"/>
      <c r="E24" s="133"/>
      <c r="F24" s="133"/>
      <c r="G24" s="133"/>
      <c r="H24" s="133"/>
      <c r="I24" s="133"/>
      <c r="J24" s="133"/>
      <c r="K24" s="134"/>
      <c r="L24" s="135">
        <f t="shared" si="2"/>
        <v>960</v>
      </c>
      <c r="M24" s="136">
        <f t="shared" si="3"/>
        <v>0.825</v>
      </c>
      <c r="N24" s="137">
        <f t="shared" ref="N24:W24" si="27">N$3</f>
        <v>0.95</v>
      </c>
      <c r="O24" s="136">
        <f t="shared" si="27"/>
        <v>0.825</v>
      </c>
      <c r="P24" s="136">
        <f t="shared" si="27"/>
        <v>0.72</v>
      </c>
      <c r="Q24" s="136">
        <f t="shared" si="27"/>
        <v>0.625</v>
      </c>
      <c r="R24" s="136">
        <f t="shared" si="27"/>
        <v>0.545</v>
      </c>
      <c r="S24" s="136">
        <f t="shared" si="27"/>
        <v>0.472</v>
      </c>
      <c r="T24" s="136">
        <f t="shared" si="27"/>
        <v>0.41</v>
      </c>
      <c r="U24" s="136">
        <f t="shared" si="27"/>
        <v>0.36</v>
      </c>
      <c r="V24" s="136" t="str">
        <f t="shared" si="27"/>
        <v/>
      </c>
      <c r="W24" s="136" t="str">
        <f t="shared" si="27"/>
        <v/>
      </c>
      <c r="X24" s="138">
        <f t="shared" si="5"/>
        <v>792</v>
      </c>
      <c r="Y24" s="139">
        <f t="shared" si="6"/>
        <v>0</v>
      </c>
      <c r="Z24" s="136">
        <f t="shared" si="7"/>
        <v>0.825</v>
      </c>
      <c r="AA24" s="136">
        <f t="shared" si="8"/>
        <v>0</v>
      </c>
      <c r="AB24" s="137"/>
    </row>
    <row r="25">
      <c r="A25" s="140">
        <v>375.0</v>
      </c>
      <c r="B25" s="141"/>
      <c r="C25" s="141">
        <v>455.0</v>
      </c>
      <c r="D25" s="141"/>
      <c r="E25" s="141"/>
      <c r="F25" s="141"/>
      <c r="G25" s="141"/>
      <c r="H25" s="141"/>
      <c r="I25" s="141"/>
      <c r="J25" s="141"/>
      <c r="K25" s="142"/>
      <c r="L25" s="143">
        <f t="shared" si="2"/>
        <v>455</v>
      </c>
      <c r="M25" s="144">
        <f t="shared" si="3"/>
        <v>0.8241758242</v>
      </c>
      <c r="N25" s="145">
        <f t="shared" ref="N25:W25" si="28">N$3</f>
        <v>0.95</v>
      </c>
      <c r="O25" s="144">
        <f t="shared" si="28"/>
        <v>0.825</v>
      </c>
      <c r="P25" s="144">
        <f t="shared" si="28"/>
        <v>0.72</v>
      </c>
      <c r="Q25" s="144">
        <f t="shared" si="28"/>
        <v>0.625</v>
      </c>
      <c r="R25" s="144">
        <f t="shared" si="28"/>
        <v>0.545</v>
      </c>
      <c r="S25" s="144">
        <f t="shared" si="28"/>
        <v>0.472</v>
      </c>
      <c r="T25" s="144">
        <f t="shared" si="28"/>
        <v>0.41</v>
      </c>
      <c r="U25" s="144">
        <f t="shared" si="28"/>
        <v>0.36</v>
      </c>
      <c r="V25" s="144" t="str">
        <f t="shared" si="28"/>
        <v/>
      </c>
      <c r="W25" s="144" t="str">
        <f t="shared" si="28"/>
        <v/>
      </c>
      <c r="X25" s="146">
        <f t="shared" si="5"/>
        <v>375.375</v>
      </c>
      <c r="Y25" s="147">
        <f t="shared" si="6"/>
        <v>0.375</v>
      </c>
      <c r="Z25" s="144">
        <f t="shared" si="7"/>
        <v>0.825</v>
      </c>
      <c r="AA25" s="144">
        <f t="shared" si="8"/>
        <v>0.0008241758242</v>
      </c>
      <c r="AB25" s="145"/>
    </row>
    <row r="26">
      <c r="A26" s="132">
        <v>1927.0</v>
      </c>
      <c r="B26" s="133"/>
      <c r="C26" s="133">
        <f>117+1563+653</f>
        <v>2333</v>
      </c>
      <c r="D26" s="133"/>
      <c r="E26" s="133"/>
      <c r="F26" s="133"/>
      <c r="G26" s="133"/>
      <c r="H26" s="133"/>
      <c r="I26" s="133"/>
      <c r="J26" s="133"/>
      <c r="K26" s="134"/>
      <c r="L26" s="135">
        <f t="shared" si="2"/>
        <v>2333</v>
      </c>
      <c r="M26" s="136">
        <f t="shared" si="3"/>
        <v>0.8259751393</v>
      </c>
      <c r="N26" s="137">
        <f t="shared" ref="N26:W26" si="29">N$3</f>
        <v>0.95</v>
      </c>
      <c r="O26" s="136">
        <f t="shared" si="29"/>
        <v>0.825</v>
      </c>
      <c r="P26" s="136">
        <f t="shared" si="29"/>
        <v>0.72</v>
      </c>
      <c r="Q26" s="136">
        <f t="shared" si="29"/>
        <v>0.625</v>
      </c>
      <c r="R26" s="136">
        <f t="shared" si="29"/>
        <v>0.545</v>
      </c>
      <c r="S26" s="136">
        <f t="shared" si="29"/>
        <v>0.472</v>
      </c>
      <c r="T26" s="136">
        <f t="shared" si="29"/>
        <v>0.41</v>
      </c>
      <c r="U26" s="136">
        <f t="shared" si="29"/>
        <v>0.36</v>
      </c>
      <c r="V26" s="136" t="str">
        <f t="shared" si="29"/>
        <v/>
      </c>
      <c r="W26" s="136" t="str">
        <f t="shared" si="29"/>
        <v/>
      </c>
      <c r="X26" s="138">
        <f t="shared" si="5"/>
        <v>1924.725</v>
      </c>
      <c r="Y26" s="139">
        <f t="shared" si="6"/>
        <v>-2.275</v>
      </c>
      <c r="Z26" s="136">
        <f t="shared" si="7"/>
        <v>0.825</v>
      </c>
      <c r="AA26" s="136">
        <f t="shared" si="8"/>
        <v>-0.0009751393056</v>
      </c>
      <c r="AB26" s="137"/>
    </row>
    <row r="27">
      <c r="A27" s="140">
        <v>1265.0</v>
      </c>
      <c r="B27" s="141"/>
      <c r="C27" s="141">
        <v>1532.0</v>
      </c>
      <c r="D27" s="141"/>
      <c r="E27" s="141"/>
      <c r="F27" s="141"/>
      <c r="G27" s="141"/>
      <c r="H27" s="141"/>
      <c r="I27" s="141"/>
      <c r="J27" s="141"/>
      <c r="K27" s="142"/>
      <c r="L27" s="143">
        <f t="shared" si="2"/>
        <v>1532</v>
      </c>
      <c r="M27" s="144">
        <f t="shared" si="3"/>
        <v>0.8257180157</v>
      </c>
      <c r="N27" s="145">
        <f t="shared" ref="N27:W27" si="30">N$3</f>
        <v>0.95</v>
      </c>
      <c r="O27" s="144">
        <f t="shared" si="30"/>
        <v>0.825</v>
      </c>
      <c r="P27" s="144">
        <f t="shared" si="30"/>
        <v>0.72</v>
      </c>
      <c r="Q27" s="144">
        <f t="shared" si="30"/>
        <v>0.625</v>
      </c>
      <c r="R27" s="144">
        <f t="shared" si="30"/>
        <v>0.545</v>
      </c>
      <c r="S27" s="144">
        <f t="shared" si="30"/>
        <v>0.472</v>
      </c>
      <c r="T27" s="144">
        <f t="shared" si="30"/>
        <v>0.41</v>
      </c>
      <c r="U27" s="144">
        <f t="shared" si="30"/>
        <v>0.36</v>
      </c>
      <c r="V27" s="144" t="str">
        <f t="shared" si="30"/>
        <v/>
      </c>
      <c r="W27" s="144" t="str">
        <f t="shared" si="30"/>
        <v/>
      </c>
      <c r="X27" s="146">
        <f t="shared" si="5"/>
        <v>1263.9</v>
      </c>
      <c r="Y27" s="147">
        <f t="shared" si="6"/>
        <v>-1.1</v>
      </c>
      <c r="Z27" s="144">
        <f t="shared" si="7"/>
        <v>0.825</v>
      </c>
      <c r="AA27" s="144">
        <f t="shared" si="8"/>
        <v>-0.0007180156658</v>
      </c>
      <c r="AB27" s="145"/>
    </row>
    <row r="28">
      <c r="A28" s="132">
        <f>1489+1028</f>
        <v>2517</v>
      </c>
      <c r="B28" s="133"/>
      <c r="C28" s="133"/>
      <c r="D28" s="133">
        <f>2026+1377+101</f>
        <v>3504</v>
      </c>
      <c r="E28" s="133"/>
      <c r="F28" s="133"/>
      <c r="G28" s="133"/>
      <c r="H28" s="133"/>
      <c r="I28" s="133"/>
      <c r="J28" s="133"/>
      <c r="K28" s="134"/>
      <c r="L28" s="135">
        <f t="shared" si="2"/>
        <v>3504</v>
      </c>
      <c r="M28" s="136">
        <f t="shared" si="3"/>
        <v>0.7183219178</v>
      </c>
      <c r="N28" s="137">
        <f t="shared" ref="N28:W28" si="31">N$3</f>
        <v>0.95</v>
      </c>
      <c r="O28" s="136">
        <f t="shared" si="31"/>
        <v>0.825</v>
      </c>
      <c r="P28" s="136">
        <f t="shared" si="31"/>
        <v>0.72</v>
      </c>
      <c r="Q28" s="136">
        <f t="shared" si="31"/>
        <v>0.625</v>
      </c>
      <c r="R28" s="136">
        <f t="shared" si="31"/>
        <v>0.545</v>
      </c>
      <c r="S28" s="136">
        <f t="shared" si="31"/>
        <v>0.472</v>
      </c>
      <c r="T28" s="136">
        <f t="shared" si="31"/>
        <v>0.41</v>
      </c>
      <c r="U28" s="136">
        <f t="shared" si="31"/>
        <v>0.36</v>
      </c>
      <c r="V28" s="136" t="str">
        <f t="shared" si="31"/>
        <v/>
      </c>
      <c r="W28" s="136" t="str">
        <f t="shared" si="31"/>
        <v/>
      </c>
      <c r="X28" s="138">
        <f t="shared" si="5"/>
        <v>2522.88</v>
      </c>
      <c r="Y28" s="139">
        <f t="shared" si="6"/>
        <v>5.88</v>
      </c>
      <c r="Z28" s="136">
        <f t="shared" si="7"/>
        <v>0.72</v>
      </c>
      <c r="AA28" s="136">
        <f t="shared" si="8"/>
        <v>0.001678082192</v>
      </c>
      <c r="AB28" s="137"/>
    </row>
    <row r="29">
      <c r="A29" s="140">
        <v>2094.0</v>
      </c>
      <c r="B29" s="141"/>
      <c r="C29" s="141">
        <v>2534.0</v>
      </c>
      <c r="D29" s="141"/>
      <c r="E29" s="141"/>
      <c r="F29" s="141"/>
      <c r="G29" s="141"/>
      <c r="H29" s="141"/>
      <c r="I29" s="141"/>
      <c r="J29" s="141"/>
      <c r="K29" s="142"/>
      <c r="L29" s="143">
        <f t="shared" si="2"/>
        <v>2534</v>
      </c>
      <c r="M29" s="144">
        <f t="shared" si="3"/>
        <v>0.8263614838</v>
      </c>
      <c r="N29" s="145">
        <f t="shared" ref="N29:W29" si="32">N$3</f>
        <v>0.95</v>
      </c>
      <c r="O29" s="144">
        <f t="shared" si="32"/>
        <v>0.825</v>
      </c>
      <c r="P29" s="144">
        <f t="shared" si="32"/>
        <v>0.72</v>
      </c>
      <c r="Q29" s="144">
        <f t="shared" si="32"/>
        <v>0.625</v>
      </c>
      <c r="R29" s="144">
        <f t="shared" si="32"/>
        <v>0.545</v>
      </c>
      <c r="S29" s="144">
        <f t="shared" si="32"/>
        <v>0.472</v>
      </c>
      <c r="T29" s="144">
        <f t="shared" si="32"/>
        <v>0.41</v>
      </c>
      <c r="U29" s="144">
        <f t="shared" si="32"/>
        <v>0.36</v>
      </c>
      <c r="V29" s="144" t="str">
        <f t="shared" si="32"/>
        <v/>
      </c>
      <c r="W29" s="144" t="str">
        <f t="shared" si="32"/>
        <v/>
      </c>
      <c r="X29" s="146">
        <f t="shared" si="5"/>
        <v>2090.55</v>
      </c>
      <c r="Y29" s="147">
        <f t="shared" si="6"/>
        <v>-3.45</v>
      </c>
      <c r="Z29" s="144">
        <f t="shared" si="7"/>
        <v>0.825</v>
      </c>
      <c r="AA29" s="144">
        <f t="shared" si="8"/>
        <v>-0.00136148382</v>
      </c>
      <c r="AB29" s="145"/>
    </row>
    <row r="30">
      <c r="A30" s="132">
        <v>10753.0</v>
      </c>
      <c r="B30" s="133">
        <v>618.0</v>
      </c>
      <c r="C30" s="133">
        <v>2356.0</v>
      </c>
      <c r="D30" s="133">
        <v>7608.0</v>
      </c>
      <c r="E30" s="133"/>
      <c r="F30" s="133">
        <v>3721.0</v>
      </c>
      <c r="G30" s="133">
        <v>1026.0</v>
      </c>
      <c r="H30" s="133">
        <v>407.0</v>
      </c>
      <c r="I30" s="133">
        <v>211.0</v>
      </c>
      <c r="J30" s="133"/>
      <c r="K30" s="134"/>
      <c r="L30" s="135">
        <f t="shared" si="2"/>
        <v>15947</v>
      </c>
      <c r="M30" s="136">
        <f t="shared" si="3"/>
        <v>0.6742961059</v>
      </c>
      <c r="N30" s="137">
        <f t="shared" ref="N30:W30" si="33">N$3</f>
        <v>0.95</v>
      </c>
      <c r="O30" s="136">
        <f t="shared" si="33"/>
        <v>0.825</v>
      </c>
      <c r="P30" s="136">
        <f t="shared" si="33"/>
        <v>0.72</v>
      </c>
      <c r="Q30" s="136">
        <f t="shared" si="33"/>
        <v>0.625</v>
      </c>
      <c r="R30" s="136">
        <f t="shared" si="33"/>
        <v>0.545</v>
      </c>
      <c r="S30" s="136">
        <f t="shared" si="33"/>
        <v>0.472</v>
      </c>
      <c r="T30" s="136">
        <f t="shared" si="33"/>
        <v>0.41</v>
      </c>
      <c r="U30" s="136">
        <f t="shared" si="33"/>
        <v>0.36</v>
      </c>
      <c r="V30" s="136" t="str">
        <f t="shared" si="33"/>
        <v/>
      </c>
      <c r="W30" s="136" t="str">
        <f t="shared" si="33"/>
        <v/>
      </c>
      <c r="X30" s="138">
        <f t="shared" si="5"/>
        <v>10763.607</v>
      </c>
      <c r="Y30" s="139">
        <f t="shared" si="6"/>
        <v>10.607</v>
      </c>
      <c r="Z30" s="136">
        <f t="shared" si="7"/>
        <v>0.6749612466</v>
      </c>
      <c r="AA30" s="136">
        <f t="shared" si="8"/>
        <v>0.0006651407788</v>
      </c>
      <c r="AB30" s="137"/>
    </row>
    <row r="31">
      <c r="A31" s="140">
        <v>9719.0</v>
      </c>
      <c r="B31" s="141">
        <v>1200.0</v>
      </c>
      <c r="C31" s="141">
        <v>528.0</v>
      </c>
      <c r="D31" s="141">
        <v>2258.0</v>
      </c>
      <c r="E31" s="141">
        <v>2854.0</v>
      </c>
      <c r="F31" s="141"/>
      <c r="G31" s="141">
        <v>8445.0</v>
      </c>
      <c r="H31" s="141">
        <v>678.0</v>
      </c>
      <c r="I31" s="141">
        <v>1284.0</v>
      </c>
      <c r="J31" s="141"/>
      <c r="K31" s="142"/>
      <c r="L31" s="143">
        <f t="shared" si="2"/>
        <v>17247</v>
      </c>
      <c r="M31" s="144">
        <f t="shared" si="3"/>
        <v>0.563518293</v>
      </c>
      <c r="N31" s="145">
        <f t="shared" ref="N31:W31" si="34">N$3</f>
        <v>0.95</v>
      </c>
      <c r="O31" s="144">
        <f t="shared" si="34"/>
        <v>0.825</v>
      </c>
      <c r="P31" s="144">
        <f t="shared" si="34"/>
        <v>0.72</v>
      </c>
      <c r="Q31" s="144">
        <f t="shared" si="34"/>
        <v>0.625</v>
      </c>
      <c r="R31" s="144">
        <f t="shared" si="34"/>
        <v>0.545</v>
      </c>
      <c r="S31" s="144">
        <f t="shared" si="34"/>
        <v>0.472</v>
      </c>
      <c r="T31" s="144">
        <f t="shared" si="34"/>
        <v>0.41</v>
      </c>
      <c r="U31" s="144">
        <f t="shared" si="34"/>
        <v>0.36</v>
      </c>
      <c r="V31" s="144" t="str">
        <f t="shared" si="34"/>
        <v/>
      </c>
      <c r="W31" s="144" t="str">
        <f t="shared" si="34"/>
        <v/>
      </c>
      <c r="X31" s="146">
        <f t="shared" si="5"/>
        <v>9711.37</v>
      </c>
      <c r="Y31" s="147">
        <f t="shared" si="6"/>
        <v>-7.63</v>
      </c>
      <c r="Z31" s="144">
        <f t="shared" si="7"/>
        <v>0.5630758973</v>
      </c>
      <c r="AA31" s="144">
        <f t="shared" si="8"/>
        <v>-0.000442395779</v>
      </c>
      <c r="AB31" s="145"/>
    </row>
    <row r="32">
      <c r="A32" s="132">
        <v>17492.0</v>
      </c>
      <c r="B32" s="133">
        <v>3036.0</v>
      </c>
      <c r="C32" s="133">
        <v>2443.0</v>
      </c>
      <c r="D32" s="133">
        <v>7101.0</v>
      </c>
      <c r="E32" s="133">
        <v>3272.0</v>
      </c>
      <c r="F32" s="133">
        <v>3580.0</v>
      </c>
      <c r="G32" s="133">
        <v>3657.0</v>
      </c>
      <c r="H32" s="133">
        <v>2448.0</v>
      </c>
      <c r="I32" s="133">
        <v>2103.0</v>
      </c>
      <c r="J32" s="133"/>
      <c r="K32" s="134"/>
      <c r="L32" s="135">
        <f t="shared" si="2"/>
        <v>27640</v>
      </c>
      <c r="M32" s="136">
        <f t="shared" si="3"/>
        <v>0.6328509407</v>
      </c>
      <c r="N32" s="137">
        <f t="shared" ref="N32:W32" si="35">N$3</f>
        <v>0.95</v>
      </c>
      <c r="O32" s="136">
        <f t="shared" si="35"/>
        <v>0.825</v>
      </c>
      <c r="P32" s="136">
        <f t="shared" si="35"/>
        <v>0.72</v>
      </c>
      <c r="Q32" s="136">
        <f t="shared" si="35"/>
        <v>0.625</v>
      </c>
      <c r="R32" s="136">
        <f t="shared" si="35"/>
        <v>0.545</v>
      </c>
      <c r="S32" s="136">
        <f t="shared" si="35"/>
        <v>0.472</v>
      </c>
      <c r="T32" s="136">
        <f t="shared" si="35"/>
        <v>0.41</v>
      </c>
      <c r="U32" s="136">
        <f t="shared" si="35"/>
        <v>0.36</v>
      </c>
      <c r="V32" s="136" t="str">
        <f t="shared" si="35"/>
        <v/>
      </c>
      <c r="W32" s="136" t="str">
        <f t="shared" si="35"/>
        <v/>
      </c>
      <c r="X32" s="138">
        <f t="shared" si="5"/>
        <v>17495.359</v>
      </c>
      <c r="Y32" s="139">
        <f t="shared" si="6"/>
        <v>3.359</v>
      </c>
      <c r="Z32" s="136">
        <f t="shared" si="7"/>
        <v>0.6329724674</v>
      </c>
      <c r="AA32" s="136">
        <f t="shared" si="8"/>
        <v>0.0001215267728</v>
      </c>
      <c r="AB32" s="137"/>
    </row>
    <row r="33">
      <c r="A33" s="140">
        <v>2827.0</v>
      </c>
      <c r="B33" s="141"/>
      <c r="C33" s="141">
        <v>852.0</v>
      </c>
      <c r="D33" s="141"/>
      <c r="E33" s="141">
        <v>1373.0</v>
      </c>
      <c r="F33" s="141">
        <v>893.0</v>
      </c>
      <c r="G33" s="141">
        <v>742.0</v>
      </c>
      <c r="H33" s="141">
        <v>726.0</v>
      </c>
      <c r="I33" s="141">
        <v>368.0</v>
      </c>
      <c r="J33" s="141"/>
      <c r="K33" s="142"/>
      <c r="L33" s="143">
        <f t="shared" si="2"/>
        <v>4954</v>
      </c>
      <c r="M33" s="144">
        <f t="shared" si="3"/>
        <v>0.5706499798</v>
      </c>
      <c r="N33" s="145">
        <f t="shared" ref="N33:W33" si="36">N$3</f>
        <v>0.95</v>
      </c>
      <c r="O33" s="144">
        <f t="shared" si="36"/>
        <v>0.825</v>
      </c>
      <c r="P33" s="144">
        <f t="shared" si="36"/>
        <v>0.72</v>
      </c>
      <c r="Q33" s="144">
        <f t="shared" si="36"/>
        <v>0.625</v>
      </c>
      <c r="R33" s="144">
        <f t="shared" si="36"/>
        <v>0.545</v>
      </c>
      <c r="S33" s="144">
        <f t="shared" si="36"/>
        <v>0.472</v>
      </c>
      <c r="T33" s="144">
        <f t="shared" si="36"/>
        <v>0.41</v>
      </c>
      <c r="U33" s="144">
        <f t="shared" si="36"/>
        <v>0.36</v>
      </c>
      <c r="V33" s="144" t="str">
        <f t="shared" si="36"/>
        <v/>
      </c>
      <c r="W33" s="144" t="str">
        <f t="shared" si="36"/>
        <v/>
      </c>
      <c r="X33" s="146">
        <f t="shared" si="5"/>
        <v>2828.074</v>
      </c>
      <c r="Y33" s="147">
        <f t="shared" si="6"/>
        <v>1.074</v>
      </c>
      <c r="Z33" s="144">
        <f t="shared" si="7"/>
        <v>0.5708667743</v>
      </c>
      <c r="AA33" s="144">
        <f t="shared" si="8"/>
        <v>0.0002167945095</v>
      </c>
      <c r="AB33" s="145"/>
    </row>
    <row r="34">
      <c r="A34" s="132">
        <v>9757.0</v>
      </c>
      <c r="B34" s="133">
        <v>980.0</v>
      </c>
      <c r="C34" s="133">
        <v>1198.0</v>
      </c>
      <c r="D34" s="133">
        <v>4880.0</v>
      </c>
      <c r="E34" s="133">
        <v>1168.0</v>
      </c>
      <c r="F34" s="133">
        <v>1783.0</v>
      </c>
      <c r="G34" s="133">
        <v>4032.0</v>
      </c>
      <c r="H34" s="133">
        <v>898.0</v>
      </c>
      <c r="I34" s="133">
        <v>985.0</v>
      </c>
      <c r="J34" s="133"/>
      <c r="K34" s="134"/>
      <c r="L34" s="135">
        <f t="shared" si="2"/>
        <v>15924</v>
      </c>
      <c r="M34" s="136">
        <f t="shared" si="3"/>
        <v>0.6127229339</v>
      </c>
      <c r="N34" s="137">
        <f t="shared" ref="N34:W34" si="37">N$3</f>
        <v>0.95</v>
      </c>
      <c r="O34" s="136">
        <f t="shared" si="37"/>
        <v>0.825</v>
      </c>
      <c r="P34" s="136">
        <f t="shared" si="37"/>
        <v>0.72</v>
      </c>
      <c r="Q34" s="136">
        <f t="shared" si="37"/>
        <v>0.625</v>
      </c>
      <c r="R34" s="136">
        <f t="shared" si="37"/>
        <v>0.545</v>
      </c>
      <c r="S34" s="136">
        <f t="shared" si="37"/>
        <v>0.472</v>
      </c>
      <c r="T34" s="136">
        <f t="shared" si="37"/>
        <v>0.41</v>
      </c>
      <c r="U34" s="136">
        <f t="shared" si="37"/>
        <v>0.36</v>
      </c>
      <c r="V34" s="136" t="str">
        <f t="shared" si="37"/>
        <v/>
      </c>
      <c r="W34" s="136" t="str">
        <f t="shared" si="37"/>
        <v/>
      </c>
      <c r="X34" s="138">
        <f t="shared" si="5"/>
        <v>9760.569</v>
      </c>
      <c r="Y34" s="139">
        <f t="shared" si="6"/>
        <v>3.569</v>
      </c>
      <c r="Z34" s="136">
        <f t="shared" si="7"/>
        <v>0.612947061</v>
      </c>
      <c r="AA34" s="136">
        <f t="shared" si="8"/>
        <v>0.0002241271037</v>
      </c>
      <c r="AB34" s="137"/>
    </row>
    <row r="35">
      <c r="A35" s="140">
        <v>24374.0</v>
      </c>
      <c r="B35" s="141">
        <v>3004.0</v>
      </c>
      <c r="C35" s="141">
        <v>2990.0</v>
      </c>
      <c r="D35" s="141">
        <v>10933.0</v>
      </c>
      <c r="E35" s="141">
        <v>4136.0</v>
      </c>
      <c r="F35" s="141">
        <v>4815.0</v>
      </c>
      <c r="G35" s="141">
        <v>9193.0</v>
      </c>
      <c r="H35" s="141">
        <v>2630.0</v>
      </c>
      <c r="I35" s="141">
        <v>1538.0</v>
      </c>
      <c r="J35" s="141"/>
      <c r="K35" s="142"/>
      <c r="L35" s="143">
        <f t="shared" si="2"/>
        <v>39239</v>
      </c>
      <c r="M35" s="144">
        <f t="shared" si="3"/>
        <v>0.6211677158</v>
      </c>
      <c r="N35" s="145">
        <f t="shared" ref="N35:W35" si="38">N$3</f>
        <v>0.95</v>
      </c>
      <c r="O35" s="144">
        <f t="shared" si="38"/>
        <v>0.825</v>
      </c>
      <c r="P35" s="144">
        <f t="shared" si="38"/>
        <v>0.72</v>
      </c>
      <c r="Q35" s="144">
        <f t="shared" si="38"/>
        <v>0.625</v>
      </c>
      <c r="R35" s="144">
        <f t="shared" si="38"/>
        <v>0.545</v>
      </c>
      <c r="S35" s="144">
        <f t="shared" si="38"/>
        <v>0.472</v>
      </c>
      <c r="T35" s="144">
        <f t="shared" si="38"/>
        <v>0.41</v>
      </c>
      <c r="U35" s="144">
        <f t="shared" si="38"/>
        <v>0.36</v>
      </c>
      <c r="V35" s="144" t="str">
        <f t="shared" si="38"/>
        <v/>
      </c>
      <c r="W35" s="144" t="str">
        <f t="shared" si="38"/>
        <v/>
      </c>
      <c r="X35" s="146">
        <f t="shared" si="5"/>
        <v>24372.561</v>
      </c>
      <c r="Y35" s="147">
        <f t="shared" si="6"/>
        <v>-1.439</v>
      </c>
      <c r="Z35" s="144">
        <f t="shared" si="7"/>
        <v>0.6211310431</v>
      </c>
      <c r="AA35" s="144">
        <f t="shared" si="8"/>
        <v>-0.00003667269808</v>
      </c>
      <c r="AB35" s="145"/>
    </row>
    <row r="36">
      <c r="A36" s="132">
        <v>9363.0</v>
      </c>
      <c r="B36" s="133"/>
      <c r="C36" s="133">
        <v>2299.0</v>
      </c>
      <c r="D36" s="133">
        <v>4807.0</v>
      </c>
      <c r="E36" s="133"/>
      <c r="F36" s="133">
        <v>3392.0</v>
      </c>
      <c r="G36" s="133">
        <v>2777.0</v>
      </c>
      <c r="H36" s="133">
        <v>2069.0</v>
      </c>
      <c r="I36" s="133"/>
      <c r="J36" s="133"/>
      <c r="K36" s="134"/>
      <c r="L36" s="135">
        <f t="shared" si="2"/>
        <v>15344</v>
      </c>
      <c r="M36" s="136">
        <f t="shared" si="3"/>
        <v>0.6102059437</v>
      </c>
      <c r="N36" s="137">
        <f t="shared" ref="N36:W36" si="39">N$3</f>
        <v>0.95</v>
      </c>
      <c r="O36" s="136">
        <f t="shared" si="39"/>
        <v>0.825</v>
      </c>
      <c r="P36" s="136">
        <f t="shared" si="39"/>
        <v>0.72</v>
      </c>
      <c r="Q36" s="136">
        <f t="shared" si="39"/>
        <v>0.625</v>
      </c>
      <c r="R36" s="136">
        <f t="shared" si="39"/>
        <v>0.545</v>
      </c>
      <c r="S36" s="136">
        <f t="shared" si="39"/>
        <v>0.472</v>
      </c>
      <c r="T36" s="136">
        <f t="shared" si="39"/>
        <v>0.41</v>
      </c>
      <c r="U36" s="136">
        <f t="shared" si="39"/>
        <v>0.36</v>
      </c>
      <c r="V36" s="136" t="str">
        <f t="shared" si="39"/>
        <v/>
      </c>
      <c r="W36" s="136" t="str">
        <f t="shared" si="39"/>
        <v/>
      </c>
      <c r="X36" s="138">
        <f t="shared" si="5"/>
        <v>9365.389</v>
      </c>
      <c r="Y36" s="139">
        <f t="shared" si="6"/>
        <v>2.389</v>
      </c>
      <c r="Z36" s="136">
        <f t="shared" si="7"/>
        <v>0.6103616397</v>
      </c>
      <c r="AA36" s="136">
        <f t="shared" si="8"/>
        <v>0.0001556960375</v>
      </c>
      <c r="AB36" s="137"/>
    </row>
    <row r="37">
      <c r="A37" s="140">
        <v>4705.0</v>
      </c>
      <c r="B37" s="141"/>
      <c r="C37" s="141">
        <v>433.0</v>
      </c>
      <c r="D37" s="141">
        <v>938.0</v>
      </c>
      <c r="E37" s="141"/>
      <c r="F37" s="141">
        <v>4818.0</v>
      </c>
      <c r="G37" s="141">
        <v>1123.0</v>
      </c>
      <c r="H37" s="141">
        <v>1272.0</v>
      </c>
      <c r="I37" s="141"/>
      <c r="J37" s="141"/>
      <c r="K37" s="142"/>
      <c r="L37" s="143">
        <f t="shared" si="2"/>
        <v>8584</v>
      </c>
      <c r="M37" s="144">
        <f t="shared" si="3"/>
        <v>0.5481127679</v>
      </c>
      <c r="N37" s="145">
        <f t="shared" ref="N37:W37" si="40">N$3</f>
        <v>0.95</v>
      </c>
      <c r="O37" s="144">
        <f t="shared" si="40"/>
        <v>0.825</v>
      </c>
      <c r="P37" s="144">
        <f t="shared" si="40"/>
        <v>0.72</v>
      </c>
      <c r="Q37" s="144">
        <f t="shared" si="40"/>
        <v>0.625</v>
      </c>
      <c r="R37" s="144">
        <f t="shared" si="40"/>
        <v>0.545</v>
      </c>
      <c r="S37" s="144">
        <f t="shared" si="40"/>
        <v>0.472</v>
      </c>
      <c r="T37" s="144">
        <f t="shared" si="40"/>
        <v>0.41</v>
      </c>
      <c r="U37" s="144">
        <f t="shared" si="40"/>
        <v>0.36</v>
      </c>
      <c r="V37" s="144" t="str">
        <f t="shared" si="40"/>
        <v/>
      </c>
      <c r="W37" s="144" t="str">
        <f t="shared" si="40"/>
        <v/>
      </c>
      <c r="X37" s="146">
        <f t="shared" si="5"/>
        <v>4709.971</v>
      </c>
      <c r="Y37" s="147">
        <f t="shared" si="6"/>
        <v>4.971</v>
      </c>
      <c r="Z37" s="144">
        <f t="shared" si="7"/>
        <v>0.5486918686</v>
      </c>
      <c r="AA37" s="144">
        <f t="shared" si="8"/>
        <v>0.0005791006524</v>
      </c>
      <c r="AB37" s="145"/>
    </row>
    <row r="38">
      <c r="A38" s="132">
        <v>8418.0</v>
      </c>
      <c r="B38" s="133"/>
      <c r="C38" s="133">
        <v>1969.0</v>
      </c>
      <c r="D38" s="133">
        <v>2130.0</v>
      </c>
      <c r="E38" s="133">
        <v>4826.0</v>
      </c>
      <c r="F38" s="133"/>
      <c r="G38" s="133"/>
      <c r="H38" s="133">
        <v>3139.0</v>
      </c>
      <c r="I38" s="133">
        <v>2659.0</v>
      </c>
      <c r="J38" s="133"/>
      <c r="K38" s="134"/>
      <c r="L38" s="135">
        <f t="shared" si="2"/>
        <v>14723</v>
      </c>
      <c r="M38" s="136">
        <f t="shared" si="3"/>
        <v>0.5717584731</v>
      </c>
      <c r="N38" s="137">
        <f t="shared" ref="N38:W38" si="41">N$3</f>
        <v>0.95</v>
      </c>
      <c r="O38" s="136">
        <f t="shared" si="41"/>
        <v>0.825</v>
      </c>
      <c r="P38" s="136">
        <f t="shared" si="41"/>
        <v>0.72</v>
      </c>
      <c r="Q38" s="136">
        <f t="shared" si="41"/>
        <v>0.625</v>
      </c>
      <c r="R38" s="136">
        <f t="shared" si="41"/>
        <v>0.545</v>
      </c>
      <c r="S38" s="136">
        <f t="shared" si="41"/>
        <v>0.472</v>
      </c>
      <c r="T38" s="136">
        <f t="shared" si="41"/>
        <v>0.41</v>
      </c>
      <c r="U38" s="136">
        <f t="shared" si="41"/>
        <v>0.36</v>
      </c>
      <c r="V38" s="136" t="str">
        <f t="shared" si="41"/>
        <v/>
      </c>
      <c r="W38" s="136" t="str">
        <f t="shared" si="41"/>
        <v/>
      </c>
      <c r="X38" s="138">
        <f t="shared" si="5"/>
        <v>8418.505</v>
      </c>
      <c r="Y38" s="139">
        <f t="shared" si="6"/>
        <v>0.505</v>
      </c>
      <c r="Z38" s="136">
        <f t="shared" si="7"/>
        <v>0.5717927732</v>
      </c>
      <c r="AA38" s="136">
        <f t="shared" si="8"/>
        <v>0.00003430007471</v>
      </c>
      <c r="AB38" s="137"/>
    </row>
    <row r="39">
      <c r="A39" s="140"/>
      <c r="B39" s="141"/>
      <c r="C39" s="141"/>
      <c r="D39" s="141"/>
      <c r="E39" s="141"/>
      <c r="F39" s="141"/>
      <c r="G39" s="141"/>
      <c r="H39" s="141"/>
      <c r="I39" s="141"/>
      <c r="J39" s="141"/>
      <c r="K39" s="142"/>
      <c r="L39" s="143">
        <f t="shared" si="2"/>
        <v>0</v>
      </c>
      <c r="M39" s="144" t="str">
        <f t="shared" si="3"/>
        <v>#DIV/0!</v>
      </c>
      <c r="N39" s="145">
        <f t="shared" ref="N39:W39" si="42">N$3</f>
        <v>0.95</v>
      </c>
      <c r="O39" s="144">
        <f t="shared" si="42"/>
        <v>0.825</v>
      </c>
      <c r="P39" s="144">
        <f t="shared" si="42"/>
        <v>0.72</v>
      </c>
      <c r="Q39" s="144">
        <f t="shared" si="42"/>
        <v>0.625</v>
      </c>
      <c r="R39" s="144">
        <f t="shared" si="42"/>
        <v>0.545</v>
      </c>
      <c r="S39" s="144">
        <f t="shared" si="42"/>
        <v>0.472</v>
      </c>
      <c r="T39" s="144">
        <f t="shared" si="42"/>
        <v>0.41</v>
      </c>
      <c r="U39" s="144">
        <f t="shared" si="42"/>
        <v>0.36</v>
      </c>
      <c r="V39" s="144" t="str">
        <f t="shared" si="42"/>
        <v/>
      </c>
      <c r="W39" s="144" t="str">
        <f t="shared" si="42"/>
        <v/>
      </c>
      <c r="X39" s="146">
        <f t="shared" si="5"/>
        <v>0</v>
      </c>
      <c r="Y39" s="147">
        <f t="shared" si="6"/>
        <v>0</v>
      </c>
      <c r="Z39" s="144" t="str">
        <f t="shared" si="7"/>
        <v>#DIV/0!</v>
      </c>
      <c r="AA39" s="144" t="str">
        <f t="shared" si="8"/>
        <v>#DIV/0!</v>
      </c>
      <c r="AB39" s="145"/>
    </row>
    <row r="40">
      <c r="A40" s="132"/>
      <c r="B40" s="133"/>
      <c r="C40" s="133"/>
      <c r="D40" s="133"/>
      <c r="E40" s="133"/>
      <c r="F40" s="133"/>
      <c r="G40" s="133"/>
      <c r="H40" s="133"/>
      <c r="I40" s="133"/>
      <c r="J40" s="133"/>
      <c r="K40" s="134"/>
      <c r="L40" s="135">
        <f t="shared" si="2"/>
        <v>0</v>
      </c>
      <c r="M40" s="136" t="str">
        <f t="shared" si="3"/>
        <v>#DIV/0!</v>
      </c>
      <c r="N40" s="137">
        <f t="shared" ref="N40:W40" si="43">N$3</f>
        <v>0.95</v>
      </c>
      <c r="O40" s="136">
        <f t="shared" si="43"/>
        <v>0.825</v>
      </c>
      <c r="P40" s="136">
        <f t="shared" si="43"/>
        <v>0.72</v>
      </c>
      <c r="Q40" s="136">
        <f t="shared" si="43"/>
        <v>0.625</v>
      </c>
      <c r="R40" s="136">
        <f t="shared" si="43"/>
        <v>0.545</v>
      </c>
      <c r="S40" s="136">
        <f t="shared" si="43"/>
        <v>0.472</v>
      </c>
      <c r="T40" s="136">
        <f t="shared" si="43"/>
        <v>0.41</v>
      </c>
      <c r="U40" s="136">
        <f t="shared" si="43"/>
        <v>0.36</v>
      </c>
      <c r="V40" s="136" t="str">
        <f t="shared" si="43"/>
        <v/>
      </c>
      <c r="W40" s="136" t="str">
        <f t="shared" si="43"/>
        <v/>
      </c>
      <c r="X40" s="138">
        <f t="shared" si="5"/>
        <v>0</v>
      </c>
      <c r="Y40" s="139">
        <f t="shared" si="6"/>
        <v>0</v>
      </c>
      <c r="Z40" s="136" t="str">
        <f t="shared" si="7"/>
        <v>#DIV/0!</v>
      </c>
      <c r="AA40" s="136" t="str">
        <f t="shared" si="8"/>
        <v>#DIV/0!</v>
      </c>
      <c r="AB40" s="137"/>
    </row>
    <row r="41">
      <c r="A41" s="140"/>
      <c r="B41" s="141"/>
      <c r="C41" s="141"/>
      <c r="D41" s="141"/>
      <c r="E41" s="141"/>
      <c r="F41" s="141"/>
      <c r="G41" s="141"/>
      <c r="H41" s="141"/>
      <c r="I41" s="141"/>
      <c r="J41" s="141"/>
      <c r="K41" s="142"/>
      <c r="L41" s="143">
        <f t="shared" si="2"/>
        <v>0</v>
      </c>
      <c r="M41" s="144" t="str">
        <f t="shared" si="3"/>
        <v>#DIV/0!</v>
      </c>
      <c r="N41" s="145">
        <f t="shared" ref="N41:W41" si="44">N$3</f>
        <v>0.95</v>
      </c>
      <c r="O41" s="144">
        <f t="shared" si="44"/>
        <v>0.825</v>
      </c>
      <c r="P41" s="144">
        <f t="shared" si="44"/>
        <v>0.72</v>
      </c>
      <c r="Q41" s="144">
        <f t="shared" si="44"/>
        <v>0.625</v>
      </c>
      <c r="R41" s="144">
        <f t="shared" si="44"/>
        <v>0.545</v>
      </c>
      <c r="S41" s="144">
        <f t="shared" si="44"/>
        <v>0.472</v>
      </c>
      <c r="T41" s="144">
        <f t="shared" si="44"/>
        <v>0.41</v>
      </c>
      <c r="U41" s="144">
        <f t="shared" si="44"/>
        <v>0.36</v>
      </c>
      <c r="V41" s="144" t="str">
        <f t="shared" si="44"/>
        <v/>
      </c>
      <c r="W41" s="144" t="str">
        <f t="shared" si="44"/>
        <v/>
      </c>
      <c r="X41" s="146">
        <f t="shared" si="5"/>
        <v>0</v>
      </c>
      <c r="Y41" s="147">
        <f t="shared" si="6"/>
        <v>0</v>
      </c>
      <c r="Z41" s="144" t="str">
        <f t="shared" si="7"/>
        <v>#DIV/0!</v>
      </c>
      <c r="AA41" s="144" t="str">
        <f t="shared" si="8"/>
        <v>#DIV/0!</v>
      </c>
      <c r="AB41" s="145"/>
    </row>
    <row r="42">
      <c r="A42" s="132"/>
      <c r="B42" s="133"/>
      <c r="C42" s="133"/>
      <c r="D42" s="133"/>
      <c r="E42" s="133"/>
      <c r="F42" s="133"/>
      <c r="G42" s="133"/>
      <c r="H42" s="133"/>
      <c r="I42" s="133"/>
      <c r="J42" s="133"/>
      <c r="K42" s="134"/>
      <c r="L42" s="135">
        <f t="shared" si="2"/>
        <v>0</v>
      </c>
      <c r="M42" s="136" t="str">
        <f t="shared" si="3"/>
        <v>#DIV/0!</v>
      </c>
      <c r="N42" s="137">
        <f t="shared" ref="N42:W42" si="45">N$3</f>
        <v>0.95</v>
      </c>
      <c r="O42" s="136">
        <f t="shared" si="45"/>
        <v>0.825</v>
      </c>
      <c r="P42" s="136">
        <f t="shared" si="45"/>
        <v>0.72</v>
      </c>
      <c r="Q42" s="136">
        <f t="shared" si="45"/>
        <v>0.625</v>
      </c>
      <c r="R42" s="136">
        <f t="shared" si="45"/>
        <v>0.545</v>
      </c>
      <c r="S42" s="136">
        <f t="shared" si="45"/>
        <v>0.472</v>
      </c>
      <c r="T42" s="136">
        <f t="shared" si="45"/>
        <v>0.41</v>
      </c>
      <c r="U42" s="136">
        <f t="shared" si="45"/>
        <v>0.36</v>
      </c>
      <c r="V42" s="136" t="str">
        <f t="shared" si="45"/>
        <v/>
      </c>
      <c r="W42" s="136" t="str">
        <f t="shared" si="45"/>
        <v/>
      </c>
      <c r="X42" s="138">
        <f t="shared" si="5"/>
        <v>0</v>
      </c>
      <c r="Y42" s="139">
        <f t="shared" si="6"/>
        <v>0</v>
      </c>
      <c r="Z42" s="136" t="str">
        <f t="shared" si="7"/>
        <v>#DIV/0!</v>
      </c>
      <c r="AA42" s="136" t="str">
        <f t="shared" si="8"/>
        <v>#DIV/0!</v>
      </c>
      <c r="AB42" s="137"/>
    </row>
    <row r="43">
      <c r="A43" s="140"/>
      <c r="B43" s="141"/>
      <c r="C43" s="141"/>
      <c r="D43" s="141"/>
      <c r="E43" s="141"/>
      <c r="F43" s="141"/>
      <c r="G43" s="141"/>
      <c r="H43" s="141"/>
      <c r="I43" s="141"/>
      <c r="J43" s="141"/>
      <c r="K43" s="142"/>
      <c r="L43" s="143">
        <f t="shared" si="2"/>
        <v>0</v>
      </c>
      <c r="M43" s="144" t="str">
        <f t="shared" si="3"/>
        <v>#DIV/0!</v>
      </c>
      <c r="N43" s="145">
        <f t="shared" ref="N43:W43" si="46">N$3</f>
        <v>0.95</v>
      </c>
      <c r="O43" s="144">
        <f t="shared" si="46"/>
        <v>0.825</v>
      </c>
      <c r="P43" s="144">
        <f t="shared" si="46"/>
        <v>0.72</v>
      </c>
      <c r="Q43" s="144">
        <f t="shared" si="46"/>
        <v>0.625</v>
      </c>
      <c r="R43" s="144">
        <f t="shared" si="46"/>
        <v>0.545</v>
      </c>
      <c r="S43" s="144">
        <f t="shared" si="46"/>
        <v>0.472</v>
      </c>
      <c r="T43" s="144">
        <f t="shared" si="46"/>
        <v>0.41</v>
      </c>
      <c r="U43" s="144">
        <f t="shared" si="46"/>
        <v>0.36</v>
      </c>
      <c r="V43" s="144" t="str">
        <f t="shared" si="46"/>
        <v/>
      </c>
      <c r="W43" s="144" t="str">
        <f t="shared" si="46"/>
        <v/>
      </c>
      <c r="X43" s="146">
        <f t="shared" si="5"/>
        <v>0</v>
      </c>
      <c r="Y43" s="147">
        <f t="shared" si="6"/>
        <v>0</v>
      </c>
      <c r="Z43" s="144" t="str">
        <f t="shared" si="7"/>
        <v>#DIV/0!</v>
      </c>
      <c r="AA43" s="144" t="str">
        <f t="shared" si="8"/>
        <v>#DIV/0!</v>
      </c>
      <c r="AB43" s="145"/>
    </row>
    <row r="44">
      <c r="A44" s="132"/>
      <c r="B44" s="133"/>
      <c r="C44" s="133"/>
      <c r="D44" s="133"/>
      <c r="E44" s="133"/>
      <c r="F44" s="133"/>
      <c r="G44" s="133"/>
      <c r="H44" s="133"/>
      <c r="I44" s="133"/>
      <c r="J44" s="133"/>
      <c r="K44" s="134"/>
      <c r="L44" s="135">
        <f t="shared" si="2"/>
        <v>0</v>
      </c>
      <c r="M44" s="136" t="str">
        <f t="shared" si="3"/>
        <v>#DIV/0!</v>
      </c>
      <c r="N44" s="137">
        <f t="shared" ref="N44:W44" si="47">N$3</f>
        <v>0.95</v>
      </c>
      <c r="O44" s="136">
        <f t="shared" si="47"/>
        <v>0.825</v>
      </c>
      <c r="P44" s="136">
        <f t="shared" si="47"/>
        <v>0.72</v>
      </c>
      <c r="Q44" s="136">
        <f t="shared" si="47"/>
        <v>0.625</v>
      </c>
      <c r="R44" s="136">
        <f t="shared" si="47"/>
        <v>0.545</v>
      </c>
      <c r="S44" s="136">
        <f t="shared" si="47"/>
        <v>0.472</v>
      </c>
      <c r="T44" s="136">
        <f t="shared" si="47"/>
        <v>0.41</v>
      </c>
      <c r="U44" s="136">
        <f t="shared" si="47"/>
        <v>0.36</v>
      </c>
      <c r="V44" s="136" t="str">
        <f t="shared" si="47"/>
        <v/>
      </c>
      <c r="W44" s="136" t="str">
        <f t="shared" si="47"/>
        <v/>
      </c>
      <c r="X44" s="138">
        <f t="shared" si="5"/>
        <v>0</v>
      </c>
      <c r="Y44" s="139">
        <f t="shared" si="6"/>
        <v>0</v>
      </c>
      <c r="Z44" s="136" t="str">
        <f t="shared" si="7"/>
        <v>#DIV/0!</v>
      </c>
      <c r="AA44" s="136" t="str">
        <f t="shared" si="8"/>
        <v>#DIV/0!</v>
      </c>
      <c r="AB44" s="137"/>
    </row>
    <row r="45">
      <c r="A45" s="140"/>
      <c r="B45" s="141"/>
      <c r="C45" s="141"/>
      <c r="D45" s="141"/>
      <c r="E45" s="141"/>
      <c r="F45" s="141"/>
      <c r="G45" s="141"/>
      <c r="H45" s="141"/>
      <c r="I45" s="141"/>
      <c r="J45" s="141"/>
      <c r="K45" s="142"/>
      <c r="L45" s="143">
        <f t="shared" si="2"/>
        <v>0</v>
      </c>
      <c r="M45" s="144" t="str">
        <f t="shared" si="3"/>
        <v>#DIV/0!</v>
      </c>
      <c r="N45" s="145">
        <f t="shared" ref="N45:W45" si="48">N$3</f>
        <v>0.95</v>
      </c>
      <c r="O45" s="144">
        <f t="shared" si="48"/>
        <v>0.825</v>
      </c>
      <c r="P45" s="144">
        <f t="shared" si="48"/>
        <v>0.72</v>
      </c>
      <c r="Q45" s="144">
        <f t="shared" si="48"/>
        <v>0.625</v>
      </c>
      <c r="R45" s="144">
        <f t="shared" si="48"/>
        <v>0.545</v>
      </c>
      <c r="S45" s="144">
        <f t="shared" si="48"/>
        <v>0.472</v>
      </c>
      <c r="T45" s="144">
        <f t="shared" si="48"/>
        <v>0.41</v>
      </c>
      <c r="U45" s="144">
        <f t="shared" si="48"/>
        <v>0.36</v>
      </c>
      <c r="V45" s="144" t="str">
        <f t="shared" si="48"/>
        <v/>
      </c>
      <c r="W45" s="144" t="str">
        <f t="shared" si="48"/>
        <v/>
      </c>
      <c r="X45" s="146">
        <f t="shared" si="5"/>
        <v>0</v>
      </c>
      <c r="Y45" s="147">
        <f t="shared" si="6"/>
        <v>0</v>
      </c>
      <c r="Z45" s="144" t="str">
        <f t="shared" si="7"/>
        <v>#DIV/0!</v>
      </c>
      <c r="AA45" s="144" t="str">
        <f t="shared" si="8"/>
        <v>#DIV/0!</v>
      </c>
      <c r="AB45" s="145"/>
    </row>
    <row r="46">
      <c r="A46" s="132"/>
      <c r="B46" s="133"/>
      <c r="C46" s="133"/>
      <c r="D46" s="133"/>
      <c r="E46" s="133"/>
      <c r="F46" s="133"/>
      <c r="G46" s="133"/>
      <c r="H46" s="133"/>
      <c r="I46" s="133"/>
      <c r="J46" s="133"/>
      <c r="K46" s="134"/>
      <c r="L46" s="135">
        <f t="shared" si="2"/>
        <v>0</v>
      </c>
      <c r="M46" s="136" t="str">
        <f t="shared" si="3"/>
        <v>#DIV/0!</v>
      </c>
      <c r="N46" s="137">
        <f t="shared" ref="N46:W46" si="49">N$3</f>
        <v>0.95</v>
      </c>
      <c r="O46" s="136">
        <f t="shared" si="49"/>
        <v>0.825</v>
      </c>
      <c r="P46" s="136">
        <f t="shared" si="49"/>
        <v>0.72</v>
      </c>
      <c r="Q46" s="136">
        <f t="shared" si="49"/>
        <v>0.625</v>
      </c>
      <c r="R46" s="136">
        <f t="shared" si="49"/>
        <v>0.545</v>
      </c>
      <c r="S46" s="136">
        <f t="shared" si="49"/>
        <v>0.472</v>
      </c>
      <c r="T46" s="136">
        <f t="shared" si="49"/>
        <v>0.41</v>
      </c>
      <c r="U46" s="136">
        <f t="shared" si="49"/>
        <v>0.36</v>
      </c>
      <c r="V46" s="136" t="str">
        <f t="shared" si="49"/>
        <v/>
      </c>
      <c r="W46" s="136" t="str">
        <f t="shared" si="49"/>
        <v/>
      </c>
      <c r="X46" s="138">
        <f t="shared" si="5"/>
        <v>0</v>
      </c>
      <c r="Y46" s="139">
        <f t="shared" si="6"/>
        <v>0</v>
      </c>
      <c r="Z46" s="136" t="str">
        <f t="shared" si="7"/>
        <v>#DIV/0!</v>
      </c>
      <c r="AA46" s="136" t="str">
        <f t="shared" si="8"/>
        <v>#DIV/0!</v>
      </c>
      <c r="AB46" s="137"/>
    </row>
    <row r="47">
      <c r="A47" s="140"/>
      <c r="B47" s="141"/>
      <c r="C47" s="141"/>
      <c r="D47" s="141"/>
      <c r="E47" s="141"/>
      <c r="F47" s="141"/>
      <c r="G47" s="141"/>
      <c r="H47" s="141"/>
      <c r="I47" s="141"/>
      <c r="J47" s="141"/>
      <c r="K47" s="142"/>
      <c r="L47" s="143">
        <f t="shared" si="2"/>
        <v>0</v>
      </c>
      <c r="M47" s="144" t="str">
        <f t="shared" si="3"/>
        <v>#DIV/0!</v>
      </c>
      <c r="N47" s="145">
        <f t="shared" ref="N47:W47" si="50">N$3</f>
        <v>0.95</v>
      </c>
      <c r="O47" s="144">
        <f t="shared" si="50"/>
        <v>0.825</v>
      </c>
      <c r="P47" s="144">
        <f t="shared" si="50"/>
        <v>0.72</v>
      </c>
      <c r="Q47" s="144">
        <f t="shared" si="50"/>
        <v>0.625</v>
      </c>
      <c r="R47" s="144">
        <f t="shared" si="50"/>
        <v>0.545</v>
      </c>
      <c r="S47" s="144">
        <f t="shared" si="50"/>
        <v>0.472</v>
      </c>
      <c r="T47" s="144">
        <f t="shared" si="50"/>
        <v>0.41</v>
      </c>
      <c r="U47" s="144">
        <f t="shared" si="50"/>
        <v>0.36</v>
      </c>
      <c r="V47" s="144" t="str">
        <f t="shared" si="50"/>
        <v/>
      </c>
      <c r="W47" s="144" t="str">
        <f t="shared" si="50"/>
        <v/>
      </c>
      <c r="X47" s="146">
        <f t="shared" si="5"/>
        <v>0</v>
      </c>
      <c r="Y47" s="147">
        <f t="shared" si="6"/>
        <v>0</v>
      </c>
      <c r="Z47" s="144" t="str">
        <f t="shared" si="7"/>
        <v>#DIV/0!</v>
      </c>
      <c r="AA47" s="144" t="str">
        <f t="shared" si="8"/>
        <v>#DIV/0!</v>
      </c>
      <c r="AB47" s="145"/>
    </row>
    <row r="48">
      <c r="A48" s="132"/>
      <c r="B48" s="133"/>
      <c r="C48" s="133"/>
      <c r="D48" s="133"/>
      <c r="E48" s="133"/>
      <c r="F48" s="133"/>
      <c r="G48" s="133"/>
      <c r="H48" s="133"/>
      <c r="I48" s="133"/>
      <c r="J48" s="133"/>
      <c r="K48" s="134"/>
      <c r="L48" s="135">
        <f t="shared" si="2"/>
        <v>0</v>
      </c>
      <c r="M48" s="136" t="str">
        <f t="shared" si="3"/>
        <v>#DIV/0!</v>
      </c>
      <c r="N48" s="137">
        <f t="shared" ref="N48:W48" si="51">N$3</f>
        <v>0.95</v>
      </c>
      <c r="O48" s="136">
        <f t="shared" si="51"/>
        <v>0.825</v>
      </c>
      <c r="P48" s="136">
        <f t="shared" si="51"/>
        <v>0.72</v>
      </c>
      <c r="Q48" s="136">
        <f t="shared" si="51"/>
        <v>0.625</v>
      </c>
      <c r="R48" s="136">
        <f t="shared" si="51"/>
        <v>0.545</v>
      </c>
      <c r="S48" s="136">
        <f t="shared" si="51"/>
        <v>0.472</v>
      </c>
      <c r="T48" s="136">
        <f t="shared" si="51"/>
        <v>0.41</v>
      </c>
      <c r="U48" s="136">
        <f t="shared" si="51"/>
        <v>0.36</v>
      </c>
      <c r="V48" s="136" t="str">
        <f t="shared" si="51"/>
        <v/>
      </c>
      <c r="W48" s="136" t="str">
        <f t="shared" si="51"/>
        <v/>
      </c>
      <c r="X48" s="138">
        <f t="shared" si="5"/>
        <v>0</v>
      </c>
      <c r="Y48" s="139">
        <f t="shared" si="6"/>
        <v>0</v>
      </c>
      <c r="Z48" s="136" t="str">
        <f t="shared" si="7"/>
        <v>#DIV/0!</v>
      </c>
      <c r="AA48" s="136" t="str">
        <f t="shared" si="8"/>
        <v>#DIV/0!</v>
      </c>
      <c r="AB48" s="137"/>
    </row>
    <row r="49">
      <c r="A49" s="140"/>
      <c r="B49" s="141"/>
      <c r="C49" s="141"/>
      <c r="D49" s="141"/>
      <c r="E49" s="141"/>
      <c r="F49" s="141"/>
      <c r="G49" s="141"/>
      <c r="H49" s="141"/>
      <c r="I49" s="141"/>
      <c r="J49" s="141"/>
      <c r="K49" s="142"/>
      <c r="L49" s="143">
        <f t="shared" si="2"/>
        <v>0</v>
      </c>
      <c r="M49" s="144" t="str">
        <f t="shared" si="3"/>
        <v>#DIV/0!</v>
      </c>
      <c r="N49" s="145">
        <f t="shared" ref="N49:W49" si="52">N$3</f>
        <v>0.95</v>
      </c>
      <c r="O49" s="144">
        <f t="shared" si="52"/>
        <v>0.825</v>
      </c>
      <c r="P49" s="144">
        <f t="shared" si="52"/>
        <v>0.72</v>
      </c>
      <c r="Q49" s="144">
        <f t="shared" si="52"/>
        <v>0.625</v>
      </c>
      <c r="R49" s="144">
        <f t="shared" si="52"/>
        <v>0.545</v>
      </c>
      <c r="S49" s="144">
        <f t="shared" si="52"/>
        <v>0.472</v>
      </c>
      <c r="T49" s="144">
        <f t="shared" si="52"/>
        <v>0.41</v>
      </c>
      <c r="U49" s="144">
        <f t="shared" si="52"/>
        <v>0.36</v>
      </c>
      <c r="V49" s="144" t="str">
        <f t="shared" si="52"/>
        <v/>
      </c>
      <c r="W49" s="144" t="str">
        <f t="shared" si="52"/>
        <v/>
      </c>
      <c r="X49" s="146">
        <f t="shared" si="5"/>
        <v>0</v>
      </c>
      <c r="Y49" s="147">
        <f t="shared" si="6"/>
        <v>0</v>
      </c>
      <c r="Z49" s="144" t="str">
        <f t="shared" si="7"/>
        <v>#DIV/0!</v>
      </c>
      <c r="AA49" s="144" t="str">
        <f t="shared" si="8"/>
        <v>#DIV/0!</v>
      </c>
      <c r="AB49" s="145"/>
    </row>
    <row r="50">
      <c r="A50" s="132"/>
      <c r="B50" s="133"/>
      <c r="C50" s="133"/>
      <c r="D50" s="133"/>
      <c r="E50" s="133"/>
      <c r="F50" s="133"/>
      <c r="G50" s="133"/>
      <c r="H50" s="133"/>
      <c r="I50" s="133"/>
      <c r="J50" s="133"/>
      <c r="K50" s="134"/>
      <c r="L50" s="135">
        <f t="shared" si="2"/>
        <v>0</v>
      </c>
      <c r="M50" s="136" t="str">
        <f t="shared" si="3"/>
        <v>#DIV/0!</v>
      </c>
      <c r="N50" s="137">
        <f t="shared" ref="N50:W50" si="53">N$3</f>
        <v>0.95</v>
      </c>
      <c r="O50" s="136">
        <f t="shared" si="53"/>
        <v>0.825</v>
      </c>
      <c r="P50" s="136">
        <f t="shared" si="53"/>
        <v>0.72</v>
      </c>
      <c r="Q50" s="136">
        <f t="shared" si="53"/>
        <v>0.625</v>
      </c>
      <c r="R50" s="136">
        <f t="shared" si="53"/>
        <v>0.545</v>
      </c>
      <c r="S50" s="136">
        <f t="shared" si="53"/>
        <v>0.472</v>
      </c>
      <c r="T50" s="136">
        <f t="shared" si="53"/>
        <v>0.41</v>
      </c>
      <c r="U50" s="136">
        <f t="shared" si="53"/>
        <v>0.36</v>
      </c>
      <c r="V50" s="136" t="str">
        <f t="shared" si="53"/>
        <v/>
      </c>
      <c r="W50" s="136" t="str">
        <f t="shared" si="53"/>
        <v/>
      </c>
      <c r="X50" s="138">
        <f t="shared" si="5"/>
        <v>0</v>
      </c>
      <c r="Y50" s="139">
        <f t="shared" si="6"/>
        <v>0</v>
      </c>
      <c r="Z50" s="136" t="str">
        <f t="shared" si="7"/>
        <v>#DIV/0!</v>
      </c>
      <c r="AA50" s="136" t="str">
        <f t="shared" si="8"/>
        <v>#DIV/0!</v>
      </c>
      <c r="AB50" s="137"/>
    </row>
    <row r="51">
      <c r="A51" s="140"/>
      <c r="B51" s="141"/>
      <c r="C51" s="141"/>
      <c r="D51" s="141"/>
      <c r="E51" s="141"/>
      <c r="F51" s="141"/>
      <c r="G51" s="141"/>
      <c r="H51" s="141"/>
      <c r="I51" s="141"/>
      <c r="J51" s="141"/>
      <c r="K51" s="142"/>
      <c r="L51" s="143">
        <f t="shared" si="2"/>
        <v>0</v>
      </c>
      <c r="M51" s="144" t="str">
        <f t="shared" si="3"/>
        <v>#DIV/0!</v>
      </c>
      <c r="N51" s="145">
        <f t="shared" ref="N51:W51" si="54">N$3</f>
        <v>0.95</v>
      </c>
      <c r="O51" s="144">
        <f t="shared" si="54"/>
        <v>0.825</v>
      </c>
      <c r="P51" s="144">
        <f t="shared" si="54"/>
        <v>0.72</v>
      </c>
      <c r="Q51" s="144">
        <f t="shared" si="54"/>
        <v>0.625</v>
      </c>
      <c r="R51" s="144">
        <f t="shared" si="54"/>
        <v>0.545</v>
      </c>
      <c r="S51" s="144">
        <f t="shared" si="54"/>
        <v>0.472</v>
      </c>
      <c r="T51" s="144">
        <f t="shared" si="54"/>
        <v>0.41</v>
      </c>
      <c r="U51" s="144">
        <f t="shared" si="54"/>
        <v>0.36</v>
      </c>
      <c r="V51" s="144" t="str">
        <f t="shared" si="54"/>
        <v/>
      </c>
      <c r="W51" s="144" t="str">
        <f t="shared" si="54"/>
        <v/>
      </c>
      <c r="X51" s="146">
        <f t="shared" si="5"/>
        <v>0</v>
      </c>
      <c r="Y51" s="147">
        <f t="shared" si="6"/>
        <v>0</v>
      </c>
      <c r="Z51" s="144" t="str">
        <f t="shared" si="7"/>
        <v>#DIV/0!</v>
      </c>
      <c r="AA51" s="144" t="str">
        <f t="shared" si="8"/>
        <v>#DIV/0!</v>
      </c>
      <c r="AB51" s="145"/>
    </row>
    <row r="52">
      <c r="A52" s="132"/>
      <c r="B52" s="133"/>
      <c r="C52" s="133"/>
      <c r="D52" s="133"/>
      <c r="E52" s="133"/>
      <c r="F52" s="133"/>
      <c r="G52" s="133"/>
      <c r="H52" s="133"/>
      <c r="I52" s="133"/>
      <c r="J52" s="133"/>
      <c r="K52" s="134"/>
      <c r="L52" s="135">
        <f t="shared" si="2"/>
        <v>0</v>
      </c>
      <c r="M52" s="136" t="str">
        <f t="shared" si="3"/>
        <v>#DIV/0!</v>
      </c>
      <c r="N52" s="137">
        <f t="shared" ref="N52:W52" si="55">N$3</f>
        <v>0.95</v>
      </c>
      <c r="O52" s="136">
        <f t="shared" si="55"/>
        <v>0.825</v>
      </c>
      <c r="P52" s="136">
        <f t="shared" si="55"/>
        <v>0.72</v>
      </c>
      <c r="Q52" s="136">
        <f t="shared" si="55"/>
        <v>0.625</v>
      </c>
      <c r="R52" s="136">
        <f t="shared" si="55"/>
        <v>0.545</v>
      </c>
      <c r="S52" s="136">
        <f t="shared" si="55"/>
        <v>0.472</v>
      </c>
      <c r="T52" s="136">
        <f t="shared" si="55"/>
        <v>0.41</v>
      </c>
      <c r="U52" s="136">
        <f t="shared" si="55"/>
        <v>0.36</v>
      </c>
      <c r="V52" s="136" t="str">
        <f t="shared" si="55"/>
        <v/>
      </c>
      <c r="W52" s="136" t="str">
        <f t="shared" si="55"/>
        <v/>
      </c>
      <c r="X52" s="138">
        <f t="shared" si="5"/>
        <v>0</v>
      </c>
      <c r="Y52" s="139">
        <f t="shared" si="6"/>
        <v>0</v>
      </c>
      <c r="Z52" s="136" t="str">
        <f t="shared" si="7"/>
        <v>#DIV/0!</v>
      </c>
      <c r="AA52" s="136" t="str">
        <f t="shared" si="8"/>
        <v>#DIV/0!</v>
      </c>
      <c r="AB52" s="137"/>
    </row>
    <row r="53">
      <c r="A53" s="140"/>
      <c r="B53" s="141"/>
      <c r="C53" s="141"/>
      <c r="D53" s="141"/>
      <c r="E53" s="141"/>
      <c r="F53" s="141"/>
      <c r="G53" s="141"/>
      <c r="H53" s="141"/>
      <c r="I53" s="141"/>
      <c r="J53" s="141"/>
      <c r="K53" s="142"/>
      <c r="L53" s="143">
        <f t="shared" si="2"/>
        <v>0</v>
      </c>
      <c r="M53" s="144" t="str">
        <f t="shared" si="3"/>
        <v>#DIV/0!</v>
      </c>
      <c r="N53" s="145">
        <f t="shared" ref="N53:W53" si="56">N$3</f>
        <v>0.95</v>
      </c>
      <c r="O53" s="144">
        <f t="shared" si="56"/>
        <v>0.825</v>
      </c>
      <c r="P53" s="144">
        <f t="shared" si="56"/>
        <v>0.72</v>
      </c>
      <c r="Q53" s="144">
        <f t="shared" si="56"/>
        <v>0.625</v>
      </c>
      <c r="R53" s="144">
        <f t="shared" si="56"/>
        <v>0.545</v>
      </c>
      <c r="S53" s="144">
        <f t="shared" si="56"/>
        <v>0.472</v>
      </c>
      <c r="T53" s="144">
        <f t="shared" si="56"/>
        <v>0.41</v>
      </c>
      <c r="U53" s="144">
        <f t="shared" si="56"/>
        <v>0.36</v>
      </c>
      <c r="V53" s="144" t="str">
        <f t="shared" si="56"/>
        <v/>
      </c>
      <c r="W53" s="144" t="str">
        <f t="shared" si="56"/>
        <v/>
      </c>
      <c r="X53" s="146">
        <f t="shared" si="5"/>
        <v>0</v>
      </c>
      <c r="Y53" s="147">
        <f t="shared" si="6"/>
        <v>0</v>
      </c>
      <c r="Z53" s="144" t="str">
        <f t="shared" si="7"/>
        <v>#DIV/0!</v>
      </c>
      <c r="AA53" s="144" t="str">
        <f t="shared" si="8"/>
        <v>#DIV/0!</v>
      </c>
      <c r="AB53" s="145"/>
    </row>
    <row r="54">
      <c r="A54" s="132"/>
      <c r="B54" s="133"/>
      <c r="C54" s="133"/>
      <c r="D54" s="133"/>
      <c r="E54" s="133"/>
      <c r="F54" s="133"/>
      <c r="G54" s="133"/>
      <c r="H54" s="133"/>
      <c r="I54" s="133"/>
      <c r="J54" s="133"/>
      <c r="K54" s="134"/>
      <c r="L54" s="135">
        <f t="shared" si="2"/>
        <v>0</v>
      </c>
      <c r="M54" s="136" t="str">
        <f t="shared" si="3"/>
        <v>#DIV/0!</v>
      </c>
      <c r="N54" s="137">
        <f t="shared" ref="N54:W54" si="57">N$3</f>
        <v>0.95</v>
      </c>
      <c r="O54" s="136">
        <f t="shared" si="57"/>
        <v>0.825</v>
      </c>
      <c r="P54" s="136">
        <f t="shared" si="57"/>
        <v>0.72</v>
      </c>
      <c r="Q54" s="136">
        <f t="shared" si="57"/>
        <v>0.625</v>
      </c>
      <c r="R54" s="136">
        <f t="shared" si="57"/>
        <v>0.545</v>
      </c>
      <c r="S54" s="136">
        <f t="shared" si="57"/>
        <v>0.472</v>
      </c>
      <c r="T54" s="136">
        <f t="shared" si="57"/>
        <v>0.41</v>
      </c>
      <c r="U54" s="136">
        <f t="shared" si="57"/>
        <v>0.36</v>
      </c>
      <c r="V54" s="136" t="str">
        <f t="shared" si="57"/>
        <v/>
      </c>
      <c r="W54" s="136" t="str">
        <f t="shared" si="57"/>
        <v/>
      </c>
      <c r="X54" s="138">
        <f t="shared" si="5"/>
        <v>0</v>
      </c>
      <c r="Y54" s="139">
        <f t="shared" si="6"/>
        <v>0</v>
      </c>
      <c r="Z54" s="136" t="str">
        <f t="shared" si="7"/>
        <v>#DIV/0!</v>
      </c>
      <c r="AA54" s="136" t="str">
        <f t="shared" si="8"/>
        <v>#DIV/0!</v>
      </c>
      <c r="AB54" s="137"/>
    </row>
    <row r="55">
      <c r="A55" s="140"/>
      <c r="B55" s="141"/>
      <c r="C55" s="141"/>
      <c r="D55" s="141"/>
      <c r="E55" s="141"/>
      <c r="F55" s="141"/>
      <c r="G55" s="141"/>
      <c r="H55" s="141"/>
      <c r="I55" s="141"/>
      <c r="J55" s="141"/>
      <c r="K55" s="142"/>
      <c r="L55" s="143">
        <f t="shared" si="2"/>
        <v>0</v>
      </c>
      <c r="M55" s="144" t="str">
        <f t="shared" si="3"/>
        <v>#DIV/0!</v>
      </c>
      <c r="N55" s="145">
        <f t="shared" ref="N55:W55" si="58">N$3</f>
        <v>0.95</v>
      </c>
      <c r="O55" s="144">
        <f t="shared" si="58"/>
        <v>0.825</v>
      </c>
      <c r="P55" s="144">
        <f t="shared" si="58"/>
        <v>0.72</v>
      </c>
      <c r="Q55" s="144">
        <f t="shared" si="58"/>
        <v>0.625</v>
      </c>
      <c r="R55" s="144">
        <f t="shared" si="58"/>
        <v>0.545</v>
      </c>
      <c r="S55" s="144">
        <f t="shared" si="58"/>
        <v>0.472</v>
      </c>
      <c r="T55" s="144">
        <f t="shared" si="58"/>
        <v>0.41</v>
      </c>
      <c r="U55" s="144">
        <f t="shared" si="58"/>
        <v>0.36</v>
      </c>
      <c r="V55" s="144" t="str">
        <f t="shared" si="58"/>
        <v/>
      </c>
      <c r="W55" s="144" t="str">
        <f t="shared" si="58"/>
        <v/>
      </c>
      <c r="X55" s="146">
        <f t="shared" si="5"/>
        <v>0</v>
      </c>
      <c r="Y55" s="147">
        <f t="shared" si="6"/>
        <v>0</v>
      </c>
      <c r="Z55" s="144" t="str">
        <f t="shared" si="7"/>
        <v>#DIV/0!</v>
      </c>
      <c r="AA55" s="144" t="str">
        <f t="shared" si="8"/>
        <v>#DIV/0!</v>
      </c>
      <c r="AB55" s="145"/>
    </row>
    <row r="56">
      <c r="A56" s="132"/>
      <c r="B56" s="133"/>
      <c r="C56" s="133"/>
      <c r="D56" s="133"/>
      <c r="E56" s="133"/>
      <c r="F56" s="133"/>
      <c r="G56" s="133"/>
      <c r="H56" s="133"/>
      <c r="I56" s="133"/>
      <c r="J56" s="133"/>
      <c r="K56" s="134"/>
      <c r="L56" s="135">
        <f t="shared" si="2"/>
        <v>0</v>
      </c>
      <c r="M56" s="136" t="str">
        <f t="shared" si="3"/>
        <v>#DIV/0!</v>
      </c>
      <c r="N56" s="137">
        <f t="shared" ref="N56:W56" si="59">N$3</f>
        <v>0.95</v>
      </c>
      <c r="O56" s="136">
        <f t="shared" si="59"/>
        <v>0.825</v>
      </c>
      <c r="P56" s="136">
        <f t="shared" si="59"/>
        <v>0.72</v>
      </c>
      <c r="Q56" s="136">
        <f t="shared" si="59"/>
        <v>0.625</v>
      </c>
      <c r="R56" s="136">
        <f t="shared" si="59"/>
        <v>0.545</v>
      </c>
      <c r="S56" s="136">
        <f t="shared" si="59"/>
        <v>0.472</v>
      </c>
      <c r="T56" s="136">
        <f t="shared" si="59"/>
        <v>0.41</v>
      </c>
      <c r="U56" s="136">
        <f t="shared" si="59"/>
        <v>0.36</v>
      </c>
      <c r="V56" s="136" t="str">
        <f t="shared" si="59"/>
        <v/>
      </c>
      <c r="W56" s="136" t="str">
        <f t="shared" si="59"/>
        <v/>
      </c>
      <c r="X56" s="138">
        <f t="shared" si="5"/>
        <v>0</v>
      </c>
      <c r="Y56" s="139">
        <f t="shared" si="6"/>
        <v>0</v>
      </c>
      <c r="Z56" s="136" t="str">
        <f t="shared" si="7"/>
        <v>#DIV/0!</v>
      </c>
      <c r="AA56" s="136" t="str">
        <f t="shared" si="8"/>
        <v>#DIV/0!</v>
      </c>
      <c r="AB56" s="137"/>
    </row>
    <row r="57">
      <c r="A57" s="140"/>
      <c r="B57" s="141"/>
      <c r="C57" s="141"/>
      <c r="D57" s="141"/>
      <c r="E57" s="141"/>
      <c r="F57" s="141"/>
      <c r="G57" s="141"/>
      <c r="H57" s="141"/>
      <c r="I57" s="141"/>
      <c r="J57" s="141"/>
      <c r="K57" s="142"/>
      <c r="L57" s="143">
        <f t="shared" si="2"/>
        <v>0</v>
      </c>
      <c r="M57" s="144" t="str">
        <f t="shared" si="3"/>
        <v>#DIV/0!</v>
      </c>
      <c r="N57" s="145">
        <f t="shared" ref="N57:W57" si="60">N$3</f>
        <v>0.95</v>
      </c>
      <c r="O57" s="144">
        <f t="shared" si="60"/>
        <v>0.825</v>
      </c>
      <c r="P57" s="144">
        <f t="shared" si="60"/>
        <v>0.72</v>
      </c>
      <c r="Q57" s="144">
        <f t="shared" si="60"/>
        <v>0.625</v>
      </c>
      <c r="R57" s="144">
        <f t="shared" si="60"/>
        <v>0.545</v>
      </c>
      <c r="S57" s="144">
        <f t="shared" si="60"/>
        <v>0.472</v>
      </c>
      <c r="T57" s="144">
        <f t="shared" si="60"/>
        <v>0.41</v>
      </c>
      <c r="U57" s="144">
        <f t="shared" si="60"/>
        <v>0.36</v>
      </c>
      <c r="V57" s="144" t="str">
        <f t="shared" si="60"/>
        <v/>
      </c>
      <c r="W57" s="144" t="str">
        <f t="shared" si="60"/>
        <v/>
      </c>
      <c r="X57" s="146">
        <f t="shared" si="5"/>
        <v>0</v>
      </c>
      <c r="Y57" s="147">
        <f t="shared" si="6"/>
        <v>0</v>
      </c>
      <c r="Z57" s="144" t="str">
        <f t="shared" si="7"/>
        <v>#DIV/0!</v>
      </c>
      <c r="AA57" s="144" t="str">
        <f t="shared" si="8"/>
        <v>#DIV/0!</v>
      </c>
      <c r="AB57" s="145"/>
    </row>
    <row r="58">
      <c r="A58" s="132"/>
      <c r="B58" s="133"/>
      <c r="C58" s="133"/>
      <c r="D58" s="133"/>
      <c r="E58" s="133"/>
      <c r="F58" s="133"/>
      <c r="G58" s="133"/>
      <c r="H58" s="133"/>
      <c r="I58" s="133"/>
      <c r="J58" s="133"/>
      <c r="K58" s="134"/>
      <c r="L58" s="135">
        <f t="shared" si="2"/>
        <v>0</v>
      </c>
      <c r="M58" s="136" t="str">
        <f t="shared" si="3"/>
        <v>#DIV/0!</v>
      </c>
      <c r="N58" s="137">
        <f t="shared" ref="N58:W58" si="61">N$3</f>
        <v>0.95</v>
      </c>
      <c r="O58" s="136">
        <f t="shared" si="61"/>
        <v>0.825</v>
      </c>
      <c r="P58" s="136">
        <f t="shared" si="61"/>
        <v>0.72</v>
      </c>
      <c r="Q58" s="136">
        <f t="shared" si="61"/>
        <v>0.625</v>
      </c>
      <c r="R58" s="136">
        <f t="shared" si="61"/>
        <v>0.545</v>
      </c>
      <c r="S58" s="136">
        <f t="shared" si="61"/>
        <v>0.472</v>
      </c>
      <c r="T58" s="136">
        <f t="shared" si="61"/>
        <v>0.41</v>
      </c>
      <c r="U58" s="136">
        <f t="shared" si="61"/>
        <v>0.36</v>
      </c>
      <c r="V58" s="136" t="str">
        <f t="shared" si="61"/>
        <v/>
      </c>
      <c r="W58" s="136" t="str">
        <f t="shared" si="61"/>
        <v/>
      </c>
      <c r="X58" s="138">
        <f t="shared" si="5"/>
        <v>0</v>
      </c>
      <c r="Y58" s="139">
        <f t="shared" si="6"/>
        <v>0</v>
      </c>
      <c r="Z58" s="136" t="str">
        <f t="shared" si="7"/>
        <v>#DIV/0!</v>
      </c>
      <c r="AA58" s="136" t="str">
        <f t="shared" si="8"/>
        <v>#DIV/0!</v>
      </c>
      <c r="AB58" s="137"/>
    </row>
    <row r="59">
      <c r="A59" s="140"/>
      <c r="B59" s="141"/>
      <c r="C59" s="141"/>
      <c r="D59" s="141"/>
      <c r="E59" s="141"/>
      <c r="F59" s="141"/>
      <c r="G59" s="141"/>
      <c r="H59" s="141"/>
      <c r="I59" s="141"/>
      <c r="J59" s="141"/>
      <c r="K59" s="142"/>
      <c r="L59" s="143">
        <f t="shared" si="2"/>
        <v>0</v>
      </c>
      <c r="M59" s="144" t="str">
        <f t="shared" si="3"/>
        <v>#DIV/0!</v>
      </c>
      <c r="N59" s="145">
        <f t="shared" ref="N59:W59" si="62">N$3</f>
        <v>0.95</v>
      </c>
      <c r="O59" s="144">
        <f t="shared" si="62"/>
        <v>0.825</v>
      </c>
      <c r="P59" s="144">
        <f t="shared" si="62"/>
        <v>0.72</v>
      </c>
      <c r="Q59" s="144">
        <f t="shared" si="62"/>
        <v>0.625</v>
      </c>
      <c r="R59" s="144">
        <f t="shared" si="62"/>
        <v>0.545</v>
      </c>
      <c r="S59" s="144">
        <f t="shared" si="62"/>
        <v>0.472</v>
      </c>
      <c r="T59" s="144">
        <f t="shared" si="62"/>
        <v>0.41</v>
      </c>
      <c r="U59" s="144">
        <f t="shared" si="62"/>
        <v>0.36</v>
      </c>
      <c r="V59" s="144" t="str">
        <f t="shared" si="62"/>
        <v/>
      </c>
      <c r="W59" s="144" t="str">
        <f t="shared" si="62"/>
        <v/>
      </c>
      <c r="X59" s="146">
        <f t="shared" si="5"/>
        <v>0</v>
      </c>
      <c r="Y59" s="147">
        <f t="shared" si="6"/>
        <v>0</v>
      </c>
      <c r="Z59" s="144" t="str">
        <f t="shared" si="7"/>
        <v>#DIV/0!</v>
      </c>
      <c r="AA59" s="144" t="str">
        <f t="shared" si="8"/>
        <v>#DIV/0!</v>
      </c>
      <c r="AB59" s="145"/>
    </row>
    <row r="60">
      <c r="A60" s="132"/>
      <c r="B60" s="133"/>
      <c r="C60" s="133"/>
      <c r="D60" s="133"/>
      <c r="E60" s="133"/>
      <c r="F60" s="133"/>
      <c r="G60" s="133"/>
      <c r="H60" s="133"/>
      <c r="I60" s="133"/>
      <c r="J60" s="133"/>
      <c r="K60" s="134"/>
      <c r="L60" s="135">
        <f t="shared" si="2"/>
        <v>0</v>
      </c>
      <c r="M60" s="136" t="str">
        <f t="shared" si="3"/>
        <v>#DIV/0!</v>
      </c>
      <c r="N60" s="137">
        <f t="shared" ref="N60:W60" si="63">N$3</f>
        <v>0.95</v>
      </c>
      <c r="O60" s="136">
        <f t="shared" si="63"/>
        <v>0.825</v>
      </c>
      <c r="P60" s="136">
        <f t="shared" si="63"/>
        <v>0.72</v>
      </c>
      <c r="Q60" s="136">
        <f t="shared" si="63"/>
        <v>0.625</v>
      </c>
      <c r="R60" s="136">
        <f t="shared" si="63"/>
        <v>0.545</v>
      </c>
      <c r="S60" s="136">
        <f t="shared" si="63"/>
        <v>0.472</v>
      </c>
      <c r="T60" s="136">
        <f t="shared" si="63"/>
        <v>0.41</v>
      </c>
      <c r="U60" s="136">
        <f t="shared" si="63"/>
        <v>0.36</v>
      </c>
      <c r="V60" s="136" t="str">
        <f t="shared" si="63"/>
        <v/>
      </c>
      <c r="W60" s="136" t="str">
        <f t="shared" si="63"/>
        <v/>
      </c>
      <c r="X60" s="138">
        <f t="shared" si="5"/>
        <v>0</v>
      </c>
      <c r="Y60" s="139">
        <f t="shared" si="6"/>
        <v>0</v>
      </c>
      <c r="Z60" s="136" t="str">
        <f t="shared" si="7"/>
        <v>#DIV/0!</v>
      </c>
      <c r="AA60" s="136" t="str">
        <f t="shared" si="8"/>
        <v>#DIV/0!</v>
      </c>
      <c r="AB60" s="137"/>
    </row>
    <row r="61">
      <c r="A61" s="140"/>
      <c r="B61" s="141"/>
      <c r="C61" s="141"/>
      <c r="D61" s="141"/>
      <c r="E61" s="141"/>
      <c r="F61" s="141"/>
      <c r="G61" s="141"/>
      <c r="H61" s="141"/>
      <c r="I61" s="141"/>
      <c r="J61" s="141"/>
      <c r="K61" s="142"/>
      <c r="L61" s="143">
        <f t="shared" si="2"/>
        <v>0</v>
      </c>
      <c r="M61" s="144" t="str">
        <f t="shared" si="3"/>
        <v>#DIV/0!</v>
      </c>
      <c r="N61" s="145">
        <f t="shared" ref="N61:W61" si="64">N$3</f>
        <v>0.95</v>
      </c>
      <c r="O61" s="144">
        <f t="shared" si="64"/>
        <v>0.825</v>
      </c>
      <c r="P61" s="144">
        <f t="shared" si="64"/>
        <v>0.72</v>
      </c>
      <c r="Q61" s="144">
        <f t="shared" si="64"/>
        <v>0.625</v>
      </c>
      <c r="R61" s="144">
        <f t="shared" si="64"/>
        <v>0.545</v>
      </c>
      <c r="S61" s="144">
        <f t="shared" si="64"/>
        <v>0.472</v>
      </c>
      <c r="T61" s="144">
        <f t="shared" si="64"/>
        <v>0.41</v>
      </c>
      <c r="U61" s="144">
        <f t="shared" si="64"/>
        <v>0.36</v>
      </c>
      <c r="V61" s="144" t="str">
        <f t="shared" si="64"/>
        <v/>
      </c>
      <c r="W61" s="144" t="str">
        <f t="shared" si="64"/>
        <v/>
      </c>
      <c r="X61" s="146">
        <f t="shared" si="5"/>
        <v>0</v>
      </c>
      <c r="Y61" s="147">
        <f t="shared" si="6"/>
        <v>0</v>
      </c>
      <c r="Z61" s="144" t="str">
        <f t="shared" si="7"/>
        <v>#DIV/0!</v>
      </c>
      <c r="AA61" s="144" t="str">
        <f t="shared" si="8"/>
        <v>#DIV/0!</v>
      </c>
      <c r="AB61" s="145"/>
    </row>
    <row r="62">
      <c r="A62" s="132"/>
      <c r="B62" s="133"/>
      <c r="C62" s="133"/>
      <c r="D62" s="133"/>
      <c r="E62" s="133"/>
      <c r="F62" s="133"/>
      <c r="G62" s="133"/>
      <c r="H62" s="133"/>
      <c r="I62" s="133"/>
      <c r="J62" s="133"/>
      <c r="K62" s="134"/>
      <c r="L62" s="135">
        <f t="shared" si="2"/>
        <v>0</v>
      </c>
      <c r="M62" s="136" t="str">
        <f t="shared" si="3"/>
        <v>#DIV/0!</v>
      </c>
      <c r="N62" s="137">
        <f t="shared" ref="N62:W62" si="65">N$3</f>
        <v>0.95</v>
      </c>
      <c r="O62" s="136">
        <f t="shared" si="65"/>
        <v>0.825</v>
      </c>
      <c r="P62" s="136">
        <f t="shared" si="65"/>
        <v>0.72</v>
      </c>
      <c r="Q62" s="136">
        <f t="shared" si="65"/>
        <v>0.625</v>
      </c>
      <c r="R62" s="136">
        <f t="shared" si="65"/>
        <v>0.545</v>
      </c>
      <c r="S62" s="136">
        <f t="shared" si="65"/>
        <v>0.472</v>
      </c>
      <c r="T62" s="136">
        <f t="shared" si="65"/>
        <v>0.41</v>
      </c>
      <c r="U62" s="136">
        <f t="shared" si="65"/>
        <v>0.36</v>
      </c>
      <c r="V62" s="136" t="str">
        <f t="shared" si="65"/>
        <v/>
      </c>
      <c r="W62" s="136" t="str">
        <f t="shared" si="65"/>
        <v/>
      </c>
      <c r="X62" s="138">
        <f t="shared" si="5"/>
        <v>0</v>
      </c>
      <c r="Y62" s="139">
        <f t="shared" si="6"/>
        <v>0</v>
      </c>
      <c r="Z62" s="136" t="str">
        <f t="shared" si="7"/>
        <v>#DIV/0!</v>
      </c>
      <c r="AA62" s="136" t="str">
        <f t="shared" si="8"/>
        <v>#DIV/0!</v>
      </c>
      <c r="AB62" s="137"/>
    </row>
    <row r="63">
      <c r="A63" s="140"/>
      <c r="B63" s="141"/>
      <c r="C63" s="141"/>
      <c r="D63" s="141"/>
      <c r="E63" s="141"/>
      <c r="F63" s="141"/>
      <c r="G63" s="141"/>
      <c r="H63" s="141"/>
      <c r="I63" s="141"/>
      <c r="J63" s="141"/>
      <c r="K63" s="142"/>
      <c r="L63" s="143">
        <f t="shared" si="2"/>
        <v>0</v>
      </c>
      <c r="M63" s="144" t="str">
        <f t="shared" si="3"/>
        <v>#DIV/0!</v>
      </c>
      <c r="N63" s="145">
        <f t="shared" ref="N63:W63" si="66">N$3</f>
        <v>0.95</v>
      </c>
      <c r="O63" s="144">
        <f t="shared" si="66"/>
        <v>0.825</v>
      </c>
      <c r="P63" s="144">
        <f t="shared" si="66"/>
        <v>0.72</v>
      </c>
      <c r="Q63" s="144">
        <f t="shared" si="66"/>
        <v>0.625</v>
      </c>
      <c r="R63" s="144">
        <f t="shared" si="66"/>
        <v>0.545</v>
      </c>
      <c r="S63" s="144">
        <f t="shared" si="66"/>
        <v>0.472</v>
      </c>
      <c r="T63" s="144">
        <f t="shared" si="66"/>
        <v>0.41</v>
      </c>
      <c r="U63" s="144">
        <f t="shared" si="66"/>
        <v>0.36</v>
      </c>
      <c r="V63" s="144" t="str">
        <f t="shared" si="66"/>
        <v/>
      </c>
      <c r="W63" s="144" t="str">
        <f t="shared" si="66"/>
        <v/>
      </c>
      <c r="X63" s="146">
        <f t="shared" si="5"/>
        <v>0</v>
      </c>
      <c r="Y63" s="147">
        <f t="shared" si="6"/>
        <v>0</v>
      </c>
      <c r="Z63" s="144" t="str">
        <f t="shared" si="7"/>
        <v>#DIV/0!</v>
      </c>
      <c r="AA63" s="144" t="str">
        <f t="shared" si="8"/>
        <v>#DIV/0!</v>
      </c>
      <c r="AB63" s="145"/>
    </row>
    <row r="64">
      <c r="A64" s="132"/>
      <c r="B64" s="133"/>
      <c r="C64" s="133"/>
      <c r="D64" s="133"/>
      <c r="E64" s="133"/>
      <c r="F64" s="133"/>
      <c r="G64" s="133"/>
      <c r="H64" s="133"/>
      <c r="I64" s="133"/>
      <c r="J64" s="133"/>
      <c r="K64" s="134"/>
      <c r="L64" s="135">
        <f t="shared" si="2"/>
        <v>0</v>
      </c>
      <c r="M64" s="136" t="str">
        <f t="shared" si="3"/>
        <v>#DIV/0!</v>
      </c>
      <c r="N64" s="137">
        <f t="shared" ref="N64:W64" si="67">N$3</f>
        <v>0.95</v>
      </c>
      <c r="O64" s="136">
        <f t="shared" si="67"/>
        <v>0.825</v>
      </c>
      <c r="P64" s="136">
        <f t="shared" si="67"/>
        <v>0.72</v>
      </c>
      <c r="Q64" s="136">
        <f t="shared" si="67"/>
        <v>0.625</v>
      </c>
      <c r="R64" s="136">
        <f t="shared" si="67"/>
        <v>0.545</v>
      </c>
      <c r="S64" s="136">
        <f t="shared" si="67"/>
        <v>0.472</v>
      </c>
      <c r="T64" s="136">
        <f t="shared" si="67"/>
        <v>0.41</v>
      </c>
      <c r="U64" s="136">
        <f t="shared" si="67"/>
        <v>0.36</v>
      </c>
      <c r="V64" s="136" t="str">
        <f t="shared" si="67"/>
        <v/>
      </c>
      <c r="W64" s="136" t="str">
        <f t="shared" si="67"/>
        <v/>
      </c>
      <c r="X64" s="138">
        <f t="shared" si="5"/>
        <v>0</v>
      </c>
      <c r="Y64" s="139">
        <f t="shared" si="6"/>
        <v>0</v>
      </c>
      <c r="Z64" s="136" t="str">
        <f t="shared" si="7"/>
        <v>#DIV/0!</v>
      </c>
      <c r="AA64" s="136" t="str">
        <f t="shared" si="8"/>
        <v>#DIV/0!</v>
      </c>
      <c r="AB64" s="137"/>
    </row>
  </sheetData>
  <mergeCells count="10">
    <mergeCell ref="Z1:Z3"/>
    <mergeCell ref="AA1:AA3"/>
    <mergeCell ref="AB1:AB3"/>
    <mergeCell ref="A1:A3"/>
    <mergeCell ref="B1:K2"/>
    <mergeCell ref="L1:L3"/>
    <mergeCell ref="M1:M3"/>
    <mergeCell ref="N1:W1"/>
    <mergeCell ref="X1:X3"/>
    <mergeCell ref="Y1:Y3"/>
  </mergeCells>
  <conditionalFormatting sqref="B4:K64">
    <cfRule type="colorScale" priority="1">
      <colorScale>
        <cfvo type="min"/>
        <cfvo type="percentile" val="50"/>
        <cfvo type="max"/>
        <color rgb="FF57BB8A"/>
        <color rgb="FFFFD666"/>
        <color rgb="FFE67C73"/>
      </colorScale>
    </cfRule>
  </conditionalFormatting>
  <conditionalFormatting sqref="AA1:AA64">
    <cfRule type="colorScale" priority="2">
      <colorScale>
        <cfvo type="formula" val="-0.01"/>
        <cfvo type="formula" val="0"/>
        <cfvo type="formula" val="0.01"/>
        <color rgb="FFF4CCCC"/>
        <color rgb="FFFFFFFF"/>
        <color rgb="FFD9EAD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75"/>
  <cols>
    <col customWidth="1" min="1" max="1" width="10.75"/>
    <col customWidth="1" min="2" max="2" width="6.13"/>
    <col customWidth="1" min="3" max="3" width="9.13"/>
    <col customWidth="1" min="4" max="4" width="17.25"/>
    <col customWidth="1" min="5" max="5" width="9.63"/>
    <col customWidth="1" min="6" max="6" width="7.5"/>
    <col customWidth="1" min="7" max="7" width="10.5"/>
    <col customWidth="1" min="8" max="8" width="7.5"/>
    <col customWidth="1" min="9" max="20" width="5.63"/>
    <col customWidth="1" min="21" max="21" width="8.5"/>
    <col customWidth="1" min="22" max="22" width="9.63"/>
    <col customWidth="1" min="23" max="23" width="7.5"/>
    <col customWidth="1" min="24" max="24" width="13.88"/>
    <col customWidth="1" min="25" max="25" width="17.75"/>
    <col customWidth="1" min="26" max="27" width="8.88"/>
    <col customWidth="1" min="28" max="28" width="70.5"/>
  </cols>
  <sheetData>
    <row r="1">
      <c r="A1" s="19" t="s">
        <v>111</v>
      </c>
      <c r="B1" s="154" t="s">
        <v>131</v>
      </c>
      <c r="C1" s="155" t="s">
        <v>112</v>
      </c>
      <c r="D1" s="20" t="s">
        <v>113</v>
      </c>
      <c r="E1" s="156" t="s">
        <v>132</v>
      </c>
      <c r="F1" s="20" t="s">
        <v>55</v>
      </c>
      <c r="G1" s="71" t="s">
        <v>56</v>
      </c>
      <c r="H1" s="72" t="s">
        <v>96</v>
      </c>
      <c r="I1" s="23" t="s">
        <v>57</v>
      </c>
      <c r="J1" s="24"/>
      <c r="K1" s="24"/>
      <c r="L1" s="24"/>
      <c r="M1" s="24"/>
      <c r="N1" s="24"/>
      <c r="O1" s="25" t="s">
        <v>58</v>
      </c>
      <c r="P1" s="24"/>
      <c r="Q1" s="24"/>
      <c r="R1" s="24"/>
      <c r="S1" s="24"/>
      <c r="T1" s="24"/>
      <c r="U1" s="157" t="s">
        <v>133</v>
      </c>
      <c r="V1" s="156" t="s">
        <v>134</v>
      </c>
      <c r="W1" s="158" t="s">
        <v>135</v>
      </c>
      <c r="X1" s="30" t="s">
        <v>136</v>
      </c>
      <c r="Y1" s="154" t="s">
        <v>137</v>
      </c>
      <c r="Z1" s="27" t="s">
        <v>63</v>
      </c>
      <c r="AA1" s="74" t="s">
        <v>64</v>
      </c>
      <c r="AB1" s="31"/>
    </row>
    <row r="2">
      <c r="A2" s="159" t="s">
        <v>138</v>
      </c>
      <c r="B2" s="160">
        <v>288.81</v>
      </c>
      <c r="C2" s="161">
        <f t="shared" ref="C2:C3" si="1">1/50</f>
        <v>0.02</v>
      </c>
      <c r="D2" s="162" t="s">
        <v>139</v>
      </c>
      <c r="E2" s="36">
        <v>1.0</v>
      </c>
      <c r="F2" s="33">
        <v>1511.0</v>
      </c>
      <c r="G2" s="163" t="s">
        <v>140</v>
      </c>
      <c r="H2" s="77">
        <v>19.0</v>
      </c>
      <c r="I2" s="36">
        <v>-0.034</v>
      </c>
      <c r="J2" s="36" t="s">
        <v>101</v>
      </c>
      <c r="K2" s="36" t="s">
        <v>101</v>
      </c>
      <c r="L2" s="36" t="s">
        <v>101</v>
      </c>
      <c r="M2" s="36" t="s">
        <v>101</v>
      </c>
      <c r="N2" s="36" t="s">
        <v>101</v>
      </c>
      <c r="O2" s="37">
        <v>0.01</v>
      </c>
      <c r="P2" s="36">
        <v>0.1</v>
      </c>
      <c r="Q2" s="36">
        <v>0.1</v>
      </c>
      <c r="R2" s="36">
        <v>0.253</v>
      </c>
      <c r="S2" s="36"/>
      <c r="T2" s="36"/>
      <c r="U2" s="164">
        <f t="shared" ref="U2:U248" si="2">-0.9*H2/(120+H2)</f>
        <v>-0.1230215827</v>
      </c>
      <c r="V2" s="165">
        <f t="shared" ref="V2:V248" si="3">MAX(0.1, 1+SUM(I2:U2))</f>
        <v>1.305978417</v>
      </c>
      <c r="W2" s="166" t="str">
        <f t="shared" ref="W2:W248" si="4">IF(D2="Normal","Normal","Skill")</f>
        <v>Normal</v>
      </c>
      <c r="X2" s="42">
        <f t="shared" ref="X2:X248" si="5">F2/B2/E2</f>
        <v>5.231813303</v>
      </c>
      <c r="Y2" s="167">
        <f t="shared" ref="Y2:Y248" si="6">X2/V2</f>
        <v>4.006048824</v>
      </c>
      <c r="Z2" s="167">
        <f t="shared" ref="Z2:Z248" si="7">IF(W2="Normal",4,2)+25*C2/(75+C2)</f>
        <v>4.006664889</v>
      </c>
      <c r="AA2" s="165">
        <f t="shared" ref="AA2:AA248" si="8">(Y2-Z2)/Y2</f>
        <v>-0.0001537837488</v>
      </c>
      <c r="AB2" s="81"/>
    </row>
    <row r="3">
      <c r="A3" s="168" t="s">
        <v>138</v>
      </c>
      <c r="B3" s="169">
        <v>288.81</v>
      </c>
      <c r="C3" s="170">
        <f t="shared" si="1"/>
        <v>0.02</v>
      </c>
      <c r="D3" s="171" t="s">
        <v>139</v>
      </c>
      <c r="E3" s="48">
        <v>1.0</v>
      </c>
      <c r="F3" s="45">
        <v>2203.0</v>
      </c>
      <c r="G3" s="172" t="s">
        <v>78</v>
      </c>
      <c r="H3" s="83">
        <v>5.0</v>
      </c>
      <c r="I3" s="48">
        <v>-0.023</v>
      </c>
      <c r="J3" s="48" t="s">
        <v>101</v>
      </c>
      <c r="K3" s="48" t="s">
        <v>101</v>
      </c>
      <c r="L3" s="48" t="s">
        <v>101</v>
      </c>
      <c r="M3" s="48" t="s">
        <v>101</v>
      </c>
      <c r="N3" s="48" t="s">
        <v>101</v>
      </c>
      <c r="O3" s="49">
        <v>0.01</v>
      </c>
      <c r="P3" s="48">
        <v>0.1</v>
      </c>
      <c r="Q3" s="48">
        <v>0.1</v>
      </c>
      <c r="R3" s="48">
        <v>0.253</v>
      </c>
      <c r="S3" s="48">
        <v>0.5</v>
      </c>
      <c r="T3" s="48"/>
      <c r="U3" s="173">
        <f t="shared" si="2"/>
        <v>-0.036</v>
      </c>
      <c r="V3" s="174">
        <f t="shared" si="3"/>
        <v>1.904</v>
      </c>
      <c r="W3" s="175" t="str">
        <f t="shared" si="4"/>
        <v>Normal</v>
      </c>
      <c r="X3" s="54">
        <f t="shared" si="5"/>
        <v>7.627852221</v>
      </c>
      <c r="Y3" s="176">
        <f t="shared" si="6"/>
        <v>4.006224906</v>
      </c>
      <c r="Z3" s="176">
        <f t="shared" si="7"/>
        <v>4.006664889</v>
      </c>
      <c r="AA3" s="174">
        <f t="shared" si="8"/>
        <v>-0.0001098249073</v>
      </c>
      <c r="AB3" s="87"/>
    </row>
    <row r="4">
      <c r="A4" s="159" t="s">
        <v>138</v>
      </c>
      <c r="B4" s="160">
        <v>288.81</v>
      </c>
      <c r="C4" s="161">
        <f t="shared" ref="C4:C5" si="9">3/50</f>
        <v>0.06</v>
      </c>
      <c r="D4" s="162" t="s">
        <v>139</v>
      </c>
      <c r="E4" s="36">
        <v>1.0</v>
      </c>
      <c r="F4" s="33">
        <v>2096.0</v>
      </c>
      <c r="G4" s="163" t="s">
        <v>140</v>
      </c>
      <c r="H4" s="77">
        <v>19.0</v>
      </c>
      <c r="I4" s="36">
        <v>-0.034</v>
      </c>
      <c r="J4" s="36" t="s">
        <v>101</v>
      </c>
      <c r="K4" s="36" t="s">
        <v>101</v>
      </c>
      <c r="L4" s="36" t="s">
        <v>101</v>
      </c>
      <c r="M4" s="36" t="s">
        <v>101</v>
      </c>
      <c r="N4" s="36" t="s">
        <v>101</v>
      </c>
      <c r="O4" s="37">
        <v>0.01</v>
      </c>
      <c r="P4" s="36">
        <v>0.1</v>
      </c>
      <c r="Q4" s="36">
        <v>0.1</v>
      </c>
      <c r="R4" s="36">
        <v>0.253</v>
      </c>
      <c r="S4" s="36">
        <v>0.5</v>
      </c>
      <c r="T4" s="36"/>
      <c r="U4" s="164">
        <f t="shared" si="2"/>
        <v>-0.1230215827</v>
      </c>
      <c r="V4" s="165">
        <f t="shared" si="3"/>
        <v>1.805978417</v>
      </c>
      <c r="W4" s="166" t="str">
        <f t="shared" si="4"/>
        <v>Normal</v>
      </c>
      <c r="X4" s="42">
        <f t="shared" si="5"/>
        <v>7.257366435</v>
      </c>
      <c r="Y4" s="167">
        <f t="shared" si="6"/>
        <v>4.018523347</v>
      </c>
      <c r="Z4" s="167">
        <f t="shared" si="7"/>
        <v>4.019984013</v>
      </c>
      <c r="AA4" s="165">
        <f t="shared" si="8"/>
        <v>-0.000363483117</v>
      </c>
      <c r="AB4" s="81"/>
    </row>
    <row r="5">
      <c r="A5" s="168" t="s">
        <v>138</v>
      </c>
      <c r="B5" s="169">
        <v>288.81</v>
      </c>
      <c r="C5" s="170">
        <f t="shared" si="9"/>
        <v>0.06</v>
      </c>
      <c r="D5" s="171" t="s">
        <v>141</v>
      </c>
      <c r="E5" s="48">
        <v>1.8</v>
      </c>
      <c r="F5" s="45">
        <v>1371.0</v>
      </c>
      <c r="G5" s="172" t="s">
        <v>140</v>
      </c>
      <c r="H5" s="83">
        <v>19.0</v>
      </c>
      <c r="I5" s="48">
        <v>-0.034</v>
      </c>
      <c r="J5" s="48" t="s">
        <v>101</v>
      </c>
      <c r="K5" s="48" t="s">
        <v>101</v>
      </c>
      <c r="L5" s="48" t="s">
        <v>101</v>
      </c>
      <c r="M5" s="48" t="s">
        <v>101</v>
      </c>
      <c r="N5" s="48" t="s">
        <v>101</v>
      </c>
      <c r="O5" s="49">
        <v>0.01</v>
      </c>
      <c r="P5" s="48">
        <v>0.1</v>
      </c>
      <c r="Q5" s="48">
        <v>0.1</v>
      </c>
      <c r="R5" s="48">
        <v>0.253</v>
      </c>
      <c r="S5" s="48"/>
      <c r="T5" s="48"/>
      <c r="U5" s="173">
        <f t="shared" si="2"/>
        <v>-0.1230215827</v>
      </c>
      <c r="V5" s="174">
        <f t="shared" si="3"/>
        <v>1.305978417</v>
      </c>
      <c r="W5" s="175" t="str">
        <f t="shared" si="4"/>
        <v>Skill</v>
      </c>
      <c r="X5" s="54">
        <f t="shared" si="5"/>
        <v>2.637258636</v>
      </c>
      <c r="Y5" s="176">
        <f t="shared" si="6"/>
        <v>2.019373828</v>
      </c>
      <c r="Z5" s="176">
        <f t="shared" si="7"/>
        <v>2.019984013</v>
      </c>
      <c r="AA5" s="174">
        <f t="shared" si="8"/>
        <v>-0.0003021652496</v>
      </c>
      <c r="AB5" s="87"/>
    </row>
    <row r="6">
      <c r="A6" s="159" t="s">
        <v>138</v>
      </c>
      <c r="B6" s="160">
        <v>288.81</v>
      </c>
      <c r="C6" s="161">
        <f t="shared" ref="C6:C7" si="10">5/50</f>
        <v>0.1</v>
      </c>
      <c r="D6" s="162" t="s">
        <v>139</v>
      </c>
      <c r="E6" s="36">
        <v>1.0</v>
      </c>
      <c r="F6" s="33">
        <v>2085.0</v>
      </c>
      <c r="G6" s="163" t="s">
        <v>142</v>
      </c>
      <c r="H6" s="77">
        <v>22.0</v>
      </c>
      <c r="I6" s="36">
        <v>-0.034</v>
      </c>
      <c r="J6" s="36" t="s">
        <v>101</v>
      </c>
      <c r="K6" s="36" t="s">
        <v>101</v>
      </c>
      <c r="L6" s="36" t="s">
        <v>101</v>
      </c>
      <c r="M6" s="36" t="s">
        <v>101</v>
      </c>
      <c r="N6" s="36" t="s">
        <v>101</v>
      </c>
      <c r="O6" s="37">
        <v>0.01</v>
      </c>
      <c r="P6" s="36">
        <v>0.1</v>
      </c>
      <c r="Q6" s="36">
        <v>0.1</v>
      </c>
      <c r="R6" s="36">
        <v>0.253</v>
      </c>
      <c r="S6" s="36">
        <v>0.5</v>
      </c>
      <c r="T6" s="36"/>
      <c r="U6" s="164">
        <f t="shared" si="2"/>
        <v>-0.1394366197</v>
      </c>
      <c r="V6" s="165">
        <f t="shared" si="3"/>
        <v>1.78956338</v>
      </c>
      <c r="W6" s="166" t="str">
        <f t="shared" si="4"/>
        <v>Normal</v>
      </c>
      <c r="X6" s="42">
        <f t="shared" si="5"/>
        <v>7.219279111</v>
      </c>
      <c r="Y6" s="167">
        <f t="shared" si="6"/>
        <v>4.034100826</v>
      </c>
      <c r="Z6" s="167">
        <f t="shared" si="7"/>
        <v>4.033288948</v>
      </c>
      <c r="AA6" s="165">
        <f t="shared" si="8"/>
        <v>0.0002012537889</v>
      </c>
      <c r="AB6" s="81"/>
    </row>
    <row r="7">
      <c r="A7" s="168" t="s">
        <v>138</v>
      </c>
      <c r="B7" s="169">
        <v>288.81</v>
      </c>
      <c r="C7" s="170">
        <f t="shared" si="10"/>
        <v>0.1</v>
      </c>
      <c r="D7" s="171" t="s">
        <v>141</v>
      </c>
      <c r="E7" s="48">
        <v>1.8</v>
      </c>
      <c r="F7" s="45">
        <v>1892.0</v>
      </c>
      <c r="G7" s="172" t="s">
        <v>142</v>
      </c>
      <c r="H7" s="83">
        <v>22.0</v>
      </c>
      <c r="I7" s="48">
        <v>-0.034</v>
      </c>
      <c r="J7" s="48" t="s">
        <v>101</v>
      </c>
      <c r="K7" s="48" t="s">
        <v>101</v>
      </c>
      <c r="L7" s="48" t="s">
        <v>101</v>
      </c>
      <c r="M7" s="48" t="s">
        <v>101</v>
      </c>
      <c r="N7" s="48" t="s">
        <v>101</v>
      </c>
      <c r="O7" s="49">
        <v>0.01</v>
      </c>
      <c r="P7" s="48">
        <v>0.1</v>
      </c>
      <c r="Q7" s="48">
        <v>0.1</v>
      </c>
      <c r="R7" s="48">
        <v>0.253</v>
      </c>
      <c r="S7" s="48">
        <v>0.5</v>
      </c>
      <c r="T7" s="48"/>
      <c r="U7" s="173">
        <f t="shared" si="2"/>
        <v>-0.1394366197</v>
      </c>
      <c r="V7" s="174">
        <f t="shared" si="3"/>
        <v>1.78956338</v>
      </c>
      <c r="W7" s="175" t="str">
        <f t="shared" si="4"/>
        <v>Skill</v>
      </c>
      <c r="X7" s="54">
        <f t="shared" si="5"/>
        <v>3.63945539</v>
      </c>
      <c r="Y7" s="176">
        <f t="shared" si="6"/>
        <v>2.033711368</v>
      </c>
      <c r="Z7" s="176">
        <f t="shared" si="7"/>
        <v>2.033288948</v>
      </c>
      <c r="AA7" s="174">
        <f t="shared" si="8"/>
        <v>0.0002077087542</v>
      </c>
      <c r="AB7" s="87"/>
    </row>
    <row r="8">
      <c r="A8" s="159" t="s">
        <v>138</v>
      </c>
      <c r="B8" s="160">
        <v>288.81</v>
      </c>
      <c r="C8" s="161">
        <f t="shared" ref="C8:C9" si="11">7/50</f>
        <v>0.14</v>
      </c>
      <c r="D8" s="162" t="s">
        <v>139</v>
      </c>
      <c r="E8" s="36">
        <v>1.0</v>
      </c>
      <c r="F8" s="33">
        <v>1577.0</v>
      </c>
      <c r="G8" s="163" t="s">
        <v>103</v>
      </c>
      <c r="H8" s="77">
        <v>15.0</v>
      </c>
      <c r="I8" s="36">
        <v>-0.013</v>
      </c>
      <c r="J8" s="36" t="s">
        <v>101</v>
      </c>
      <c r="K8" s="36" t="s">
        <v>101</v>
      </c>
      <c r="L8" s="36" t="s">
        <v>101</v>
      </c>
      <c r="M8" s="36" t="s">
        <v>101</v>
      </c>
      <c r="N8" s="36" t="s">
        <v>101</v>
      </c>
      <c r="O8" s="37">
        <v>0.01</v>
      </c>
      <c r="P8" s="36">
        <v>0.1</v>
      </c>
      <c r="Q8" s="36">
        <v>0.1</v>
      </c>
      <c r="R8" s="36">
        <v>0.253</v>
      </c>
      <c r="S8" s="36"/>
      <c r="T8" s="36"/>
      <c r="U8" s="164">
        <f t="shared" si="2"/>
        <v>-0.1</v>
      </c>
      <c r="V8" s="165">
        <f t="shared" si="3"/>
        <v>1.35</v>
      </c>
      <c r="W8" s="166" t="str">
        <f t="shared" si="4"/>
        <v>Normal</v>
      </c>
      <c r="X8" s="42">
        <f t="shared" si="5"/>
        <v>5.460337246</v>
      </c>
      <c r="Y8" s="167">
        <f t="shared" si="6"/>
        <v>4.044694256</v>
      </c>
      <c r="Z8" s="167">
        <f t="shared" si="7"/>
        <v>4.046579718</v>
      </c>
      <c r="AA8" s="165">
        <f t="shared" si="8"/>
        <v>-0.0004661567695</v>
      </c>
      <c r="AB8" s="81"/>
    </row>
    <row r="9">
      <c r="A9" s="168" t="s">
        <v>138</v>
      </c>
      <c r="B9" s="169">
        <v>288.81</v>
      </c>
      <c r="C9" s="170">
        <f t="shared" si="11"/>
        <v>0.14</v>
      </c>
      <c r="D9" s="177" t="s">
        <v>143</v>
      </c>
      <c r="E9" s="178">
        <v>0.266</v>
      </c>
      <c r="F9" s="45">
        <v>284.0</v>
      </c>
      <c r="G9" s="172" t="s">
        <v>103</v>
      </c>
      <c r="H9" s="83">
        <v>15.0</v>
      </c>
      <c r="I9" s="48">
        <v>-0.013</v>
      </c>
      <c r="J9" s="48" t="s">
        <v>101</v>
      </c>
      <c r="K9" s="48" t="s">
        <v>101</v>
      </c>
      <c r="L9" s="48" t="s">
        <v>101</v>
      </c>
      <c r="M9" s="48" t="s">
        <v>101</v>
      </c>
      <c r="N9" s="48" t="s">
        <v>101</v>
      </c>
      <c r="O9" s="49">
        <v>0.01</v>
      </c>
      <c r="P9" s="48">
        <v>0.1</v>
      </c>
      <c r="Q9" s="48">
        <v>0.1</v>
      </c>
      <c r="R9" s="48">
        <v>0.253</v>
      </c>
      <c r="S9" s="48">
        <v>0.5</v>
      </c>
      <c r="T9" s="48"/>
      <c r="U9" s="173">
        <f t="shared" si="2"/>
        <v>-0.1</v>
      </c>
      <c r="V9" s="174">
        <f t="shared" si="3"/>
        <v>1.85</v>
      </c>
      <c r="W9" s="175" t="str">
        <f t="shared" si="4"/>
        <v>Skill</v>
      </c>
      <c r="X9" s="54">
        <f t="shared" si="5"/>
        <v>3.696787414</v>
      </c>
      <c r="Y9" s="176">
        <f t="shared" si="6"/>
        <v>1.998263467</v>
      </c>
      <c r="Z9" s="176">
        <f t="shared" si="7"/>
        <v>2.046579718</v>
      </c>
      <c r="AA9" s="174">
        <f t="shared" si="8"/>
        <v>-0.02417911944</v>
      </c>
      <c r="AB9" s="87"/>
    </row>
    <row r="10">
      <c r="A10" s="159" t="s">
        <v>138</v>
      </c>
      <c r="B10" s="160">
        <v>288.81</v>
      </c>
      <c r="C10" s="161">
        <f t="shared" ref="C10:C11" si="12">10/50</f>
        <v>0.2</v>
      </c>
      <c r="D10" s="162" t="s">
        <v>139</v>
      </c>
      <c r="E10" s="36">
        <v>1.0</v>
      </c>
      <c r="F10" s="33">
        <v>2172.0</v>
      </c>
      <c r="G10" s="163" t="s">
        <v>103</v>
      </c>
      <c r="H10" s="77">
        <v>15.0</v>
      </c>
      <c r="I10" s="36">
        <v>-0.013</v>
      </c>
      <c r="J10" s="36" t="s">
        <v>101</v>
      </c>
      <c r="K10" s="36" t="s">
        <v>101</v>
      </c>
      <c r="L10" s="36" t="s">
        <v>101</v>
      </c>
      <c r="M10" s="36" t="s">
        <v>101</v>
      </c>
      <c r="N10" s="36" t="s">
        <v>101</v>
      </c>
      <c r="O10" s="37">
        <v>0.01</v>
      </c>
      <c r="P10" s="36">
        <v>0.1</v>
      </c>
      <c r="Q10" s="36">
        <v>0.1</v>
      </c>
      <c r="R10" s="36">
        <v>0.253</v>
      </c>
      <c r="S10" s="36">
        <v>0.5</v>
      </c>
      <c r="T10" s="36"/>
      <c r="U10" s="164">
        <f t="shared" si="2"/>
        <v>-0.1</v>
      </c>
      <c r="V10" s="165">
        <f t="shared" si="3"/>
        <v>1.85</v>
      </c>
      <c r="W10" s="166" t="str">
        <f t="shared" si="4"/>
        <v>Normal</v>
      </c>
      <c r="X10" s="42">
        <f t="shared" si="5"/>
        <v>7.520515218</v>
      </c>
      <c r="Y10" s="167">
        <f t="shared" si="6"/>
        <v>4.065143361</v>
      </c>
      <c r="Z10" s="167">
        <f t="shared" si="7"/>
        <v>4.066489362</v>
      </c>
      <c r="AA10" s="165">
        <f t="shared" si="8"/>
        <v>-0.0003311078377</v>
      </c>
      <c r="AB10" s="81"/>
    </row>
    <row r="11">
      <c r="A11" s="168" t="s">
        <v>138</v>
      </c>
      <c r="B11" s="169">
        <v>288.81</v>
      </c>
      <c r="C11" s="170">
        <f t="shared" si="12"/>
        <v>0.2</v>
      </c>
      <c r="D11" s="171" t="s">
        <v>141</v>
      </c>
      <c r="E11" s="48">
        <v>1.8</v>
      </c>
      <c r="F11" s="45">
        <v>1987.0</v>
      </c>
      <c r="G11" s="172" t="s">
        <v>103</v>
      </c>
      <c r="H11" s="83">
        <v>15.0</v>
      </c>
      <c r="I11" s="48">
        <v>-0.013</v>
      </c>
      <c r="J11" s="48" t="s">
        <v>101</v>
      </c>
      <c r="K11" s="48" t="s">
        <v>101</v>
      </c>
      <c r="L11" s="48" t="s">
        <v>101</v>
      </c>
      <c r="M11" s="48" t="s">
        <v>101</v>
      </c>
      <c r="N11" s="48" t="s">
        <v>101</v>
      </c>
      <c r="O11" s="49">
        <v>0.01</v>
      </c>
      <c r="P11" s="48">
        <v>0.1</v>
      </c>
      <c r="Q11" s="48">
        <v>0.1</v>
      </c>
      <c r="R11" s="48">
        <v>0.253</v>
      </c>
      <c r="S11" s="48">
        <v>0.5</v>
      </c>
      <c r="T11" s="48"/>
      <c r="U11" s="173">
        <f t="shared" si="2"/>
        <v>-0.1</v>
      </c>
      <c r="V11" s="174">
        <f t="shared" si="3"/>
        <v>1.85</v>
      </c>
      <c r="W11" s="175" t="str">
        <f t="shared" si="4"/>
        <v>Skill</v>
      </c>
      <c r="X11" s="54">
        <f t="shared" si="5"/>
        <v>3.8221976</v>
      </c>
      <c r="Y11" s="176">
        <f t="shared" si="6"/>
        <v>2.066052757</v>
      </c>
      <c r="Z11" s="176">
        <f t="shared" si="7"/>
        <v>2.066489362</v>
      </c>
      <c r="AA11" s="174">
        <f t="shared" si="8"/>
        <v>-0.0002113232019</v>
      </c>
      <c r="AB11" s="87"/>
    </row>
    <row r="12">
      <c r="A12" s="159" t="s">
        <v>138</v>
      </c>
      <c r="B12" s="160">
        <v>288.81</v>
      </c>
      <c r="C12" s="161">
        <f t="shared" ref="C12:C13" si="13">12/50</f>
        <v>0.24</v>
      </c>
      <c r="D12" s="162" t="s">
        <v>139</v>
      </c>
      <c r="E12" s="36">
        <v>1.0</v>
      </c>
      <c r="F12" s="33">
        <v>1590.0</v>
      </c>
      <c r="G12" s="163" t="s">
        <v>103</v>
      </c>
      <c r="H12" s="77">
        <v>15.0</v>
      </c>
      <c r="I12" s="36">
        <v>-0.013</v>
      </c>
      <c r="J12" s="36" t="s">
        <v>101</v>
      </c>
      <c r="K12" s="36" t="s">
        <v>101</v>
      </c>
      <c r="L12" s="36" t="s">
        <v>101</v>
      </c>
      <c r="M12" s="36" t="s">
        <v>101</v>
      </c>
      <c r="N12" s="36" t="s">
        <v>101</v>
      </c>
      <c r="O12" s="37">
        <v>0.01</v>
      </c>
      <c r="P12" s="36">
        <v>0.1</v>
      </c>
      <c r="Q12" s="36">
        <v>0.1</v>
      </c>
      <c r="R12" s="36">
        <v>0.253</v>
      </c>
      <c r="S12" s="36"/>
      <c r="T12" s="36"/>
      <c r="U12" s="164">
        <f t="shared" si="2"/>
        <v>-0.1</v>
      </c>
      <c r="V12" s="165">
        <f t="shared" si="3"/>
        <v>1.35</v>
      </c>
      <c r="W12" s="166" t="str">
        <f t="shared" si="4"/>
        <v>Normal</v>
      </c>
      <c r="X12" s="42">
        <f t="shared" si="5"/>
        <v>5.505349538</v>
      </c>
      <c r="Y12" s="167">
        <f t="shared" si="6"/>
        <v>4.078036695</v>
      </c>
      <c r="Z12" s="167">
        <f t="shared" si="7"/>
        <v>4.079744817</v>
      </c>
      <c r="AA12" s="165">
        <f t="shared" si="8"/>
        <v>-0.0004188588968</v>
      </c>
      <c r="AB12" s="81"/>
    </row>
    <row r="13">
      <c r="A13" s="168" t="s">
        <v>138</v>
      </c>
      <c r="B13" s="169">
        <v>288.81</v>
      </c>
      <c r="C13" s="170">
        <f t="shared" si="13"/>
        <v>0.24</v>
      </c>
      <c r="D13" s="177" t="s">
        <v>143</v>
      </c>
      <c r="E13" s="178">
        <v>0.266</v>
      </c>
      <c r="F13" s="45">
        <v>288.0</v>
      </c>
      <c r="G13" s="172" t="s">
        <v>103</v>
      </c>
      <c r="H13" s="83">
        <v>15.0</v>
      </c>
      <c r="I13" s="48">
        <v>-0.013</v>
      </c>
      <c r="J13" s="48" t="s">
        <v>101</v>
      </c>
      <c r="K13" s="48" t="s">
        <v>101</v>
      </c>
      <c r="L13" s="48" t="s">
        <v>101</v>
      </c>
      <c r="M13" s="48" t="s">
        <v>101</v>
      </c>
      <c r="N13" s="48" t="s">
        <v>101</v>
      </c>
      <c r="O13" s="49">
        <v>0.01</v>
      </c>
      <c r="P13" s="48">
        <v>0.1</v>
      </c>
      <c r="Q13" s="48">
        <v>0.1</v>
      </c>
      <c r="R13" s="48">
        <v>0.253</v>
      </c>
      <c r="S13" s="48">
        <v>0.5</v>
      </c>
      <c r="T13" s="48"/>
      <c r="U13" s="173">
        <f t="shared" si="2"/>
        <v>-0.1</v>
      </c>
      <c r="V13" s="174">
        <f t="shared" si="3"/>
        <v>1.85</v>
      </c>
      <c r="W13" s="175" t="str">
        <f t="shared" si="4"/>
        <v>Skill</v>
      </c>
      <c r="X13" s="54">
        <f t="shared" si="5"/>
        <v>3.748854842</v>
      </c>
      <c r="Y13" s="176">
        <f t="shared" si="6"/>
        <v>2.026408023</v>
      </c>
      <c r="Z13" s="176">
        <f t="shared" si="7"/>
        <v>2.079744817</v>
      </c>
      <c r="AA13" s="174">
        <f t="shared" si="8"/>
        <v>-0.02632085606</v>
      </c>
      <c r="AB13" s="87"/>
    </row>
    <row r="14">
      <c r="A14" s="159" t="s">
        <v>138</v>
      </c>
      <c r="B14" s="160">
        <v>288.81</v>
      </c>
      <c r="C14" s="161">
        <f t="shared" ref="C14:C17" si="14">16/50</f>
        <v>0.32</v>
      </c>
      <c r="D14" s="162" t="s">
        <v>139</v>
      </c>
      <c r="E14" s="36">
        <v>1.0</v>
      </c>
      <c r="F14" s="33">
        <v>2176.0</v>
      </c>
      <c r="G14" s="163" t="s">
        <v>144</v>
      </c>
      <c r="H14" s="77">
        <v>14.0</v>
      </c>
      <c r="I14" s="36">
        <v>-0.034</v>
      </c>
      <c r="J14" s="36" t="s">
        <v>101</v>
      </c>
      <c r="K14" s="36" t="s">
        <v>101</v>
      </c>
      <c r="L14" s="36" t="s">
        <v>101</v>
      </c>
      <c r="M14" s="36" t="s">
        <v>101</v>
      </c>
      <c r="N14" s="36" t="s">
        <v>101</v>
      </c>
      <c r="O14" s="37">
        <v>0.01</v>
      </c>
      <c r="P14" s="36">
        <v>0.1</v>
      </c>
      <c r="Q14" s="36">
        <v>0.1</v>
      </c>
      <c r="R14" s="36">
        <v>0.253</v>
      </c>
      <c r="S14" s="36">
        <v>0.5</v>
      </c>
      <c r="T14" s="36"/>
      <c r="U14" s="164">
        <f t="shared" si="2"/>
        <v>-0.09402985075</v>
      </c>
      <c r="V14" s="165">
        <f t="shared" si="3"/>
        <v>1.834970149</v>
      </c>
      <c r="W14" s="166" t="str">
        <f t="shared" si="4"/>
        <v>Normal</v>
      </c>
      <c r="X14" s="42">
        <f t="shared" si="5"/>
        <v>7.534365154</v>
      </c>
      <c r="Y14" s="167">
        <f t="shared" si="6"/>
        <v>4.105987859</v>
      </c>
      <c r="Z14" s="167">
        <f t="shared" si="7"/>
        <v>4.106213489</v>
      </c>
      <c r="AA14" s="165">
        <f t="shared" si="8"/>
        <v>-0.00005495160056</v>
      </c>
      <c r="AB14" s="81"/>
    </row>
    <row r="15">
      <c r="A15" s="168" t="s">
        <v>138</v>
      </c>
      <c r="B15" s="169">
        <v>288.81</v>
      </c>
      <c r="C15" s="170">
        <f t="shared" si="14"/>
        <v>0.32</v>
      </c>
      <c r="D15" s="171" t="s">
        <v>139</v>
      </c>
      <c r="E15" s="48">
        <v>1.0</v>
      </c>
      <c r="F15" s="45">
        <v>2193.0</v>
      </c>
      <c r="G15" s="172" t="s">
        <v>103</v>
      </c>
      <c r="H15" s="83">
        <v>15.0</v>
      </c>
      <c r="I15" s="48">
        <v>-0.013</v>
      </c>
      <c r="J15" s="48" t="s">
        <v>101</v>
      </c>
      <c r="K15" s="48" t="s">
        <v>101</v>
      </c>
      <c r="L15" s="48" t="s">
        <v>101</v>
      </c>
      <c r="M15" s="48" t="s">
        <v>101</v>
      </c>
      <c r="N15" s="48" t="s">
        <v>101</v>
      </c>
      <c r="O15" s="49">
        <v>0.01</v>
      </c>
      <c r="P15" s="48">
        <v>0.1</v>
      </c>
      <c r="Q15" s="48">
        <v>0.1</v>
      </c>
      <c r="R15" s="48">
        <v>0.253</v>
      </c>
      <c r="S15" s="48">
        <v>0.5</v>
      </c>
      <c r="T15" s="48"/>
      <c r="U15" s="173">
        <f t="shared" si="2"/>
        <v>-0.1</v>
      </c>
      <c r="V15" s="174">
        <f t="shared" si="3"/>
        <v>1.85</v>
      </c>
      <c r="W15" s="175" t="str">
        <f t="shared" si="4"/>
        <v>Normal</v>
      </c>
      <c r="X15" s="54">
        <f t="shared" si="5"/>
        <v>7.593227381</v>
      </c>
      <c r="Y15" s="176">
        <f t="shared" si="6"/>
        <v>4.104447233</v>
      </c>
      <c r="Z15" s="176">
        <f t="shared" si="7"/>
        <v>4.106213489</v>
      </c>
      <c r="AA15" s="174">
        <f t="shared" si="8"/>
        <v>-0.0004303273657</v>
      </c>
      <c r="AB15" s="87"/>
    </row>
    <row r="16">
      <c r="A16" s="159" t="s">
        <v>138</v>
      </c>
      <c r="B16" s="160">
        <v>288.81</v>
      </c>
      <c r="C16" s="161">
        <f t="shared" si="14"/>
        <v>0.32</v>
      </c>
      <c r="D16" s="179" t="s">
        <v>143</v>
      </c>
      <c r="E16" s="180">
        <v>0.266</v>
      </c>
      <c r="F16" s="33">
        <v>213.0</v>
      </c>
      <c r="G16" s="163" t="s">
        <v>103</v>
      </c>
      <c r="H16" s="77">
        <v>15.0</v>
      </c>
      <c r="I16" s="36">
        <v>-0.013</v>
      </c>
      <c r="J16" s="36" t="s">
        <v>101</v>
      </c>
      <c r="K16" s="36" t="s">
        <v>101</v>
      </c>
      <c r="L16" s="36" t="s">
        <v>101</v>
      </c>
      <c r="M16" s="36" t="s">
        <v>101</v>
      </c>
      <c r="N16" s="36" t="s">
        <v>101</v>
      </c>
      <c r="O16" s="37">
        <v>0.01</v>
      </c>
      <c r="P16" s="36">
        <v>0.1</v>
      </c>
      <c r="Q16" s="36">
        <v>0.1</v>
      </c>
      <c r="R16" s="36">
        <v>0.253</v>
      </c>
      <c r="S16" s="36"/>
      <c r="T16" s="36"/>
      <c r="U16" s="164">
        <f t="shared" si="2"/>
        <v>-0.1</v>
      </c>
      <c r="V16" s="165">
        <f t="shared" si="3"/>
        <v>1.35</v>
      </c>
      <c r="W16" s="166" t="str">
        <f t="shared" si="4"/>
        <v>Skill</v>
      </c>
      <c r="X16" s="42">
        <f t="shared" si="5"/>
        <v>2.77259056</v>
      </c>
      <c r="Y16" s="167">
        <f t="shared" si="6"/>
        <v>2.053770785</v>
      </c>
      <c r="Z16" s="167">
        <f t="shared" si="7"/>
        <v>2.106213489</v>
      </c>
      <c r="AA16" s="165">
        <f t="shared" si="8"/>
        <v>-0.02553483774</v>
      </c>
      <c r="AB16" s="81"/>
    </row>
    <row r="17">
      <c r="A17" s="168" t="s">
        <v>138</v>
      </c>
      <c r="B17" s="169">
        <v>288.81</v>
      </c>
      <c r="C17" s="170">
        <f t="shared" si="14"/>
        <v>0.32</v>
      </c>
      <c r="D17" s="171" t="s">
        <v>141</v>
      </c>
      <c r="E17" s="48">
        <v>1.8</v>
      </c>
      <c r="F17" s="45">
        <v>2025.0</v>
      </c>
      <c r="G17" s="172" t="s">
        <v>103</v>
      </c>
      <c r="H17" s="83">
        <v>15.0</v>
      </c>
      <c r="I17" s="48">
        <v>-0.013</v>
      </c>
      <c r="J17" s="48" t="s">
        <v>101</v>
      </c>
      <c r="K17" s="48" t="s">
        <v>101</v>
      </c>
      <c r="L17" s="48" t="s">
        <v>101</v>
      </c>
      <c r="M17" s="48" t="s">
        <v>101</v>
      </c>
      <c r="N17" s="48" t="s">
        <v>101</v>
      </c>
      <c r="O17" s="49">
        <v>0.01</v>
      </c>
      <c r="P17" s="48">
        <v>0.1</v>
      </c>
      <c r="Q17" s="48">
        <v>0.1</v>
      </c>
      <c r="R17" s="48">
        <v>0.253</v>
      </c>
      <c r="S17" s="48">
        <v>0.5</v>
      </c>
      <c r="T17" s="48"/>
      <c r="U17" s="173">
        <f t="shared" si="2"/>
        <v>-0.1</v>
      </c>
      <c r="V17" s="174">
        <f t="shared" si="3"/>
        <v>1.85</v>
      </c>
      <c r="W17" s="175" t="str">
        <f t="shared" si="4"/>
        <v>Skill</v>
      </c>
      <c r="X17" s="54">
        <f t="shared" si="5"/>
        <v>3.895294484</v>
      </c>
      <c r="Y17" s="176">
        <f t="shared" si="6"/>
        <v>2.105564586</v>
      </c>
      <c r="Z17" s="176">
        <f t="shared" si="7"/>
        <v>2.106213489</v>
      </c>
      <c r="AA17" s="174">
        <f t="shared" si="8"/>
        <v>-0.0003081848115</v>
      </c>
      <c r="AB17" s="87"/>
    </row>
    <row r="18">
      <c r="A18" s="159" t="s">
        <v>138</v>
      </c>
      <c r="B18" s="160">
        <v>288.81</v>
      </c>
      <c r="C18" s="161">
        <f t="shared" ref="C18:C20" si="15">20/50</f>
        <v>0.4</v>
      </c>
      <c r="D18" s="162" t="s">
        <v>139</v>
      </c>
      <c r="E18" s="36">
        <v>1.0</v>
      </c>
      <c r="F18" s="33">
        <v>2190.0</v>
      </c>
      <c r="G18" s="163" t="s">
        <v>144</v>
      </c>
      <c r="H18" s="77">
        <v>14.0</v>
      </c>
      <c r="I18" s="36">
        <v>-0.034</v>
      </c>
      <c r="J18" s="36" t="s">
        <v>101</v>
      </c>
      <c r="K18" s="36" t="s">
        <v>101</v>
      </c>
      <c r="L18" s="36" t="s">
        <v>101</v>
      </c>
      <c r="M18" s="36" t="s">
        <v>101</v>
      </c>
      <c r="N18" s="36" t="s">
        <v>101</v>
      </c>
      <c r="O18" s="37">
        <v>0.01</v>
      </c>
      <c r="P18" s="36">
        <v>0.1</v>
      </c>
      <c r="Q18" s="36">
        <v>0.1</v>
      </c>
      <c r="R18" s="36">
        <v>0.253</v>
      </c>
      <c r="S18" s="36">
        <v>0.5</v>
      </c>
      <c r="T18" s="36"/>
      <c r="U18" s="164">
        <f t="shared" si="2"/>
        <v>-0.09402985075</v>
      </c>
      <c r="V18" s="165">
        <f t="shared" si="3"/>
        <v>1.834970149</v>
      </c>
      <c r="W18" s="166" t="str">
        <f t="shared" si="4"/>
        <v>Normal</v>
      </c>
      <c r="X18" s="42">
        <f t="shared" si="5"/>
        <v>7.582839929</v>
      </c>
      <c r="Y18" s="167">
        <f t="shared" si="6"/>
        <v>4.13240506</v>
      </c>
      <c r="Z18" s="167">
        <f t="shared" si="7"/>
        <v>4.132625995</v>
      </c>
      <c r="AA18" s="165">
        <f t="shared" si="8"/>
        <v>-0.00005346399683</v>
      </c>
      <c r="AB18" s="81"/>
    </row>
    <row r="19">
      <c r="A19" s="168" t="s">
        <v>138</v>
      </c>
      <c r="B19" s="169">
        <v>288.81</v>
      </c>
      <c r="C19" s="170">
        <f t="shared" si="15"/>
        <v>0.4</v>
      </c>
      <c r="D19" s="171" t="s">
        <v>145</v>
      </c>
      <c r="E19" s="48">
        <v>1.714</v>
      </c>
      <c r="F19" s="45">
        <v>1290.0</v>
      </c>
      <c r="G19" s="172" t="s">
        <v>146</v>
      </c>
      <c r="H19" s="83">
        <v>16.0</v>
      </c>
      <c r="I19" s="48">
        <v>-0.023</v>
      </c>
      <c r="J19" s="48">
        <v>-0.01</v>
      </c>
      <c r="K19" s="48">
        <v>-0.1</v>
      </c>
      <c r="L19" s="48" t="s">
        <v>101</v>
      </c>
      <c r="M19" s="48" t="s">
        <v>101</v>
      </c>
      <c r="N19" s="48" t="s">
        <v>101</v>
      </c>
      <c r="O19" s="49">
        <v>0.01</v>
      </c>
      <c r="P19" s="48">
        <v>0.1</v>
      </c>
      <c r="Q19" s="48">
        <v>0.1</v>
      </c>
      <c r="R19" s="48">
        <v>0.253</v>
      </c>
      <c r="S19" s="48"/>
      <c r="T19" s="48"/>
      <c r="U19" s="173">
        <f t="shared" si="2"/>
        <v>-0.1058823529</v>
      </c>
      <c r="V19" s="174">
        <f t="shared" si="3"/>
        <v>1.224117647</v>
      </c>
      <c r="W19" s="175" t="str">
        <f t="shared" si="4"/>
        <v>Skill</v>
      </c>
      <c r="X19" s="54">
        <f t="shared" si="5"/>
        <v>2.605953525</v>
      </c>
      <c r="Y19" s="176">
        <f t="shared" si="6"/>
        <v>2.12884238</v>
      </c>
      <c r="Z19" s="176">
        <f t="shared" si="7"/>
        <v>2.132625995</v>
      </c>
      <c r="AA19" s="174">
        <f t="shared" si="8"/>
        <v>-0.001777310906</v>
      </c>
      <c r="AB19" s="87"/>
    </row>
    <row r="20">
      <c r="A20" s="159" t="s">
        <v>138</v>
      </c>
      <c r="B20" s="160">
        <v>288.81</v>
      </c>
      <c r="C20" s="161">
        <f t="shared" si="15"/>
        <v>0.4</v>
      </c>
      <c r="D20" s="162" t="s">
        <v>141</v>
      </c>
      <c r="E20" s="36">
        <v>1.8</v>
      </c>
      <c r="F20" s="33">
        <v>1480.0</v>
      </c>
      <c r="G20" s="163" t="s">
        <v>144</v>
      </c>
      <c r="H20" s="77">
        <v>14.0</v>
      </c>
      <c r="I20" s="36">
        <v>-0.034</v>
      </c>
      <c r="J20" s="36" t="s">
        <v>101</v>
      </c>
      <c r="K20" s="36" t="s">
        <v>101</v>
      </c>
      <c r="L20" s="36" t="s">
        <v>101</v>
      </c>
      <c r="M20" s="36" t="s">
        <v>101</v>
      </c>
      <c r="N20" s="36" t="s">
        <v>101</v>
      </c>
      <c r="O20" s="37">
        <v>0.01</v>
      </c>
      <c r="P20" s="36">
        <v>0.1</v>
      </c>
      <c r="Q20" s="36">
        <v>0.1</v>
      </c>
      <c r="R20" s="36">
        <v>0.253</v>
      </c>
      <c r="S20" s="36"/>
      <c r="T20" s="36"/>
      <c r="U20" s="164">
        <f t="shared" si="2"/>
        <v>-0.09402985075</v>
      </c>
      <c r="V20" s="165">
        <f t="shared" si="3"/>
        <v>1.334970149</v>
      </c>
      <c r="W20" s="166" t="str">
        <f t="shared" si="4"/>
        <v>Skill</v>
      </c>
      <c r="X20" s="42">
        <f t="shared" si="5"/>
        <v>2.846931277</v>
      </c>
      <c r="Y20" s="167">
        <f t="shared" si="6"/>
        <v>2.132580477</v>
      </c>
      <c r="Z20" s="167">
        <f t="shared" si="7"/>
        <v>2.132625995</v>
      </c>
      <c r="AA20" s="165">
        <f t="shared" si="8"/>
        <v>-0.00002134405334</v>
      </c>
      <c r="AB20" s="81"/>
    </row>
    <row r="21">
      <c r="A21" s="168" t="s">
        <v>138</v>
      </c>
      <c r="B21" s="169">
        <v>288.81</v>
      </c>
      <c r="C21" s="170">
        <f t="shared" ref="C21:C22" si="16">23/50</f>
        <v>0.46</v>
      </c>
      <c r="D21" s="171" t="s">
        <v>139</v>
      </c>
      <c r="E21" s="48">
        <v>1.0</v>
      </c>
      <c r="F21" s="45">
        <v>1469.0</v>
      </c>
      <c r="G21" s="172" t="s">
        <v>146</v>
      </c>
      <c r="H21" s="83">
        <v>16.0</v>
      </c>
      <c r="I21" s="48">
        <v>-0.023</v>
      </c>
      <c r="J21" s="48">
        <v>-0.01</v>
      </c>
      <c r="K21" s="48">
        <v>-0.1</v>
      </c>
      <c r="L21" s="48" t="s">
        <v>101</v>
      </c>
      <c r="M21" s="48" t="s">
        <v>101</v>
      </c>
      <c r="N21" s="48" t="s">
        <v>101</v>
      </c>
      <c r="O21" s="49">
        <v>0.01</v>
      </c>
      <c r="P21" s="48">
        <v>0.1</v>
      </c>
      <c r="Q21" s="48">
        <v>0.1</v>
      </c>
      <c r="R21" s="48">
        <v>0.253</v>
      </c>
      <c r="S21" s="48"/>
      <c r="T21" s="48"/>
      <c r="U21" s="173">
        <f t="shared" si="2"/>
        <v>-0.1058823529</v>
      </c>
      <c r="V21" s="174">
        <f t="shared" si="3"/>
        <v>1.224117647</v>
      </c>
      <c r="W21" s="175" t="str">
        <f t="shared" si="4"/>
        <v>Normal</v>
      </c>
      <c r="X21" s="54">
        <f t="shared" si="5"/>
        <v>5.086388975</v>
      </c>
      <c r="Y21" s="176">
        <f t="shared" si="6"/>
        <v>4.155147169</v>
      </c>
      <c r="Z21" s="176">
        <f t="shared" si="7"/>
        <v>4.152398622</v>
      </c>
      <c r="AA21" s="174">
        <f t="shared" si="8"/>
        <v>0.0006614800629</v>
      </c>
      <c r="AB21" s="87"/>
    </row>
    <row r="22">
      <c r="A22" s="159" t="s">
        <v>138</v>
      </c>
      <c r="B22" s="160">
        <v>288.81</v>
      </c>
      <c r="C22" s="161">
        <f t="shared" si="16"/>
        <v>0.46</v>
      </c>
      <c r="D22" s="181" t="s">
        <v>143</v>
      </c>
      <c r="E22" s="182">
        <v>0.266</v>
      </c>
      <c r="F22" s="33">
        <v>278.0</v>
      </c>
      <c r="G22" s="163" t="s">
        <v>146</v>
      </c>
      <c r="H22" s="77">
        <v>16.0</v>
      </c>
      <c r="I22" s="36">
        <v>-0.023</v>
      </c>
      <c r="J22" s="36">
        <v>-0.01</v>
      </c>
      <c r="K22" s="36">
        <v>-0.1</v>
      </c>
      <c r="L22" s="36" t="s">
        <v>101</v>
      </c>
      <c r="M22" s="36" t="s">
        <v>101</v>
      </c>
      <c r="N22" s="36" t="s">
        <v>101</v>
      </c>
      <c r="O22" s="37">
        <v>0.01</v>
      </c>
      <c r="P22" s="36">
        <v>0.1</v>
      </c>
      <c r="Q22" s="36">
        <v>0.1</v>
      </c>
      <c r="R22" s="36">
        <v>0.253</v>
      </c>
      <c r="S22" s="36">
        <v>0.5</v>
      </c>
      <c r="T22" s="36"/>
      <c r="U22" s="164">
        <f t="shared" si="2"/>
        <v>-0.1058823529</v>
      </c>
      <c r="V22" s="165">
        <f t="shared" si="3"/>
        <v>1.724117647</v>
      </c>
      <c r="W22" s="166" t="str">
        <f t="shared" si="4"/>
        <v>Skill</v>
      </c>
      <c r="X22" s="42">
        <f t="shared" si="5"/>
        <v>3.618686271</v>
      </c>
      <c r="Y22" s="167">
        <f t="shared" si="6"/>
        <v>2.09886273</v>
      </c>
      <c r="Z22" s="167">
        <f t="shared" si="7"/>
        <v>2.152398622</v>
      </c>
      <c r="AA22" s="165">
        <f t="shared" si="8"/>
        <v>-0.02550709548</v>
      </c>
      <c r="AB22" s="81"/>
    </row>
    <row r="23">
      <c r="A23" s="168" t="s">
        <v>138</v>
      </c>
      <c r="B23" s="169">
        <v>288.81</v>
      </c>
      <c r="C23" s="170">
        <f t="shared" ref="C23:C24" si="17">29/50</f>
        <v>0.58</v>
      </c>
      <c r="D23" s="171" t="s">
        <v>147</v>
      </c>
      <c r="E23" s="48">
        <v>2.6</v>
      </c>
      <c r="F23" s="45">
        <v>2839.0</v>
      </c>
      <c r="G23" s="172" t="s">
        <v>146</v>
      </c>
      <c r="H23" s="83">
        <v>16.0</v>
      </c>
      <c r="I23" s="48">
        <v>-0.023</v>
      </c>
      <c r="J23" s="48">
        <v>-0.01</v>
      </c>
      <c r="K23" s="48">
        <v>-0.1</v>
      </c>
      <c r="L23" s="48" t="s">
        <v>101</v>
      </c>
      <c r="M23" s="48" t="s">
        <v>101</v>
      </c>
      <c r="N23" s="48" t="s">
        <v>101</v>
      </c>
      <c r="O23" s="49">
        <v>0.01</v>
      </c>
      <c r="P23" s="48">
        <v>0.1</v>
      </c>
      <c r="Q23" s="48">
        <v>0.1</v>
      </c>
      <c r="R23" s="48">
        <v>0.253</v>
      </c>
      <c r="S23" s="48">
        <v>0.5</v>
      </c>
      <c r="T23" s="48"/>
      <c r="U23" s="173">
        <f t="shared" si="2"/>
        <v>-0.1058823529</v>
      </c>
      <c r="V23" s="174">
        <f t="shared" si="3"/>
        <v>1.724117647</v>
      </c>
      <c r="W23" s="175" t="str">
        <f t="shared" si="4"/>
        <v>Skill</v>
      </c>
      <c r="X23" s="54">
        <f t="shared" si="5"/>
        <v>3.780766168</v>
      </c>
      <c r="Y23" s="176">
        <f t="shared" si="6"/>
        <v>2.192870176</v>
      </c>
      <c r="Z23" s="176">
        <f t="shared" si="7"/>
        <v>2.191849696</v>
      </c>
      <c r="AA23" s="174">
        <f t="shared" si="8"/>
        <v>0.0004653627573</v>
      </c>
      <c r="AB23" s="87"/>
    </row>
    <row r="24">
      <c r="A24" s="159" t="s">
        <v>138</v>
      </c>
      <c r="B24" s="160">
        <v>288.81</v>
      </c>
      <c r="C24" s="161">
        <f t="shared" si="17"/>
        <v>0.58</v>
      </c>
      <c r="D24" s="162" t="s">
        <v>139</v>
      </c>
      <c r="E24" s="36">
        <v>1.0</v>
      </c>
      <c r="F24" s="33">
        <v>2088.0</v>
      </c>
      <c r="G24" s="163" t="s">
        <v>146</v>
      </c>
      <c r="H24" s="77">
        <v>16.0</v>
      </c>
      <c r="I24" s="36">
        <v>-0.023</v>
      </c>
      <c r="J24" s="36">
        <v>-0.01</v>
      </c>
      <c r="K24" s="36">
        <v>-0.1</v>
      </c>
      <c r="L24" s="36" t="s">
        <v>101</v>
      </c>
      <c r="M24" s="36" t="s">
        <v>101</v>
      </c>
      <c r="N24" s="36" t="s">
        <v>101</v>
      </c>
      <c r="O24" s="37">
        <v>0.01</v>
      </c>
      <c r="P24" s="36">
        <v>0.1</v>
      </c>
      <c r="Q24" s="36">
        <v>0.1</v>
      </c>
      <c r="R24" s="36">
        <v>0.253</v>
      </c>
      <c r="S24" s="36">
        <v>0.5</v>
      </c>
      <c r="T24" s="36"/>
      <c r="U24" s="164">
        <f t="shared" si="2"/>
        <v>-0.1058823529</v>
      </c>
      <c r="V24" s="165">
        <f t="shared" si="3"/>
        <v>1.724117647</v>
      </c>
      <c r="W24" s="166" t="str">
        <f t="shared" si="4"/>
        <v>Normal</v>
      </c>
      <c r="X24" s="42">
        <f t="shared" si="5"/>
        <v>7.229666563</v>
      </c>
      <c r="Y24" s="167">
        <f t="shared" si="6"/>
        <v>4.193255939</v>
      </c>
      <c r="Z24" s="167">
        <f t="shared" si="7"/>
        <v>4.191849696</v>
      </c>
      <c r="AA24" s="165">
        <f t="shared" si="8"/>
        <v>0.0003353582934</v>
      </c>
      <c r="AB24" s="81"/>
    </row>
    <row r="25">
      <c r="A25" s="168" t="s">
        <v>138</v>
      </c>
      <c r="B25" s="169">
        <v>288.81</v>
      </c>
      <c r="C25" s="170">
        <f t="shared" ref="C25:C27" si="18">38/50</f>
        <v>0.76</v>
      </c>
      <c r="D25" s="171" t="s">
        <v>148</v>
      </c>
      <c r="E25" s="48">
        <v>2.142</v>
      </c>
      <c r="F25" s="45">
        <v>2611.0</v>
      </c>
      <c r="G25" s="172" t="s">
        <v>78</v>
      </c>
      <c r="H25" s="83">
        <v>5.0</v>
      </c>
      <c r="I25" s="48">
        <v>-0.023</v>
      </c>
      <c r="J25" s="48">
        <v>-0.01</v>
      </c>
      <c r="K25" s="48" t="s">
        <v>101</v>
      </c>
      <c r="L25" s="48" t="s">
        <v>101</v>
      </c>
      <c r="M25" s="48" t="s">
        <v>101</v>
      </c>
      <c r="N25" s="48" t="s">
        <v>101</v>
      </c>
      <c r="O25" s="49">
        <v>0.01</v>
      </c>
      <c r="P25" s="48">
        <v>0.1</v>
      </c>
      <c r="Q25" s="48">
        <v>0.1</v>
      </c>
      <c r="R25" s="48">
        <v>0.253</v>
      </c>
      <c r="S25" s="48">
        <v>0.5</v>
      </c>
      <c r="T25" s="48"/>
      <c r="U25" s="173">
        <f t="shared" si="2"/>
        <v>-0.036</v>
      </c>
      <c r="V25" s="174">
        <f t="shared" si="3"/>
        <v>1.894</v>
      </c>
      <c r="W25" s="175" t="str">
        <f t="shared" si="4"/>
        <v>Skill</v>
      </c>
      <c r="X25" s="54">
        <f t="shared" si="5"/>
        <v>4.220609565</v>
      </c>
      <c r="Y25" s="176">
        <f t="shared" si="6"/>
        <v>2.228410541</v>
      </c>
      <c r="Z25" s="176">
        <f t="shared" si="7"/>
        <v>2.250791975</v>
      </c>
      <c r="AA25" s="174">
        <f t="shared" si="8"/>
        <v>-0.01004367609</v>
      </c>
      <c r="AB25" s="87"/>
    </row>
    <row r="26">
      <c r="A26" s="159" t="s">
        <v>138</v>
      </c>
      <c r="B26" s="160">
        <v>288.81</v>
      </c>
      <c r="C26" s="161">
        <f t="shared" si="18"/>
        <v>0.76</v>
      </c>
      <c r="D26" s="162" t="s">
        <v>139</v>
      </c>
      <c r="E26" s="36">
        <v>1.0</v>
      </c>
      <c r="F26" s="33">
        <v>2107.0</v>
      </c>
      <c r="G26" s="163" t="s">
        <v>146</v>
      </c>
      <c r="H26" s="77">
        <v>16.0</v>
      </c>
      <c r="I26" s="36">
        <v>-0.023</v>
      </c>
      <c r="J26" s="36">
        <v>-0.01</v>
      </c>
      <c r="K26" s="36">
        <v>-0.1</v>
      </c>
      <c r="L26" s="36" t="s">
        <v>101</v>
      </c>
      <c r="M26" s="36" t="s">
        <v>101</v>
      </c>
      <c r="N26" s="36" t="s">
        <v>101</v>
      </c>
      <c r="O26" s="37">
        <v>0.01</v>
      </c>
      <c r="P26" s="36">
        <v>0.1</v>
      </c>
      <c r="Q26" s="36">
        <v>0.1</v>
      </c>
      <c r="R26" s="36">
        <v>0.253</v>
      </c>
      <c r="S26" s="36">
        <v>0.5</v>
      </c>
      <c r="T26" s="36"/>
      <c r="U26" s="164">
        <f t="shared" si="2"/>
        <v>-0.1058823529</v>
      </c>
      <c r="V26" s="165">
        <f t="shared" si="3"/>
        <v>1.724117647</v>
      </c>
      <c r="W26" s="166" t="str">
        <f t="shared" si="4"/>
        <v>Normal</v>
      </c>
      <c r="X26" s="42">
        <f t="shared" si="5"/>
        <v>7.295453759</v>
      </c>
      <c r="Y26" s="167">
        <f t="shared" si="6"/>
        <v>4.231412961</v>
      </c>
      <c r="Z26" s="167">
        <f t="shared" si="7"/>
        <v>4.250791975</v>
      </c>
      <c r="AA26" s="165">
        <f t="shared" si="8"/>
        <v>-0.004579797236</v>
      </c>
      <c r="AB26" s="81"/>
    </row>
    <row r="27">
      <c r="A27" s="168" t="s">
        <v>138</v>
      </c>
      <c r="B27" s="169">
        <v>288.81</v>
      </c>
      <c r="C27" s="170">
        <f t="shared" si="18"/>
        <v>0.76</v>
      </c>
      <c r="D27" s="171" t="s">
        <v>145</v>
      </c>
      <c r="E27" s="48">
        <v>1.714</v>
      </c>
      <c r="F27" s="45">
        <v>2086.0</v>
      </c>
      <c r="G27" s="172" t="s">
        <v>78</v>
      </c>
      <c r="H27" s="83">
        <v>5.0</v>
      </c>
      <c r="I27" s="48">
        <v>-0.023</v>
      </c>
      <c r="J27" s="48">
        <v>-0.01</v>
      </c>
      <c r="K27" s="48" t="s">
        <v>101</v>
      </c>
      <c r="L27" s="48" t="s">
        <v>101</v>
      </c>
      <c r="M27" s="48" t="s">
        <v>101</v>
      </c>
      <c r="N27" s="48" t="s">
        <v>101</v>
      </c>
      <c r="O27" s="49">
        <v>0.01</v>
      </c>
      <c r="P27" s="48">
        <v>0.1</v>
      </c>
      <c r="Q27" s="48">
        <v>0.1</v>
      </c>
      <c r="R27" s="48">
        <v>0.253</v>
      </c>
      <c r="S27" s="48">
        <v>0.5</v>
      </c>
      <c r="T27" s="48"/>
      <c r="U27" s="173">
        <f t="shared" si="2"/>
        <v>-0.036</v>
      </c>
      <c r="V27" s="174">
        <f t="shared" si="3"/>
        <v>1.894</v>
      </c>
      <c r="W27" s="175" t="str">
        <f t="shared" si="4"/>
        <v>Skill</v>
      </c>
      <c r="X27" s="54">
        <f t="shared" si="5"/>
        <v>4.213968258</v>
      </c>
      <c r="Y27" s="176">
        <f t="shared" si="6"/>
        <v>2.224904043</v>
      </c>
      <c r="Z27" s="176">
        <f t="shared" si="7"/>
        <v>2.250791975</v>
      </c>
      <c r="AA27" s="174">
        <f t="shared" si="8"/>
        <v>-0.01163552705</v>
      </c>
      <c r="AB27" s="87"/>
    </row>
    <row r="28">
      <c r="A28" s="159" t="s">
        <v>138</v>
      </c>
      <c r="B28" s="160">
        <v>288.81</v>
      </c>
      <c r="C28" s="161">
        <f>50/50</f>
        <v>1</v>
      </c>
      <c r="D28" s="162" t="s">
        <v>139</v>
      </c>
      <c r="E28" s="36">
        <v>1.0</v>
      </c>
      <c r="F28" s="33">
        <v>2367.0</v>
      </c>
      <c r="G28" s="163" t="s">
        <v>78</v>
      </c>
      <c r="H28" s="77">
        <v>5.0</v>
      </c>
      <c r="I28" s="36">
        <v>-0.023</v>
      </c>
      <c r="J28" s="36">
        <v>-0.01</v>
      </c>
      <c r="K28" s="36" t="s">
        <v>101</v>
      </c>
      <c r="L28" s="36" t="s">
        <v>101</v>
      </c>
      <c r="M28" s="36" t="s">
        <v>101</v>
      </c>
      <c r="N28" s="36" t="s">
        <v>101</v>
      </c>
      <c r="O28" s="37">
        <v>0.01</v>
      </c>
      <c r="P28" s="36">
        <v>0.1</v>
      </c>
      <c r="Q28" s="36">
        <v>0.1</v>
      </c>
      <c r="R28" s="36">
        <v>0.253</v>
      </c>
      <c r="S28" s="36">
        <v>0.5</v>
      </c>
      <c r="T28" s="36"/>
      <c r="U28" s="164">
        <f t="shared" si="2"/>
        <v>-0.036</v>
      </c>
      <c r="V28" s="165">
        <f t="shared" si="3"/>
        <v>1.894</v>
      </c>
      <c r="W28" s="166" t="str">
        <f t="shared" si="4"/>
        <v>Normal</v>
      </c>
      <c r="X28" s="42">
        <f t="shared" si="5"/>
        <v>8.195699595</v>
      </c>
      <c r="Y28" s="167">
        <f t="shared" si="6"/>
        <v>4.327190916</v>
      </c>
      <c r="Z28" s="167">
        <f t="shared" si="7"/>
        <v>4.328947368</v>
      </c>
      <c r="AA28" s="165">
        <f t="shared" si="8"/>
        <v>-0.0004059105463</v>
      </c>
      <c r="AB28" s="81"/>
    </row>
    <row r="29">
      <c r="A29" s="168" t="s">
        <v>138</v>
      </c>
      <c r="B29" s="169">
        <v>288.81</v>
      </c>
      <c r="C29" s="170">
        <f>64/50</f>
        <v>1.28</v>
      </c>
      <c r="D29" s="171" t="s">
        <v>139</v>
      </c>
      <c r="E29" s="48">
        <v>1.0</v>
      </c>
      <c r="F29" s="45">
        <v>1779.0</v>
      </c>
      <c r="G29" s="172" t="s">
        <v>78</v>
      </c>
      <c r="H29" s="83">
        <v>5.0</v>
      </c>
      <c r="I29" s="48">
        <v>-0.023</v>
      </c>
      <c r="J29" s="48">
        <v>-0.01</v>
      </c>
      <c r="K29" s="48" t="s">
        <v>101</v>
      </c>
      <c r="L29" s="48" t="s">
        <v>101</v>
      </c>
      <c r="M29" s="48" t="s">
        <v>101</v>
      </c>
      <c r="N29" s="48" t="s">
        <v>101</v>
      </c>
      <c r="O29" s="49">
        <v>0.01</v>
      </c>
      <c r="P29" s="48">
        <v>0.1</v>
      </c>
      <c r="Q29" s="48">
        <v>0.1</v>
      </c>
      <c r="R29" s="48">
        <v>0.253</v>
      </c>
      <c r="S29" s="48"/>
      <c r="T29" s="48"/>
      <c r="U29" s="173">
        <f t="shared" si="2"/>
        <v>-0.036</v>
      </c>
      <c r="V29" s="174">
        <f t="shared" si="3"/>
        <v>1.394</v>
      </c>
      <c r="W29" s="175" t="str">
        <f t="shared" si="4"/>
        <v>Normal</v>
      </c>
      <c r="X29" s="54">
        <f t="shared" si="5"/>
        <v>6.159759011</v>
      </c>
      <c r="Y29" s="176">
        <f t="shared" si="6"/>
        <v>4.418765431</v>
      </c>
      <c r="Z29" s="176">
        <f t="shared" si="7"/>
        <v>4.419507079</v>
      </c>
      <c r="AA29" s="174">
        <f t="shared" si="8"/>
        <v>-0.0001678405378</v>
      </c>
      <c r="AB29" s="87"/>
    </row>
    <row r="30">
      <c r="A30" s="159" t="s">
        <v>138</v>
      </c>
      <c r="B30" s="160">
        <v>288.81</v>
      </c>
      <c r="C30" s="161">
        <f t="shared" ref="C30:C31" si="19">74/50</f>
        <v>1.48</v>
      </c>
      <c r="D30" s="162" t="s">
        <v>139</v>
      </c>
      <c r="E30" s="36">
        <v>1.0</v>
      </c>
      <c r="F30" s="33">
        <v>1456.0</v>
      </c>
      <c r="G30" s="163" t="s">
        <v>149</v>
      </c>
      <c r="H30" s="77">
        <v>35.0</v>
      </c>
      <c r="I30" s="36">
        <v>-0.025</v>
      </c>
      <c r="J30" s="36">
        <v>-0.01</v>
      </c>
      <c r="K30" s="36">
        <v>-0.1</v>
      </c>
      <c r="L30" s="36" t="s">
        <v>101</v>
      </c>
      <c r="M30" s="36" t="s">
        <v>101</v>
      </c>
      <c r="N30" s="36" t="s">
        <v>101</v>
      </c>
      <c r="O30" s="37">
        <v>0.01</v>
      </c>
      <c r="P30" s="36">
        <v>0.1</v>
      </c>
      <c r="Q30" s="36">
        <v>0.1</v>
      </c>
      <c r="R30" s="36">
        <v>0.253</v>
      </c>
      <c r="S30" s="36"/>
      <c r="T30" s="36"/>
      <c r="U30" s="164">
        <f t="shared" si="2"/>
        <v>-0.2032258065</v>
      </c>
      <c r="V30" s="165">
        <f t="shared" si="3"/>
        <v>1.124774194</v>
      </c>
      <c r="W30" s="166" t="str">
        <f t="shared" si="4"/>
        <v>Normal</v>
      </c>
      <c r="X30" s="42">
        <f t="shared" si="5"/>
        <v>5.041376684</v>
      </c>
      <c r="Y30" s="167">
        <f t="shared" si="6"/>
        <v>4.482123356</v>
      </c>
      <c r="Z30" s="167">
        <f t="shared" si="7"/>
        <v>4.483786611</v>
      </c>
      <c r="AA30" s="165">
        <f t="shared" si="8"/>
        <v>-0.0003710862684</v>
      </c>
      <c r="AB30" s="81"/>
    </row>
    <row r="31">
      <c r="A31" s="168" t="s">
        <v>138</v>
      </c>
      <c r="B31" s="169">
        <v>288.81</v>
      </c>
      <c r="C31" s="170">
        <f t="shared" si="19"/>
        <v>1.48</v>
      </c>
      <c r="D31" s="171" t="s">
        <v>141</v>
      </c>
      <c r="E31" s="48">
        <v>1.8</v>
      </c>
      <c r="F31" s="45">
        <v>2098.0</v>
      </c>
      <c r="G31" s="172" t="s">
        <v>149</v>
      </c>
      <c r="H31" s="83">
        <v>35.0</v>
      </c>
      <c r="I31" s="48">
        <v>-0.025</v>
      </c>
      <c r="J31" s="48">
        <v>-0.01</v>
      </c>
      <c r="K31" s="48">
        <v>-0.1</v>
      </c>
      <c r="L31" s="48" t="s">
        <v>101</v>
      </c>
      <c r="M31" s="48" t="s">
        <v>101</v>
      </c>
      <c r="N31" s="48" t="s">
        <v>101</v>
      </c>
      <c r="O31" s="49">
        <v>0.01</v>
      </c>
      <c r="P31" s="48">
        <v>0.1</v>
      </c>
      <c r="Q31" s="48">
        <v>0.1</v>
      </c>
      <c r="R31" s="48">
        <v>0.253</v>
      </c>
      <c r="S31" s="48">
        <v>0.5</v>
      </c>
      <c r="T31" s="48"/>
      <c r="U31" s="173">
        <f t="shared" si="2"/>
        <v>-0.2032258065</v>
      </c>
      <c r="V31" s="174">
        <f t="shared" si="3"/>
        <v>1.624774194</v>
      </c>
      <c r="W31" s="175" t="str">
        <f t="shared" si="4"/>
        <v>Skill</v>
      </c>
      <c r="X31" s="54">
        <f t="shared" si="5"/>
        <v>4.035717446</v>
      </c>
      <c r="Y31" s="176">
        <f t="shared" si="6"/>
        <v>2.483863581</v>
      </c>
      <c r="Z31" s="176">
        <f t="shared" si="7"/>
        <v>2.483786611</v>
      </c>
      <c r="AA31" s="174">
        <f t="shared" si="8"/>
        <v>0.00003098786844</v>
      </c>
      <c r="AB31" s="87"/>
    </row>
    <row r="32">
      <c r="A32" s="159" t="s">
        <v>138</v>
      </c>
      <c r="B32" s="160">
        <v>288.81</v>
      </c>
      <c r="C32" s="161">
        <f>77/50</f>
        <v>1.54</v>
      </c>
      <c r="D32" s="179" t="s">
        <v>139</v>
      </c>
      <c r="E32" s="180">
        <v>1.0</v>
      </c>
      <c r="F32" s="33">
        <v>2113.0</v>
      </c>
      <c r="G32" s="163" t="s">
        <v>149</v>
      </c>
      <c r="H32" s="77">
        <v>35.0</v>
      </c>
      <c r="I32" s="36">
        <v>-0.025</v>
      </c>
      <c r="J32" s="36">
        <v>-0.01</v>
      </c>
      <c r="K32" s="36">
        <v>-0.1</v>
      </c>
      <c r="L32" s="36" t="s">
        <v>101</v>
      </c>
      <c r="M32" s="36" t="s">
        <v>101</v>
      </c>
      <c r="N32" s="36" t="s">
        <v>101</v>
      </c>
      <c r="O32" s="37">
        <v>0.01</v>
      </c>
      <c r="P32" s="36">
        <v>0.1</v>
      </c>
      <c r="Q32" s="36">
        <v>0.1</v>
      </c>
      <c r="R32" s="36">
        <v>0.253</v>
      </c>
      <c r="S32" s="36">
        <v>0.5</v>
      </c>
      <c r="T32" s="36"/>
      <c r="U32" s="164">
        <f t="shared" si="2"/>
        <v>-0.2032258065</v>
      </c>
      <c r="V32" s="165">
        <f t="shared" si="3"/>
        <v>1.624774194</v>
      </c>
      <c r="W32" s="166" t="str">
        <f t="shared" si="4"/>
        <v>Normal</v>
      </c>
      <c r="X32" s="42">
        <f t="shared" si="5"/>
        <v>7.316228662</v>
      </c>
      <c r="Y32" s="167">
        <f t="shared" si="6"/>
        <v>4.502920277</v>
      </c>
      <c r="Z32" s="167">
        <f t="shared" si="7"/>
        <v>4.503004965</v>
      </c>
      <c r="AA32" s="165">
        <f t="shared" si="8"/>
        <v>-0.00001880718445</v>
      </c>
      <c r="AB32" s="81"/>
    </row>
    <row r="33">
      <c r="A33" s="168" t="s">
        <v>138</v>
      </c>
      <c r="B33" s="169">
        <v>288.81</v>
      </c>
      <c r="C33" s="170">
        <f t="shared" ref="C33:C36" si="20">84/50</f>
        <v>1.68</v>
      </c>
      <c r="D33" s="171" t="s">
        <v>148</v>
      </c>
      <c r="E33" s="48">
        <v>2.142</v>
      </c>
      <c r="F33" s="45">
        <v>2445.0</v>
      </c>
      <c r="G33" s="172" t="s">
        <v>150</v>
      </c>
      <c r="H33" s="83">
        <v>29.0</v>
      </c>
      <c r="I33" s="48">
        <v>-0.025</v>
      </c>
      <c r="J33" s="48">
        <v>-0.01</v>
      </c>
      <c r="K33" s="48">
        <v>-0.2</v>
      </c>
      <c r="L33" s="48" t="s">
        <v>101</v>
      </c>
      <c r="M33" s="48" t="s">
        <v>101</v>
      </c>
      <c r="N33" s="48" t="s">
        <v>101</v>
      </c>
      <c r="O33" s="49">
        <v>0.01</v>
      </c>
      <c r="P33" s="48">
        <v>0.1</v>
      </c>
      <c r="Q33" s="48">
        <v>0.1</v>
      </c>
      <c r="R33" s="48">
        <v>0.253</v>
      </c>
      <c r="S33" s="48">
        <v>0.5</v>
      </c>
      <c r="T33" s="48"/>
      <c r="U33" s="173">
        <f t="shared" si="2"/>
        <v>-0.1751677852</v>
      </c>
      <c r="V33" s="174">
        <f t="shared" si="3"/>
        <v>1.552832215</v>
      </c>
      <c r="W33" s="175" t="str">
        <f t="shared" si="4"/>
        <v>Skill</v>
      </c>
      <c r="X33" s="54">
        <f t="shared" si="5"/>
        <v>3.952275138</v>
      </c>
      <c r="Y33" s="176">
        <f t="shared" si="6"/>
        <v>2.545204241</v>
      </c>
      <c r="Z33" s="176">
        <f t="shared" si="7"/>
        <v>2.547730829</v>
      </c>
      <c r="AA33" s="174">
        <f t="shared" si="8"/>
        <v>-0.0009926860463</v>
      </c>
      <c r="AB33" s="87"/>
    </row>
    <row r="34">
      <c r="A34" s="159" t="s">
        <v>138</v>
      </c>
      <c r="B34" s="160">
        <v>288.81</v>
      </c>
      <c r="C34" s="161">
        <f t="shared" si="20"/>
        <v>1.68</v>
      </c>
      <c r="D34" s="179" t="s">
        <v>139</v>
      </c>
      <c r="E34" s="180">
        <v>1.0</v>
      </c>
      <c r="F34" s="33">
        <v>1477.0</v>
      </c>
      <c r="G34" s="163" t="s">
        <v>149</v>
      </c>
      <c r="H34" s="77">
        <v>35.0</v>
      </c>
      <c r="I34" s="36">
        <v>-0.025</v>
      </c>
      <c r="J34" s="36">
        <v>-0.01</v>
      </c>
      <c r="K34" s="36">
        <v>-0.1</v>
      </c>
      <c r="L34" s="36" t="s">
        <v>101</v>
      </c>
      <c r="M34" s="36" t="s">
        <v>101</v>
      </c>
      <c r="N34" s="36" t="s">
        <v>101</v>
      </c>
      <c r="O34" s="37">
        <v>0.01</v>
      </c>
      <c r="P34" s="36">
        <v>0.1</v>
      </c>
      <c r="Q34" s="36">
        <v>0.1</v>
      </c>
      <c r="R34" s="36">
        <v>0.253</v>
      </c>
      <c r="S34" s="36"/>
      <c r="T34" s="36"/>
      <c r="U34" s="164">
        <f t="shared" si="2"/>
        <v>-0.2032258065</v>
      </c>
      <c r="V34" s="165">
        <f t="shared" si="3"/>
        <v>1.124774194</v>
      </c>
      <c r="W34" s="166" t="str">
        <f t="shared" si="4"/>
        <v>Normal</v>
      </c>
      <c r="X34" s="42">
        <f t="shared" si="5"/>
        <v>5.114088847</v>
      </c>
      <c r="Y34" s="167">
        <f t="shared" si="6"/>
        <v>4.546769366</v>
      </c>
      <c r="Z34" s="167">
        <f t="shared" si="7"/>
        <v>4.547730829</v>
      </c>
      <c r="AA34" s="165">
        <f t="shared" si="8"/>
        <v>-0.0002114606981</v>
      </c>
      <c r="AB34" s="81"/>
    </row>
    <row r="35">
      <c r="A35" s="168" t="s">
        <v>138</v>
      </c>
      <c r="B35" s="169">
        <v>288.81</v>
      </c>
      <c r="C35" s="170">
        <f t="shared" si="20"/>
        <v>1.68</v>
      </c>
      <c r="D35" s="171" t="s">
        <v>145</v>
      </c>
      <c r="E35" s="48">
        <v>1.714</v>
      </c>
      <c r="F35" s="45">
        <v>2205.0</v>
      </c>
      <c r="G35" s="172" t="s">
        <v>150</v>
      </c>
      <c r="H35" s="83">
        <v>29.0</v>
      </c>
      <c r="I35" s="48">
        <v>-0.025</v>
      </c>
      <c r="J35" s="48">
        <v>-0.01</v>
      </c>
      <c r="K35" s="48" t="s">
        <v>101</v>
      </c>
      <c r="L35" s="48" t="s">
        <v>101</v>
      </c>
      <c r="M35" s="48" t="s">
        <v>101</v>
      </c>
      <c r="N35" s="48" t="s">
        <v>101</v>
      </c>
      <c r="O35" s="49">
        <v>0.01</v>
      </c>
      <c r="P35" s="48">
        <v>0.1</v>
      </c>
      <c r="Q35" s="48">
        <v>0.1</v>
      </c>
      <c r="R35" s="48">
        <v>0.253</v>
      </c>
      <c r="S35" s="48">
        <v>0.5</v>
      </c>
      <c r="T35" s="48"/>
      <c r="U35" s="173">
        <f t="shared" si="2"/>
        <v>-0.1751677852</v>
      </c>
      <c r="V35" s="174">
        <f t="shared" si="3"/>
        <v>1.752832215</v>
      </c>
      <c r="W35" s="175" t="str">
        <f t="shared" si="4"/>
        <v>Skill</v>
      </c>
      <c r="X35" s="54">
        <f t="shared" si="5"/>
        <v>4.454362421</v>
      </c>
      <c r="Y35" s="176">
        <f t="shared" si="6"/>
        <v>2.541237195</v>
      </c>
      <c r="Z35" s="176">
        <f t="shared" si="7"/>
        <v>2.547730829</v>
      </c>
      <c r="AA35" s="174">
        <f t="shared" si="8"/>
        <v>-0.002555304338</v>
      </c>
      <c r="AB35" s="87"/>
    </row>
    <row r="36">
      <c r="A36" s="159" t="s">
        <v>138</v>
      </c>
      <c r="B36" s="160">
        <v>288.81</v>
      </c>
      <c r="C36" s="161">
        <f t="shared" si="20"/>
        <v>1.68</v>
      </c>
      <c r="D36" s="162" t="s">
        <v>151</v>
      </c>
      <c r="E36" s="36">
        <v>2.571</v>
      </c>
      <c r="F36" s="33">
        <v>1991.0</v>
      </c>
      <c r="G36" s="163" t="s">
        <v>150</v>
      </c>
      <c r="H36" s="77">
        <v>29.0</v>
      </c>
      <c r="I36" s="36">
        <v>-0.025</v>
      </c>
      <c r="J36" s="36">
        <v>-0.01</v>
      </c>
      <c r="K36" s="36">
        <v>-0.2</v>
      </c>
      <c r="L36" s="36" t="s">
        <v>101</v>
      </c>
      <c r="M36" s="36" t="s">
        <v>101</v>
      </c>
      <c r="N36" s="36" t="s">
        <v>101</v>
      </c>
      <c r="O36" s="37">
        <v>0.01</v>
      </c>
      <c r="P36" s="36">
        <v>0.1</v>
      </c>
      <c r="Q36" s="36">
        <v>0.1</v>
      </c>
      <c r="R36" s="36">
        <v>0.253</v>
      </c>
      <c r="S36" s="36"/>
      <c r="T36" s="36"/>
      <c r="U36" s="164">
        <f t="shared" si="2"/>
        <v>-0.1751677852</v>
      </c>
      <c r="V36" s="165">
        <f t="shared" si="3"/>
        <v>1.052832215</v>
      </c>
      <c r="W36" s="166" t="str">
        <f t="shared" si="4"/>
        <v>Skill</v>
      </c>
      <c r="X36" s="42">
        <f t="shared" si="5"/>
        <v>2.681371301</v>
      </c>
      <c r="Y36" s="167">
        <f t="shared" si="6"/>
        <v>2.546817303</v>
      </c>
      <c r="Z36" s="167">
        <f t="shared" si="7"/>
        <v>2.547730829</v>
      </c>
      <c r="AA36" s="165">
        <f t="shared" si="8"/>
        <v>-0.0003586934294</v>
      </c>
      <c r="AB36" s="81"/>
    </row>
    <row r="37">
      <c r="A37" s="168" t="s">
        <v>138</v>
      </c>
      <c r="B37" s="169">
        <v>288.81</v>
      </c>
      <c r="C37" s="170">
        <f t="shared" ref="C37:C38" si="21">94/50</f>
        <v>1.88</v>
      </c>
      <c r="D37" s="183" t="s">
        <v>139</v>
      </c>
      <c r="E37" s="184">
        <v>1.0</v>
      </c>
      <c r="F37" s="45">
        <v>2164.0</v>
      </c>
      <c r="G37" s="172" t="s">
        <v>149</v>
      </c>
      <c r="H37" s="83">
        <v>35.0</v>
      </c>
      <c r="I37" s="48">
        <v>-0.025</v>
      </c>
      <c r="J37" s="48">
        <v>-0.01</v>
      </c>
      <c r="K37" s="48">
        <v>-0.1</v>
      </c>
      <c r="L37" s="48" t="s">
        <v>101</v>
      </c>
      <c r="M37" s="48" t="s">
        <v>101</v>
      </c>
      <c r="N37" s="48" t="s">
        <v>101</v>
      </c>
      <c r="O37" s="49">
        <v>0.01</v>
      </c>
      <c r="P37" s="48">
        <v>0.1</v>
      </c>
      <c r="Q37" s="48">
        <v>0.1</v>
      </c>
      <c r="R37" s="48">
        <v>0.253</v>
      </c>
      <c r="S37" s="48">
        <v>0.5</v>
      </c>
      <c r="T37" s="48"/>
      <c r="U37" s="173">
        <f t="shared" si="2"/>
        <v>-0.2032258065</v>
      </c>
      <c r="V37" s="174">
        <f t="shared" si="3"/>
        <v>1.624774194</v>
      </c>
      <c r="W37" s="175" t="str">
        <f t="shared" si="4"/>
        <v>Normal</v>
      </c>
      <c r="X37" s="54">
        <f t="shared" si="5"/>
        <v>7.492815346</v>
      </c>
      <c r="Y37" s="176">
        <f t="shared" si="6"/>
        <v>4.611604108</v>
      </c>
      <c r="Z37" s="176">
        <f t="shared" si="7"/>
        <v>4.611342352</v>
      </c>
      <c r="AA37" s="174">
        <f t="shared" si="8"/>
        <v>0.0000567603795</v>
      </c>
      <c r="AB37" s="87"/>
    </row>
    <row r="38">
      <c r="A38" s="159" t="s">
        <v>138</v>
      </c>
      <c r="B38" s="160">
        <v>288.81</v>
      </c>
      <c r="C38" s="161">
        <f t="shared" si="21"/>
        <v>1.88</v>
      </c>
      <c r="D38" s="181" t="s">
        <v>143</v>
      </c>
      <c r="E38" s="182">
        <v>0.266</v>
      </c>
      <c r="F38" s="33">
        <v>220.0</v>
      </c>
      <c r="G38" s="163" t="s">
        <v>149</v>
      </c>
      <c r="H38" s="77">
        <v>35.0</v>
      </c>
      <c r="I38" s="36">
        <v>-0.025</v>
      </c>
      <c r="J38" s="36">
        <v>-0.01</v>
      </c>
      <c r="K38" s="36">
        <v>-0.1</v>
      </c>
      <c r="L38" s="36" t="s">
        <v>101</v>
      </c>
      <c r="M38" s="36" t="s">
        <v>101</v>
      </c>
      <c r="N38" s="36" t="s">
        <v>101</v>
      </c>
      <c r="O38" s="37">
        <v>0.01</v>
      </c>
      <c r="P38" s="36">
        <v>0.1</v>
      </c>
      <c r="Q38" s="36">
        <v>0.1</v>
      </c>
      <c r="R38" s="36">
        <v>0.253</v>
      </c>
      <c r="S38" s="36"/>
      <c r="T38" s="36"/>
      <c r="U38" s="164">
        <f t="shared" si="2"/>
        <v>-0.2032258065</v>
      </c>
      <c r="V38" s="165">
        <f t="shared" si="3"/>
        <v>1.124774194</v>
      </c>
      <c r="W38" s="166" t="str">
        <f t="shared" si="4"/>
        <v>Skill</v>
      </c>
      <c r="X38" s="42">
        <f t="shared" si="5"/>
        <v>2.86370856</v>
      </c>
      <c r="Y38" s="167">
        <f t="shared" si="6"/>
        <v>2.546029751</v>
      </c>
      <c r="Z38" s="167">
        <f t="shared" si="7"/>
        <v>2.611342352</v>
      </c>
      <c r="AA38" s="165">
        <f t="shared" si="8"/>
        <v>-0.0256527249</v>
      </c>
      <c r="AB38" s="81"/>
    </row>
    <row r="39">
      <c r="A39" s="168" t="s">
        <v>138</v>
      </c>
      <c r="B39" s="169">
        <v>288.81</v>
      </c>
      <c r="C39" s="170">
        <f t="shared" ref="C39:C41" si="22">105/50</f>
        <v>2.1</v>
      </c>
      <c r="D39" s="171" t="s">
        <v>139</v>
      </c>
      <c r="E39" s="48">
        <v>1.0</v>
      </c>
      <c r="F39" s="45">
        <v>1693.0</v>
      </c>
      <c r="G39" s="172" t="s">
        <v>150</v>
      </c>
      <c r="H39" s="83">
        <v>29.0</v>
      </c>
      <c r="I39" s="48">
        <v>-0.025</v>
      </c>
      <c r="J39" s="48">
        <v>-0.01</v>
      </c>
      <c r="K39" s="48" t="s">
        <v>101</v>
      </c>
      <c r="L39" s="48" t="s">
        <v>101</v>
      </c>
      <c r="M39" s="48" t="s">
        <v>101</v>
      </c>
      <c r="N39" s="48" t="s">
        <v>101</v>
      </c>
      <c r="O39" s="49">
        <v>0.01</v>
      </c>
      <c r="P39" s="48">
        <v>0.1</v>
      </c>
      <c r="Q39" s="48">
        <v>0.1</v>
      </c>
      <c r="R39" s="48">
        <v>0.253</v>
      </c>
      <c r="S39" s="48"/>
      <c r="T39" s="48"/>
      <c r="U39" s="173">
        <f t="shared" si="2"/>
        <v>-0.1751677852</v>
      </c>
      <c r="V39" s="174">
        <f t="shared" si="3"/>
        <v>1.252832215</v>
      </c>
      <c r="W39" s="175" t="str">
        <f t="shared" si="4"/>
        <v>Normal</v>
      </c>
      <c r="X39" s="54">
        <f t="shared" si="5"/>
        <v>5.861985388</v>
      </c>
      <c r="Y39" s="176">
        <f t="shared" si="6"/>
        <v>4.678986794</v>
      </c>
      <c r="Z39" s="176">
        <f t="shared" si="7"/>
        <v>4.680933852</v>
      </c>
      <c r="AA39" s="174">
        <f t="shared" si="8"/>
        <v>-0.0004161280976</v>
      </c>
      <c r="AB39" s="87"/>
    </row>
    <row r="40">
      <c r="A40" s="159" t="s">
        <v>138</v>
      </c>
      <c r="B40" s="160">
        <v>288.81</v>
      </c>
      <c r="C40" s="161">
        <f t="shared" si="22"/>
        <v>2.1</v>
      </c>
      <c r="D40" s="162" t="s">
        <v>143</v>
      </c>
      <c r="E40" s="36">
        <v>0.266</v>
      </c>
      <c r="F40" s="33">
        <v>352.0</v>
      </c>
      <c r="G40" s="163" t="s">
        <v>150</v>
      </c>
      <c r="H40" s="77">
        <v>29.0</v>
      </c>
      <c r="I40" s="36">
        <v>-0.025</v>
      </c>
      <c r="J40" s="36">
        <v>-0.01</v>
      </c>
      <c r="K40" s="36" t="s">
        <v>101</v>
      </c>
      <c r="L40" s="36" t="s">
        <v>101</v>
      </c>
      <c r="M40" s="36" t="s">
        <v>101</v>
      </c>
      <c r="N40" s="36" t="s">
        <v>101</v>
      </c>
      <c r="O40" s="37">
        <v>0.01</v>
      </c>
      <c r="P40" s="36">
        <v>0.1</v>
      </c>
      <c r="Q40" s="36">
        <v>0.1</v>
      </c>
      <c r="R40" s="36">
        <v>0.253</v>
      </c>
      <c r="S40" s="36">
        <v>0.5</v>
      </c>
      <c r="T40" s="36"/>
      <c r="U40" s="164">
        <f t="shared" si="2"/>
        <v>-0.1751677852</v>
      </c>
      <c r="V40" s="165">
        <f t="shared" si="3"/>
        <v>1.752832215</v>
      </c>
      <c r="W40" s="166" t="str">
        <f t="shared" si="4"/>
        <v>Skill</v>
      </c>
      <c r="X40" s="42">
        <f t="shared" si="5"/>
        <v>4.581933696</v>
      </c>
      <c r="Y40" s="167">
        <f t="shared" si="6"/>
        <v>2.614017279</v>
      </c>
      <c r="Z40" s="167">
        <f t="shared" si="7"/>
        <v>2.680933852</v>
      </c>
      <c r="AA40" s="165">
        <f t="shared" si="8"/>
        <v>-0.02559913209</v>
      </c>
      <c r="AB40" s="81"/>
    </row>
    <row r="41">
      <c r="A41" s="168" t="s">
        <v>138</v>
      </c>
      <c r="B41" s="169">
        <v>288.81</v>
      </c>
      <c r="C41" s="170">
        <f t="shared" si="22"/>
        <v>2.1</v>
      </c>
      <c r="D41" s="171" t="s">
        <v>141</v>
      </c>
      <c r="E41" s="48">
        <v>1.8</v>
      </c>
      <c r="F41" s="45">
        <v>1567.0</v>
      </c>
      <c r="G41" s="172" t="s">
        <v>149</v>
      </c>
      <c r="H41" s="83">
        <v>35.0</v>
      </c>
      <c r="I41" s="48">
        <v>-0.025</v>
      </c>
      <c r="J41" s="48">
        <v>-0.01</v>
      </c>
      <c r="K41" s="48">
        <v>-0.1</v>
      </c>
      <c r="L41" s="48" t="s">
        <v>101</v>
      </c>
      <c r="M41" s="48" t="s">
        <v>101</v>
      </c>
      <c r="N41" s="48" t="s">
        <v>101</v>
      </c>
      <c r="O41" s="49">
        <v>0.01</v>
      </c>
      <c r="P41" s="48">
        <v>0.1</v>
      </c>
      <c r="Q41" s="48">
        <v>0.1</v>
      </c>
      <c r="R41" s="48">
        <v>0.253</v>
      </c>
      <c r="S41" s="48"/>
      <c r="T41" s="48"/>
      <c r="U41" s="173">
        <f t="shared" si="2"/>
        <v>-0.2032258065</v>
      </c>
      <c r="V41" s="174">
        <f t="shared" si="3"/>
        <v>1.124774194</v>
      </c>
      <c r="W41" s="175" t="str">
        <f t="shared" si="4"/>
        <v>Skill</v>
      </c>
      <c r="X41" s="54">
        <f t="shared" si="5"/>
        <v>3.01428467</v>
      </c>
      <c r="Y41" s="176">
        <f t="shared" si="6"/>
        <v>2.679902053</v>
      </c>
      <c r="Z41" s="176">
        <f t="shared" si="7"/>
        <v>2.680933852</v>
      </c>
      <c r="AA41" s="174">
        <f t="shared" si="8"/>
        <v>-0.0003850138855</v>
      </c>
      <c r="AB41" s="87"/>
    </row>
    <row r="42">
      <c r="A42" s="159" t="s">
        <v>138</v>
      </c>
      <c r="B42" s="160">
        <v>288.81</v>
      </c>
      <c r="C42" s="161">
        <f>116/50</f>
        <v>2.32</v>
      </c>
      <c r="D42" s="162" t="s">
        <v>139</v>
      </c>
      <c r="E42" s="36">
        <v>1.0</v>
      </c>
      <c r="F42" s="33">
        <v>1990.0</v>
      </c>
      <c r="G42" s="163" t="s">
        <v>91</v>
      </c>
      <c r="H42" s="77">
        <v>62.0</v>
      </c>
      <c r="I42" s="36">
        <v>-0.046</v>
      </c>
      <c r="J42" s="36">
        <v>-0.01</v>
      </c>
      <c r="K42" s="36">
        <v>-0.15</v>
      </c>
      <c r="L42" s="36" t="s">
        <v>101</v>
      </c>
      <c r="M42" s="36" t="s">
        <v>101</v>
      </c>
      <c r="N42" s="36" t="s">
        <v>101</v>
      </c>
      <c r="O42" s="37">
        <v>0.01</v>
      </c>
      <c r="P42" s="36">
        <v>0.1</v>
      </c>
      <c r="Q42" s="36">
        <v>0.1</v>
      </c>
      <c r="R42" s="36">
        <v>0.253</v>
      </c>
      <c r="S42" s="36">
        <v>0.5</v>
      </c>
      <c r="T42" s="36"/>
      <c r="U42" s="164">
        <f t="shared" si="2"/>
        <v>-0.3065934066</v>
      </c>
      <c r="V42" s="165">
        <f t="shared" si="3"/>
        <v>1.450406593</v>
      </c>
      <c r="W42" s="166" t="str">
        <f t="shared" si="4"/>
        <v>Normal</v>
      </c>
      <c r="X42" s="42">
        <f t="shared" si="5"/>
        <v>6.890343132</v>
      </c>
      <c r="Y42" s="167">
        <f t="shared" si="6"/>
        <v>4.750628661</v>
      </c>
      <c r="Z42" s="167">
        <f t="shared" si="7"/>
        <v>4.750129333</v>
      </c>
      <c r="AA42" s="165">
        <f t="shared" si="8"/>
        <v>0.0001051077644</v>
      </c>
      <c r="AB42" s="81"/>
    </row>
    <row r="43">
      <c r="A43" s="168" t="s">
        <v>138</v>
      </c>
      <c r="B43" s="169">
        <v>288.81</v>
      </c>
      <c r="C43" s="170">
        <f t="shared" ref="C43:C46" si="23">121/50</f>
        <v>2.42</v>
      </c>
      <c r="D43" s="171" t="s">
        <v>148</v>
      </c>
      <c r="E43" s="48">
        <v>2.142</v>
      </c>
      <c r="F43" s="45">
        <v>2494.0</v>
      </c>
      <c r="G43" s="172" t="s">
        <v>91</v>
      </c>
      <c r="H43" s="83">
        <v>62.0</v>
      </c>
      <c r="I43" s="48">
        <v>-0.046</v>
      </c>
      <c r="J43" s="48">
        <v>-0.01</v>
      </c>
      <c r="K43" s="48">
        <v>-0.15</v>
      </c>
      <c r="L43" s="48" t="s">
        <v>101</v>
      </c>
      <c r="M43" s="48" t="s">
        <v>101</v>
      </c>
      <c r="N43" s="48" t="s">
        <v>101</v>
      </c>
      <c r="O43" s="49">
        <v>0.01</v>
      </c>
      <c r="P43" s="48">
        <v>0.1</v>
      </c>
      <c r="Q43" s="48">
        <v>0.1</v>
      </c>
      <c r="R43" s="48">
        <v>0.253</v>
      </c>
      <c r="S43" s="48">
        <v>0.5</v>
      </c>
      <c r="T43" s="48"/>
      <c r="U43" s="173">
        <f t="shared" si="2"/>
        <v>-0.3065934066</v>
      </c>
      <c r="V43" s="174">
        <f t="shared" si="3"/>
        <v>1.450406593</v>
      </c>
      <c r="W43" s="175" t="str">
        <f t="shared" si="4"/>
        <v>Skill</v>
      </c>
      <c r="X43" s="54">
        <f t="shared" si="5"/>
        <v>4.031482288</v>
      </c>
      <c r="Y43" s="176">
        <f t="shared" si="6"/>
        <v>2.7795532</v>
      </c>
      <c r="Z43" s="176">
        <f t="shared" si="7"/>
        <v>2.781451821</v>
      </c>
      <c r="AA43" s="174">
        <f t="shared" si="8"/>
        <v>-0.0006830670368</v>
      </c>
      <c r="AB43" s="87"/>
    </row>
    <row r="44">
      <c r="A44" s="159" t="s">
        <v>138</v>
      </c>
      <c r="B44" s="160">
        <v>288.81</v>
      </c>
      <c r="C44" s="161">
        <f t="shared" si="23"/>
        <v>2.42</v>
      </c>
      <c r="D44" s="162" t="s">
        <v>139</v>
      </c>
      <c r="E44" s="36">
        <v>1.0</v>
      </c>
      <c r="F44" s="33">
        <v>2364.0</v>
      </c>
      <c r="G44" s="163" t="s">
        <v>91</v>
      </c>
      <c r="H44" s="77">
        <v>62.0</v>
      </c>
      <c r="I44" s="36">
        <v>-0.046</v>
      </c>
      <c r="J44" s="36">
        <v>-0.01</v>
      </c>
      <c r="K44" s="36">
        <v>-0.15</v>
      </c>
      <c r="L44" s="36" t="s">
        <v>101</v>
      </c>
      <c r="M44" s="36" t="s">
        <v>101</v>
      </c>
      <c r="N44" s="36">
        <v>0.261</v>
      </c>
      <c r="O44" s="37">
        <v>0.01</v>
      </c>
      <c r="P44" s="36">
        <v>0.1</v>
      </c>
      <c r="Q44" s="36">
        <v>0.1</v>
      </c>
      <c r="R44" s="36">
        <v>0.253</v>
      </c>
      <c r="S44" s="36">
        <v>0.5</v>
      </c>
      <c r="T44" s="36"/>
      <c r="U44" s="164">
        <f t="shared" si="2"/>
        <v>-0.3065934066</v>
      </c>
      <c r="V44" s="165">
        <f t="shared" si="3"/>
        <v>1.711406593</v>
      </c>
      <c r="W44" s="166" t="str">
        <f t="shared" si="4"/>
        <v>Normal</v>
      </c>
      <c r="X44" s="42">
        <f t="shared" si="5"/>
        <v>8.185312143</v>
      </c>
      <c r="Y44" s="167">
        <f t="shared" si="6"/>
        <v>4.782798065</v>
      </c>
      <c r="Z44" s="167">
        <f t="shared" si="7"/>
        <v>4.781451821</v>
      </c>
      <c r="AA44" s="165">
        <f t="shared" si="8"/>
        <v>0.0002814761336</v>
      </c>
      <c r="AB44" s="81"/>
    </row>
    <row r="45">
      <c r="A45" s="168" t="s">
        <v>138</v>
      </c>
      <c r="B45" s="169">
        <v>288.81</v>
      </c>
      <c r="C45" s="170">
        <f t="shared" si="23"/>
        <v>2.42</v>
      </c>
      <c r="D45" s="171" t="s">
        <v>145</v>
      </c>
      <c r="E45" s="48">
        <v>1.714</v>
      </c>
      <c r="F45" s="45">
        <v>1993.0</v>
      </c>
      <c r="G45" s="172" t="s">
        <v>91</v>
      </c>
      <c r="H45" s="83">
        <v>62.0</v>
      </c>
      <c r="I45" s="48">
        <v>-0.046</v>
      </c>
      <c r="J45" s="48">
        <v>-0.01</v>
      </c>
      <c r="K45" s="48">
        <v>-0.15</v>
      </c>
      <c r="L45" s="48" t="s">
        <v>101</v>
      </c>
      <c r="M45" s="48" t="s">
        <v>101</v>
      </c>
      <c r="N45" s="48"/>
      <c r="O45" s="49">
        <v>0.01</v>
      </c>
      <c r="P45" s="48">
        <v>0.1</v>
      </c>
      <c r="Q45" s="48">
        <v>0.1</v>
      </c>
      <c r="R45" s="48">
        <v>0.253</v>
      </c>
      <c r="S45" s="48">
        <v>0.5</v>
      </c>
      <c r="T45" s="48"/>
      <c r="U45" s="173">
        <f t="shared" si="2"/>
        <v>-0.3065934066</v>
      </c>
      <c r="V45" s="174">
        <f t="shared" si="3"/>
        <v>1.450406593</v>
      </c>
      <c r="W45" s="175" t="str">
        <f t="shared" si="4"/>
        <v>Skill</v>
      </c>
      <c r="X45" s="54">
        <f t="shared" si="5"/>
        <v>4.02609719</v>
      </c>
      <c r="Y45" s="176">
        <f t="shared" si="6"/>
        <v>2.775840381</v>
      </c>
      <c r="Z45" s="176">
        <f t="shared" si="7"/>
        <v>2.781451821</v>
      </c>
      <c r="AA45" s="174">
        <f t="shared" si="8"/>
        <v>-0.002021528569</v>
      </c>
      <c r="AB45" s="87"/>
    </row>
    <row r="46">
      <c r="A46" s="159" t="s">
        <v>138</v>
      </c>
      <c r="B46" s="160">
        <v>288.81</v>
      </c>
      <c r="C46" s="161">
        <f t="shared" si="23"/>
        <v>2.42</v>
      </c>
      <c r="D46" s="162" t="s">
        <v>151</v>
      </c>
      <c r="E46" s="36">
        <v>2.571</v>
      </c>
      <c r="F46" s="33">
        <v>1963.0</v>
      </c>
      <c r="G46" s="163" t="s">
        <v>91</v>
      </c>
      <c r="H46" s="77">
        <v>62.0</v>
      </c>
      <c r="I46" s="36">
        <v>-0.046</v>
      </c>
      <c r="J46" s="36">
        <v>-0.01</v>
      </c>
      <c r="K46" s="36">
        <v>-0.15</v>
      </c>
      <c r="L46" s="36" t="s">
        <v>101</v>
      </c>
      <c r="M46" s="36" t="s">
        <v>101</v>
      </c>
      <c r="N46" s="36"/>
      <c r="O46" s="37">
        <v>0.01</v>
      </c>
      <c r="P46" s="36">
        <v>0.1</v>
      </c>
      <c r="Q46" s="36">
        <v>0.1</v>
      </c>
      <c r="R46" s="36">
        <v>0.253</v>
      </c>
      <c r="S46" s="36"/>
      <c r="T46" s="36"/>
      <c r="U46" s="164">
        <f t="shared" si="2"/>
        <v>-0.3065934066</v>
      </c>
      <c r="V46" s="165">
        <f t="shared" si="3"/>
        <v>0.9504065934</v>
      </c>
      <c r="W46" s="166" t="str">
        <f t="shared" si="4"/>
        <v>Skill</v>
      </c>
      <c r="X46" s="42">
        <f t="shared" si="5"/>
        <v>2.643662413</v>
      </c>
      <c r="Y46" s="167">
        <f t="shared" si="6"/>
        <v>2.78161203</v>
      </c>
      <c r="Z46" s="167">
        <f t="shared" si="7"/>
        <v>2.781451821</v>
      </c>
      <c r="AA46" s="165">
        <f t="shared" si="8"/>
        <v>0.00005759552885</v>
      </c>
      <c r="AB46" s="81"/>
    </row>
    <row r="47">
      <c r="A47" s="168" t="s">
        <v>138</v>
      </c>
      <c r="B47" s="169">
        <v>288.81</v>
      </c>
      <c r="C47" s="170">
        <f t="shared" ref="C47:C48" si="24">134/50</f>
        <v>2.68</v>
      </c>
      <c r="D47" s="171" t="s">
        <v>139</v>
      </c>
      <c r="E47" s="48">
        <v>1.0</v>
      </c>
      <c r="F47" s="45">
        <v>2037.0</v>
      </c>
      <c r="G47" s="172" t="s">
        <v>91</v>
      </c>
      <c r="H47" s="83">
        <v>62.0</v>
      </c>
      <c r="I47" s="48">
        <v>-0.046</v>
      </c>
      <c r="J47" s="48">
        <v>-0.01</v>
      </c>
      <c r="K47" s="48">
        <v>-0.15</v>
      </c>
      <c r="L47" s="48" t="s">
        <v>101</v>
      </c>
      <c r="M47" s="48" t="s">
        <v>101</v>
      </c>
      <c r="N47" s="48"/>
      <c r="O47" s="49">
        <v>0.01</v>
      </c>
      <c r="P47" s="48">
        <v>0.1</v>
      </c>
      <c r="Q47" s="48">
        <v>0.1</v>
      </c>
      <c r="R47" s="48">
        <v>0.253</v>
      </c>
      <c r="S47" s="48">
        <v>0.5</v>
      </c>
      <c r="T47" s="48"/>
      <c r="U47" s="173">
        <f t="shared" si="2"/>
        <v>-0.3065934066</v>
      </c>
      <c r="V47" s="174">
        <f t="shared" si="3"/>
        <v>1.450406593</v>
      </c>
      <c r="W47" s="175" t="str">
        <f t="shared" si="4"/>
        <v>Normal</v>
      </c>
      <c r="X47" s="54">
        <f t="shared" si="5"/>
        <v>7.05307988</v>
      </c>
      <c r="Y47" s="176">
        <f t="shared" si="6"/>
        <v>4.862829438</v>
      </c>
      <c r="Z47" s="176">
        <f t="shared" si="7"/>
        <v>4.862512873</v>
      </c>
      <c r="AA47" s="174">
        <f t="shared" si="8"/>
        <v>0.00006509886691</v>
      </c>
      <c r="AB47" s="87"/>
    </row>
    <row r="48">
      <c r="A48" s="159" t="s">
        <v>138</v>
      </c>
      <c r="B48" s="160">
        <v>288.81</v>
      </c>
      <c r="C48" s="161">
        <f t="shared" si="24"/>
        <v>2.68</v>
      </c>
      <c r="D48" s="162" t="s">
        <v>141</v>
      </c>
      <c r="E48" s="36">
        <v>1.8</v>
      </c>
      <c r="F48" s="33">
        <v>2159.0</v>
      </c>
      <c r="G48" s="163" t="s">
        <v>91</v>
      </c>
      <c r="H48" s="77">
        <v>62.0</v>
      </c>
      <c r="I48" s="36">
        <v>-0.046</v>
      </c>
      <c r="J48" s="36">
        <v>-0.01</v>
      </c>
      <c r="K48" s="36">
        <v>-0.15</v>
      </c>
      <c r="L48" s="36" t="s">
        <v>101</v>
      </c>
      <c r="M48" s="36" t="s">
        <v>101</v>
      </c>
      <c r="N48" s="36"/>
      <c r="O48" s="37">
        <v>0.01</v>
      </c>
      <c r="P48" s="36">
        <v>0.1</v>
      </c>
      <c r="Q48" s="36">
        <v>0.1</v>
      </c>
      <c r="R48" s="36">
        <v>0.253</v>
      </c>
      <c r="S48" s="36">
        <v>0.5</v>
      </c>
      <c r="T48" s="36"/>
      <c r="U48" s="164">
        <f t="shared" si="2"/>
        <v>-0.3065934066</v>
      </c>
      <c r="V48" s="165">
        <f t="shared" si="3"/>
        <v>1.450406593</v>
      </c>
      <c r="W48" s="166" t="str">
        <f t="shared" si="4"/>
        <v>Skill</v>
      </c>
      <c r="X48" s="42">
        <f t="shared" si="5"/>
        <v>4.153057181</v>
      </c>
      <c r="Y48" s="167">
        <f t="shared" si="6"/>
        <v>2.86337445</v>
      </c>
      <c r="Z48" s="167">
        <f t="shared" si="7"/>
        <v>2.862512873</v>
      </c>
      <c r="AA48" s="165">
        <f t="shared" si="8"/>
        <v>0.0003008954033</v>
      </c>
      <c r="AB48" s="81"/>
    </row>
    <row r="49">
      <c r="A49" s="168" t="s">
        <v>138</v>
      </c>
      <c r="B49" s="169">
        <v>288.81</v>
      </c>
      <c r="C49" s="170">
        <f>149/50</f>
        <v>2.98</v>
      </c>
      <c r="D49" s="171" t="s">
        <v>139</v>
      </c>
      <c r="E49" s="48">
        <v>1.0</v>
      </c>
      <c r="F49" s="45">
        <v>1671.0</v>
      </c>
      <c r="G49" s="172" t="s">
        <v>73</v>
      </c>
      <c r="H49" s="83">
        <v>22.0</v>
      </c>
      <c r="I49" s="48">
        <v>-0.046</v>
      </c>
      <c r="J49" s="48">
        <v>-0.01</v>
      </c>
      <c r="K49" s="48">
        <v>-0.1</v>
      </c>
      <c r="L49" s="48" t="s">
        <v>101</v>
      </c>
      <c r="M49" s="48" t="s">
        <v>101</v>
      </c>
      <c r="N49" s="48"/>
      <c r="O49" s="49">
        <v>0.01</v>
      </c>
      <c r="P49" s="48">
        <v>0.1</v>
      </c>
      <c r="Q49" s="48">
        <v>0.1</v>
      </c>
      <c r="R49" s="48">
        <v>0.253</v>
      </c>
      <c r="S49" s="48"/>
      <c r="T49" s="48"/>
      <c r="U49" s="173">
        <f t="shared" si="2"/>
        <v>-0.1394366197</v>
      </c>
      <c r="V49" s="174">
        <f t="shared" si="3"/>
        <v>1.16756338</v>
      </c>
      <c r="W49" s="175" t="str">
        <f t="shared" si="4"/>
        <v>Normal</v>
      </c>
      <c r="X49" s="54">
        <f t="shared" si="5"/>
        <v>5.785810741</v>
      </c>
      <c r="Y49" s="176">
        <f t="shared" si="6"/>
        <v>4.955457527</v>
      </c>
      <c r="Z49" s="176">
        <f t="shared" si="7"/>
        <v>4.955373173</v>
      </c>
      <c r="AA49" s="174">
        <f t="shared" si="8"/>
        <v>0.00001702244714</v>
      </c>
      <c r="AB49" s="87"/>
    </row>
    <row r="50">
      <c r="A50" s="159" t="s">
        <v>138</v>
      </c>
      <c r="B50" s="160">
        <v>288.81</v>
      </c>
      <c r="C50" s="161">
        <f t="shared" ref="C50:C54" si="25">163/50</f>
        <v>3.26</v>
      </c>
      <c r="D50" s="162" t="s">
        <v>148</v>
      </c>
      <c r="E50" s="36">
        <v>2.142</v>
      </c>
      <c r="F50" s="33">
        <v>1787.0</v>
      </c>
      <c r="G50" s="163" t="s">
        <v>91</v>
      </c>
      <c r="H50" s="77">
        <v>62.0</v>
      </c>
      <c r="I50" s="36">
        <v>-0.046</v>
      </c>
      <c r="J50" s="36">
        <v>-0.01</v>
      </c>
      <c r="K50" s="36">
        <v>-0.15</v>
      </c>
      <c r="L50" s="36" t="s">
        <v>101</v>
      </c>
      <c r="M50" s="36" t="s">
        <v>101</v>
      </c>
      <c r="N50" s="36"/>
      <c r="O50" s="37">
        <v>0.01</v>
      </c>
      <c r="P50" s="36">
        <v>0.1</v>
      </c>
      <c r="Q50" s="36">
        <v>0.1</v>
      </c>
      <c r="R50" s="36">
        <v>0.253</v>
      </c>
      <c r="S50" s="36"/>
      <c r="T50" s="36"/>
      <c r="U50" s="164">
        <f t="shared" si="2"/>
        <v>-0.3065934066</v>
      </c>
      <c r="V50" s="165">
        <f t="shared" si="3"/>
        <v>0.9504065934</v>
      </c>
      <c r="W50" s="166" t="str">
        <f t="shared" si="4"/>
        <v>Skill</v>
      </c>
      <c r="X50" s="42">
        <f t="shared" si="5"/>
        <v>2.888636267</v>
      </c>
      <c r="Y50" s="167">
        <f t="shared" si="6"/>
        <v>3.039368925</v>
      </c>
      <c r="Z50" s="167">
        <f t="shared" si="7"/>
        <v>3.04140046</v>
      </c>
      <c r="AA50" s="165">
        <f t="shared" si="8"/>
        <v>-0.0006684066895</v>
      </c>
      <c r="AB50" s="81"/>
    </row>
    <row r="51">
      <c r="A51" s="168" t="s">
        <v>138</v>
      </c>
      <c r="B51" s="169">
        <v>288.81</v>
      </c>
      <c r="C51" s="170">
        <f t="shared" si="25"/>
        <v>3.26</v>
      </c>
      <c r="D51" s="171" t="s">
        <v>139</v>
      </c>
      <c r="E51" s="48">
        <v>1.0</v>
      </c>
      <c r="F51" s="45">
        <v>1764.0</v>
      </c>
      <c r="G51" s="172" t="s">
        <v>91</v>
      </c>
      <c r="H51" s="83">
        <v>62.0</v>
      </c>
      <c r="I51" s="48">
        <v>-0.046</v>
      </c>
      <c r="J51" s="48">
        <v>-0.01</v>
      </c>
      <c r="K51" s="48">
        <v>-0.15</v>
      </c>
      <c r="L51" s="48" t="s">
        <v>101</v>
      </c>
      <c r="M51" s="48" t="s">
        <v>101</v>
      </c>
      <c r="N51" s="48">
        <v>0.261</v>
      </c>
      <c r="O51" s="49">
        <v>0.01</v>
      </c>
      <c r="P51" s="48">
        <v>0.1</v>
      </c>
      <c r="Q51" s="48">
        <v>0.1</v>
      </c>
      <c r="R51" s="48">
        <v>0.253</v>
      </c>
      <c r="S51" s="48"/>
      <c r="T51" s="48"/>
      <c r="U51" s="173">
        <f t="shared" si="2"/>
        <v>-0.3065934066</v>
      </c>
      <c r="V51" s="174">
        <f t="shared" si="3"/>
        <v>1.211406593</v>
      </c>
      <c r="W51" s="175" t="str">
        <f t="shared" si="4"/>
        <v>Normal</v>
      </c>
      <c r="X51" s="54">
        <f t="shared" si="5"/>
        <v>6.107821751</v>
      </c>
      <c r="Y51" s="176">
        <f t="shared" si="6"/>
        <v>5.041925465</v>
      </c>
      <c r="Z51" s="176">
        <f t="shared" si="7"/>
        <v>5.04140046</v>
      </c>
      <c r="AA51" s="174">
        <f t="shared" si="8"/>
        <v>0.0001041278048</v>
      </c>
      <c r="AB51" s="87"/>
    </row>
    <row r="52">
      <c r="A52" s="159" t="s">
        <v>138</v>
      </c>
      <c r="B52" s="160">
        <v>288.81</v>
      </c>
      <c r="C52" s="161">
        <f t="shared" si="25"/>
        <v>3.26</v>
      </c>
      <c r="D52" s="162" t="s">
        <v>145</v>
      </c>
      <c r="E52" s="36">
        <v>1.714</v>
      </c>
      <c r="F52" s="33">
        <v>1754.0</v>
      </c>
      <c r="G52" s="163" t="s">
        <v>73</v>
      </c>
      <c r="H52" s="77">
        <v>22.0</v>
      </c>
      <c r="I52" s="36">
        <v>-0.046</v>
      </c>
      <c r="J52" s="36">
        <v>-0.01</v>
      </c>
      <c r="K52" s="36">
        <v>-0.1</v>
      </c>
      <c r="L52" s="36" t="s">
        <v>101</v>
      </c>
      <c r="M52" s="36" t="s">
        <v>101</v>
      </c>
      <c r="N52" s="36"/>
      <c r="O52" s="37">
        <v>0.01</v>
      </c>
      <c r="P52" s="36">
        <v>0.1</v>
      </c>
      <c r="Q52" s="36">
        <v>0.1</v>
      </c>
      <c r="R52" s="36">
        <v>0.253</v>
      </c>
      <c r="S52" s="36"/>
      <c r="T52" s="36"/>
      <c r="U52" s="164">
        <f t="shared" si="2"/>
        <v>-0.1394366197</v>
      </c>
      <c r="V52" s="165">
        <f t="shared" si="3"/>
        <v>1.16756338</v>
      </c>
      <c r="W52" s="166" t="str">
        <f t="shared" si="4"/>
        <v>Skill</v>
      </c>
      <c r="X52" s="42">
        <f t="shared" si="5"/>
        <v>3.543288746</v>
      </c>
      <c r="Y52" s="167">
        <f t="shared" si="6"/>
        <v>3.034772079</v>
      </c>
      <c r="Z52" s="167">
        <f t="shared" si="7"/>
        <v>3.04140046</v>
      </c>
      <c r="AA52" s="165">
        <f t="shared" si="8"/>
        <v>-0.002184144717</v>
      </c>
      <c r="AB52" s="81"/>
    </row>
    <row r="53">
      <c r="A53" s="168" t="s">
        <v>138</v>
      </c>
      <c r="B53" s="169">
        <v>288.81</v>
      </c>
      <c r="C53" s="170">
        <f t="shared" si="25"/>
        <v>3.26</v>
      </c>
      <c r="D53" s="171" t="s">
        <v>151</v>
      </c>
      <c r="E53" s="48">
        <v>2.571</v>
      </c>
      <c r="F53" s="45">
        <v>2636.0</v>
      </c>
      <c r="G53" s="172" t="s">
        <v>73</v>
      </c>
      <c r="H53" s="83">
        <v>22.0</v>
      </c>
      <c r="I53" s="48">
        <v>-0.046</v>
      </c>
      <c r="J53" s="48">
        <v>-0.01</v>
      </c>
      <c r="K53" s="48">
        <v>-0.1</v>
      </c>
      <c r="L53" s="48" t="s">
        <v>101</v>
      </c>
      <c r="M53" s="48" t="s">
        <v>101</v>
      </c>
      <c r="N53" s="48"/>
      <c r="O53" s="49">
        <v>0.01</v>
      </c>
      <c r="P53" s="48">
        <v>0.1</v>
      </c>
      <c r="Q53" s="48">
        <v>0.1</v>
      </c>
      <c r="R53" s="48">
        <v>0.253</v>
      </c>
      <c r="S53" s="48"/>
      <c r="T53" s="48"/>
      <c r="U53" s="173">
        <f t="shared" si="2"/>
        <v>-0.1394366197</v>
      </c>
      <c r="V53" s="174">
        <f t="shared" si="3"/>
        <v>1.16756338</v>
      </c>
      <c r="W53" s="175" t="str">
        <f t="shared" si="4"/>
        <v>Skill</v>
      </c>
      <c r="X53" s="54">
        <f t="shared" si="5"/>
        <v>3.550022477</v>
      </c>
      <c r="Y53" s="176">
        <f t="shared" si="6"/>
        <v>3.040539414</v>
      </c>
      <c r="Z53" s="176">
        <f t="shared" si="7"/>
        <v>3.04140046</v>
      </c>
      <c r="AA53" s="174">
        <f t="shared" si="8"/>
        <v>-0.0002831884482</v>
      </c>
      <c r="AB53" s="87"/>
    </row>
    <row r="54">
      <c r="A54" s="159" t="s">
        <v>138</v>
      </c>
      <c r="B54" s="160">
        <v>288.81</v>
      </c>
      <c r="C54" s="161">
        <f t="shared" si="25"/>
        <v>3.26</v>
      </c>
      <c r="D54" s="162" t="s">
        <v>143</v>
      </c>
      <c r="E54" s="36">
        <v>0.266</v>
      </c>
      <c r="F54" s="33">
        <v>331.0</v>
      </c>
      <c r="G54" s="163" t="s">
        <v>91</v>
      </c>
      <c r="H54" s="77">
        <v>62.0</v>
      </c>
      <c r="I54" s="36">
        <v>-0.046</v>
      </c>
      <c r="J54" s="36">
        <v>-0.01</v>
      </c>
      <c r="K54" s="36">
        <v>-0.15</v>
      </c>
      <c r="L54" s="36" t="s">
        <v>101</v>
      </c>
      <c r="M54" s="36" t="s">
        <v>101</v>
      </c>
      <c r="N54" s="36"/>
      <c r="O54" s="37">
        <v>0.01</v>
      </c>
      <c r="P54" s="36">
        <v>0.1</v>
      </c>
      <c r="Q54" s="36">
        <v>0.1</v>
      </c>
      <c r="R54" s="36">
        <v>0.253</v>
      </c>
      <c r="S54" s="36">
        <v>0.5</v>
      </c>
      <c r="T54" s="36"/>
      <c r="U54" s="164">
        <f t="shared" si="2"/>
        <v>-0.3065934066</v>
      </c>
      <c r="V54" s="165">
        <f t="shared" si="3"/>
        <v>1.450406593</v>
      </c>
      <c r="W54" s="166" t="str">
        <f t="shared" si="4"/>
        <v>Skill</v>
      </c>
      <c r="X54" s="42">
        <f t="shared" si="5"/>
        <v>4.308579697</v>
      </c>
      <c r="Y54" s="167">
        <f t="shared" si="6"/>
        <v>2.97060129</v>
      </c>
      <c r="Z54" s="167">
        <f t="shared" si="7"/>
        <v>3.04140046</v>
      </c>
      <c r="AA54" s="165">
        <f t="shared" si="8"/>
        <v>-0.02383327935</v>
      </c>
      <c r="AB54" s="81"/>
    </row>
    <row r="55">
      <c r="A55" s="168" t="s">
        <v>138</v>
      </c>
      <c r="B55" s="169">
        <v>288.81</v>
      </c>
      <c r="C55" s="170">
        <f t="shared" ref="C55:C56" si="26">186/50</f>
        <v>3.72</v>
      </c>
      <c r="D55" s="171" t="s">
        <v>139</v>
      </c>
      <c r="E55" s="48">
        <v>1.0</v>
      </c>
      <c r="F55" s="45">
        <v>1747.0</v>
      </c>
      <c r="G55" s="172" t="s">
        <v>73</v>
      </c>
      <c r="H55" s="83">
        <v>22.0</v>
      </c>
      <c r="I55" s="48">
        <v>-0.046</v>
      </c>
      <c r="J55" s="48">
        <v>-0.01</v>
      </c>
      <c r="K55" s="48">
        <v>-0.1</v>
      </c>
      <c r="L55" s="48" t="s">
        <v>101</v>
      </c>
      <c r="M55" s="48" t="s">
        <v>101</v>
      </c>
      <c r="N55" s="48"/>
      <c r="O55" s="49">
        <v>0.01</v>
      </c>
      <c r="P55" s="48">
        <v>0.1</v>
      </c>
      <c r="Q55" s="48">
        <v>0.1</v>
      </c>
      <c r="R55" s="48">
        <v>0.253</v>
      </c>
      <c r="S55" s="48"/>
      <c r="T55" s="48"/>
      <c r="U55" s="173">
        <f t="shared" si="2"/>
        <v>-0.1394366197</v>
      </c>
      <c r="V55" s="174">
        <f t="shared" si="3"/>
        <v>1.16756338</v>
      </c>
      <c r="W55" s="175" t="str">
        <f t="shared" si="4"/>
        <v>Normal</v>
      </c>
      <c r="X55" s="54">
        <f t="shared" si="5"/>
        <v>6.048959524</v>
      </c>
      <c r="Y55" s="176">
        <f t="shared" si="6"/>
        <v>5.180840394</v>
      </c>
      <c r="Z55" s="176">
        <f t="shared" si="7"/>
        <v>5.181402439</v>
      </c>
      <c r="AA55" s="174">
        <f t="shared" si="8"/>
        <v>-0.0001084852266</v>
      </c>
      <c r="AB55" s="87"/>
    </row>
    <row r="56">
      <c r="A56" s="159" t="s">
        <v>138</v>
      </c>
      <c r="B56" s="160">
        <v>288.81</v>
      </c>
      <c r="C56" s="161">
        <f t="shared" si="26"/>
        <v>3.72</v>
      </c>
      <c r="D56" s="162" t="s">
        <v>143</v>
      </c>
      <c r="E56" s="36">
        <v>0.266</v>
      </c>
      <c r="F56" s="33">
        <v>398.0</v>
      </c>
      <c r="G56" s="163" t="s">
        <v>73</v>
      </c>
      <c r="H56" s="77">
        <v>22.0</v>
      </c>
      <c r="I56" s="36">
        <v>-0.046</v>
      </c>
      <c r="J56" s="36">
        <v>-0.01</v>
      </c>
      <c r="K56" s="36">
        <v>-0.1</v>
      </c>
      <c r="L56" s="36" t="s">
        <v>101</v>
      </c>
      <c r="M56" s="36" t="s">
        <v>101</v>
      </c>
      <c r="N56" s="36"/>
      <c r="O56" s="37">
        <v>0.01</v>
      </c>
      <c r="P56" s="36">
        <v>0.1</v>
      </c>
      <c r="Q56" s="36">
        <v>0.1</v>
      </c>
      <c r="R56" s="36">
        <v>0.253</v>
      </c>
      <c r="S56" s="36">
        <v>0.5</v>
      </c>
      <c r="T56" s="36"/>
      <c r="U56" s="164">
        <f t="shared" si="2"/>
        <v>-0.1394366197</v>
      </c>
      <c r="V56" s="165">
        <f t="shared" si="3"/>
        <v>1.66756338</v>
      </c>
      <c r="W56" s="166" t="str">
        <f t="shared" si="4"/>
        <v>Skill</v>
      </c>
      <c r="X56" s="42">
        <f t="shared" si="5"/>
        <v>5.180709122</v>
      </c>
      <c r="Y56" s="167">
        <f t="shared" si="6"/>
        <v>3.106753952</v>
      </c>
      <c r="Z56" s="167">
        <f t="shared" si="7"/>
        <v>3.181402439</v>
      </c>
      <c r="AA56" s="165">
        <f t="shared" si="8"/>
        <v>-0.02402780785</v>
      </c>
      <c r="AB56" s="81"/>
    </row>
    <row r="57">
      <c r="A57" s="168" t="s">
        <v>138</v>
      </c>
      <c r="B57" s="169">
        <v>288.81</v>
      </c>
      <c r="C57" s="170">
        <f t="shared" ref="C57:C58" si="27">204/50</f>
        <v>4.08</v>
      </c>
      <c r="D57" s="171" t="s">
        <v>139</v>
      </c>
      <c r="E57" s="48">
        <v>1.0</v>
      </c>
      <c r="F57" s="45">
        <v>1452.0</v>
      </c>
      <c r="G57" s="172" t="s">
        <v>91</v>
      </c>
      <c r="H57" s="83">
        <v>62.0</v>
      </c>
      <c r="I57" s="48">
        <v>-0.046</v>
      </c>
      <c r="J57" s="48">
        <v>-0.01</v>
      </c>
      <c r="K57" s="48">
        <v>-0.15</v>
      </c>
      <c r="L57" s="48" t="s">
        <v>101</v>
      </c>
      <c r="M57" s="48" t="s">
        <v>101</v>
      </c>
      <c r="N57" s="48"/>
      <c r="O57" s="49">
        <v>0.01</v>
      </c>
      <c r="P57" s="48">
        <v>0.1</v>
      </c>
      <c r="Q57" s="48">
        <v>0.1</v>
      </c>
      <c r="R57" s="48">
        <v>0.253</v>
      </c>
      <c r="S57" s="48"/>
      <c r="T57" s="48"/>
      <c r="U57" s="173">
        <f t="shared" si="2"/>
        <v>-0.3065934066</v>
      </c>
      <c r="V57" s="174">
        <f t="shared" si="3"/>
        <v>0.9504065934</v>
      </c>
      <c r="W57" s="175" t="str">
        <f t="shared" si="4"/>
        <v>Normal</v>
      </c>
      <c r="X57" s="54">
        <f t="shared" si="5"/>
        <v>5.027526748</v>
      </c>
      <c r="Y57" s="176">
        <f t="shared" si="6"/>
        <v>5.289869391</v>
      </c>
      <c r="Z57" s="176">
        <f t="shared" si="7"/>
        <v>5.28983308</v>
      </c>
      <c r="AA57" s="174">
        <f t="shared" si="8"/>
        <v>0.000006864216622</v>
      </c>
      <c r="AB57" s="87"/>
    </row>
    <row r="58">
      <c r="A58" s="159" t="s">
        <v>138</v>
      </c>
      <c r="B58" s="160">
        <v>288.81</v>
      </c>
      <c r="C58" s="161">
        <f t="shared" si="27"/>
        <v>4.08</v>
      </c>
      <c r="D58" s="162" t="s">
        <v>141</v>
      </c>
      <c r="E58" s="36">
        <v>1.8</v>
      </c>
      <c r="F58" s="33">
        <v>2852.0</v>
      </c>
      <c r="G58" s="163" t="s">
        <v>73</v>
      </c>
      <c r="H58" s="77">
        <v>22.0</v>
      </c>
      <c r="I58" s="36">
        <v>-0.046</v>
      </c>
      <c r="J58" s="36">
        <v>-0.01</v>
      </c>
      <c r="K58" s="36">
        <v>-0.1</v>
      </c>
      <c r="L58" s="36" t="s">
        <v>101</v>
      </c>
      <c r="M58" s="36" t="s">
        <v>101</v>
      </c>
      <c r="N58" s="36"/>
      <c r="O58" s="37">
        <v>0.01</v>
      </c>
      <c r="P58" s="36">
        <v>0.1</v>
      </c>
      <c r="Q58" s="36">
        <v>0.1</v>
      </c>
      <c r="R58" s="36">
        <v>0.253</v>
      </c>
      <c r="S58" s="36">
        <v>0.5</v>
      </c>
      <c r="T58" s="36"/>
      <c r="U58" s="164">
        <f t="shared" si="2"/>
        <v>-0.1394366197</v>
      </c>
      <c r="V58" s="165">
        <f t="shared" si="3"/>
        <v>1.66756338</v>
      </c>
      <c r="W58" s="166" t="str">
        <f t="shared" si="4"/>
        <v>Skill</v>
      </c>
      <c r="X58" s="42">
        <f t="shared" si="5"/>
        <v>5.486113516</v>
      </c>
      <c r="Y58" s="167">
        <f t="shared" si="6"/>
        <v>3.289898052</v>
      </c>
      <c r="Z58" s="167">
        <f t="shared" si="7"/>
        <v>3.28983308</v>
      </c>
      <c r="AA58" s="165">
        <f t="shared" si="8"/>
        <v>0.0000197486723</v>
      </c>
      <c r="AB58" s="81"/>
    </row>
    <row r="59">
      <c r="A59" s="168" t="s">
        <v>138</v>
      </c>
      <c r="B59" s="169">
        <v>288.81</v>
      </c>
      <c r="C59" s="170">
        <f>221/50</f>
        <v>4.42</v>
      </c>
      <c r="D59" s="171" t="s">
        <v>139</v>
      </c>
      <c r="E59" s="48">
        <v>1.0</v>
      </c>
      <c r="F59" s="45">
        <v>2889.0</v>
      </c>
      <c r="G59" s="172" t="s">
        <v>152</v>
      </c>
      <c r="H59" s="83">
        <v>10.0</v>
      </c>
      <c r="I59" s="48">
        <v>-0.028</v>
      </c>
      <c r="J59" s="48">
        <v>-0.01</v>
      </c>
      <c r="K59" s="48" t="s">
        <v>101</v>
      </c>
      <c r="L59" s="48" t="s">
        <v>101</v>
      </c>
      <c r="M59" s="48" t="s">
        <v>101</v>
      </c>
      <c r="N59" s="48"/>
      <c r="O59" s="49">
        <v>0.01</v>
      </c>
      <c r="P59" s="48">
        <v>0.1</v>
      </c>
      <c r="Q59" s="48">
        <v>0.1</v>
      </c>
      <c r="R59" s="48">
        <v>0.253</v>
      </c>
      <c r="S59" s="48">
        <v>0.5</v>
      </c>
      <c r="T59" s="48"/>
      <c r="U59" s="173">
        <f t="shared" si="2"/>
        <v>-0.06923076923</v>
      </c>
      <c r="V59" s="174">
        <f t="shared" si="3"/>
        <v>1.855769231</v>
      </c>
      <c r="W59" s="175" t="str">
        <f t="shared" si="4"/>
        <v>Normal</v>
      </c>
      <c r="X59" s="54">
        <f t="shared" si="5"/>
        <v>10.00311624</v>
      </c>
      <c r="Y59" s="176">
        <f t="shared" si="6"/>
        <v>5.390280251</v>
      </c>
      <c r="Z59" s="176">
        <f t="shared" si="7"/>
        <v>5.391337195</v>
      </c>
      <c r="AA59" s="174">
        <f t="shared" si="8"/>
        <v>-0.0001960831925</v>
      </c>
      <c r="AB59" s="87"/>
    </row>
    <row r="60">
      <c r="A60" s="159" t="s">
        <v>138</v>
      </c>
      <c r="B60" s="160">
        <v>288.81</v>
      </c>
      <c r="C60" s="161">
        <f t="shared" ref="C60:C63" si="28">241/50</f>
        <v>4.82</v>
      </c>
      <c r="D60" s="162" t="s">
        <v>148</v>
      </c>
      <c r="E60" s="36">
        <v>2.142</v>
      </c>
      <c r="F60" s="33">
        <v>2941.0</v>
      </c>
      <c r="G60" s="163" t="s">
        <v>152</v>
      </c>
      <c r="H60" s="77">
        <v>10.0</v>
      </c>
      <c r="I60" s="36">
        <v>-0.028</v>
      </c>
      <c r="J60" s="36">
        <v>-0.01</v>
      </c>
      <c r="K60" s="36" t="s">
        <v>101</v>
      </c>
      <c r="L60" s="36" t="s">
        <v>101</v>
      </c>
      <c r="M60" s="36" t="s">
        <v>101</v>
      </c>
      <c r="N60" s="36"/>
      <c r="O60" s="37">
        <v>0.01</v>
      </c>
      <c r="P60" s="36">
        <v>0.1</v>
      </c>
      <c r="Q60" s="36">
        <v>0.1</v>
      </c>
      <c r="R60" s="36">
        <v>0.253</v>
      </c>
      <c r="S60" s="36"/>
      <c r="T60" s="36"/>
      <c r="U60" s="164">
        <f t="shared" si="2"/>
        <v>-0.06923076923</v>
      </c>
      <c r="V60" s="165">
        <f t="shared" si="3"/>
        <v>1.355769231</v>
      </c>
      <c r="W60" s="166" t="str">
        <f t="shared" si="4"/>
        <v>Skill</v>
      </c>
      <c r="X60" s="42">
        <f t="shared" si="5"/>
        <v>4.754045473</v>
      </c>
      <c r="Y60" s="167">
        <f t="shared" si="6"/>
        <v>3.506529994</v>
      </c>
      <c r="Z60" s="167">
        <f t="shared" si="7"/>
        <v>3.509646705</v>
      </c>
      <c r="AA60" s="165">
        <f t="shared" si="8"/>
        <v>-0.0008888305326</v>
      </c>
      <c r="AB60" s="81"/>
    </row>
    <row r="61">
      <c r="A61" s="168" t="s">
        <v>138</v>
      </c>
      <c r="B61" s="169">
        <v>288.81</v>
      </c>
      <c r="C61" s="170">
        <f t="shared" si="28"/>
        <v>4.82</v>
      </c>
      <c r="D61" s="171" t="s">
        <v>139</v>
      </c>
      <c r="E61" s="48">
        <v>1.0</v>
      </c>
      <c r="F61" s="45">
        <v>3368.0</v>
      </c>
      <c r="G61" s="172" t="s">
        <v>152</v>
      </c>
      <c r="H61" s="83">
        <v>10.0</v>
      </c>
      <c r="I61" s="48">
        <v>-0.028</v>
      </c>
      <c r="J61" s="48">
        <v>-0.01</v>
      </c>
      <c r="K61" s="48" t="s">
        <v>101</v>
      </c>
      <c r="L61" s="48" t="s">
        <v>101</v>
      </c>
      <c r="M61" s="48" t="s">
        <v>101</v>
      </c>
      <c r="N61" s="48">
        <v>0.261</v>
      </c>
      <c r="O61" s="49">
        <v>0.01</v>
      </c>
      <c r="P61" s="48">
        <v>0.1</v>
      </c>
      <c r="Q61" s="48">
        <v>0.1</v>
      </c>
      <c r="R61" s="48">
        <v>0.253</v>
      </c>
      <c r="S61" s="48">
        <v>0.5</v>
      </c>
      <c r="T61" s="48"/>
      <c r="U61" s="173">
        <f t="shared" si="2"/>
        <v>-0.06923076923</v>
      </c>
      <c r="V61" s="174">
        <f t="shared" si="3"/>
        <v>2.116769231</v>
      </c>
      <c r="W61" s="175" t="str">
        <f t="shared" si="4"/>
        <v>Normal</v>
      </c>
      <c r="X61" s="54">
        <f t="shared" si="5"/>
        <v>11.66164606</v>
      </c>
      <c r="Y61" s="176">
        <f t="shared" si="6"/>
        <v>5.509172136</v>
      </c>
      <c r="Z61" s="176">
        <f t="shared" si="7"/>
        <v>5.509646705</v>
      </c>
      <c r="AA61" s="174">
        <f t="shared" si="8"/>
        <v>-0.00008614159987</v>
      </c>
      <c r="AB61" s="87"/>
    </row>
    <row r="62">
      <c r="A62" s="159" t="s">
        <v>138</v>
      </c>
      <c r="B62" s="160">
        <v>288.81</v>
      </c>
      <c r="C62" s="161">
        <f t="shared" si="28"/>
        <v>4.82</v>
      </c>
      <c r="D62" s="162" t="s">
        <v>145</v>
      </c>
      <c r="E62" s="36">
        <v>1.714</v>
      </c>
      <c r="F62" s="33">
        <v>2350.0</v>
      </c>
      <c r="G62" s="163" t="s">
        <v>152</v>
      </c>
      <c r="H62" s="77">
        <v>10.0</v>
      </c>
      <c r="I62" s="36">
        <v>-0.028</v>
      </c>
      <c r="J62" s="36">
        <v>-0.01</v>
      </c>
      <c r="K62" s="36" t="s">
        <v>101</v>
      </c>
      <c r="L62" s="36" t="s">
        <v>101</v>
      </c>
      <c r="M62" s="36" t="s">
        <v>101</v>
      </c>
      <c r="N62" s="36"/>
      <c r="O62" s="37">
        <v>0.01</v>
      </c>
      <c r="P62" s="36">
        <v>0.1</v>
      </c>
      <c r="Q62" s="36">
        <v>0.1</v>
      </c>
      <c r="R62" s="36">
        <v>0.253</v>
      </c>
      <c r="S62" s="36"/>
      <c r="T62" s="36"/>
      <c r="U62" s="164">
        <f t="shared" si="2"/>
        <v>-0.06923076923</v>
      </c>
      <c r="V62" s="165">
        <f t="shared" si="3"/>
        <v>1.355769231</v>
      </c>
      <c r="W62" s="166" t="str">
        <f t="shared" si="4"/>
        <v>Skill</v>
      </c>
      <c r="X62" s="42">
        <f t="shared" si="5"/>
        <v>4.747279677</v>
      </c>
      <c r="Y62" s="167">
        <f t="shared" si="6"/>
        <v>3.50153962</v>
      </c>
      <c r="Z62" s="167">
        <f t="shared" si="7"/>
        <v>3.509646705</v>
      </c>
      <c r="AA62" s="165">
        <f t="shared" si="8"/>
        <v>-0.00231529148</v>
      </c>
      <c r="AB62" s="81"/>
    </row>
    <row r="63">
      <c r="A63" s="168" t="s">
        <v>138</v>
      </c>
      <c r="B63" s="169">
        <v>288.81</v>
      </c>
      <c r="C63" s="170">
        <f t="shared" si="28"/>
        <v>4.82</v>
      </c>
      <c r="D63" s="171" t="s">
        <v>143</v>
      </c>
      <c r="E63" s="48">
        <v>0.266</v>
      </c>
      <c r="F63" s="45">
        <v>357.0</v>
      </c>
      <c r="G63" s="172" t="s">
        <v>152</v>
      </c>
      <c r="H63" s="83">
        <v>10.0</v>
      </c>
      <c r="I63" s="48">
        <v>-0.028</v>
      </c>
      <c r="J63" s="48">
        <v>-0.01</v>
      </c>
      <c r="K63" s="48" t="s">
        <v>101</v>
      </c>
      <c r="L63" s="48" t="s">
        <v>101</v>
      </c>
      <c r="M63" s="48" t="s">
        <v>101</v>
      </c>
      <c r="N63" s="48"/>
      <c r="O63" s="49">
        <v>0.01</v>
      </c>
      <c r="P63" s="48">
        <v>0.1</v>
      </c>
      <c r="Q63" s="48">
        <v>0.1</v>
      </c>
      <c r="R63" s="48">
        <v>0.253</v>
      </c>
      <c r="S63" s="48"/>
      <c r="T63" s="48"/>
      <c r="U63" s="173">
        <f t="shared" si="2"/>
        <v>-0.06923076923</v>
      </c>
      <c r="V63" s="174">
        <f t="shared" si="3"/>
        <v>1.355769231</v>
      </c>
      <c r="W63" s="175" t="str">
        <f t="shared" si="4"/>
        <v>Skill</v>
      </c>
      <c r="X63" s="54">
        <f t="shared" si="5"/>
        <v>4.647017981</v>
      </c>
      <c r="Y63" s="176">
        <f t="shared" si="6"/>
        <v>3.427587731</v>
      </c>
      <c r="Z63" s="176">
        <f t="shared" si="7"/>
        <v>3.509646705</v>
      </c>
      <c r="AA63" s="174">
        <f t="shared" si="8"/>
        <v>-0.02394073637</v>
      </c>
      <c r="AB63" s="87"/>
    </row>
    <row r="64">
      <c r="A64" s="159" t="s">
        <v>138</v>
      </c>
      <c r="B64" s="160">
        <v>288.81</v>
      </c>
      <c r="C64" s="161">
        <f t="shared" ref="C64:C65" si="29">259/50</f>
        <v>5.18</v>
      </c>
      <c r="D64" s="162" t="s">
        <v>139</v>
      </c>
      <c r="E64" s="36">
        <v>1.0</v>
      </c>
      <c r="F64" s="33">
        <v>2959.0</v>
      </c>
      <c r="G64" s="163" t="s">
        <v>80</v>
      </c>
      <c r="H64" s="77">
        <v>15.0</v>
      </c>
      <c r="I64" s="36">
        <v>-0.028</v>
      </c>
      <c r="J64" s="36">
        <v>-0.01</v>
      </c>
      <c r="K64" s="36" t="s">
        <v>101</v>
      </c>
      <c r="L64" s="36" t="s">
        <v>101</v>
      </c>
      <c r="M64" s="36" t="s">
        <v>101</v>
      </c>
      <c r="N64" s="36"/>
      <c r="O64" s="37">
        <v>0.01</v>
      </c>
      <c r="P64" s="36">
        <v>0.1</v>
      </c>
      <c r="Q64" s="36">
        <v>0.1</v>
      </c>
      <c r="R64" s="36">
        <v>0.253</v>
      </c>
      <c r="S64" s="36">
        <v>0.5</v>
      </c>
      <c r="T64" s="36"/>
      <c r="U64" s="164">
        <f t="shared" si="2"/>
        <v>-0.1</v>
      </c>
      <c r="V64" s="165">
        <f t="shared" si="3"/>
        <v>1.825</v>
      </c>
      <c r="W64" s="166" t="str">
        <f t="shared" si="4"/>
        <v>Normal</v>
      </c>
      <c r="X64" s="42">
        <f t="shared" si="5"/>
        <v>10.24549011</v>
      </c>
      <c r="Y64" s="167">
        <f t="shared" si="6"/>
        <v>5.613967186</v>
      </c>
      <c r="Z64" s="167">
        <f t="shared" si="7"/>
        <v>5.615115989</v>
      </c>
      <c r="AA64" s="165">
        <f t="shared" si="8"/>
        <v>-0.0002046329984</v>
      </c>
      <c r="AB64" s="81"/>
    </row>
    <row r="65">
      <c r="A65" s="168" t="s">
        <v>138</v>
      </c>
      <c r="B65" s="169">
        <v>288.81</v>
      </c>
      <c r="C65" s="170">
        <f t="shared" si="29"/>
        <v>5.18</v>
      </c>
      <c r="D65" s="171" t="s">
        <v>143</v>
      </c>
      <c r="E65" s="48">
        <v>0.266</v>
      </c>
      <c r="F65" s="45">
        <v>359.0</v>
      </c>
      <c r="G65" s="172" t="s">
        <v>80</v>
      </c>
      <c r="H65" s="83">
        <v>15.0</v>
      </c>
      <c r="I65" s="48">
        <v>-0.028</v>
      </c>
      <c r="J65" s="48">
        <v>-0.01</v>
      </c>
      <c r="K65" s="48" t="s">
        <v>101</v>
      </c>
      <c r="L65" s="48" t="s">
        <v>101</v>
      </c>
      <c r="M65" s="48" t="s">
        <v>101</v>
      </c>
      <c r="N65" s="48"/>
      <c r="O65" s="49">
        <v>0.01</v>
      </c>
      <c r="P65" s="48">
        <v>0.1</v>
      </c>
      <c r="Q65" s="48">
        <v>0.1</v>
      </c>
      <c r="R65" s="48">
        <v>0.253</v>
      </c>
      <c r="S65" s="48"/>
      <c r="T65" s="48"/>
      <c r="U65" s="173">
        <f t="shared" si="2"/>
        <v>-0.1</v>
      </c>
      <c r="V65" s="174">
        <f t="shared" si="3"/>
        <v>1.325</v>
      </c>
      <c r="W65" s="175" t="str">
        <f t="shared" si="4"/>
        <v>Skill</v>
      </c>
      <c r="X65" s="54">
        <f t="shared" si="5"/>
        <v>4.673051695</v>
      </c>
      <c r="Y65" s="176">
        <f t="shared" si="6"/>
        <v>3.526831468</v>
      </c>
      <c r="Z65" s="176">
        <f t="shared" si="7"/>
        <v>3.615115989</v>
      </c>
      <c r="AA65" s="174">
        <f t="shared" si="8"/>
        <v>-0.02503224823</v>
      </c>
      <c r="AB65" s="87"/>
    </row>
    <row r="66">
      <c r="A66" s="159" t="s">
        <v>138</v>
      </c>
      <c r="B66" s="160">
        <v>288.81</v>
      </c>
      <c r="C66" s="161">
        <f t="shared" ref="C66:C68" si="30">297/50</f>
        <v>5.94</v>
      </c>
      <c r="D66" s="162" t="s">
        <v>139</v>
      </c>
      <c r="E66" s="36">
        <v>1.0</v>
      </c>
      <c r="F66" s="33">
        <v>3075.0</v>
      </c>
      <c r="G66" s="163" t="s">
        <v>80</v>
      </c>
      <c r="H66" s="77">
        <v>15.0</v>
      </c>
      <c r="I66" s="36">
        <v>-0.028</v>
      </c>
      <c r="J66" s="36">
        <v>-0.01</v>
      </c>
      <c r="K66" s="36" t="s">
        <v>101</v>
      </c>
      <c r="L66" s="36" t="s">
        <v>101</v>
      </c>
      <c r="M66" s="36" t="s">
        <v>101</v>
      </c>
      <c r="N66" s="36"/>
      <c r="O66" s="37">
        <v>0.01</v>
      </c>
      <c r="P66" s="36">
        <v>0.1</v>
      </c>
      <c r="Q66" s="36">
        <v>0.1</v>
      </c>
      <c r="R66" s="36">
        <v>0.253</v>
      </c>
      <c r="S66" s="36">
        <v>0.5</v>
      </c>
      <c r="T66" s="36"/>
      <c r="U66" s="164">
        <f t="shared" si="2"/>
        <v>-0.1</v>
      </c>
      <c r="V66" s="165">
        <f t="shared" si="3"/>
        <v>1.825</v>
      </c>
      <c r="W66" s="166" t="str">
        <f t="shared" si="4"/>
        <v>Normal</v>
      </c>
      <c r="X66" s="42">
        <f t="shared" si="5"/>
        <v>10.64713826</v>
      </c>
      <c r="Y66" s="167">
        <f t="shared" si="6"/>
        <v>5.83404836</v>
      </c>
      <c r="Z66" s="167">
        <f t="shared" si="7"/>
        <v>5.834692365</v>
      </c>
      <c r="AA66" s="165">
        <f t="shared" si="8"/>
        <v>-0.0001103872787</v>
      </c>
      <c r="AB66" s="81"/>
    </row>
    <row r="67">
      <c r="A67" s="168" t="s">
        <v>138</v>
      </c>
      <c r="B67" s="169">
        <v>288.81</v>
      </c>
      <c r="C67" s="170">
        <f t="shared" si="30"/>
        <v>5.94</v>
      </c>
      <c r="D67" s="171" t="s">
        <v>143</v>
      </c>
      <c r="E67" s="48">
        <v>0.266</v>
      </c>
      <c r="F67" s="45">
        <v>525.0</v>
      </c>
      <c r="G67" s="172" t="s">
        <v>80</v>
      </c>
      <c r="H67" s="83">
        <v>15.0</v>
      </c>
      <c r="I67" s="48">
        <v>-0.028</v>
      </c>
      <c r="J67" s="48">
        <v>-0.01</v>
      </c>
      <c r="K67" s="48" t="s">
        <v>101</v>
      </c>
      <c r="L67" s="48" t="s">
        <v>101</v>
      </c>
      <c r="M67" s="48" t="s">
        <v>101</v>
      </c>
      <c r="N67" s="48"/>
      <c r="O67" s="49">
        <v>0.01</v>
      </c>
      <c r="P67" s="48">
        <v>0.1</v>
      </c>
      <c r="Q67" s="48">
        <v>0.1</v>
      </c>
      <c r="R67" s="48">
        <v>0.253</v>
      </c>
      <c r="S67" s="48">
        <v>0.5</v>
      </c>
      <c r="T67" s="48"/>
      <c r="U67" s="173">
        <f t="shared" si="2"/>
        <v>-0.1</v>
      </c>
      <c r="V67" s="174">
        <f t="shared" si="3"/>
        <v>1.825</v>
      </c>
      <c r="W67" s="175" t="str">
        <f t="shared" si="4"/>
        <v>Skill</v>
      </c>
      <c r="X67" s="54">
        <f t="shared" si="5"/>
        <v>6.833849972</v>
      </c>
      <c r="Y67" s="176">
        <f t="shared" si="6"/>
        <v>3.744575327</v>
      </c>
      <c r="Z67" s="176">
        <f t="shared" si="7"/>
        <v>3.834692365</v>
      </c>
      <c r="AA67" s="174">
        <f t="shared" si="8"/>
        <v>-0.02406602338</v>
      </c>
      <c r="AB67" s="87"/>
    </row>
    <row r="68">
      <c r="A68" s="159" t="s">
        <v>138</v>
      </c>
      <c r="B68" s="160">
        <v>288.81</v>
      </c>
      <c r="C68" s="161">
        <f t="shared" si="30"/>
        <v>5.94</v>
      </c>
      <c r="D68" s="162" t="s">
        <v>141</v>
      </c>
      <c r="E68" s="36">
        <v>1.8</v>
      </c>
      <c r="F68" s="33">
        <v>3638.0</v>
      </c>
      <c r="G68" s="163" t="s">
        <v>80</v>
      </c>
      <c r="H68" s="77">
        <v>15.0</v>
      </c>
      <c r="I68" s="36">
        <v>-0.028</v>
      </c>
      <c r="J68" s="36">
        <v>-0.01</v>
      </c>
      <c r="K68" s="36" t="s">
        <v>101</v>
      </c>
      <c r="L68" s="36" t="s">
        <v>101</v>
      </c>
      <c r="M68" s="36" t="s">
        <v>101</v>
      </c>
      <c r="N68" s="36"/>
      <c r="O68" s="37">
        <v>0.01</v>
      </c>
      <c r="P68" s="36">
        <v>0.1</v>
      </c>
      <c r="Q68" s="36">
        <v>0.1</v>
      </c>
      <c r="R68" s="36">
        <v>0.253</v>
      </c>
      <c r="S68" s="36">
        <v>0.5</v>
      </c>
      <c r="T68" s="36"/>
      <c r="U68" s="164">
        <f t="shared" si="2"/>
        <v>-0.1</v>
      </c>
      <c r="V68" s="165">
        <f t="shared" si="3"/>
        <v>1.825</v>
      </c>
      <c r="W68" s="166" t="str">
        <f t="shared" si="4"/>
        <v>Skill</v>
      </c>
      <c r="X68" s="42">
        <f t="shared" si="5"/>
        <v>6.998064856</v>
      </c>
      <c r="Y68" s="167">
        <f t="shared" si="6"/>
        <v>3.834556086</v>
      </c>
      <c r="Z68" s="167">
        <f t="shared" si="7"/>
        <v>3.834692365</v>
      </c>
      <c r="AA68" s="165">
        <f t="shared" si="8"/>
        <v>-0.00003553974377</v>
      </c>
      <c r="AB68" s="81"/>
    </row>
    <row r="69">
      <c r="A69" s="168" t="s">
        <v>138</v>
      </c>
      <c r="B69" s="169">
        <v>288.81</v>
      </c>
      <c r="C69" s="170">
        <f t="shared" ref="C69:C71" si="31">316/50</f>
        <v>6.32</v>
      </c>
      <c r="D69" s="171" t="s">
        <v>147</v>
      </c>
      <c r="E69" s="48">
        <v>2.6</v>
      </c>
      <c r="F69" s="45">
        <v>3801.0</v>
      </c>
      <c r="G69" s="172" t="s">
        <v>74</v>
      </c>
      <c r="H69" s="83">
        <v>16.0</v>
      </c>
      <c r="I69" s="48">
        <v>-0.064</v>
      </c>
      <c r="J69" s="48">
        <v>-0.01</v>
      </c>
      <c r="K69" s="48" t="s">
        <v>101</v>
      </c>
      <c r="L69" s="48" t="s">
        <v>101</v>
      </c>
      <c r="M69" s="48" t="s">
        <v>101</v>
      </c>
      <c r="N69" s="48"/>
      <c r="O69" s="49">
        <v>0.01</v>
      </c>
      <c r="P69" s="48">
        <v>0.1</v>
      </c>
      <c r="Q69" s="48">
        <v>0.1</v>
      </c>
      <c r="R69" s="48">
        <v>0.253</v>
      </c>
      <c r="S69" s="48"/>
      <c r="T69" s="48"/>
      <c r="U69" s="173">
        <f t="shared" si="2"/>
        <v>-0.1058823529</v>
      </c>
      <c r="V69" s="174">
        <f t="shared" si="3"/>
        <v>1.283117647</v>
      </c>
      <c r="W69" s="175" t="str">
        <f t="shared" si="4"/>
        <v>Skill</v>
      </c>
      <c r="X69" s="54">
        <f t="shared" si="5"/>
        <v>5.061885243</v>
      </c>
      <c r="Y69" s="176">
        <f t="shared" si="6"/>
        <v>3.944989186</v>
      </c>
      <c r="Z69" s="176">
        <f t="shared" si="7"/>
        <v>3.942941466</v>
      </c>
      <c r="AA69" s="174">
        <f t="shared" si="8"/>
        <v>0.0005190687649</v>
      </c>
      <c r="AB69" s="87"/>
    </row>
    <row r="70">
      <c r="A70" s="159" t="s">
        <v>138</v>
      </c>
      <c r="B70" s="160">
        <v>288.81</v>
      </c>
      <c r="C70" s="161">
        <f t="shared" si="31"/>
        <v>6.32</v>
      </c>
      <c r="D70" s="162" t="s">
        <v>139</v>
      </c>
      <c r="E70" s="36">
        <v>1.0</v>
      </c>
      <c r="F70" s="33">
        <v>3062.0</v>
      </c>
      <c r="G70" s="163" t="s">
        <v>74</v>
      </c>
      <c r="H70" s="77">
        <v>16.0</v>
      </c>
      <c r="I70" s="36">
        <v>-0.064</v>
      </c>
      <c r="J70" s="36">
        <v>-0.01</v>
      </c>
      <c r="K70" s="36" t="s">
        <v>101</v>
      </c>
      <c r="L70" s="36" t="s">
        <v>101</v>
      </c>
      <c r="M70" s="36" t="s">
        <v>101</v>
      </c>
      <c r="N70" s="36"/>
      <c r="O70" s="37">
        <v>0.01</v>
      </c>
      <c r="P70" s="36">
        <v>0.1</v>
      </c>
      <c r="Q70" s="36">
        <v>0.1</v>
      </c>
      <c r="R70" s="36">
        <v>0.253</v>
      </c>
      <c r="S70" s="36">
        <v>0.5</v>
      </c>
      <c r="T70" s="36"/>
      <c r="U70" s="164">
        <f t="shared" si="2"/>
        <v>-0.1058823529</v>
      </c>
      <c r="V70" s="165">
        <f t="shared" si="3"/>
        <v>1.783117647</v>
      </c>
      <c r="W70" s="166" t="str">
        <f t="shared" si="4"/>
        <v>Normal</v>
      </c>
      <c r="X70" s="42">
        <f t="shared" si="5"/>
        <v>10.60212597</v>
      </c>
      <c r="Y70" s="167">
        <f t="shared" si="6"/>
        <v>5.945836486</v>
      </c>
      <c r="Z70" s="167">
        <f t="shared" si="7"/>
        <v>5.942941466</v>
      </c>
      <c r="AA70" s="165">
        <f t="shared" si="8"/>
        <v>0.0004868987648</v>
      </c>
      <c r="AB70" s="81"/>
    </row>
    <row r="71">
      <c r="A71" s="168" t="s">
        <v>138</v>
      </c>
      <c r="B71" s="169">
        <v>288.81</v>
      </c>
      <c r="C71" s="170">
        <f t="shared" si="31"/>
        <v>6.32</v>
      </c>
      <c r="D71" s="171" t="s">
        <v>143</v>
      </c>
      <c r="E71" s="48">
        <v>0.266</v>
      </c>
      <c r="F71" s="45">
        <v>528.0</v>
      </c>
      <c r="G71" s="172" t="s">
        <v>74</v>
      </c>
      <c r="H71" s="83">
        <v>16.0</v>
      </c>
      <c r="I71" s="48">
        <v>-0.064</v>
      </c>
      <c r="J71" s="48">
        <v>-0.01</v>
      </c>
      <c r="K71" s="48" t="s">
        <v>101</v>
      </c>
      <c r="L71" s="48" t="s">
        <v>101</v>
      </c>
      <c r="M71" s="48" t="s">
        <v>101</v>
      </c>
      <c r="N71" s="48"/>
      <c r="O71" s="49">
        <v>0.01</v>
      </c>
      <c r="P71" s="48">
        <v>0.1</v>
      </c>
      <c r="Q71" s="48">
        <v>0.1</v>
      </c>
      <c r="R71" s="48">
        <v>0.253</v>
      </c>
      <c r="S71" s="48">
        <v>0.5</v>
      </c>
      <c r="T71" s="48"/>
      <c r="U71" s="173">
        <f t="shared" si="2"/>
        <v>-0.1058823529</v>
      </c>
      <c r="V71" s="174">
        <f t="shared" si="3"/>
        <v>1.783117647</v>
      </c>
      <c r="W71" s="175" t="str">
        <f t="shared" si="4"/>
        <v>Skill</v>
      </c>
      <c r="X71" s="54">
        <f t="shared" si="5"/>
        <v>6.872900544</v>
      </c>
      <c r="Y71" s="176">
        <f t="shared" si="6"/>
        <v>3.854429098</v>
      </c>
      <c r="Z71" s="176">
        <f t="shared" si="7"/>
        <v>3.942941466</v>
      </c>
      <c r="AA71" s="174">
        <f t="shared" si="8"/>
        <v>-0.02296380754</v>
      </c>
      <c r="AB71" s="87"/>
    </row>
    <row r="72">
      <c r="A72" s="159" t="s">
        <v>138</v>
      </c>
      <c r="B72" s="160">
        <v>288.81</v>
      </c>
      <c r="C72" s="161">
        <f t="shared" ref="C72:C75" si="32">347/50</f>
        <v>6.94</v>
      </c>
      <c r="D72" s="162" t="s">
        <v>148</v>
      </c>
      <c r="E72" s="36">
        <v>2.142</v>
      </c>
      <c r="F72" s="33">
        <v>4539.0</v>
      </c>
      <c r="G72" s="163" t="s">
        <v>74</v>
      </c>
      <c r="H72" s="77">
        <v>16.0</v>
      </c>
      <c r="I72" s="36">
        <v>-0.064</v>
      </c>
      <c r="J72" s="36">
        <v>-0.01</v>
      </c>
      <c r="K72" s="36" t="s">
        <v>101</v>
      </c>
      <c r="L72" s="36" t="s">
        <v>101</v>
      </c>
      <c r="M72" s="36" t="s">
        <v>101</v>
      </c>
      <c r="N72" s="36"/>
      <c r="O72" s="37">
        <v>0.01</v>
      </c>
      <c r="P72" s="36">
        <v>0.1</v>
      </c>
      <c r="Q72" s="36">
        <v>0.1</v>
      </c>
      <c r="R72" s="36">
        <v>0.253</v>
      </c>
      <c r="S72" s="36">
        <v>0.5</v>
      </c>
      <c r="T72" s="36"/>
      <c r="U72" s="164">
        <f t="shared" si="2"/>
        <v>-0.1058823529</v>
      </c>
      <c r="V72" s="165">
        <f t="shared" si="3"/>
        <v>1.783117647</v>
      </c>
      <c r="W72" s="166" t="str">
        <f t="shared" si="4"/>
        <v>Skill</v>
      </c>
      <c r="X72" s="42">
        <f t="shared" si="5"/>
        <v>7.337168447</v>
      </c>
      <c r="Y72" s="167">
        <f t="shared" si="6"/>
        <v>4.11479773</v>
      </c>
      <c r="Z72" s="167">
        <f t="shared" si="7"/>
        <v>4.117402978</v>
      </c>
      <c r="AA72" s="165">
        <f t="shared" si="8"/>
        <v>-0.0006331411406</v>
      </c>
      <c r="AB72" s="81"/>
    </row>
    <row r="73">
      <c r="A73" s="168" t="s">
        <v>138</v>
      </c>
      <c r="B73" s="169">
        <v>288.81</v>
      </c>
      <c r="C73" s="170">
        <f t="shared" si="32"/>
        <v>6.94</v>
      </c>
      <c r="D73" s="171" t="s">
        <v>139</v>
      </c>
      <c r="E73" s="48">
        <v>1.0</v>
      </c>
      <c r="F73" s="45">
        <v>3120.0</v>
      </c>
      <c r="G73" s="172" t="s">
        <v>140</v>
      </c>
      <c r="H73" s="83">
        <v>19.0</v>
      </c>
      <c r="I73" s="48">
        <v>-0.064</v>
      </c>
      <c r="J73" s="48">
        <v>-0.01</v>
      </c>
      <c r="K73" s="48" t="s">
        <v>101</v>
      </c>
      <c r="L73" s="48" t="s">
        <v>101</v>
      </c>
      <c r="M73" s="48" t="s">
        <v>101</v>
      </c>
      <c r="N73" s="48"/>
      <c r="O73" s="49">
        <v>0.01</v>
      </c>
      <c r="P73" s="48">
        <v>0.1</v>
      </c>
      <c r="Q73" s="48">
        <v>0.1</v>
      </c>
      <c r="R73" s="48">
        <v>0.253</v>
      </c>
      <c r="S73" s="48">
        <v>0.5</v>
      </c>
      <c r="T73" s="48"/>
      <c r="U73" s="173">
        <f t="shared" si="2"/>
        <v>-0.1230215827</v>
      </c>
      <c r="V73" s="174">
        <f t="shared" si="3"/>
        <v>1.765978417</v>
      </c>
      <c r="W73" s="175" t="str">
        <f t="shared" si="4"/>
        <v>Normal</v>
      </c>
      <c r="X73" s="54">
        <f t="shared" si="5"/>
        <v>10.80295004</v>
      </c>
      <c r="Y73" s="176">
        <f t="shared" si="6"/>
        <v>6.117260512</v>
      </c>
      <c r="Z73" s="176">
        <f t="shared" si="7"/>
        <v>6.117402978</v>
      </c>
      <c r="AA73" s="174">
        <f t="shared" si="8"/>
        <v>-0.0000232892069</v>
      </c>
      <c r="AB73" s="87"/>
    </row>
    <row r="74">
      <c r="A74" s="159" t="s">
        <v>138</v>
      </c>
      <c r="B74" s="160">
        <v>288.81</v>
      </c>
      <c r="C74" s="161">
        <f t="shared" si="32"/>
        <v>6.94</v>
      </c>
      <c r="D74" s="162" t="s">
        <v>145</v>
      </c>
      <c r="E74" s="36">
        <v>1.714</v>
      </c>
      <c r="F74" s="33">
        <v>2610.0</v>
      </c>
      <c r="G74" s="163" t="s">
        <v>74</v>
      </c>
      <c r="H74" s="77">
        <v>16.0</v>
      </c>
      <c r="I74" s="36">
        <v>-0.064</v>
      </c>
      <c r="J74" s="36">
        <v>-0.01</v>
      </c>
      <c r="K74" s="36" t="s">
        <v>101</v>
      </c>
      <c r="L74" s="36" t="s">
        <v>101</v>
      </c>
      <c r="M74" s="36" t="s">
        <v>101</v>
      </c>
      <c r="N74" s="36"/>
      <c r="O74" s="37">
        <v>0.01</v>
      </c>
      <c r="P74" s="36">
        <v>0.1</v>
      </c>
      <c r="Q74" s="36">
        <v>0.1</v>
      </c>
      <c r="R74" s="36">
        <v>0.253</v>
      </c>
      <c r="S74" s="36"/>
      <c r="T74" s="36"/>
      <c r="U74" s="164">
        <f t="shared" si="2"/>
        <v>-0.1058823529</v>
      </c>
      <c r="V74" s="165">
        <f t="shared" si="3"/>
        <v>1.283117647</v>
      </c>
      <c r="W74" s="166" t="str">
        <f t="shared" si="4"/>
        <v>Skill</v>
      </c>
      <c r="X74" s="42">
        <f t="shared" si="5"/>
        <v>5.27251062</v>
      </c>
      <c r="Y74" s="167">
        <f t="shared" si="6"/>
        <v>4.109140446</v>
      </c>
      <c r="Z74" s="167">
        <f t="shared" si="7"/>
        <v>4.117402978</v>
      </c>
      <c r="AA74" s="165">
        <f t="shared" si="8"/>
        <v>-0.0020107689</v>
      </c>
      <c r="AB74" s="81"/>
    </row>
    <row r="75">
      <c r="A75" s="168" t="s">
        <v>138</v>
      </c>
      <c r="B75" s="169">
        <v>288.81</v>
      </c>
      <c r="C75" s="170">
        <f t="shared" si="32"/>
        <v>6.94</v>
      </c>
      <c r="D75" s="171" t="s">
        <v>151</v>
      </c>
      <c r="E75" s="48">
        <v>2.571</v>
      </c>
      <c r="F75" s="45">
        <v>5452.0</v>
      </c>
      <c r="G75" s="172" t="s">
        <v>74</v>
      </c>
      <c r="H75" s="83">
        <v>16.0</v>
      </c>
      <c r="I75" s="48">
        <v>-0.064</v>
      </c>
      <c r="J75" s="48">
        <v>-0.01</v>
      </c>
      <c r="K75" s="48" t="s">
        <v>101</v>
      </c>
      <c r="L75" s="48" t="s">
        <v>101</v>
      </c>
      <c r="M75" s="48" t="s">
        <v>101</v>
      </c>
      <c r="N75" s="48"/>
      <c r="O75" s="49">
        <v>0.01</v>
      </c>
      <c r="P75" s="48">
        <v>0.1</v>
      </c>
      <c r="Q75" s="48">
        <v>0.1</v>
      </c>
      <c r="R75" s="48">
        <v>0.253</v>
      </c>
      <c r="S75" s="48">
        <v>0.5</v>
      </c>
      <c r="T75" s="48"/>
      <c r="U75" s="173">
        <f t="shared" si="2"/>
        <v>-0.1058823529</v>
      </c>
      <c r="V75" s="174">
        <f t="shared" si="3"/>
        <v>1.783117647</v>
      </c>
      <c r="W75" s="175" t="str">
        <f t="shared" si="4"/>
        <v>Skill</v>
      </c>
      <c r="X75" s="54">
        <f t="shared" si="5"/>
        <v>7.342459234</v>
      </c>
      <c r="Y75" s="176">
        <f t="shared" si="6"/>
        <v>4.117764886</v>
      </c>
      <c r="Z75" s="176">
        <f t="shared" si="7"/>
        <v>4.117402978</v>
      </c>
      <c r="AA75" s="174">
        <f t="shared" si="8"/>
        <v>0.00008788944793</v>
      </c>
      <c r="AB75" s="87"/>
    </row>
    <row r="76">
      <c r="A76" s="159" t="s">
        <v>138</v>
      </c>
      <c r="B76" s="160">
        <v>288.81</v>
      </c>
      <c r="C76" s="161">
        <f>392/50</f>
        <v>7.84</v>
      </c>
      <c r="D76" s="162" t="s">
        <v>139</v>
      </c>
      <c r="E76" s="36">
        <v>1.0</v>
      </c>
      <c r="F76" s="33">
        <v>2327.0</v>
      </c>
      <c r="G76" s="163" t="s">
        <v>140</v>
      </c>
      <c r="H76" s="77">
        <v>19.0</v>
      </c>
      <c r="I76" s="36">
        <v>-0.064</v>
      </c>
      <c r="J76" s="36">
        <v>-0.01</v>
      </c>
      <c r="K76" s="36" t="s">
        <v>101</v>
      </c>
      <c r="L76" s="36" t="s">
        <v>101</v>
      </c>
      <c r="M76" s="36" t="s">
        <v>101</v>
      </c>
      <c r="N76" s="36"/>
      <c r="O76" s="37">
        <v>0.01</v>
      </c>
      <c r="P76" s="36">
        <v>0.1</v>
      </c>
      <c r="Q76" s="36">
        <v>0.1</v>
      </c>
      <c r="R76" s="36">
        <v>0.253</v>
      </c>
      <c r="S76" s="36"/>
      <c r="T76" s="36"/>
      <c r="U76" s="164">
        <f t="shared" si="2"/>
        <v>-0.1230215827</v>
      </c>
      <c r="V76" s="165">
        <f t="shared" si="3"/>
        <v>1.265978417</v>
      </c>
      <c r="W76" s="166" t="str">
        <f t="shared" si="4"/>
        <v>Normal</v>
      </c>
      <c r="X76" s="42">
        <f t="shared" si="5"/>
        <v>8.057200235</v>
      </c>
      <c r="Y76" s="167">
        <f t="shared" si="6"/>
        <v>6.364405685</v>
      </c>
      <c r="Z76" s="167">
        <f t="shared" si="7"/>
        <v>6.36600676</v>
      </c>
      <c r="AA76" s="165">
        <f t="shared" si="8"/>
        <v>-0.0002515671507</v>
      </c>
      <c r="AB76" s="81"/>
    </row>
    <row r="77">
      <c r="A77" s="168" t="s">
        <v>138</v>
      </c>
      <c r="B77" s="169">
        <v>288.81</v>
      </c>
      <c r="C77" s="170">
        <f t="shared" ref="C77:C79" si="33">455/50</f>
        <v>9.1</v>
      </c>
      <c r="D77" s="171" t="s">
        <v>139</v>
      </c>
      <c r="E77" s="48">
        <v>1.0</v>
      </c>
      <c r="F77" s="45">
        <v>3419.0</v>
      </c>
      <c r="G77" s="172" t="s">
        <v>140</v>
      </c>
      <c r="H77" s="83">
        <v>19.0</v>
      </c>
      <c r="I77" s="48">
        <v>-0.064</v>
      </c>
      <c r="J77" s="48">
        <v>-0.01</v>
      </c>
      <c r="K77" s="48" t="s">
        <v>101</v>
      </c>
      <c r="L77" s="48" t="s">
        <v>101</v>
      </c>
      <c r="M77" s="48" t="s">
        <v>101</v>
      </c>
      <c r="N77" s="48"/>
      <c r="O77" s="49">
        <v>0.01</v>
      </c>
      <c r="P77" s="48">
        <v>0.1</v>
      </c>
      <c r="Q77" s="48">
        <v>0.1</v>
      </c>
      <c r="R77" s="48">
        <v>0.253</v>
      </c>
      <c r="S77" s="48">
        <v>0.5</v>
      </c>
      <c r="T77" s="48"/>
      <c r="U77" s="173">
        <f t="shared" si="2"/>
        <v>-0.1230215827</v>
      </c>
      <c r="V77" s="174">
        <f t="shared" si="3"/>
        <v>1.765978417</v>
      </c>
      <c r="W77" s="175" t="str">
        <f t="shared" si="4"/>
        <v>Normal</v>
      </c>
      <c r="X77" s="54">
        <f t="shared" si="5"/>
        <v>11.83823275</v>
      </c>
      <c r="Y77" s="176">
        <f t="shared" si="6"/>
        <v>6.703497977</v>
      </c>
      <c r="Z77" s="176">
        <f t="shared" si="7"/>
        <v>6.705112961</v>
      </c>
      <c r="AA77" s="174">
        <f t="shared" si="8"/>
        <v>-0.0002409165222</v>
      </c>
      <c r="AB77" s="87"/>
    </row>
    <row r="78">
      <c r="A78" s="159" t="s">
        <v>138</v>
      </c>
      <c r="B78" s="160">
        <v>288.81</v>
      </c>
      <c r="C78" s="161">
        <f t="shared" si="33"/>
        <v>9.1</v>
      </c>
      <c r="D78" s="162" t="s">
        <v>143</v>
      </c>
      <c r="E78" s="36">
        <v>0.266</v>
      </c>
      <c r="F78" s="33">
        <v>623.0</v>
      </c>
      <c r="G78" s="163" t="s">
        <v>140</v>
      </c>
      <c r="H78" s="77">
        <v>19.0</v>
      </c>
      <c r="I78" s="36">
        <v>-0.064</v>
      </c>
      <c r="J78" s="36">
        <v>-0.01</v>
      </c>
      <c r="K78" s="36" t="s">
        <v>101</v>
      </c>
      <c r="L78" s="36" t="s">
        <v>101</v>
      </c>
      <c r="M78" s="36" t="s">
        <v>101</v>
      </c>
      <c r="N78" s="36"/>
      <c r="O78" s="37">
        <v>0.01</v>
      </c>
      <c r="P78" s="36">
        <v>0.1</v>
      </c>
      <c r="Q78" s="36">
        <v>0.1</v>
      </c>
      <c r="R78" s="36">
        <v>0.253</v>
      </c>
      <c r="S78" s="36">
        <v>0.5</v>
      </c>
      <c r="T78" s="36"/>
      <c r="U78" s="164">
        <f t="shared" si="2"/>
        <v>-0.1230215827</v>
      </c>
      <c r="V78" s="165">
        <f t="shared" si="3"/>
        <v>1.765978417</v>
      </c>
      <c r="W78" s="166" t="str">
        <f t="shared" si="4"/>
        <v>Skill</v>
      </c>
      <c r="X78" s="42">
        <f t="shared" si="5"/>
        <v>8.109501967</v>
      </c>
      <c r="Y78" s="167">
        <f t="shared" si="6"/>
        <v>4.59207309</v>
      </c>
      <c r="Z78" s="167">
        <f t="shared" si="7"/>
        <v>4.705112961</v>
      </c>
      <c r="AA78" s="165">
        <f t="shared" si="8"/>
        <v>-0.02461630481</v>
      </c>
      <c r="AB78" s="81"/>
    </row>
    <row r="79">
      <c r="A79" s="168" t="s">
        <v>138</v>
      </c>
      <c r="B79" s="169">
        <v>288.81</v>
      </c>
      <c r="C79" s="170">
        <f t="shared" si="33"/>
        <v>9.1</v>
      </c>
      <c r="D79" s="171" t="s">
        <v>141</v>
      </c>
      <c r="E79" s="48">
        <v>1.8</v>
      </c>
      <c r="F79" s="45">
        <v>4319.0</v>
      </c>
      <c r="G79" s="172" t="s">
        <v>140</v>
      </c>
      <c r="H79" s="83">
        <v>19.0</v>
      </c>
      <c r="I79" s="48">
        <v>-0.064</v>
      </c>
      <c r="J79" s="48">
        <v>-0.01</v>
      </c>
      <c r="K79" s="48" t="s">
        <v>101</v>
      </c>
      <c r="L79" s="48" t="s">
        <v>101</v>
      </c>
      <c r="M79" s="48" t="s">
        <v>101</v>
      </c>
      <c r="N79" s="48"/>
      <c r="O79" s="49">
        <v>0.01</v>
      </c>
      <c r="P79" s="48">
        <v>0.1</v>
      </c>
      <c r="Q79" s="48">
        <v>0.1</v>
      </c>
      <c r="R79" s="48">
        <v>0.253</v>
      </c>
      <c r="S79" s="48">
        <v>0.5</v>
      </c>
      <c r="T79" s="48"/>
      <c r="U79" s="173">
        <f t="shared" si="2"/>
        <v>-0.1230215827</v>
      </c>
      <c r="V79" s="174">
        <f t="shared" si="3"/>
        <v>1.765978417</v>
      </c>
      <c r="W79" s="175" t="str">
        <f t="shared" si="4"/>
        <v>Skill</v>
      </c>
      <c r="X79" s="54">
        <f t="shared" si="5"/>
        <v>8.308037964</v>
      </c>
      <c r="Y79" s="176">
        <f t="shared" si="6"/>
        <v>4.704495753</v>
      </c>
      <c r="Z79" s="176">
        <f t="shared" si="7"/>
        <v>4.705112961</v>
      </c>
      <c r="AA79" s="174">
        <f t="shared" si="8"/>
        <v>-0.0001311952707</v>
      </c>
      <c r="AB79" s="87"/>
    </row>
    <row r="80">
      <c r="A80" s="159" t="s">
        <v>138</v>
      </c>
      <c r="B80" s="160">
        <v>288.81</v>
      </c>
      <c r="C80" s="161">
        <f t="shared" ref="C80:C81" si="34">468/50</f>
        <v>9.36</v>
      </c>
      <c r="D80" s="162" t="s">
        <v>139</v>
      </c>
      <c r="E80" s="36">
        <v>1.0</v>
      </c>
      <c r="F80" s="33">
        <v>3312.0</v>
      </c>
      <c r="G80" s="163" t="s">
        <v>73</v>
      </c>
      <c r="H80" s="77">
        <v>16.0</v>
      </c>
      <c r="I80" s="36">
        <v>-0.055</v>
      </c>
      <c r="J80" s="36">
        <v>-0.01</v>
      </c>
      <c r="K80" s="36">
        <v>-0.1</v>
      </c>
      <c r="L80" s="36" t="s">
        <v>101</v>
      </c>
      <c r="M80" s="36" t="s">
        <v>101</v>
      </c>
      <c r="N80" s="36"/>
      <c r="O80" s="37">
        <v>0.01</v>
      </c>
      <c r="P80" s="36">
        <v>0.1</v>
      </c>
      <c r="Q80" s="36">
        <v>0.1</v>
      </c>
      <c r="R80" s="36">
        <v>0.253</v>
      </c>
      <c r="S80" s="36">
        <v>0.5</v>
      </c>
      <c r="T80" s="36"/>
      <c r="U80" s="164">
        <f t="shared" si="2"/>
        <v>-0.1058823529</v>
      </c>
      <c r="V80" s="165">
        <f t="shared" si="3"/>
        <v>1.692117647</v>
      </c>
      <c r="W80" s="166" t="str">
        <f t="shared" si="4"/>
        <v>Normal</v>
      </c>
      <c r="X80" s="42">
        <f t="shared" si="5"/>
        <v>11.46774696</v>
      </c>
      <c r="Y80" s="167">
        <f t="shared" si="6"/>
        <v>6.777157003</v>
      </c>
      <c r="Z80" s="167">
        <f t="shared" si="7"/>
        <v>6.773826458</v>
      </c>
      <c r="AA80" s="165">
        <f t="shared" si="8"/>
        <v>0.0004914368909</v>
      </c>
      <c r="AB80" s="81"/>
    </row>
    <row r="81">
      <c r="A81" s="168" t="s">
        <v>138</v>
      </c>
      <c r="B81" s="169">
        <v>288.81</v>
      </c>
      <c r="C81" s="170">
        <f t="shared" si="34"/>
        <v>9.36</v>
      </c>
      <c r="D81" s="171" t="s">
        <v>143</v>
      </c>
      <c r="E81" s="48">
        <v>0.266</v>
      </c>
      <c r="F81" s="45">
        <v>606.0</v>
      </c>
      <c r="G81" s="172" t="s">
        <v>73</v>
      </c>
      <c r="H81" s="83">
        <v>16.0</v>
      </c>
      <c r="I81" s="48">
        <v>-0.055</v>
      </c>
      <c r="J81" s="48">
        <v>-0.01</v>
      </c>
      <c r="K81" s="48">
        <v>-0.1</v>
      </c>
      <c r="L81" s="48" t="s">
        <v>101</v>
      </c>
      <c r="M81" s="48" t="s">
        <v>101</v>
      </c>
      <c r="N81" s="48"/>
      <c r="O81" s="49">
        <v>0.01</v>
      </c>
      <c r="P81" s="48">
        <v>0.1</v>
      </c>
      <c r="Q81" s="48">
        <v>0.1</v>
      </c>
      <c r="R81" s="48">
        <v>0.253</v>
      </c>
      <c r="S81" s="48">
        <v>0.5</v>
      </c>
      <c r="T81" s="48"/>
      <c r="U81" s="173">
        <f t="shared" si="2"/>
        <v>-0.1058823529</v>
      </c>
      <c r="V81" s="174">
        <f t="shared" si="3"/>
        <v>1.692117647</v>
      </c>
      <c r="W81" s="175" t="str">
        <f t="shared" si="4"/>
        <v>Skill</v>
      </c>
      <c r="X81" s="54">
        <f t="shared" si="5"/>
        <v>7.888215397</v>
      </c>
      <c r="Y81" s="176">
        <f t="shared" si="6"/>
        <v>4.6617417</v>
      </c>
      <c r="Z81" s="176">
        <f t="shared" si="7"/>
        <v>4.773826458</v>
      </c>
      <c r="AA81" s="174">
        <f t="shared" si="8"/>
        <v>-0.02404353677</v>
      </c>
      <c r="AB81" s="87"/>
    </row>
    <row r="82">
      <c r="A82" s="159" t="s">
        <v>138</v>
      </c>
      <c r="B82" s="160">
        <v>288.81</v>
      </c>
      <c r="C82" s="161">
        <f t="shared" ref="C82:C84" si="35">474/50</f>
        <v>9.48</v>
      </c>
      <c r="D82" s="162" t="s">
        <v>148</v>
      </c>
      <c r="E82" s="36">
        <v>2.142</v>
      </c>
      <c r="F82" s="33">
        <v>3436.0</v>
      </c>
      <c r="G82" s="163" t="s">
        <v>71</v>
      </c>
      <c r="H82" s="77">
        <v>44.0</v>
      </c>
      <c r="I82" s="36">
        <v>-0.055</v>
      </c>
      <c r="J82" s="36">
        <v>-0.01</v>
      </c>
      <c r="K82" s="36" t="s">
        <v>101</v>
      </c>
      <c r="L82" s="36" t="s">
        <v>101</v>
      </c>
      <c r="M82" s="36" t="s">
        <v>101</v>
      </c>
      <c r="N82" s="36"/>
      <c r="O82" s="37">
        <v>0.01</v>
      </c>
      <c r="P82" s="36">
        <v>0.1</v>
      </c>
      <c r="Q82" s="36">
        <v>0.1</v>
      </c>
      <c r="R82" s="36">
        <v>0.253</v>
      </c>
      <c r="S82" s="36"/>
      <c r="T82" s="36"/>
      <c r="U82" s="164">
        <f t="shared" si="2"/>
        <v>-0.2414634146</v>
      </c>
      <c r="V82" s="165">
        <f t="shared" si="3"/>
        <v>1.156536585</v>
      </c>
      <c r="W82" s="166" t="str">
        <f t="shared" si="4"/>
        <v>Skill</v>
      </c>
      <c r="X82" s="42">
        <f t="shared" si="5"/>
        <v>5.554199335</v>
      </c>
      <c r="Y82" s="167">
        <f t="shared" si="6"/>
        <v>4.802441536</v>
      </c>
      <c r="Z82" s="167">
        <f t="shared" si="7"/>
        <v>4.805397727</v>
      </c>
      <c r="AA82" s="165">
        <f t="shared" si="8"/>
        <v>-0.0006155601281</v>
      </c>
      <c r="AB82" s="81"/>
    </row>
    <row r="83">
      <c r="A83" s="168" t="s">
        <v>138</v>
      </c>
      <c r="B83" s="169">
        <v>288.81</v>
      </c>
      <c r="C83" s="170">
        <f t="shared" si="35"/>
        <v>9.48</v>
      </c>
      <c r="D83" s="171" t="s">
        <v>139</v>
      </c>
      <c r="E83" s="48">
        <v>1.0</v>
      </c>
      <c r="F83" s="45">
        <v>2787.0</v>
      </c>
      <c r="G83" s="172" t="s">
        <v>71</v>
      </c>
      <c r="H83" s="83">
        <v>44.0</v>
      </c>
      <c r="I83" s="48">
        <v>-0.055</v>
      </c>
      <c r="J83" s="48">
        <v>-0.01</v>
      </c>
      <c r="K83" s="48" t="s">
        <v>101</v>
      </c>
      <c r="L83" s="48" t="s">
        <v>101</v>
      </c>
      <c r="M83" s="48" t="s">
        <v>101</v>
      </c>
      <c r="N83" s="48">
        <v>0.261</v>
      </c>
      <c r="O83" s="49">
        <v>0.01</v>
      </c>
      <c r="P83" s="48">
        <v>0.1</v>
      </c>
      <c r="Q83" s="48">
        <v>0.1</v>
      </c>
      <c r="R83" s="48">
        <v>0.253</v>
      </c>
      <c r="S83" s="48"/>
      <c r="T83" s="48"/>
      <c r="U83" s="173">
        <f t="shared" si="2"/>
        <v>-0.2414634146</v>
      </c>
      <c r="V83" s="174">
        <f t="shared" si="3"/>
        <v>1.417536585</v>
      </c>
      <c r="W83" s="175" t="str">
        <f t="shared" si="4"/>
        <v>Normal</v>
      </c>
      <c r="X83" s="54">
        <f t="shared" si="5"/>
        <v>9.649942869</v>
      </c>
      <c r="Y83" s="176">
        <f t="shared" si="6"/>
        <v>6.807544136</v>
      </c>
      <c r="Z83" s="176">
        <f t="shared" si="7"/>
        <v>6.805397727</v>
      </c>
      <c r="AA83" s="174">
        <f t="shared" si="8"/>
        <v>0.0003152985132</v>
      </c>
      <c r="AB83" s="87"/>
    </row>
    <row r="84">
      <c r="A84" s="159" t="s">
        <v>138</v>
      </c>
      <c r="B84" s="160">
        <v>288.81</v>
      </c>
      <c r="C84" s="161">
        <f t="shared" si="35"/>
        <v>9.48</v>
      </c>
      <c r="D84" s="162" t="s">
        <v>145</v>
      </c>
      <c r="E84" s="36">
        <v>1.714</v>
      </c>
      <c r="F84" s="33">
        <v>2831.0</v>
      </c>
      <c r="G84" s="163" t="s">
        <v>73</v>
      </c>
      <c r="H84" s="77">
        <v>16.0</v>
      </c>
      <c r="I84" s="36">
        <v>-0.055</v>
      </c>
      <c r="J84" s="36">
        <v>-0.01</v>
      </c>
      <c r="K84" s="36">
        <v>-0.1</v>
      </c>
      <c r="L84" s="36" t="s">
        <v>101</v>
      </c>
      <c r="M84" s="36" t="s">
        <v>101</v>
      </c>
      <c r="N84" s="36"/>
      <c r="O84" s="37">
        <v>0.01</v>
      </c>
      <c r="P84" s="36">
        <v>0.1</v>
      </c>
      <c r="Q84" s="36">
        <v>0.1</v>
      </c>
      <c r="R84" s="36">
        <v>0.253</v>
      </c>
      <c r="S84" s="36"/>
      <c r="T84" s="36"/>
      <c r="U84" s="164">
        <f t="shared" si="2"/>
        <v>-0.1058823529</v>
      </c>
      <c r="V84" s="165">
        <f t="shared" si="3"/>
        <v>1.192117647</v>
      </c>
      <c r="W84" s="166" t="str">
        <f t="shared" si="4"/>
        <v>Skill</v>
      </c>
      <c r="X84" s="42">
        <f t="shared" si="5"/>
        <v>5.718956922</v>
      </c>
      <c r="Y84" s="167">
        <f t="shared" si="6"/>
        <v>4.797309172</v>
      </c>
      <c r="Z84" s="167">
        <f t="shared" si="7"/>
        <v>4.805397727</v>
      </c>
      <c r="AA84" s="165">
        <f t="shared" si="8"/>
        <v>-0.001686060919</v>
      </c>
      <c r="AB84" s="81"/>
    </row>
    <row r="85">
      <c r="A85" s="168" t="s">
        <v>138</v>
      </c>
      <c r="B85" s="169">
        <v>288.81</v>
      </c>
      <c r="C85" s="170">
        <f t="shared" ref="C85:C86" si="36">490/50</f>
        <v>9.8</v>
      </c>
      <c r="D85" s="171" t="s">
        <v>139</v>
      </c>
      <c r="E85" s="48">
        <v>1.0</v>
      </c>
      <c r="F85" s="45">
        <v>3368.0</v>
      </c>
      <c r="G85" s="172" t="s">
        <v>73</v>
      </c>
      <c r="H85" s="83">
        <v>16.0</v>
      </c>
      <c r="I85" s="48">
        <v>-0.055</v>
      </c>
      <c r="J85" s="48">
        <v>-0.01</v>
      </c>
      <c r="K85" s="48">
        <v>-0.1</v>
      </c>
      <c r="L85" s="48" t="s">
        <v>101</v>
      </c>
      <c r="M85" s="48" t="s">
        <v>101</v>
      </c>
      <c r="N85" s="48"/>
      <c r="O85" s="49">
        <v>0.01</v>
      </c>
      <c r="P85" s="48">
        <v>0.1</v>
      </c>
      <c r="Q85" s="48">
        <v>0.1</v>
      </c>
      <c r="R85" s="48">
        <v>0.253</v>
      </c>
      <c r="S85" s="48">
        <v>0.5</v>
      </c>
      <c r="T85" s="48"/>
      <c r="U85" s="173">
        <f t="shared" si="2"/>
        <v>-0.1058823529</v>
      </c>
      <c r="V85" s="174">
        <f t="shared" si="3"/>
        <v>1.692117647</v>
      </c>
      <c r="W85" s="175" t="str">
        <f t="shared" si="4"/>
        <v>Normal</v>
      </c>
      <c r="X85" s="54">
        <f t="shared" si="5"/>
        <v>11.66164606</v>
      </c>
      <c r="Y85" s="176">
        <f t="shared" si="6"/>
        <v>6.891746614</v>
      </c>
      <c r="Z85" s="176">
        <f t="shared" si="7"/>
        <v>6.889150943</v>
      </c>
      <c r="AA85" s="174">
        <f t="shared" si="8"/>
        <v>0.0003766346783</v>
      </c>
      <c r="AB85" s="87"/>
    </row>
    <row r="86">
      <c r="A86" s="159" t="s">
        <v>138</v>
      </c>
      <c r="B86" s="160">
        <v>288.81</v>
      </c>
      <c r="C86" s="161">
        <f t="shared" si="36"/>
        <v>9.8</v>
      </c>
      <c r="D86" s="162" t="s">
        <v>143</v>
      </c>
      <c r="E86" s="36">
        <v>0.266</v>
      </c>
      <c r="F86" s="33">
        <v>437.0</v>
      </c>
      <c r="G86" s="163" t="s">
        <v>73</v>
      </c>
      <c r="H86" s="77">
        <v>16.0</v>
      </c>
      <c r="I86" s="36">
        <v>-0.055</v>
      </c>
      <c r="J86" s="36">
        <v>-0.01</v>
      </c>
      <c r="K86" s="36">
        <v>-0.1</v>
      </c>
      <c r="L86" s="36" t="s">
        <v>101</v>
      </c>
      <c r="M86" s="36" t="s">
        <v>101</v>
      </c>
      <c r="N86" s="36"/>
      <c r="O86" s="37">
        <v>0.01</v>
      </c>
      <c r="P86" s="36">
        <v>0.1</v>
      </c>
      <c r="Q86" s="36">
        <v>0.1</v>
      </c>
      <c r="R86" s="36">
        <v>0.253</v>
      </c>
      <c r="S86" s="36"/>
      <c r="T86" s="36"/>
      <c r="U86" s="164">
        <f t="shared" si="2"/>
        <v>-0.1058823529</v>
      </c>
      <c r="V86" s="165">
        <f t="shared" si="3"/>
        <v>1.192117647</v>
      </c>
      <c r="W86" s="166" t="str">
        <f t="shared" si="4"/>
        <v>Skill</v>
      </c>
      <c r="X86" s="42">
        <f t="shared" si="5"/>
        <v>5.688366548</v>
      </c>
      <c r="Y86" s="167">
        <f t="shared" si="6"/>
        <v>4.771648639</v>
      </c>
      <c r="Z86" s="167">
        <f t="shared" si="7"/>
        <v>4.889150943</v>
      </c>
      <c r="AA86" s="165">
        <f t="shared" si="8"/>
        <v>-0.02462509564</v>
      </c>
      <c r="AB86" s="81"/>
    </row>
    <row r="87">
      <c r="A87" s="168" t="s">
        <v>138</v>
      </c>
      <c r="B87" s="169">
        <v>288.81</v>
      </c>
      <c r="C87" s="170">
        <f t="shared" ref="C87:C88" si="37">508/50</f>
        <v>10.16</v>
      </c>
      <c r="D87" s="171" t="s">
        <v>139</v>
      </c>
      <c r="E87" s="48">
        <v>1.0</v>
      </c>
      <c r="F87" s="45">
        <v>3341.0</v>
      </c>
      <c r="G87" s="172" t="s">
        <v>71</v>
      </c>
      <c r="H87" s="83">
        <v>44.0</v>
      </c>
      <c r="I87" s="48">
        <v>-0.055</v>
      </c>
      <c r="J87" s="48">
        <v>-0.01</v>
      </c>
      <c r="K87" s="48" t="s">
        <v>101</v>
      </c>
      <c r="L87" s="48" t="s">
        <v>101</v>
      </c>
      <c r="M87" s="48" t="s">
        <v>101</v>
      </c>
      <c r="N87" s="48"/>
      <c r="O87" s="49">
        <v>0.01</v>
      </c>
      <c r="P87" s="48">
        <v>0.1</v>
      </c>
      <c r="Q87" s="48">
        <v>0.1</v>
      </c>
      <c r="R87" s="48">
        <v>0.253</v>
      </c>
      <c r="S87" s="48">
        <v>0.5</v>
      </c>
      <c r="T87" s="48"/>
      <c r="U87" s="173">
        <f t="shared" si="2"/>
        <v>-0.2414634146</v>
      </c>
      <c r="V87" s="174">
        <f t="shared" si="3"/>
        <v>1.656536585</v>
      </c>
      <c r="W87" s="175" t="str">
        <f t="shared" si="4"/>
        <v>Normal</v>
      </c>
      <c r="X87" s="54">
        <f t="shared" si="5"/>
        <v>11.568159</v>
      </c>
      <c r="Y87" s="176">
        <f t="shared" si="6"/>
        <v>6.983340482</v>
      </c>
      <c r="Z87" s="176">
        <f t="shared" si="7"/>
        <v>6.982620949</v>
      </c>
      <c r="AA87" s="174">
        <f t="shared" si="8"/>
        <v>0.0001030357408</v>
      </c>
      <c r="AB87" s="87"/>
    </row>
    <row r="88">
      <c r="A88" s="159" t="s">
        <v>138</v>
      </c>
      <c r="B88" s="160">
        <v>288.81</v>
      </c>
      <c r="C88" s="161">
        <f t="shared" si="37"/>
        <v>10.16</v>
      </c>
      <c r="D88" s="162" t="s">
        <v>141</v>
      </c>
      <c r="E88" s="36">
        <v>1.8</v>
      </c>
      <c r="F88" s="33">
        <v>4292.0</v>
      </c>
      <c r="G88" s="163" t="s">
        <v>71</v>
      </c>
      <c r="H88" s="77">
        <v>44.0</v>
      </c>
      <c r="I88" s="36">
        <v>-0.055</v>
      </c>
      <c r="J88" s="36">
        <v>-0.01</v>
      </c>
      <c r="K88" s="36" t="s">
        <v>101</v>
      </c>
      <c r="L88" s="36" t="s">
        <v>101</v>
      </c>
      <c r="M88" s="36" t="s">
        <v>101</v>
      </c>
      <c r="N88" s="36"/>
      <c r="O88" s="37">
        <v>0.01</v>
      </c>
      <c r="P88" s="36">
        <v>0.1</v>
      </c>
      <c r="Q88" s="36">
        <v>0.1</v>
      </c>
      <c r="R88" s="36">
        <v>0.253</v>
      </c>
      <c r="S88" s="36">
        <v>0.5</v>
      </c>
      <c r="T88" s="36"/>
      <c r="U88" s="164">
        <f t="shared" si="2"/>
        <v>-0.2414634146</v>
      </c>
      <c r="V88" s="165">
        <f t="shared" si="3"/>
        <v>1.656536585</v>
      </c>
      <c r="W88" s="166" t="str">
        <f t="shared" si="4"/>
        <v>Skill</v>
      </c>
      <c r="X88" s="42">
        <f t="shared" si="5"/>
        <v>8.256100704</v>
      </c>
      <c r="Y88" s="167">
        <f t="shared" si="6"/>
        <v>4.983953133</v>
      </c>
      <c r="Z88" s="167">
        <f t="shared" si="7"/>
        <v>4.982620949</v>
      </c>
      <c r="AA88" s="165">
        <f t="shared" si="8"/>
        <v>0.000267294671</v>
      </c>
      <c r="AB88" s="81"/>
    </row>
    <row r="89">
      <c r="A89" s="168" t="s">
        <v>138</v>
      </c>
      <c r="B89" s="169">
        <v>288.81</v>
      </c>
      <c r="C89" s="170">
        <f t="shared" ref="C89:C90" si="38">525/50</f>
        <v>10.5</v>
      </c>
      <c r="D89" s="171" t="s">
        <v>139</v>
      </c>
      <c r="E89" s="48">
        <v>1.0</v>
      </c>
      <c r="F89" s="45">
        <v>2611.0</v>
      </c>
      <c r="G89" s="172" t="s">
        <v>80</v>
      </c>
      <c r="H89" s="83">
        <v>23.0</v>
      </c>
      <c r="I89" s="48">
        <v>-0.03</v>
      </c>
      <c r="J89" s="48">
        <v>-0.01</v>
      </c>
      <c r="K89" s="48" t="s">
        <v>101</v>
      </c>
      <c r="L89" s="48" t="s">
        <v>101</v>
      </c>
      <c r="M89" s="48" t="s">
        <v>101</v>
      </c>
      <c r="N89" s="48"/>
      <c r="O89" s="49">
        <v>0.01</v>
      </c>
      <c r="P89" s="48">
        <v>0.1</v>
      </c>
      <c r="Q89" s="48">
        <v>0.1</v>
      </c>
      <c r="R89" s="48">
        <v>0.253</v>
      </c>
      <c r="S89" s="48"/>
      <c r="T89" s="48"/>
      <c r="U89" s="173">
        <f t="shared" si="2"/>
        <v>-0.1447552448</v>
      </c>
      <c r="V89" s="174">
        <f t="shared" si="3"/>
        <v>1.278244755</v>
      </c>
      <c r="W89" s="175" t="str">
        <f t="shared" si="4"/>
        <v>Normal</v>
      </c>
      <c r="X89" s="54">
        <f t="shared" si="5"/>
        <v>9.040545687</v>
      </c>
      <c r="Y89" s="176">
        <f t="shared" si="6"/>
        <v>7.072624903</v>
      </c>
      <c r="Z89" s="176">
        <f t="shared" si="7"/>
        <v>7.070175439</v>
      </c>
      <c r="AA89" s="174">
        <f t="shared" si="8"/>
        <v>0.000346330248</v>
      </c>
      <c r="AB89" s="87"/>
    </row>
    <row r="90">
      <c r="A90" s="159" t="s">
        <v>138</v>
      </c>
      <c r="B90" s="160">
        <v>288.81</v>
      </c>
      <c r="C90" s="161">
        <f t="shared" si="38"/>
        <v>10.5</v>
      </c>
      <c r="D90" s="162" t="s">
        <v>143</v>
      </c>
      <c r="E90" s="36">
        <v>0.266</v>
      </c>
      <c r="F90" s="33">
        <v>486.0</v>
      </c>
      <c r="G90" s="163" t="s">
        <v>80</v>
      </c>
      <c r="H90" s="77">
        <v>23.0</v>
      </c>
      <c r="I90" s="36">
        <v>-0.03</v>
      </c>
      <c r="J90" s="36">
        <v>-0.01</v>
      </c>
      <c r="K90" s="36" t="s">
        <v>101</v>
      </c>
      <c r="L90" s="36" t="s">
        <v>101</v>
      </c>
      <c r="M90" s="36" t="s">
        <v>101</v>
      </c>
      <c r="N90" s="36"/>
      <c r="O90" s="37">
        <v>0.01</v>
      </c>
      <c r="P90" s="36">
        <v>0.1</v>
      </c>
      <c r="Q90" s="36">
        <v>0.1</v>
      </c>
      <c r="R90" s="36">
        <v>0.253</v>
      </c>
      <c r="S90" s="36"/>
      <c r="T90" s="36"/>
      <c r="U90" s="164">
        <f t="shared" si="2"/>
        <v>-0.1447552448</v>
      </c>
      <c r="V90" s="165">
        <f t="shared" si="3"/>
        <v>1.278244755</v>
      </c>
      <c r="W90" s="166" t="str">
        <f t="shared" si="4"/>
        <v>Skill</v>
      </c>
      <c r="X90" s="42">
        <f t="shared" si="5"/>
        <v>6.326192546</v>
      </c>
      <c r="Y90" s="167">
        <f t="shared" si="6"/>
        <v>4.949124587</v>
      </c>
      <c r="Z90" s="167">
        <f t="shared" si="7"/>
        <v>5.070175439</v>
      </c>
      <c r="AA90" s="165">
        <f t="shared" si="8"/>
        <v>-0.02445904319</v>
      </c>
      <c r="AB90" s="81"/>
    </row>
    <row r="91">
      <c r="A91" s="168" t="s">
        <v>138</v>
      </c>
      <c r="B91" s="169">
        <v>288.81</v>
      </c>
      <c r="C91" s="170">
        <f t="shared" ref="C91:C92" si="39">572/50</f>
        <v>11.44</v>
      </c>
      <c r="D91" s="171" t="s">
        <v>147</v>
      </c>
      <c r="E91" s="48">
        <v>2.6</v>
      </c>
      <c r="F91" s="45">
        <v>7091.0</v>
      </c>
      <c r="G91" s="172" t="s">
        <v>80</v>
      </c>
      <c r="H91" s="83">
        <v>23.0</v>
      </c>
      <c r="I91" s="48">
        <v>-0.03</v>
      </c>
      <c r="J91" s="48">
        <v>-0.01</v>
      </c>
      <c r="K91" s="48" t="s">
        <v>101</v>
      </c>
      <c r="L91" s="48" t="s">
        <v>101</v>
      </c>
      <c r="M91" s="48" t="s">
        <v>101</v>
      </c>
      <c r="N91" s="48"/>
      <c r="O91" s="49">
        <v>0.01</v>
      </c>
      <c r="P91" s="48">
        <v>0.1</v>
      </c>
      <c r="Q91" s="48">
        <v>0.1</v>
      </c>
      <c r="R91" s="48">
        <v>0.253</v>
      </c>
      <c r="S91" s="48">
        <v>0.5</v>
      </c>
      <c r="T91" s="48"/>
      <c r="U91" s="173">
        <f t="shared" si="2"/>
        <v>-0.1447552448</v>
      </c>
      <c r="V91" s="174">
        <f t="shared" si="3"/>
        <v>1.778244755</v>
      </c>
      <c r="W91" s="175" t="str">
        <f t="shared" si="4"/>
        <v>Skill</v>
      </c>
      <c r="X91" s="54">
        <f t="shared" si="5"/>
        <v>9.44325921</v>
      </c>
      <c r="Y91" s="176">
        <f t="shared" si="6"/>
        <v>5.310438387</v>
      </c>
      <c r="Z91" s="176">
        <f t="shared" si="7"/>
        <v>5.308653401</v>
      </c>
      <c r="AA91" s="174">
        <f t="shared" si="8"/>
        <v>0.0003361277467</v>
      </c>
      <c r="AB91" s="87"/>
    </row>
    <row r="92">
      <c r="A92" s="159" t="s">
        <v>138</v>
      </c>
      <c r="B92" s="160">
        <v>288.81</v>
      </c>
      <c r="C92" s="161">
        <f t="shared" si="39"/>
        <v>11.44</v>
      </c>
      <c r="D92" s="162" t="s">
        <v>139</v>
      </c>
      <c r="E92" s="36">
        <v>1.0</v>
      </c>
      <c r="F92" s="33">
        <v>2699.0</v>
      </c>
      <c r="G92" s="163" t="s">
        <v>80</v>
      </c>
      <c r="H92" s="77">
        <v>23.0</v>
      </c>
      <c r="I92" s="36">
        <v>-0.03</v>
      </c>
      <c r="J92" s="36">
        <v>-0.01</v>
      </c>
      <c r="K92" s="36" t="s">
        <v>101</v>
      </c>
      <c r="L92" s="36" t="s">
        <v>101</v>
      </c>
      <c r="M92" s="36" t="s">
        <v>101</v>
      </c>
      <c r="N92" s="36"/>
      <c r="O92" s="37">
        <v>0.01</v>
      </c>
      <c r="P92" s="36">
        <v>0.1</v>
      </c>
      <c r="Q92" s="36">
        <v>0.1</v>
      </c>
      <c r="R92" s="36">
        <v>0.253</v>
      </c>
      <c r="S92" s="36"/>
      <c r="T92" s="36"/>
      <c r="U92" s="164">
        <f t="shared" si="2"/>
        <v>-0.1447552448</v>
      </c>
      <c r="V92" s="165">
        <f t="shared" si="3"/>
        <v>1.278244755</v>
      </c>
      <c r="W92" s="166" t="str">
        <f t="shared" si="4"/>
        <v>Normal</v>
      </c>
      <c r="X92" s="42">
        <f t="shared" si="5"/>
        <v>9.345244278</v>
      </c>
      <c r="Y92" s="167">
        <f t="shared" si="6"/>
        <v>7.310997553</v>
      </c>
      <c r="Z92" s="167">
        <f t="shared" si="7"/>
        <v>7.308653401</v>
      </c>
      <c r="AA92" s="165">
        <f t="shared" si="8"/>
        <v>0.0003206337006</v>
      </c>
      <c r="AB92" s="81"/>
    </row>
    <row r="93">
      <c r="A93" s="168" t="s">
        <v>138</v>
      </c>
      <c r="B93" s="169">
        <v>288.81</v>
      </c>
      <c r="C93" s="170">
        <f t="shared" ref="C93:C96" si="40">685/50</f>
        <v>13.7</v>
      </c>
      <c r="D93" s="171" t="s">
        <v>148</v>
      </c>
      <c r="E93" s="48">
        <v>2.142</v>
      </c>
      <c r="F93" s="45">
        <v>6444.0</v>
      </c>
      <c r="G93" s="172" t="s">
        <v>80</v>
      </c>
      <c r="H93" s="83">
        <v>23.0</v>
      </c>
      <c r="I93" s="48">
        <v>-0.03</v>
      </c>
      <c r="J93" s="48">
        <v>-0.01</v>
      </c>
      <c r="K93" s="48" t="s">
        <v>101</v>
      </c>
      <c r="L93" s="48" t="s">
        <v>101</v>
      </c>
      <c r="M93" s="48" t="s">
        <v>101</v>
      </c>
      <c r="N93" s="48"/>
      <c r="O93" s="49">
        <v>0.01</v>
      </c>
      <c r="P93" s="48">
        <v>0.1</v>
      </c>
      <c r="Q93" s="48">
        <v>0.1</v>
      </c>
      <c r="R93" s="48">
        <v>0.253</v>
      </c>
      <c r="S93" s="48">
        <v>0.5</v>
      </c>
      <c r="T93" s="48"/>
      <c r="U93" s="173">
        <f t="shared" si="2"/>
        <v>-0.1447552448</v>
      </c>
      <c r="V93" s="174">
        <f t="shared" si="3"/>
        <v>1.778244755</v>
      </c>
      <c r="W93" s="175" t="str">
        <f t="shared" si="4"/>
        <v>Skill</v>
      </c>
      <c r="X93" s="54">
        <f t="shared" si="5"/>
        <v>10.41654846</v>
      </c>
      <c r="Y93" s="176">
        <f t="shared" si="6"/>
        <v>5.857769821</v>
      </c>
      <c r="Z93" s="176">
        <f t="shared" si="7"/>
        <v>5.861330327</v>
      </c>
      <c r="AA93" s="174">
        <f t="shared" si="8"/>
        <v>-0.0006078261481</v>
      </c>
      <c r="AB93" s="87"/>
    </row>
    <row r="94">
      <c r="A94" s="159" t="s">
        <v>138</v>
      </c>
      <c r="B94" s="160">
        <v>288.81</v>
      </c>
      <c r="C94" s="161">
        <f t="shared" si="40"/>
        <v>13.7</v>
      </c>
      <c r="D94" s="162" t="s">
        <v>139</v>
      </c>
      <c r="E94" s="36">
        <v>1.0</v>
      </c>
      <c r="F94" s="33">
        <v>3496.0</v>
      </c>
      <c r="G94" s="163" t="s">
        <v>80</v>
      </c>
      <c r="H94" s="77">
        <v>23.0</v>
      </c>
      <c r="I94" s="36">
        <v>-0.03</v>
      </c>
      <c r="J94" s="36">
        <v>-0.01</v>
      </c>
      <c r="K94" s="36" t="s">
        <v>101</v>
      </c>
      <c r="L94" s="36" t="s">
        <v>101</v>
      </c>
      <c r="M94" s="36" t="s">
        <v>101</v>
      </c>
      <c r="N94" s="36">
        <v>0.261</v>
      </c>
      <c r="O94" s="37">
        <v>0.01</v>
      </c>
      <c r="P94" s="36">
        <v>0.1</v>
      </c>
      <c r="Q94" s="36">
        <v>0.1</v>
      </c>
      <c r="R94" s="36">
        <v>0.253</v>
      </c>
      <c r="S94" s="36"/>
      <c r="T94" s="36"/>
      <c r="U94" s="164">
        <f t="shared" si="2"/>
        <v>-0.1447552448</v>
      </c>
      <c r="V94" s="165">
        <f t="shared" si="3"/>
        <v>1.539244755</v>
      </c>
      <c r="W94" s="166" t="str">
        <f t="shared" si="4"/>
        <v>Normal</v>
      </c>
      <c r="X94" s="42">
        <f t="shared" si="5"/>
        <v>12.10484402</v>
      </c>
      <c r="Y94" s="167">
        <f t="shared" si="6"/>
        <v>7.864145045</v>
      </c>
      <c r="Z94" s="167">
        <f t="shared" si="7"/>
        <v>7.861330327</v>
      </c>
      <c r="AA94" s="165">
        <f t="shared" si="8"/>
        <v>0.0003579178794</v>
      </c>
      <c r="AB94" s="81"/>
    </row>
    <row r="95">
      <c r="A95" s="168" t="s">
        <v>138</v>
      </c>
      <c r="B95" s="169">
        <v>288.81</v>
      </c>
      <c r="C95" s="170">
        <f t="shared" si="40"/>
        <v>13.7</v>
      </c>
      <c r="D95" s="171" t="s">
        <v>145</v>
      </c>
      <c r="E95" s="48">
        <v>1.714</v>
      </c>
      <c r="F95" s="45">
        <v>5149.0</v>
      </c>
      <c r="G95" s="172" t="s">
        <v>80</v>
      </c>
      <c r="H95" s="83">
        <v>23.0</v>
      </c>
      <c r="I95" s="48">
        <v>-0.03</v>
      </c>
      <c r="J95" s="48">
        <v>-0.01</v>
      </c>
      <c r="K95" s="48" t="s">
        <v>101</v>
      </c>
      <c r="L95" s="48" t="s">
        <v>101</v>
      </c>
      <c r="M95" s="48" t="s">
        <v>101</v>
      </c>
      <c r="N95" s="48"/>
      <c r="O95" s="49">
        <v>0.01</v>
      </c>
      <c r="P95" s="48">
        <v>0.1</v>
      </c>
      <c r="Q95" s="48">
        <v>0.1</v>
      </c>
      <c r="R95" s="48">
        <v>0.253</v>
      </c>
      <c r="S95" s="48">
        <v>0.5</v>
      </c>
      <c r="T95" s="48"/>
      <c r="U95" s="173">
        <f t="shared" si="2"/>
        <v>-0.1447552448</v>
      </c>
      <c r="V95" s="174">
        <f t="shared" si="3"/>
        <v>1.778244755</v>
      </c>
      <c r="W95" s="175" t="str">
        <f t="shared" si="4"/>
        <v>Skill</v>
      </c>
      <c r="X95" s="54">
        <f t="shared" si="5"/>
        <v>10.40159279</v>
      </c>
      <c r="Y95" s="176">
        <f t="shared" si="6"/>
        <v>5.849359466</v>
      </c>
      <c r="Z95" s="176">
        <f t="shared" si="7"/>
        <v>5.861330327</v>
      </c>
      <c r="AA95" s="174">
        <f t="shared" si="8"/>
        <v>-0.002046525177</v>
      </c>
      <c r="AB95" s="87"/>
    </row>
    <row r="96">
      <c r="A96" s="159" t="s">
        <v>138</v>
      </c>
      <c r="B96" s="160">
        <v>288.81</v>
      </c>
      <c r="C96" s="161">
        <f t="shared" si="40"/>
        <v>13.7</v>
      </c>
      <c r="D96" s="162" t="s">
        <v>151</v>
      </c>
      <c r="E96" s="36">
        <v>2.571</v>
      </c>
      <c r="F96" s="33">
        <v>7739.0</v>
      </c>
      <c r="G96" s="163" t="s">
        <v>80</v>
      </c>
      <c r="H96" s="77">
        <v>23.0</v>
      </c>
      <c r="I96" s="36">
        <v>-0.03</v>
      </c>
      <c r="J96" s="36">
        <v>-0.01</v>
      </c>
      <c r="K96" s="36" t="s">
        <v>101</v>
      </c>
      <c r="L96" s="36" t="s">
        <v>101</v>
      </c>
      <c r="M96" s="36" t="s">
        <v>101</v>
      </c>
      <c r="N96" s="36"/>
      <c r="O96" s="37">
        <v>0.01</v>
      </c>
      <c r="P96" s="36">
        <v>0.1</v>
      </c>
      <c r="Q96" s="36">
        <v>0.1</v>
      </c>
      <c r="R96" s="36">
        <v>0.253</v>
      </c>
      <c r="S96" s="36">
        <v>0.5</v>
      </c>
      <c r="T96" s="36"/>
      <c r="U96" s="164">
        <f t="shared" si="2"/>
        <v>-0.1447552448</v>
      </c>
      <c r="V96" s="165">
        <f t="shared" si="3"/>
        <v>1.778244755</v>
      </c>
      <c r="W96" s="166" t="str">
        <f t="shared" si="4"/>
        <v>Skill</v>
      </c>
      <c r="X96" s="42">
        <f t="shared" si="5"/>
        <v>10.42246735</v>
      </c>
      <c r="Y96" s="167">
        <f t="shared" si="6"/>
        <v>5.861098324</v>
      </c>
      <c r="Z96" s="167">
        <f t="shared" si="7"/>
        <v>5.861330327</v>
      </c>
      <c r="AA96" s="165">
        <f t="shared" si="8"/>
        <v>-0.00003958356457</v>
      </c>
      <c r="AB96" s="81"/>
    </row>
    <row r="97">
      <c r="A97" s="168" t="s">
        <v>138</v>
      </c>
      <c r="B97" s="169">
        <v>288.81</v>
      </c>
      <c r="C97" s="170">
        <f t="shared" ref="C97:C98" si="41">738/50</f>
        <v>14.76</v>
      </c>
      <c r="D97" s="171" t="s">
        <v>139</v>
      </c>
      <c r="E97" s="48">
        <v>1.0</v>
      </c>
      <c r="F97" s="45">
        <v>2996.0</v>
      </c>
      <c r="G97" s="172" t="s">
        <v>80</v>
      </c>
      <c r="H97" s="83">
        <v>23.0</v>
      </c>
      <c r="I97" s="48">
        <v>-0.03</v>
      </c>
      <c r="J97" s="48">
        <v>-0.01</v>
      </c>
      <c r="K97" s="48" t="s">
        <v>101</v>
      </c>
      <c r="L97" s="48" t="s">
        <v>101</v>
      </c>
      <c r="M97" s="48" t="s">
        <v>101</v>
      </c>
      <c r="N97" s="48"/>
      <c r="O97" s="49">
        <v>0.01</v>
      </c>
      <c r="P97" s="48">
        <v>0.1</v>
      </c>
      <c r="Q97" s="48">
        <v>0.1</v>
      </c>
      <c r="R97" s="48">
        <v>0.253</v>
      </c>
      <c r="S97" s="48"/>
      <c r="T97" s="48"/>
      <c r="U97" s="173">
        <f t="shared" si="2"/>
        <v>-0.1447552448</v>
      </c>
      <c r="V97" s="174">
        <f t="shared" si="3"/>
        <v>1.278244755</v>
      </c>
      <c r="W97" s="175" t="str">
        <f t="shared" si="4"/>
        <v>Normal</v>
      </c>
      <c r="X97" s="54">
        <f t="shared" si="5"/>
        <v>10.37360202</v>
      </c>
      <c r="Y97" s="176">
        <f t="shared" si="6"/>
        <v>8.11550525</v>
      </c>
      <c r="Z97" s="176">
        <f t="shared" si="7"/>
        <v>8.110962567</v>
      </c>
      <c r="AA97" s="174">
        <f t="shared" si="8"/>
        <v>0.0005597535959</v>
      </c>
      <c r="AB97" s="87"/>
    </row>
    <row r="98">
      <c r="A98" s="159" t="s">
        <v>138</v>
      </c>
      <c r="B98" s="160">
        <v>288.81</v>
      </c>
      <c r="C98" s="161">
        <f t="shared" si="41"/>
        <v>14.76</v>
      </c>
      <c r="D98" s="162" t="s">
        <v>143</v>
      </c>
      <c r="E98" s="36">
        <v>0.266</v>
      </c>
      <c r="F98" s="33">
        <v>816.0</v>
      </c>
      <c r="G98" s="163" t="s">
        <v>80</v>
      </c>
      <c r="H98" s="77">
        <v>23.0</v>
      </c>
      <c r="I98" s="36">
        <v>-0.03</v>
      </c>
      <c r="J98" s="36">
        <v>-0.01</v>
      </c>
      <c r="K98" s="36" t="s">
        <v>101</v>
      </c>
      <c r="L98" s="36" t="s">
        <v>101</v>
      </c>
      <c r="M98" s="36" t="s">
        <v>101</v>
      </c>
      <c r="N98" s="36"/>
      <c r="O98" s="37">
        <v>0.01</v>
      </c>
      <c r="P98" s="36">
        <v>0.1</v>
      </c>
      <c r="Q98" s="36">
        <v>0.1</v>
      </c>
      <c r="R98" s="36">
        <v>0.253</v>
      </c>
      <c r="S98" s="36">
        <v>0.5</v>
      </c>
      <c r="T98" s="36"/>
      <c r="U98" s="164">
        <f t="shared" si="2"/>
        <v>-0.1447552448</v>
      </c>
      <c r="V98" s="165">
        <f t="shared" si="3"/>
        <v>1.778244755</v>
      </c>
      <c r="W98" s="166" t="str">
        <f t="shared" si="4"/>
        <v>Skill</v>
      </c>
      <c r="X98" s="42">
        <f t="shared" si="5"/>
        <v>10.62175539</v>
      </c>
      <c r="Y98" s="167">
        <f t="shared" si="6"/>
        <v>5.973168403</v>
      </c>
      <c r="Z98" s="167">
        <f t="shared" si="7"/>
        <v>6.110962567</v>
      </c>
      <c r="AA98" s="165">
        <f t="shared" si="8"/>
        <v>-0.02306885627</v>
      </c>
      <c r="AB98" s="81"/>
    </row>
    <row r="99">
      <c r="A99" s="168" t="s">
        <v>138</v>
      </c>
      <c r="B99" s="169">
        <v>288.81</v>
      </c>
      <c r="C99" s="170">
        <f t="shared" ref="C99:C101" si="42">864/50</f>
        <v>17.28</v>
      </c>
      <c r="D99" s="171" t="s">
        <v>139</v>
      </c>
      <c r="E99" s="48">
        <v>1.0</v>
      </c>
      <c r="F99" s="45">
        <v>3206.0</v>
      </c>
      <c r="G99" s="172" t="s">
        <v>80</v>
      </c>
      <c r="H99" s="83">
        <v>23.0</v>
      </c>
      <c r="I99" s="48">
        <v>-0.03</v>
      </c>
      <c r="J99" s="48">
        <v>-0.01</v>
      </c>
      <c r="K99" s="48" t="s">
        <v>101</v>
      </c>
      <c r="L99" s="48" t="s">
        <v>101</v>
      </c>
      <c r="M99" s="48" t="s">
        <v>101</v>
      </c>
      <c r="N99" s="48"/>
      <c r="O99" s="49">
        <v>0.01</v>
      </c>
      <c r="P99" s="48">
        <v>0.1</v>
      </c>
      <c r="Q99" s="48">
        <v>0.1</v>
      </c>
      <c r="R99" s="48">
        <v>0.253</v>
      </c>
      <c r="S99" s="48"/>
      <c r="T99" s="48"/>
      <c r="U99" s="173">
        <f t="shared" si="2"/>
        <v>-0.1447552448</v>
      </c>
      <c r="V99" s="174">
        <f t="shared" si="3"/>
        <v>1.278244755</v>
      </c>
      <c r="W99" s="175" t="str">
        <f t="shared" si="4"/>
        <v>Normal</v>
      </c>
      <c r="X99" s="54">
        <f t="shared" si="5"/>
        <v>11.10072366</v>
      </c>
      <c r="Y99" s="176">
        <f t="shared" si="6"/>
        <v>8.684349076</v>
      </c>
      <c r="Z99" s="176">
        <f t="shared" si="7"/>
        <v>8.681404421</v>
      </c>
      <c r="AA99" s="174">
        <f t="shared" si="8"/>
        <v>0.0003390760413</v>
      </c>
      <c r="AB99" s="87"/>
    </row>
    <row r="100">
      <c r="A100" s="159" t="s">
        <v>138</v>
      </c>
      <c r="B100" s="160">
        <v>288.81</v>
      </c>
      <c r="C100" s="161">
        <f t="shared" si="42"/>
        <v>17.28</v>
      </c>
      <c r="D100" s="162" t="s">
        <v>145</v>
      </c>
      <c r="E100" s="36">
        <v>1.714</v>
      </c>
      <c r="F100" s="33">
        <v>5335.0</v>
      </c>
      <c r="G100" s="163" t="s">
        <v>75</v>
      </c>
      <c r="H100" s="77">
        <v>34.0</v>
      </c>
      <c r="I100" s="36">
        <v>-0.038</v>
      </c>
      <c r="J100" s="36">
        <v>-0.01</v>
      </c>
      <c r="K100" s="36">
        <v>-0.1</v>
      </c>
      <c r="L100" s="36" t="s">
        <v>101</v>
      </c>
      <c r="M100" s="36" t="s">
        <v>101</v>
      </c>
      <c r="N100" s="36"/>
      <c r="O100" s="37">
        <v>0.01</v>
      </c>
      <c r="P100" s="36">
        <v>0.1</v>
      </c>
      <c r="Q100" s="36">
        <v>0.1</v>
      </c>
      <c r="R100" s="36">
        <v>0.253</v>
      </c>
      <c r="S100" s="36">
        <v>0.5</v>
      </c>
      <c r="T100" s="36"/>
      <c r="U100" s="164">
        <f t="shared" si="2"/>
        <v>-0.1987012987</v>
      </c>
      <c r="V100" s="165">
        <f t="shared" si="3"/>
        <v>1.616298701</v>
      </c>
      <c r="W100" s="166" t="str">
        <f t="shared" si="4"/>
        <v>Skill</v>
      </c>
      <c r="X100" s="42">
        <f t="shared" si="5"/>
        <v>10.77733493</v>
      </c>
      <c r="Y100" s="167">
        <f t="shared" si="6"/>
        <v>6.667910405</v>
      </c>
      <c r="Z100" s="167">
        <f t="shared" si="7"/>
        <v>6.681404421</v>
      </c>
      <c r="AA100" s="165">
        <f t="shared" si="8"/>
        <v>-0.002023724965</v>
      </c>
      <c r="AB100" s="81"/>
    </row>
    <row r="101">
      <c r="A101" s="168" t="s">
        <v>138</v>
      </c>
      <c r="B101" s="169">
        <v>288.81</v>
      </c>
      <c r="C101" s="170">
        <f t="shared" si="42"/>
        <v>17.28</v>
      </c>
      <c r="D101" s="171" t="s">
        <v>141</v>
      </c>
      <c r="E101" s="48">
        <v>1.8</v>
      </c>
      <c r="F101" s="45">
        <v>6179.0</v>
      </c>
      <c r="G101" s="172" t="s">
        <v>80</v>
      </c>
      <c r="H101" s="83">
        <v>23.0</v>
      </c>
      <c r="I101" s="48">
        <v>-0.03</v>
      </c>
      <c r="J101" s="48">
        <v>-0.01</v>
      </c>
      <c r="K101" s="48" t="s">
        <v>101</v>
      </c>
      <c r="L101" s="48" t="s">
        <v>101</v>
      </c>
      <c r="M101" s="48" t="s">
        <v>101</v>
      </c>
      <c r="N101" s="48"/>
      <c r="O101" s="49">
        <v>0.01</v>
      </c>
      <c r="P101" s="48">
        <v>0.1</v>
      </c>
      <c r="Q101" s="48">
        <v>0.1</v>
      </c>
      <c r="R101" s="48">
        <v>0.253</v>
      </c>
      <c r="S101" s="48">
        <v>0.5</v>
      </c>
      <c r="T101" s="48"/>
      <c r="U101" s="173">
        <f t="shared" si="2"/>
        <v>-0.1447552448</v>
      </c>
      <c r="V101" s="174">
        <f t="shared" si="3"/>
        <v>1.778244755</v>
      </c>
      <c r="W101" s="175" t="str">
        <f t="shared" si="4"/>
        <v>Skill</v>
      </c>
      <c r="X101" s="54">
        <f t="shared" si="5"/>
        <v>11.88593808</v>
      </c>
      <c r="Y101" s="176">
        <f t="shared" si="6"/>
        <v>6.684084431</v>
      </c>
      <c r="Z101" s="176">
        <f t="shared" si="7"/>
        <v>6.681404421</v>
      </c>
      <c r="AA101" s="174">
        <f t="shared" si="8"/>
        <v>0.0004009538974</v>
      </c>
      <c r="AB101" s="87"/>
    </row>
    <row r="102">
      <c r="A102" s="159" t="s">
        <v>138</v>
      </c>
      <c r="B102" s="160">
        <v>288.81</v>
      </c>
      <c r="C102" s="161">
        <f t="shared" ref="C102:C103" si="43">874/50</f>
        <v>17.48</v>
      </c>
      <c r="D102" s="162" t="s">
        <v>139</v>
      </c>
      <c r="E102" s="36">
        <v>1.0</v>
      </c>
      <c r="F102" s="33">
        <v>2814.0</v>
      </c>
      <c r="G102" s="163" t="s">
        <v>75</v>
      </c>
      <c r="H102" s="77">
        <v>34.0</v>
      </c>
      <c r="I102" s="36">
        <v>-0.038</v>
      </c>
      <c r="J102" s="36">
        <v>-0.01</v>
      </c>
      <c r="K102" s="36">
        <v>-0.1</v>
      </c>
      <c r="L102" s="36" t="s">
        <v>101</v>
      </c>
      <c r="M102" s="36" t="s">
        <v>101</v>
      </c>
      <c r="N102" s="36"/>
      <c r="O102" s="37">
        <v>0.01</v>
      </c>
      <c r="P102" s="36">
        <v>0.1</v>
      </c>
      <c r="Q102" s="36">
        <v>0.1</v>
      </c>
      <c r="R102" s="36">
        <v>0.253</v>
      </c>
      <c r="S102" s="36"/>
      <c r="T102" s="36"/>
      <c r="U102" s="164">
        <f t="shared" si="2"/>
        <v>-0.1987012987</v>
      </c>
      <c r="V102" s="165">
        <f t="shared" si="3"/>
        <v>1.116298701</v>
      </c>
      <c r="W102" s="166" t="str">
        <f t="shared" si="4"/>
        <v>Normal</v>
      </c>
      <c r="X102" s="42">
        <f t="shared" si="5"/>
        <v>9.743429937</v>
      </c>
      <c r="Y102" s="167">
        <f t="shared" si="6"/>
        <v>8.728335817</v>
      </c>
      <c r="Z102" s="167">
        <f t="shared" si="7"/>
        <v>8.725346021</v>
      </c>
      <c r="AA102" s="165">
        <f t="shared" si="8"/>
        <v>0.0003425390546</v>
      </c>
      <c r="AB102" s="81"/>
    </row>
    <row r="103">
      <c r="A103" s="168" t="s">
        <v>138</v>
      </c>
      <c r="B103" s="169">
        <v>288.81</v>
      </c>
      <c r="C103" s="170">
        <f t="shared" si="43"/>
        <v>17.48</v>
      </c>
      <c r="D103" s="171" t="s">
        <v>143</v>
      </c>
      <c r="E103" s="48">
        <v>0.266</v>
      </c>
      <c r="F103" s="45">
        <v>816.0</v>
      </c>
      <c r="G103" s="172" t="s">
        <v>75</v>
      </c>
      <c r="H103" s="83">
        <v>34.0</v>
      </c>
      <c r="I103" s="48">
        <v>-0.038</v>
      </c>
      <c r="J103" s="48">
        <v>-0.01</v>
      </c>
      <c r="K103" s="48">
        <v>-0.1</v>
      </c>
      <c r="L103" s="48" t="s">
        <v>101</v>
      </c>
      <c r="M103" s="48" t="s">
        <v>101</v>
      </c>
      <c r="N103" s="48"/>
      <c r="O103" s="49">
        <v>0.01</v>
      </c>
      <c r="P103" s="48">
        <v>0.1</v>
      </c>
      <c r="Q103" s="48">
        <v>0.1</v>
      </c>
      <c r="R103" s="48">
        <v>0.253</v>
      </c>
      <c r="S103" s="48">
        <v>0.5</v>
      </c>
      <c r="T103" s="48"/>
      <c r="U103" s="173">
        <f t="shared" si="2"/>
        <v>-0.1987012987</v>
      </c>
      <c r="V103" s="174">
        <f t="shared" si="3"/>
        <v>1.616298701</v>
      </c>
      <c r="W103" s="175" t="str">
        <f t="shared" si="4"/>
        <v>Skill</v>
      </c>
      <c r="X103" s="54">
        <f t="shared" si="5"/>
        <v>10.62175539</v>
      </c>
      <c r="Y103" s="176">
        <f t="shared" si="6"/>
        <v>6.571653728</v>
      </c>
      <c r="Z103" s="176">
        <f t="shared" si="7"/>
        <v>6.725346021</v>
      </c>
      <c r="AA103" s="174">
        <f t="shared" si="8"/>
        <v>-0.02338715631</v>
      </c>
      <c r="AB103" s="87"/>
    </row>
    <row r="104">
      <c r="A104" s="159" t="s">
        <v>138</v>
      </c>
      <c r="B104" s="160">
        <v>288.81</v>
      </c>
      <c r="C104" s="161">
        <f t="shared" ref="C104:C106" si="44">909/50</f>
        <v>18.18</v>
      </c>
      <c r="D104" s="162" t="s">
        <v>147</v>
      </c>
      <c r="E104" s="36">
        <v>2.6</v>
      </c>
      <c r="F104" s="33">
        <v>8350.0</v>
      </c>
      <c r="G104" s="163" t="s">
        <v>75</v>
      </c>
      <c r="H104" s="77">
        <v>34.0</v>
      </c>
      <c r="I104" s="36">
        <v>-0.038</v>
      </c>
      <c r="J104" s="36">
        <v>-0.01</v>
      </c>
      <c r="K104" s="36">
        <v>-0.1</v>
      </c>
      <c r="L104" s="36" t="s">
        <v>101</v>
      </c>
      <c r="M104" s="36" t="s">
        <v>101</v>
      </c>
      <c r="N104" s="36"/>
      <c r="O104" s="37">
        <v>0.01</v>
      </c>
      <c r="P104" s="36">
        <v>0.1</v>
      </c>
      <c r="Q104" s="36">
        <v>0.1</v>
      </c>
      <c r="R104" s="36">
        <v>0.253</v>
      </c>
      <c r="S104" s="36">
        <v>0.5</v>
      </c>
      <c r="T104" s="36"/>
      <c r="U104" s="164">
        <f t="shared" si="2"/>
        <v>-0.1987012987</v>
      </c>
      <c r="V104" s="165">
        <f t="shared" si="3"/>
        <v>1.616298701</v>
      </c>
      <c r="W104" s="166" t="str">
        <f t="shared" si="4"/>
        <v>Skill</v>
      </c>
      <c r="X104" s="42">
        <f t="shared" si="5"/>
        <v>11.11990049</v>
      </c>
      <c r="Y104" s="167">
        <f t="shared" si="6"/>
        <v>6.879854871</v>
      </c>
      <c r="Z104" s="167">
        <f t="shared" si="7"/>
        <v>6.877656149</v>
      </c>
      <c r="AA104" s="165">
        <f t="shared" si="8"/>
        <v>0.0003195884085</v>
      </c>
      <c r="AB104" s="81"/>
    </row>
    <row r="105">
      <c r="A105" s="168" t="s">
        <v>138</v>
      </c>
      <c r="B105" s="169">
        <v>288.81</v>
      </c>
      <c r="C105" s="170">
        <f t="shared" si="44"/>
        <v>18.18</v>
      </c>
      <c r="D105" s="171" t="s">
        <v>139</v>
      </c>
      <c r="E105" s="48">
        <v>1.0</v>
      </c>
      <c r="F105" s="45">
        <v>2863.0</v>
      </c>
      <c r="G105" s="172" t="s">
        <v>75</v>
      </c>
      <c r="H105" s="83">
        <v>34.0</v>
      </c>
      <c r="I105" s="48">
        <v>-0.038</v>
      </c>
      <c r="J105" s="48">
        <v>-0.01</v>
      </c>
      <c r="K105" s="48">
        <v>-0.1</v>
      </c>
      <c r="L105" s="48" t="s">
        <v>101</v>
      </c>
      <c r="M105" s="48" t="s">
        <v>101</v>
      </c>
      <c r="N105" s="48"/>
      <c r="O105" s="49">
        <v>0.01</v>
      </c>
      <c r="P105" s="48">
        <v>0.1</v>
      </c>
      <c r="Q105" s="48">
        <v>0.1</v>
      </c>
      <c r="R105" s="48">
        <v>0.253</v>
      </c>
      <c r="S105" s="48"/>
      <c r="T105" s="48"/>
      <c r="U105" s="173">
        <f t="shared" si="2"/>
        <v>-0.1987012987</v>
      </c>
      <c r="V105" s="174">
        <f t="shared" si="3"/>
        <v>1.116298701</v>
      </c>
      <c r="W105" s="175" t="str">
        <f t="shared" si="4"/>
        <v>Normal</v>
      </c>
      <c r="X105" s="54">
        <f t="shared" si="5"/>
        <v>9.913091652</v>
      </c>
      <c r="Y105" s="176">
        <f t="shared" si="6"/>
        <v>8.880321764</v>
      </c>
      <c r="Z105" s="176">
        <f t="shared" si="7"/>
        <v>8.877656149</v>
      </c>
      <c r="AA105" s="174">
        <f t="shared" si="8"/>
        <v>0.0003001709171</v>
      </c>
      <c r="AB105" s="87"/>
    </row>
    <row r="106">
      <c r="A106" s="159" t="s">
        <v>138</v>
      </c>
      <c r="B106" s="160">
        <v>288.81</v>
      </c>
      <c r="C106" s="161">
        <f t="shared" si="44"/>
        <v>18.18</v>
      </c>
      <c r="D106" s="162" t="s">
        <v>143</v>
      </c>
      <c r="E106" s="36">
        <v>0.266</v>
      </c>
      <c r="F106" s="33">
        <v>576.0</v>
      </c>
      <c r="G106" s="163" t="s">
        <v>75</v>
      </c>
      <c r="H106" s="77">
        <v>34.0</v>
      </c>
      <c r="I106" s="36">
        <v>-0.038</v>
      </c>
      <c r="J106" s="36">
        <v>-0.01</v>
      </c>
      <c r="K106" s="36">
        <v>-0.1</v>
      </c>
      <c r="L106" s="36" t="s">
        <v>101</v>
      </c>
      <c r="M106" s="36" t="s">
        <v>101</v>
      </c>
      <c r="N106" s="36"/>
      <c r="O106" s="37">
        <v>0.01</v>
      </c>
      <c r="P106" s="36">
        <v>0.1</v>
      </c>
      <c r="Q106" s="36">
        <v>0.1</v>
      </c>
      <c r="R106" s="36">
        <v>0.253</v>
      </c>
      <c r="S106" s="36"/>
      <c r="T106" s="36"/>
      <c r="U106" s="164">
        <f t="shared" si="2"/>
        <v>-0.1987012987</v>
      </c>
      <c r="V106" s="165">
        <f t="shared" si="3"/>
        <v>1.116298701</v>
      </c>
      <c r="W106" s="166" t="str">
        <f t="shared" si="4"/>
        <v>Skill</v>
      </c>
      <c r="X106" s="42">
        <f t="shared" si="5"/>
        <v>7.497709684</v>
      </c>
      <c r="Y106" s="167">
        <f t="shared" si="6"/>
        <v>6.716580137</v>
      </c>
      <c r="Z106" s="167">
        <f t="shared" si="7"/>
        <v>6.877656149</v>
      </c>
      <c r="AA106" s="165">
        <f t="shared" si="8"/>
        <v>-0.02398184927</v>
      </c>
      <c r="AB106" s="81"/>
    </row>
    <row r="107">
      <c r="A107" s="168" t="s">
        <v>138</v>
      </c>
      <c r="B107" s="169">
        <v>288.81</v>
      </c>
      <c r="C107" s="170">
        <f t="shared" ref="C107:C109" si="45">967/50</f>
        <v>19.34</v>
      </c>
      <c r="D107" s="171" t="s">
        <v>139</v>
      </c>
      <c r="E107" s="48">
        <v>1.0</v>
      </c>
      <c r="F107" s="45">
        <v>2943.0</v>
      </c>
      <c r="G107" s="172" t="s">
        <v>75</v>
      </c>
      <c r="H107" s="83">
        <v>34.0</v>
      </c>
      <c r="I107" s="48">
        <v>-0.038</v>
      </c>
      <c r="J107" s="48">
        <v>-0.01</v>
      </c>
      <c r="K107" s="48">
        <v>-0.1</v>
      </c>
      <c r="L107" s="48" t="s">
        <v>101</v>
      </c>
      <c r="M107" s="48" t="s">
        <v>101</v>
      </c>
      <c r="N107" s="48"/>
      <c r="O107" s="49">
        <v>0.01</v>
      </c>
      <c r="P107" s="48">
        <v>0.1</v>
      </c>
      <c r="Q107" s="48">
        <v>0.1</v>
      </c>
      <c r="R107" s="48">
        <v>0.253</v>
      </c>
      <c r="S107" s="48"/>
      <c r="T107" s="48"/>
      <c r="U107" s="173">
        <f t="shared" si="2"/>
        <v>-0.1987012987</v>
      </c>
      <c r="V107" s="174">
        <f t="shared" si="3"/>
        <v>1.116298701</v>
      </c>
      <c r="W107" s="175" t="str">
        <f t="shared" si="4"/>
        <v>Normal</v>
      </c>
      <c r="X107" s="54">
        <f t="shared" si="5"/>
        <v>10.19009037</v>
      </c>
      <c r="Y107" s="176">
        <f t="shared" si="6"/>
        <v>9.128462085</v>
      </c>
      <c r="Z107" s="176">
        <f t="shared" si="7"/>
        <v>9.1250795</v>
      </c>
      <c r="AA107" s="174">
        <f t="shared" si="8"/>
        <v>0.0003705537392</v>
      </c>
      <c r="AB107" s="87"/>
    </row>
    <row r="108">
      <c r="A108" s="159" t="s">
        <v>138</v>
      </c>
      <c r="B108" s="160">
        <v>288.81</v>
      </c>
      <c r="C108" s="161">
        <f t="shared" si="45"/>
        <v>19.34</v>
      </c>
      <c r="D108" s="162" t="s">
        <v>145</v>
      </c>
      <c r="E108" s="36">
        <v>1.714</v>
      </c>
      <c r="F108" s="33">
        <v>4451.0</v>
      </c>
      <c r="G108" s="163" t="s">
        <v>153</v>
      </c>
      <c r="H108" s="77">
        <v>24.0</v>
      </c>
      <c r="I108" s="36">
        <v>-0.038</v>
      </c>
      <c r="J108" s="36">
        <v>-0.01</v>
      </c>
      <c r="K108" s="36" t="s">
        <v>101</v>
      </c>
      <c r="L108" s="36" t="s">
        <v>101</v>
      </c>
      <c r="M108" s="36" t="s">
        <v>101</v>
      </c>
      <c r="N108" s="36"/>
      <c r="O108" s="37">
        <v>0.01</v>
      </c>
      <c r="P108" s="36">
        <v>0.1</v>
      </c>
      <c r="Q108" s="36">
        <v>0.1</v>
      </c>
      <c r="R108" s="36">
        <v>0.253</v>
      </c>
      <c r="S108" s="36"/>
      <c r="T108" s="36"/>
      <c r="U108" s="164">
        <f t="shared" si="2"/>
        <v>-0.15</v>
      </c>
      <c r="V108" s="165">
        <f t="shared" si="3"/>
        <v>1.265</v>
      </c>
      <c r="W108" s="166" t="str">
        <f t="shared" si="4"/>
        <v>Skill</v>
      </c>
      <c r="X108" s="42">
        <f t="shared" si="5"/>
        <v>8.991549721</v>
      </c>
      <c r="Y108" s="167">
        <f t="shared" si="6"/>
        <v>7.107944443</v>
      </c>
      <c r="Z108" s="167">
        <f t="shared" si="7"/>
        <v>7.1250795</v>
      </c>
      <c r="AA108" s="165">
        <f t="shared" si="8"/>
        <v>-0.002410690793</v>
      </c>
      <c r="AB108" s="81"/>
    </row>
    <row r="109">
      <c r="A109" s="168" t="s">
        <v>138</v>
      </c>
      <c r="B109" s="169">
        <v>288.81</v>
      </c>
      <c r="C109" s="170">
        <f t="shared" si="45"/>
        <v>19.34</v>
      </c>
      <c r="D109" s="171" t="s">
        <v>143</v>
      </c>
      <c r="E109" s="48">
        <v>0.266</v>
      </c>
      <c r="F109" s="45">
        <v>597.0</v>
      </c>
      <c r="G109" s="172" t="s">
        <v>75</v>
      </c>
      <c r="H109" s="83">
        <v>34.0</v>
      </c>
      <c r="I109" s="48">
        <v>-0.038</v>
      </c>
      <c r="J109" s="48">
        <v>-0.01</v>
      </c>
      <c r="K109" s="48">
        <v>-0.1</v>
      </c>
      <c r="L109" s="48" t="s">
        <v>101</v>
      </c>
      <c r="M109" s="48" t="s">
        <v>101</v>
      </c>
      <c r="N109" s="48"/>
      <c r="O109" s="49">
        <v>0.01</v>
      </c>
      <c r="P109" s="48">
        <v>0.1</v>
      </c>
      <c r="Q109" s="48">
        <v>0.1</v>
      </c>
      <c r="R109" s="48">
        <v>0.253</v>
      </c>
      <c r="S109" s="48"/>
      <c r="T109" s="48"/>
      <c r="U109" s="173">
        <f t="shared" si="2"/>
        <v>-0.1987012987</v>
      </c>
      <c r="V109" s="174">
        <f t="shared" si="3"/>
        <v>1.116298701</v>
      </c>
      <c r="W109" s="175" t="str">
        <f t="shared" si="4"/>
        <v>Skill</v>
      </c>
      <c r="X109" s="54">
        <f t="shared" si="5"/>
        <v>7.771063683</v>
      </c>
      <c r="Y109" s="176">
        <f t="shared" si="6"/>
        <v>6.961455454</v>
      </c>
      <c r="Z109" s="176">
        <f t="shared" si="7"/>
        <v>7.1250795</v>
      </c>
      <c r="AA109" s="174">
        <f t="shared" si="8"/>
        <v>-0.02350428676</v>
      </c>
      <c r="AB109" s="87"/>
    </row>
    <row r="110">
      <c r="A110" s="159" t="s">
        <v>154</v>
      </c>
      <c r="B110" s="160">
        <v>212.0</v>
      </c>
      <c r="C110" s="161">
        <v>20.0</v>
      </c>
      <c r="D110" s="162" t="s">
        <v>155</v>
      </c>
      <c r="E110" s="36">
        <v>3.5</v>
      </c>
      <c r="F110" s="33">
        <v>5583.0</v>
      </c>
      <c r="G110" s="163" t="s">
        <v>142</v>
      </c>
      <c r="H110" s="77">
        <v>22.0</v>
      </c>
      <c r="I110" s="36">
        <v>-0.035</v>
      </c>
      <c r="J110" s="36" t="s">
        <v>101</v>
      </c>
      <c r="K110" s="36" t="s">
        <v>101</v>
      </c>
      <c r="L110" s="36" t="s">
        <v>101</v>
      </c>
      <c r="M110" s="36" t="s">
        <v>101</v>
      </c>
      <c r="N110" s="36"/>
      <c r="O110" s="37">
        <v>0.01</v>
      </c>
      <c r="P110" s="36">
        <v>0.1</v>
      </c>
      <c r="Q110" s="36">
        <v>0.1</v>
      </c>
      <c r="R110" s="36"/>
      <c r="S110" s="36"/>
      <c r="T110" s="36"/>
      <c r="U110" s="164">
        <f t="shared" si="2"/>
        <v>-0.1394366197</v>
      </c>
      <c r="V110" s="165">
        <f t="shared" si="3"/>
        <v>1.03556338</v>
      </c>
      <c r="W110" s="166" t="str">
        <f t="shared" si="4"/>
        <v>Skill</v>
      </c>
      <c r="X110" s="42">
        <f t="shared" si="5"/>
        <v>7.52425876</v>
      </c>
      <c r="Y110" s="167">
        <f t="shared" si="6"/>
        <v>7.26586021</v>
      </c>
      <c r="Z110" s="167">
        <f t="shared" si="7"/>
        <v>7.263157895</v>
      </c>
      <c r="AA110" s="165">
        <f t="shared" si="8"/>
        <v>0.0003719195742</v>
      </c>
      <c r="AB110" s="81"/>
    </row>
    <row r="111">
      <c r="A111" s="168" t="s">
        <v>138</v>
      </c>
      <c r="B111" s="169">
        <v>284.81</v>
      </c>
      <c r="C111" s="170">
        <v>20.0</v>
      </c>
      <c r="D111" s="171" t="s">
        <v>139</v>
      </c>
      <c r="E111" s="48">
        <v>1.0</v>
      </c>
      <c r="F111" s="45">
        <v>3704.0</v>
      </c>
      <c r="G111" s="172" t="s">
        <v>78</v>
      </c>
      <c r="H111" s="83">
        <v>5.0</v>
      </c>
      <c r="I111" s="48">
        <v>-0.023</v>
      </c>
      <c r="J111" s="48" t="s">
        <v>101</v>
      </c>
      <c r="K111" s="48" t="s">
        <v>101</v>
      </c>
      <c r="L111" s="48" t="s">
        <v>101</v>
      </c>
      <c r="M111" s="48" t="s">
        <v>101</v>
      </c>
      <c r="N111" s="48"/>
      <c r="O111" s="49">
        <v>0.01</v>
      </c>
      <c r="P111" s="48">
        <v>0.1</v>
      </c>
      <c r="Q111" s="48">
        <v>0.1</v>
      </c>
      <c r="R111" s="48">
        <v>0.253</v>
      </c>
      <c r="S111" s="48"/>
      <c r="T111" s="48"/>
      <c r="U111" s="173">
        <f t="shared" si="2"/>
        <v>-0.036</v>
      </c>
      <c r="V111" s="174">
        <f t="shared" si="3"/>
        <v>1.404</v>
      </c>
      <c r="W111" s="175" t="str">
        <f t="shared" si="4"/>
        <v>Normal</v>
      </c>
      <c r="X111" s="54">
        <f t="shared" si="5"/>
        <v>13.00516134</v>
      </c>
      <c r="Y111" s="176">
        <f t="shared" si="6"/>
        <v>9.262935424</v>
      </c>
      <c r="Z111" s="176">
        <f t="shared" si="7"/>
        <v>9.263157895</v>
      </c>
      <c r="AA111" s="174">
        <f t="shared" si="8"/>
        <v>-0.00002401727862</v>
      </c>
      <c r="AB111" s="87"/>
    </row>
    <row r="112">
      <c r="A112" s="159" t="s">
        <v>138</v>
      </c>
      <c r="B112" s="160">
        <v>288.81</v>
      </c>
      <c r="C112" s="161">
        <v>20.0</v>
      </c>
      <c r="D112" s="162" t="s">
        <v>139</v>
      </c>
      <c r="E112" s="36">
        <v>1.0</v>
      </c>
      <c r="F112" s="33">
        <v>4251.0</v>
      </c>
      <c r="G112" s="163" t="s">
        <v>150</v>
      </c>
      <c r="H112" s="77">
        <v>24.0</v>
      </c>
      <c r="I112" s="36">
        <v>-0.024</v>
      </c>
      <c r="J112" s="36">
        <v>-0.2</v>
      </c>
      <c r="K112" s="36" t="s">
        <v>101</v>
      </c>
      <c r="L112" s="36" t="s">
        <v>101</v>
      </c>
      <c r="M112" s="36" t="s">
        <v>101</v>
      </c>
      <c r="N112" s="36"/>
      <c r="O112" s="37">
        <v>0.01</v>
      </c>
      <c r="P112" s="36">
        <v>0.1</v>
      </c>
      <c r="Q112" s="36">
        <v>0.1</v>
      </c>
      <c r="R112" s="36">
        <v>0.253</v>
      </c>
      <c r="S112" s="36">
        <v>0.5</v>
      </c>
      <c r="T112" s="36"/>
      <c r="U112" s="164">
        <f t="shared" si="2"/>
        <v>-0.15</v>
      </c>
      <c r="V112" s="165">
        <f t="shared" si="3"/>
        <v>1.589</v>
      </c>
      <c r="W112" s="166" t="str">
        <f t="shared" si="4"/>
        <v>Normal</v>
      </c>
      <c r="X112" s="42">
        <f t="shared" si="5"/>
        <v>14.71901942</v>
      </c>
      <c r="Y112" s="167">
        <f t="shared" si="6"/>
        <v>9.263070752</v>
      </c>
      <c r="Z112" s="167">
        <f t="shared" si="7"/>
        <v>9.263157895</v>
      </c>
      <c r="AA112" s="165">
        <f t="shared" si="8"/>
        <v>-0.000009407569736</v>
      </c>
      <c r="AB112" s="81"/>
    </row>
    <row r="113">
      <c r="A113" s="168" t="s">
        <v>156</v>
      </c>
      <c r="B113" s="169">
        <v>310.42</v>
      </c>
      <c r="C113" s="170">
        <v>20.0</v>
      </c>
      <c r="D113" s="171" t="s">
        <v>139</v>
      </c>
      <c r="E113" s="48">
        <v>1.0</v>
      </c>
      <c r="F113" s="45">
        <v>2871.0</v>
      </c>
      <c r="G113" s="172" t="s">
        <v>103</v>
      </c>
      <c r="H113" s="83">
        <v>15.0</v>
      </c>
      <c r="I113" s="48">
        <v>-0.013</v>
      </c>
      <c r="J113" s="48" t="s">
        <v>101</v>
      </c>
      <c r="K113" s="48" t="s">
        <v>101</v>
      </c>
      <c r="L113" s="48" t="s">
        <v>101</v>
      </c>
      <c r="M113" s="48" t="s">
        <v>101</v>
      </c>
      <c r="N113" s="48"/>
      <c r="O113" s="49">
        <v>0.01</v>
      </c>
      <c r="P113" s="48">
        <v>0.1</v>
      </c>
      <c r="Q113" s="48"/>
      <c r="R113" s="48"/>
      <c r="S113" s="48"/>
      <c r="T113" s="48"/>
      <c r="U113" s="173">
        <f t="shared" si="2"/>
        <v>-0.1</v>
      </c>
      <c r="V113" s="174">
        <f t="shared" si="3"/>
        <v>0.997</v>
      </c>
      <c r="W113" s="175" t="str">
        <f t="shared" si="4"/>
        <v>Normal</v>
      </c>
      <c r="X113" s="54">
        <f t="shared" si="5"/>
        <v>9.248759745</v>
      </c>
      <c r="Y113" s="176">
        <f t="shared" si="6"/>
        <v>9.276589513</v>
      </c>
      <c r="Z113" s="176">
        <f t="shared" si="7"/>
        <v>9.263157895</v>
      </c>
      <c r="AA113" s="174">
        <f t="shared" si="8"/>
        <v>0.00144790482</v>
      </c>
      <c r="AB113" s="87"/>
    </row>
    <row r="114">
      <c r="A114" s="159" t="s">
        <v>157</v>
      </c>
      <c r="B114" s="160">
        <f>53+2.38</f>
        <v>55.38</v>
      </c>
      <c r="C114" s="161">
        <v>20.0</v>
      </c>
      <c r="D114" s="162" t="s">
        <v>139</v>
      </c>
      <c r="E114" s="36">
        <v>1.0</v>
      </c>
      <c r="F114" s="33">
        <v>488.0</v>
      </c>
      <c r="G114" s="163" t="s">
        <v>144</v>
      </c>
      <c r="H114" s="77">
        <v>14.0</v>
      </c>
      <c r="I114" s="36">
        <v>-0.035</v>
      </c>
      <c r="J114" s="36">
        <v>-0.03</v>
      </c>
      <c r="K114" s="36" t="s">
        <v>101</v>
      </c>
      <c r="L114" s="36" t="s">
        <v>101</v>
      </c>
      <c r="M114" s="36" t="s">
        <v>101</v>
      </c>
      <c r="N114" s="36"/>
      <c r="O114" s="37">
        <v>0.01</v>
      </c>
      <c r="P114" s="36">
        <v>0.1</v>
      </c>
      <c r="Q114" s="36"/>
      <c r="R114" s="36"/>
      <c r="S114" s="36"/>
      <c r="T114" s="36"/>
      <c r="U114" s="164">
        <f t="shared" si="2"/>
        <v>-0.09402985075</v>
      </c>
      <c r="V114" s="165">
        <f t="shared" si="3"/>
        <v>0.9509701493</v>
      </c>
      <c r="W114" s="166" t="str">
        <f t="shared" si="4"/>
        <v>Normal</v>
      </c>
      <c r="X114" s="42">
        <f t="shared" si="5"/>
        <v>8.811845432</v>
      </c>
      <c r="Y114" s="167">
        <f t="shared" si="6"/>
        <v>9.266164073</v>
      </c>
      <c r="Z114" s="167">
        <f t="shared" si="7"/>
        <v>9.263157895</v>
      </c>
      <c r="AA114" s="165">
        <f t="shared" si="8"/>
        <v>0.0003244253281</v>
      </c>
      <c r="AB114" s="81"/>
    </row>
    <row r="115">
      <c r="A115" s="168" t="s">
        <v>158</v>
      </c>
      <c r="B115" s="169">
        <f>107+3.75</f>
        <v>110.75</v>
      </c>
      <c r="C115" s="170">
        <v>20.0</v>
      </c>
      <c r="D115" s="171" t="s">
        <v>139</v>
      </c>
      <c r="E115" s="48">
        <v>1.0</v>
      </c>
      <c r="F115" s="45">
        <v>963.0</v>
      </c>
      <c r="G115" s="172" t="s">
        <v>142</v>
      </c>
      <c r="H115" s="83">
        <v>22.0</v>
      </c>
      <c r="I115" s="48">
        <v>-0.035</v>
      </c>
      <c r="J115" s="48" t="s">
        <v>101</v>
      </c>
      <c r="K115" s="48" t="s">
        <v>101</v>
      </c>
      <c r="L115" s="48" t="s">
        <v>101</v>
      </c>
      <c r="M115" s="48" t="s">
        <v>101</v>
      </c>
      <c r="N115" s="48"/>
      <c r="O115" s="49">
        <v>0.01</v>
      </c>
      <c r="P115" s="48">
        <v>0.1</v>
      </c>
      <c r="Q115" s="48"/>
      <c r="R115" s="48"/>
      <c r="S115" s="48"/>
      <c r="T115" s="48"/>
      <c r="U115" s="173">
        <f t="shared" si="2"/>
        <v>-0.1394366197</v>
      </c>
      <c r="V115" s="174">
        <f t="shared" si="3"/>
        <v>0.9355633803</v>
      </c>
      <c r="W115" s="175" t="str">
        <f t="shared" si="4"/>
        <v>Normal</v>
      </c>
      <c r="X115" s="54">
        <f t="shared" si="5"/>
        <v>8.695259594</v>
      </c>
      <c r="Y115" s="176">
        <f t="shared" si="6"/>
        <v>9.294142735</v>
      </c>
      <c r="Z115" s="176">
        <f t="shared" si="7"/>
        <v>9.263157895</v>
      </c>
      <c r="AA115" s="174">
        <f t="shared" si="8"/>
        <v>0.003333802894</v>
      </c>
      <c r="AB115" s="87"/>
    </row>
    <row r="116">
      <c r="A116" s="159" t="s">
        <v>122</v>
      </c>
      <c r="B116" s="160">
        <f>129+11.45</f>
        <v>140.45</v>
      </c>
      <c r="C116" s="161">
        <v>20.0</v>
      </c>
      <c r="D116" s="162" t="s">
        <v>139</v>
      </c>
      <c r="E116" s="36">
        <v>1.0</v>
      </c>
      <c r="F116" s="33">
        <v>957.0</v>
      </c>
      <c r="G116" s="163" t="s">
        <v>150</v>
      </c>
      <c r="H116" s="77">
        <v>24.0</v>
      </c>
      <c r="I116" s="36">
        <v>-0.024</v>
      </c>
      <c r="J116" s="36">
        <v>-0.2</v>
      </c>
      <c r="K116" s="36" t="s">
        <v>101</v>
      </c>
      <c r="L116" s="36" t="s">
        <v>101</v>
      </c>
      <c r="M116" s="36" t="s">
        <v>101</v>
      </c>
      <c r="N116" s="36"/>
      <c r="O116" s="37">
        <v>0.01</v>
      </c>
      <c r="P116" s="36">
        <v>0.1</v>
      </c>
      <c r="Q116" s="36"/>
      <c r="R116" s="36"/>
      <c r="S116" s="36"/>
      <c r="T116" s="36"/>
      <c r="U116" s="164">
        <f t="shared" si="2"/>
        <v>-0.15</v>
      </c>
      <c r="V116" s="165">
        <f t="shared" si="3"/>
        <v>0.736</v>
      </c>
      <c r="W116" s="166" t="str">
        <f t="shared" si="4"/>
        <v>Normal</v>
      </c>
      <c r="X116" s="42">
        <f t="shared" si="5"/>
        <v>6.813812745</v>
      </c>
      <c r="Y116" s="167">
        <f t="shared" si="6"/>
        <v>9.257897751</v>
      </c>
      <c r="Z116" s="167">
        <f t="shared" si="7"/>
        <v>9.263157895</v>
      </c>
      <c r="AA116" s="165">
        <f t="shared" si="8"/>
        <v>-0.0005681790684</v>
      </c>
      <c r="AB116" s="81"/>
    </row>
    <row r="117">
      <c r="A117" s="168" t="s">
        <v>159</v>
      </c>
      <c r="B117" s="169">
        <f>107+3.74</f>
        <v>110.74</v>
      </c>
      <c r="C117" s="170">
        <v>20.0</v>
      </c>
      <c r="D117" s="171" t="s">
        <v>139</v>
      </c>
      <c r="E117" s="48">
        <v>1.0</v>
      </c>
      <c r="F117" s="45">
        <v>976.0</v>
      </c>
      <c r="G117" s="172" t="s">
        <v>144</v>
      </c>
      <c r="H117" s="83">
        <v>14.0</v>
      </c>
      <c r="I117" s="48">
        <v>-0.035</v>
      </c>
      <c r="J117" s="48">
        <v>-0.03</v>
      </c>
      <c r="K117" s="48" t="s">
        <v>101</v>
      </c>
      <c r="L117" s="48" t="s">
        <v>101</v>
      </c>
      <c r="M117" s="48" t="s">
        <v>101</v>
      </c>
      <c r="N117" s="48"/>
      <c r="O117" s="49">
        <v>0.01</v>
      </c>
      <c r="P117" s="48">
        <v>0.1</v>
      </c>
      <c r="Q117" s="48"/>
      <c r="R117" s="48"/>
      <c r="S117" s="48"/>
      <c r="T117" s="48"/>
      <c r="U117" s="173">
        <f t="shared" si="2"/>
        <v>-0.09402985075</v>
      </c>
      <c r="V117" s="174">
        <f t="shared" si="3"/>
        <v>0.9509701493</v>
      </c>
      <c r="W117" s="175" t="str">
        <f t="shared" si="4"/>
        <v>Normal</v>
      </c>
      <c r="X117" s="54">
        <f t="shared" si="5"/>
        <v>8.813436879</v>
      </c>
      <c r="Y117" s="176">
        <f t="shared" si="6"/>
        <v>9.267837572</v>
      </c>
      <c r="Z117" s="176">
        <f t="shared" si="7"/>
        <v>9.263157895</v>
      </c>
      <c r="AA117" s="174">
        <f t="shared" si="8"/>
        <v>0.0005049373495</v>
      </c>
      <c r="AB117" s="87"/>
    </row>
    <row r="118">
      <c r="A118" s="159" t="s">
        <v>116</v>
      </c>
      <c r="B118" s="160">
        <v>261.0</v>
      </c>
      <c r="C118" s="161">
        <v>20.0</v>
      </c>
      <c r="D118" s="162" t="s">
        <v>139</v>
      </c>
      <c r="E118" s="36">
        <v>1.0</v>
      </c>
      <c r="F118" s="33">
        <v>2263.0</v>
      </c>
      <c r="G118" s="163" t="s">
        <v>142</v>
      </c>
      <c r="H118" s="77">
        <v>22.0</v>
      </c>
      <c r="I118" s="36">
        <v>-0.035</v>
      </c>
      <c r="J118" s="36" t="s">
        <v>101</v>
      </c>
      <c r="K118" s="36" t="s">
        <v>101</v>
      </c>
      <c r="L118" s="36" t="s">
        <v>101</v>
      </c>
      <c r="M118" s="36" t="s">
        <v>101</v>
      </c>
      <c r="N118" s="36"/>
      <c r="O118" s="37">
        <v>0.01</v>
      </c>
      <c r="P118" s="36">
        <v>0.1</v>
      </c>
      <c r="Q118" s="36"/>
      <c r="R118" s="36"/>
      <c r="S118" s="36"/>
      <c r="T118" s="36"/>
      <c r="U118" s="164">
        <f t="shared" si="2"/>
        <v>-0.1394366197</v>
      </c>
      <c r="V118" s="165">
        <f t="shared" si="3"/>
        <v>0.9355633803</v>
      </c>
      <c r="W118" s="166" t="str">
        <f t="shared" si="4"/>
        <v>Normal</v>
      </c>
      <c r="X118" s="42">
        <f t="shared" si="5"/>
        <v>8.670498084</v>
      </c>
      <c r="Y118" s="167">
        <f t="shared" si="6"/>
        <v>9.267675784</v>
      </c>
      <c r="Z118" s="167">
        <f t="shared" si="7"/>
        <v>9.263157895</v>
      </c>
      <c r="AA118" s="165">
        <f t="shared" si="8"/>
        <v>0.0004874889732</v>
      </c>
      <c r="AB118" s="81"/>
    </row>
    <row r="119">
      <c r="A119" s="168" t="s">
        <v>160</v>
      </c>
      <c r="B119" s="169">
        <f>154+35.4</f>
        <v>189.4</v>
      </c>
      <c r="C119" s="170">
        <v>20.0</v>
      </c>
      <c r="D119" s="171" t="s">
        <v>139</v>
      </c>
      <c r="E119" s="48">
        <v>1.0</v>
      </c>
      <c r="F119" s="45">
        <v>698.0</v>
      </c>
      <c r="G119" s="172" t="s">
        <v>103</v>
      </c>
      <c r="H119" s="83">
        <v>15.0</v>
      </c>
      <c r="I119" s="48">
        <v>-0.013</v>
      </c>
      <c r="J119" s="48" t="s">
        <v>101</v>
      </c>
      <c r="K119" s="48" t="s">
        <v>101</v>
      </c>
      <c r="L119" s="48" t="s">
        <v>101</v>
      </c>
      <c r="M119" s="48" t="s">
        <v>101</v>
      </c>
      <c r="N119" s="48"/>
      <c r="O119" s="49">
        <v>0.01</v>
      </c>
      <c r="P119" s="48">
        <v>0.1</v>
      </c>
      <c r="Q119" s="48"/>
      <c r="R119" s="48"/>
      <c r="S119" s="48"/>
      <c r="T119" s="48">
        <v>-0.6</v>
      </c>
      <c r="U119" s="173">
        <f t="shared" si="2"/>
        <v>-0.1</v>
      </c>
      <c r="V119" s="174">
        <f t="shared" si="3"/>
        <v>0.397</v>
      </c>
      <c r="W119" s="175" t="str">
        <f t="shared" si="4"/>
        <v>Normal</v>
      </c>
      <c r="X119" s="54">
        <f t="shared" si="5"/>
        <v>3.68532207</v>
      </c>
      <c r="Y119" s="176">
        <f t="shared" si="6"/>
        <v>9.282927128</v>
      </c>
      <c r="Z119" s="176">
        <f t="shared" si="7"/>
        <v>9.263157895</v>
      </c>
      <c r="AA119" s="174">
        <f t="shared" si="8"/>
        <v>0.002129633539</v>
      </c>
      <c r="AB119" s="87"/>
    </row>
    <row r="120">
      <c r="A120" s="159" t="s">
        <v>161</v>
      </c>
      <c r="B120" s="160">
        <v>67.0</v>
      </c>
      <c r="C120" s="161">
        <v>20.0</v>
      </c>
      <c r="D120" s="162" t="s">
        <v>139</v>
      </c>
      <c r="E120" s="36">
        <v>1.0</v>
      </c>
      <c r="F120" s="33">
        <v>607.0</v>
      </c>
      <c r="G120" s="163" t="s">
        <v>152</v>
      </c>
      <c r="H120" s="77">
        <v>10.0</v>
      </c>
      <c r="I120" s="36">
        <v>-0.035</v>
      </c>
      <c r="J120" s="36">
        <v>-0.03</v>
      </c>
      <c r="K120" s="36" t="s">
        <v>101</v>
      </c>
      <c r="L120" s="36" t="s">
        <v>101</v>
      </c>
      <c r="M120" s="36" t="s">
        <v>101</v>
      </c>
      <c r="N120" s="36"/>
      <c r="O120" s="37">
        <v>0.01</v>
      </c>
      <c r="P120" s="36">
        <v>0.1</v>
      </c>
      <c r="Q120" s="36"/>
      <c r="R120" s="36"/>
      <c r="S120" s="36"/>
      <c r="T120" s="36"/>
      <c r="U120" s="164">
        <f t="shared" si="2"/>
        <v>-0.06923076923</v>
      </c>
      <c r="V120" s="165">
        <f t="shared" si="3"/>
        <v>0.9757692308</v>
      </c>
      <c r="W120" s="166" t="str">
        <f t="shared" si="4"/>
        <v>Normal</v>
      </c>
      <c r="X120" s="42">
        <f t="shared" si="5"/>
        <v>9.059701493</v>
      </c>
      <c r="Y120" s="167">
        <f t="shared" si="6"/>
        <v>9.284676342</v>
      </c>
      <c r="Z120" s="167">
        <f t="shared" si="7"/>
        <v>9.263157895</v>
      </c>
      <c r="AA120" s="165">
        <f t="shared" si="8"/>
        <v>0.002317630345</v>
      </c>
      <c r="AB120" s="81"/>
    </row>
    <row r="121">
      <c r="A121" s="168" t="s">
        <v>162</v>
      </c>
      <c r="B121" s="169">
        <v>243.6</v>
      </c>
      <c r="C121" s="170">
        <v>20.0</v>
      </c>
      <c r="D121" s="171" t="s">
        <v>139</v>
      </c>
      <c r="E121" s="48">
        <v>1.0</v>
      </c>
      <c r="F121" s="45">
        <v>2324.0</v>
      </c>
      <c r="G121" s="172" t="s">
        <v>163</v>
      </c>
      <c r="H121" s="83">
        <v>9.0</v>
      </c>
      <c r="I121" s="48">
        <v>-0.018</v>
      </c>
      <c r="J121" s="48" t="s">
        <v>101</v>
      </c>
      <c r="K121" s="48" t="s">
        <v>101</v>
      </c>
      <c r="L121" s="48" t="s">
        <v>101</v>
      </c>
      <c r="M121" s="48" t="s">
        <v>101</v>
      </c>
      <c r="N121" s="48"/>
      <c r="O121" s="49">
        <v>0.01</v>
      </c>
      <c r="P121" s="48">
        <v>0.1</v>
      </c>
      <c r="Q121" s="48"/>
      <c r="R121" s="48"/>
      <c r="S121" s="48"/>
      <c r="T121" s="48"/>
      <c r="U121" s="173">
        <f t="shared" si="2"/>
        <v>-0.06279069767</v>
      </c>
      <c r="V121" s="174">
        <f t="shared" si="3"/>
        <v>1.029209302</v>
      </c>
      <c r="W121" s="175" t="str">
        <f t="shared" si="4"/>
        <v>Normal</v>
      </c>
      <c r="X121" s="54">
        <f t="shared" si="5"/>
        <v>9.540229885</v>
      </c>
      <c r="Y121" s="176">
        <f t="shared" si="6"/>
        <v>9.269474988</v>
      </c>
      <c r="Z121" s="176">
        <f t="shared" si="7"/>
        <v>9.263157895</v>
      </c>
      <c r="AA121" s="174">
        <f t="shared" si="8"/>
        <v>0.0006814941529</v>
      </c>
      <c r="AB121" s="87"/>
    </row>
    <row r="122">
      <c r="A122" s="159" t="s">
        <v>120</v>
      </c>
      <c r="B122" s="160">
        <f>169+94.65</f>
        <v>263.65</v>
      </c>
      <c r="C122" s="161">
        <v>20.0</v>
      </c>
      <c r="D122" s="162" t="s">
        <v>139</v>
      </c>
      <c r="E122" s="36">
        <v>1.0</v>
      </c>
      <c r="F122" s="33">
        <v>2428.0</v>
      </c>
      <c r="G122" s="163" t="s">
        <v>164</v>
      </c>
      <c r="H122" s="77">
        <v>12.0</v>
      </c>
      <c r="I122" s="36">
        <v>-0.035</v>
      </c>
      <c r="J122" s="36" t="s">
        <v>101</v>
      </c>
      <c r="K122" s="36" t="s">
        <v>101</v>
      </c>
      <c r="L122" s="36" t="s">
        <v>101</v>
      </c>
      <c r="M122" s="36" t="s">
        <v>101</v>
      </c>
      <c r="N122" s="36"/>
      <c r="O122" s="37">
        <v>0.01</v>
      </c>
      <c r="P122" s="36">
        <v>0.1</v>
      </c>
      <c r="Q122" s="36"/>
      <c r="R122" s="36"/>
      <c r="S122" s="36"/>
      <c r="T122" s="36"/>
      <c r="U122" s="164">
        <f t="shared" si="2"/>
        <v>-0.08181818182</v>
      </c>
      <c r="V122" s="165">
        <f t="shared" si="3"/>
        <v>0.9931818182</v>
      </c>
      <c r="W122" s="166" t="str">
        <f t="shared" si="4"/>
        <v>Normal</v>
      </c>
      <c r="X122" s="42">
        <f t="shared" si="5"/>
        <v>9.209178836</v>
      </c>
      <c r="Y122" s="167">
        <f t="shared" si="6"/>
        <v>9.272399743</v>
      </c>
      <c r="Z122" s="167">
        <f t="shared" si="7"/>
        <v>9.263157895</v>
      </c>
      <c r="AA122" s="165">
        <f t="shared" si="8"/>
        <v>0.0009967051071</v>
      </c>
      <c r="AB122" s="81"/>
    </row>
    <row r="123">
      <c r="A123" s="168" t="s">
        <v>165</v>
      </c>
      <c r="B123" s="169">
        <f>146+50.3</f>
        <v>196.3</v>
      </c>
      <c r="C123" s="170">
        <v>20.0</v>
      </c>
      <c r="D123" s="171" t="s">
        <v>139</v>
      </c>
      <c r="E123" s="48">
        <v>1.0</v>
      </c>
      <c r="F123" s="45">
        <v>1775.0</v>
      </c>
      <c r="G123" s="172" t="s">
        <v>152</v>
      </c>
      <c r="H123" s="83">
        <v>10.0</v>
      </c>
      <c r="I123" s="48">
        <v>-0.035</v>
      </c>
      <c r="J123" s="48">
        <v>-0.03</v>
      </c>
      <c r="K123" s="48" t="s">
        <v>101</v>
      </c>
      <c r="L123" s="48" t="s">
        <v>101</v>
      </c>
      <c r="M123" s="48" t="s">
        <v>101</v>
      </c>
      <c r="N123" s="48"/>
      <c r="O123" s="49">
        <v>0.01</v>
      </c>
      <c r="P123" s="48">
        <v>0.1</v>
      </c>
      <c r="Q123" s="48"/>
      <c r="R123" s="48"/>
      <c r="S123" s="48"/>
      <c r="T123" s="48"/>
      <c r="U123" s="173">
        <f t="shared" si="2"/>
        <v>-0.06923076923</v>
      </c>
      <c r="V123" s="174">
        <f t="shared" si="3"/>
        <v>0.9757692308</v>
      </c>
      <c r="W123" s="175" t="str">
        <f t="shared" si="4"/>
        <v>Normal</v>
      </c>
      <c r="X123" s="54">
        <f t="shared" si="5"/>
        <v>9.042282221</v>
      </c>
      <c r="Y123" s="176">
        <f t="shared" si="6"/>
        <v>9.266824507</v>
      </c>
      <c r="Z123" s="176">
        <f t="shared" si="7"/>
        <v>9.263157895</v>
      </c>
      <c r="AA123" s="174">
        <f t="shared" si="8"/>
        <v>0.0003956708673</v>
      </c>
      <c r="AB123" s="87"/>
    </row>
    <row r="124">
      <c r="A124" s="159" t="s">
        <v>166</v>
      </c>
      <c r="B124" s="160">
        <f>139+41.87</f>
        <v>180.87</v>
      </c>
      <c r="C124" s="161">
        <v>20.0</v>
      </c>
      <c r="D124" s="162" t="s">
        <v>139</v>
      </c>
      <c r="E124" s="36">
        <v>1.0</v>
      </c>
      <c r="F124" s="33">
        <v>2259.0</v>
      </c>
      <c r="G124" s="163" t="s">
        <v>103</v>
      </c>
      <c r="H124" s="77">
        <v>15.0</v>
      </c>
      <c r="I124" s="36">
        <v>-0.013</v>
      </c>
      <c r="J124" s="36" t="s">
        <v>101</v>
      </c>
      <c r="K124" s="36" t="s">
        <v>101</v>
      </c>
      <c r="L124" s="36" t="s">
        <v>101</v>
      </c>
      <c r="M124" s="36" t="s">
        <v>101</v>
      </c>
      <c r="N124" s="36"/>
      <c r="O124" s="37">
        <v>0.01</v>
      </c>
      <c r="P124" s="36">
        <v>0.1</v>
      </c>
      <c r="Q124" s="36">
        <v>0.1</v>
      </c>
      <c r="R124" s="36">
        <v>0.249</v>
      </c>
      <c r="S124" s="36"/>
      <c r="T124" s="36"/>
      <c r="U124" s="164">
        <f t="shared" si="2"/>
        <v>-0.1</v>
      </c>
      <c r="V124" s="165">
        <f t="shared" si="3"/>
        <v>1.346</v>
      </c>
      <c r="W124" s="166" t="str">
        <f t="shared" si="4"/>
        <v>Normal</v>
      </c>
      <c r="X124" s="42">
        <f t="shared" si="5"/>
        <v>12.48963344</v>
      </c>
      <c r="Y124" s="167">
        <f t="shared" si="6"/>
        <v>9.279073877</v>
      </c>
      <c r="Z124" s="167">
        <f t="shared" si="7"/>
        <v>9.263157895</v>
      </c>
      <c r="AA124" s="165">
        <f t="shared" si="8"/>
        <v>0.001715255469</v>
      </c>
      <c r="AB124" s="81"/>
    </row>
    <row r="125">
      <c r="A125" s="168" t="s">
        <v>154</v>
      </c>
      <c r="B125" s="169">
        <v>212.0</v>
      </c>
      <c r="C125" s="170">
        <v>20.0</v>
      </c>
      <c r="D125" s="171" t="s">
        <v>139</v>
      </c>
      <c r="E125" s="48">
        <v>1.0</v>
      </c>
      <c r="F125" s="45">
        <v>2034.0</v>
      </c>
      <c r="G125" s="172" t="s">
        <v>142</v>
      </c>
      <c r="H125" s="83">
        <v>22.0</v>
      </c>
      <c r="I125" s="48">
        <v>-0.035</v>
      </c>
      <c r="J125" s="48" t="s">
        <v>101</v>
      </c>
      <c r="K125" s="48" t="s">
        <v>101</v>
      </c>
      <c r="L125" s="48" t="s">
        <v>101</v>
      </c>
      <c r="M125" s="48" t="s">
        <v>101</v>
      </c>
      <c r="N125" s="48"/>
      <c r="O125" s="49">
        <v>0.01</v>
      </c>
      <c r="P125" s="48">
        <v>0.1</v>
      </c>
      <c r="Q125" s="48">
        <v>0.1</v>
      </c>
      <c r="R125" s="48"/>
      <c r="S125" s="48"/>
      <c r="T125" s="48"/>
      <c r="U125" s="173">
        <f t="shared" si="2"/>
        <v>-0.1394366197</v>
      </c>
      <c r="V125" s="174">
        <f t="shared" si="3"/>
        <v>1.03556338</v>
      </c>
      <c r="W125" s="175" t="str">
        <f t="shared" si="4"/>
        <v>Normal</v>
      </c>
      <c r="X125" s="54">
        <f t="shared" si="5"/>
        <v>9.594339623</v>
      </c>
      <c r="Y125" s="176">
        <f t="shared" si="6"/>
        <v>9.264850231</v>
      </c>
      <c r="Z125" s="176">
        <f t="shared" si="7"/>
        <v>9.263157895</v>
      </c>
      <c r="AA125" s="174">
        <f t="shared" si="8"/>
        <v>0.0001826619813</v>
      </c>
      <c r="AB125" s="87"/>
    </row>
    <row r="126">
      <c r="A126" s="159" t="s">
        <v>167</v>
      </c>
      <c r="B126" s="160">
        <v>206.8</v>
      </c>
      <c r="C126" s="161">
        <v>20.0</v>
      </c>
      <c r="D126" s="162" t="s">
        <v>139</v>
      </c>
      <c r="E126" s="36">
        <v>1.0</v>
      </c>
      <c r="F126" s="33">
        <v>2164.0</v>
      </c>
      <c r="G126" s="163" t="s">
        <v>163</v>
      </c>
      <c r="H126" s="77">
        <v>9.0</v>
      </c>
      <c r="I126" s="36">
        <v>-0.018</v>
      </c>
      <c r="J126" s="36" t="s">
        <v>101</v>
      </c>
      <c r="K126" s="36" t="s">
        <v>101</v>
      </c>
      <c r="L126" s="36" t="s">
        <v>101</v>
      </c>
      <c r="M126" s="36" t="s">
        <v>101</v>
      </c>
      <c r="N126" s="36"/>
      <c r="O126" s="37">
        <v>0.01</v>
      </c>
      <c r="P126" s="36">
        <v>0.1</v>
      </c>
      <c r="Q126" s="36">
        <v>0.1</v>
      </c>
      <c r="R126" s="36"/>
      <c r="S126" s="36"/>
      <c r="T126" s="36"/>
      <c r="U126" s="164">
        <f t="shared" si="2"/>
        <v>-0.06279069767</v>
      </c>
      <c r="V126" s="165">
        <f t="shared" si="3"/>
        <v>1.129209302</v>
      </c>
      <c r="W126" s="166" t="str">
        <f t="shared" si="4"/>
        <v>Normal</v>
      </c>
      <c r="X126" s="42">
        <f t="shared" si="5"/>
        <v>10.46421663</v>
      </c>
      <c r="Y126" s="167">
        <f t="shared" si="6"/>
        <v>9.266853021</v>
      </c>
      <c r="Z126" s="167">
        <f t="shared" si="7"/>
        <v>9.263157895</v>
      </c>
      <c r="AA126" s="165">
        <f t="shared" si="8"/>
        <v>0.0003987465978</v>
      </c>
      <c r="AB126" s="81"/>
    </row>
    <row r="127">
      <c r="A127" s="168" t="s">
        <v>168</v>
      </c>
      <c r="B127" s="169">
        <f>138+48.29</f>
        <v>186.29</v>
      </c>
      <c r="C127" s="170">
        <v>20.0</v>
      </c>
      <c r="D127" s="171" t="s">
        <v>139</v>
      </c>
      <c r="E127" s="48">
        <v>1.0</v>
      </c>
      <c r="F127" s="45">
        <v>1617.0</v>
      </c>
      <c r="G127" s="172" t="s">
        <v>150</v>
      </c>
      <c r="H127" s="83">
        <v>24.0</v>
      </c>
      <c r="I127" s="48">
        <v>-0.024</v>
      </c>
      <c r="J127" s="48" t="s">
        <v>101</v>
      </c>
      <c r="K127" s="48" t="s">
        <v>101</v>
      </c>
      <c r="L127" s="48" t="s">
        <v>101</v>
      </c>
      <c r="M127" s="48" t="s">
        <v>101</v>
      </c>
      <c r="N127" s="48"/>
      <c r="O127" s="49">
        <v>0.01</v>
      </c>
      <c r="P127" s="48">
        <v>0.1</v>
      </c>
      <c r="Q127" s="48"/>
      <c r="R127" s="48"/>
      <c r="S127" s="48"/>
      <c r="T127" s="48"/>
      <c r="U127" s="173">
        <f t="shared" si="2"/>
        <v>-0.15</v>
      </c>
      <c r="V127" s="174">
        <f t="shared" si="3"/>
        <v>0.936</v>
      </c>
      <c r="W127" s="175" t="str">
        <f t="shared" si="4"/>
        <v>Normal</v>
      </c>
      <c r="X127" s="54">
        <f t="shared" si="5"/>
        <v>8.68001503</v>
      </c>
      <c r="Y127" s="176">
        <f t="shared" si="6"/>
        <v>9.273520332</v>
      </c>
      <c r="Z127" s="176">
        <f t="shared" si="7"/>
        <v>9.263157895</v>
      </c>
      <c r="AA127" s="174">
        <f t="shared" si="8"/>
        <v>0.001117422127</v>
      </c>
      <c r="AB127" s="87"/>
    </row>
    <row r="128">
      <c r="A128" s="159" t="s">
        <v>169</v>
      </c>
      <c r="B128" s="160">
        <v>280.1</v>
      </c>
      <c r="C128" s="161">
        <v>20.0</v>
      </c>
      <c r="D128" s="162" t="s">
        <v>139</v>
      </c>
      <c r="E128" s="36">
        <v>1.0</v>
      </c>
      <c r="F128" s="33">
        <v>4487.0</v>
      </c>
      <c r="G128" s="163" t="s">
        <v>163</v>
      </c>
      <c r="H128" s="77">
        <v>9.0</v>
      </c>
      <c r="I128" s="36">
        <v>-0.018</v>
      </c>
      <c r="J128" s="36" t="s">
        <v>101</v>
      </c>
      <c r="K128" s="36" t="s">
        <v>101</v>
      </c>
      <c r="L128" s="36" t="s">
        <v>101</v>
      </c>
      <c r="M128" s="36" t="s">
        <v>101</v>
      </c>
      <c r="N128" s="36"/>
      <c r="O128" s="37">
        <v>0.01</v>
      </c>
      <c r="P128" s="36">
        <v>0.1</v>
      </c>
      <c r="Q128" s="36">
        <v>0.1</v>
      </c>
      <c r="R128" s="36">
        <v>0.6</v>
      </c>
      <c r="S128" s="36"/>
      <c r="T128" s="36"/>
      <c r="U128" s="164">
        <f t="shared" si="2"/>
        <v>-0.06279069767</v>
      </c>
      <c r="V128" s="165">
        <f t="shared" si="3"/>
        <v>1.729209302</v>
      </c>
      <c r="W128" s="166" t="str">
        <f t="shared" si="4"/>
        <v>Normal</v>
      </c>
      <c r="X128" s="42">
        <f t="shared" si="5"/>
        <v>16.01927883</v>
      </c>
      <c r="Y128" s="167">
        <f t="shared" si="6"/>
        <v>9.263932832</v>
      </c>
      <c r="Z128" s="167">
        <f t="shared" si="7"/>
        <v>9.263157895</v>
      </c>
      <c r="AA128" s="165">
        <f t="shared" si="8"/>
        <v>0.00008365098793</v>
      </c>
      <c r="AB128" s="81"/>
    </row>
    <row r="129">
      <c r="A129" s="168" t="s">
        <v>157</v>
      </c>
      <c r="B129" s="169">
        <f>53+8.4</f>
        <v>61.4</v>
      </c>
      <c r="C129" s="170">
        <v>20.0</v>
      </c>
      <c r="D129" s="171" t="s">
        <v>139</v>
      </c>
      <c r="E129" s="48">
        <v>1.0</v>
      </c>
      <c r="F129" s="45">
        <v>536.0</v>
      </c>
      <c r="G129" s="172" t="s">
        <v>142</v>
      </c>
      <c r="H129" s="83">
        <v>22.0</v>
      </c>
      <c r="I129" s="48">
        <v>-0.035</v>
      </c>
      <c r="J129" s="48" t="s">
        <v>101</v>
      </c>
      <c r="K129" s="48" t="s">
        <v>101</v>
      </c>
      <c r="L129" s="48" t="s">
        <v>101</v>
      </c>
      <c r="M129" s="48" t="s">
        <v>101</v>
      </c>
      <c r="N129" s="48"/>
      <c r="O129" s="49">
        <v>0.01</v>
      </c>
      <c r="P129" s="48">
        <v>0.1</v>
      </c>
      <c r="Q129" s="48"/>
      <c r="R129" s="48"/>
      <c r="S129" s="48"/>
      <c r="T129" s="48"/>
      <c r="U129" s="173">
        <f t="shared" si="2"/>
        <v>-0.1394366197</v>
      </c>
      <c r="V129" s="174">
        <f t="shared" si="3"/>
        <v>0.9355633803</v>
      </c>
      <c r="W129" s="175" t="str">
        <f t="shared" si="4"/>
        <v>Normal</v>
      </c>
      <c r="X129" s="54">
        <f t="shared" si="5"/>
        <v>8.729641694</v>
      </c>
      <c r="Y129" s="176">
        <f t="shared" si="6"/>
        <v>9.330892891</v>
      </c>
      <c r="Z129" s="176">
        <f t="shared" si="7"/>
        <v>9.263157895</v>
      </c>
      <c r="AA129" s="174">
        <f t="shared" si="8"/>
        <v>0.007259219101</v>
      </c>
      <c r="AB129" s="87"/>
    </row>
    <row r="130">
      <c r="A130" s="159" t="s">
        <v>138</v>
      </c>
      <c r="B130" s="160">
        <v>288.81</v>
      </c>
      <c r="C130" s="161">
        <v>20.0</v>
      </c>
      <c r="D130" s="162" t="s">
        <v>143</v>
      </c>
      <c r="E130" s="36">
        <v>0.266</v>
      </c>
      <c r="F130" s="33">
        <v>593.0</v>
      </c>
      <c r="G130" s="163" t="s">
        <v>150</v>
      </c>
      <c r="H130" s="77">
        <v>24.0</v>
      </c>
      <c r="I130" s="36">
        <v>-0.024</v>
      </c>
      <c r="J130" s="36">
        <v>-0.2</v>
      </c>
      <c r="K130" s="36" t="s">
        <v>101</v>
      </c>
      <c r="L130" s="36" t="s">
        <v>101</v>
      </c>
      <c r="M130" s="36" t="s">
        <v>101</v>
      </c>
      <c r="N130" s="36"/>
      <c r="O130" s="37">
        <v>0.01</v>
      </c>
      <c r="P130" s="36">
        <v>0.1</v>
      </c>
      <c r="Q130" s="36">
        <v>0.1</v>
      </c>
      <c r="R130" s="36">
        <v>0.253</v>
      </c>
      <c r="S130" s="36"/>
      <c r="T130" s="36"/>
      <c r="U130" s="164">
        <f t="shared" si="2"/>
        <v>-0.15</v>
      </c>
      <c r="V130" s="165">
        <f t="shared" si="3"/>
        <v>1.089</v>
      </c>
      <c r="W130" s="166" t="str">
        <f t="shared" si="4"/>
        <v>Skill</v>
      </c>
      <c r="X130" s="42">
        <f t="shared" si="5"/>
        <v>7.718996255</v>
      </c>
      <c r="Y130" s="167">
        <f t="shared" si="6"/>
        <v>7.088150831</v>
      </c>
      <c r="Z130" s="167">
        <f t="shared" si="7"/>
        <v>7.263157895</v>
      </c>
      <c r="AA130" s="165">
        <f t="shared" si="8"/>
        <v>-0.02469008749</v>
      </c>
      <c r="AB130" s="81"/>
    </row>
    <row r="131">
      <c r="A131" s="168" t="s">
        <v>120</v>
      </c>
      <c r="B131" s="169">
        <v>263.65</v>
      </c>
      <c r="C131" s="170">
        <v>20.0</v>
      </c>
      <c r="D131" s="171" t="s">
        <v>143</v>
      </c>
      <c r="E131" s="48">
        <v>0.266</v>
      </c>
      <c r="F131" s="45">
        <v>495.0</v>
      </c>
      <c r="G131" s="172" t="s">
        <v>164</v>
      </c>
      <c r="H131" s="83">
        <v>12.0</v>
      </c>
      <c r="I131" s="48">
        <v>-0.035</v>
      </c>
      <c r="J131" s="48" t="s">
        <v>101</v>
      </c>
      <c r="K131" s="48" t="s">
        <v>101</v>
      </c>
      <c r="L131" s="48" t="s">
        <v>101</v>
      </c>
      <c r="M131" s="48" t="s">
        <v>101</v>
      </c>
      <c r="N131" s="48"/>
      <c r="O131" s="49">
        <v>0.01</v>
      </c>
      <c r="P131" s="48">
        <v>0.1</v>
      </c>
      <c r="Q131" s="48"/>
      <c r="R131" s="48"/>
      <c r="S131" s="48"/>
      <c r="T131" s="48"/>
      <c r="U131" s="173">
        <f t="shared" si="2"/>
        <v>-0.08181818182</v>
      </c>
      <c r="V131" s="174">
        <f t="shared" si="3"/>
        <v>0.9931818182</v>
      </c>
      <c r="W131" s="175" t="str">
        <f t="shared" si="4"/>
        <v>Skill</v>
      </c>
      <c r="X131" s="54">
        <f t="shared" si="5"/>
        <v>7.058229682</v>
      </c>
      <c r="Y131" s="176">
        <f t="shared" si="6"/>
        <v>7.106684348</v>
      </c>
      <c r="Z131" s="176">
        <f t="shared" si="7"/>
        <v>7.263157895</v>
      </c>
      <c r="AA131" s="174">
        <f t="shared" si="8"/>
        <v>-0.0220177989</v>
      </c>
      <c r="AB131" s="87"/>
    </row>
    <row r="132">
      <c r="A132" s="159" t="s">
        <v>157</v>
      </c>
      <c r="B132" s="160">
        <f>53+8.4</f>
        <v>61.4</v>
      </c>
      <c r="C132" s="161">
        <v>20.0</v>
      </c>
      <c r="D132" s="162" t="s">
        <v>143</v>
      </c>
      <c r="E132" s="36">
        <v>0.266</v>
      </c>
      <c r="F132" s="33">
        <v>109.0</v>
      </c>
      <c r="G132" s="163" t="s">
        <v>142</v>
      </c>
      <c r="H132" s="77">
        <v>22.0</v>
      </c>
      <c r="I132" s="36">
        <v>-0.035</v>
      </c>
      <c r="J132" s="36" t="s">
        <v>101</v>
      </c>
      <c r="K132" s="36" t="s">
        <v>101</v>
      </c>
      <c r="L132" s="36" t="s">
        <v>101</v>
      </c>
      <c r="M132" s="36" t="s">
        <v>101</v>
      </c>
      <c r="N132" s="36"/>
      <c r="O132" s="37">
        <v>0.01</v>
      </c>
      <c r="P132" s="36">
        <v>0.1</v>
      </c>
      <c r="Q132" s="36"/>
      <c r="R132" s="36"/>
      <c r="S132" s="36"/>
      <c r="T132" s="36"/>
      <c r="U132" s="164">
        <f t="shared" si="2"/>
        <v>-0.1394366197</v>
      </c>
      <c r="V132" s="165">
        <f t="shared" si="3"/>
        <v>0.9355633803</v>
      </c>
      <c r="W132" s="166" t="str">
        <f t="shared" si="4"/>
        <v>Skill</v>
      </c>
      <c r="X132" s="42">
        <f t="shared" si="5"/>
        <v>6.673850751</v>
      </c>
      <c r="Y132" s="167">
        <f t="shared" si="6"/>
        <v>7.133510023</v>
      </c>
      <c r="Z132" s="167">
        <f t="shared" si="7"/>
        <v>7.263157895</v>
      </c>
      <c r="AA132" s="165">
        <f t="shared" si="8"/>
        <v>-0.01817448508</v>
      </c>
      <c r="AB132" s="81"/>
    </row>
    <row r="133">
      <c r="A133" s="168" t="s">
        <v>168</v>
      </c>
      <c r="B133" s="169">
        <f t="shared" ref="B133:B134" si="46">138+48.29</f>
        <v>186.29</v>
      </c>
      <c r="C133" s="170">
        <v>20.0</v>
      </c>
      <c r="D133" s="171" t="s">
        <v>170</v>
      </c>
      <c r="E133" s="48">
        <v>3.3</v>
      </c>
      <c r="F133" s="45">
        <v>3291.0</v>
      </c>
      <c r="G133" s="172" t="s">
        <v>150</v>
      </c>
      <c r="H133" s="83">
        <v>24.0</v>
      </c>
      <c r="I133" s="48">
        <v>-0.024</v>
      </c>
      <c r="J133" s="48">
        <v>-0.2</v>
      </c>
      <c r="K133" s="48" t="s">
        <v>101</v>
      </c>
      <c r="L133" s="48" t="s">
        <v>101</v>
      </c>
      <c r="M133" s="48" t="s">
        <v>101</v>
      </c>
      <c r="N133" s="48"/>
      <c r="O133" s="49">
        <v>0.01</v>
      </c>
      <c r="P133" s="48">
        <v>0.1</v>
      </c>
      <c r="Q133" s="48"/>
      <c r="R133" s="48"/>
      <c r="S133" s="48"/>
      <c r="T133" s="48"/>
      <c r="U133" s="173">
        <f t="shared" si="2"/>
        <v>-0.15</v>
      </c>
      <c r="V133" s="174">
        <f t="shared" si="3"/>
        <v>0.736</v>
      </c>
      <c r="W133" s="175" t="str">
        <f t="shared" si="4"/>
        <v>Skill</v>
      </c>
      <c r="X133" s="54">
        <f t="shared" si="5"/>
        <v>5.353334732</v>
      </c>
      <c r="Y133" s="176">
        <f t="shared" si="6"/>
        <v>7.273552625</v>
      </c>
      <c r="Z133" s="176">
        <f t="shared" si="7"/>
        <v>7.263157895</v>
      </c>
      <c r="AA133" s="174">
        <f t="shared" si="8"/>
        <v>0.001429113275</v>
      </c>
      <c r="AB133" s="87"/>
    </row>
    <row r="134">
      <c r="A134" s="159" t="s">
        <v>168</v>
      </c>
      <c r="B134" s="160">
        <f t="shared" si="46"/>
        <v>186.29</v>
      </c>
      <c r="C134" s="161">
        <v>20.0</v>
      </c>
      <c r="D134" s="162" t="s">
        <v>171</v>
      </c>
      <c r="E134" s="36">
        <v>2.4</v>
      </c>
      <c r="F134" s="33">
        <v>2394.0</v>
      </c>
      <c r="G134" s="163" t="s">
        <v>150</v>
      </c>
      <c r="H134" s="77">
        <v>24.0</v>
      </c>
      <c r="I134" s="36">
        <v>-0.024</v>
      </c>
      <c r="J134" s="36">
        <v>-0.2</v>
      </c>
      <c r="K134" s="36" t="s">
        <v>101</v>
      </c>
      <c r="L134" s="36" t="s">
        <v>101</v>
      </c>
      <c r="M134" s="36" t="s">
        <v>101</v>
      </c>
      <c r="N134" s="36"/>
      <c r="O134" s="37">
        <v>0.01</v>
      </c>
      <c r="P134" s="36">
        <v>0.1</v>
      </c>
      <c r="Q134" s="36"/>
      <c r="R134" s="36"/>
      <c r="S134" s="36"/>
      <c r="T134" s="36"/>
      <c r="U134" s="164">
        <f t="shared" si="2"/>
        <v>-0.15</v>
      </c>
      <c r="V134" s="165">
        <f t="shared" si="3"/>
        <v>0.736</v>
      </c>
      <c r="W134" s="166" t="str">
        <f t="shared" si="4"/>
        <v>Skill</v>
      </c>
      <c r="X134" s="42">
        <f t="shared" si="5"/>
        <v>5.354554727</v>
      </c>
      <c r="Y134" s="167">
        <f t="shared" si="6"/>
        <v>7.275210226</v>
      </c>
      <c r="Z134" s="167">
        <f t="shared" si="7"/>
        <v>7.263157895</v>
      </c>
      <c r="AA134" s="165">
        <f t="shared" si="8"/>
        <v>0.001656629996</v>
      </c>
      <c r="AB134" s="81"/>
    </row>
    <row r="135">
      <c r="A135" s="168" t="s">
        <v>120</v>
      </c>
      <c r="B135" s="169">
        <v>263.65</v>
      </c>
      <c r="C135" s="170">
        <v>20.0</v>
      </c>
      <c r="D135" s="171" t="s">
        <v>172</v>
      </c>
      <c r="E135" s="48">
        <v>0.7</v>
      </c>
      <c r="F135" s="45">
        <v>1332.0</v>
      </c>
      <c r="G135" s="172" t="s">
        <v>164</v>
      </c>
      <c r="H135" s="83">
        <v>12.0</v>
      </c>
      <c r="I135" s="48">
        <v>-0.035</v>
      </c>
      <c r="J135" s="48" t="s">
        <v>101</v>
      </c>
      <c r="K135" s="48" t="s">
        <v>101</v>
      </c>
      <c r="L135" s="48" t="s">
        <v>101</v>
      </c>
      <c r="M135" s="48" t="s">
        <v>101</v>
      </c>
      <c r="N135" s="48"/>
      <c r="O135" s="49">
        <v>0.01</v>
      </c>
      <c r="P135" s="48">
        <v>0.1</v>
      </c>
      <c r="Q135" s="48"/>
      <c r="R135" s="48"/>
      <c r="S135" s="48"/>
      <c r="T135" s="48"/>
      <c r="U135" s="173">
        <f t="shared" si="2"/>
        <v>-0.08181818182</v>
      </c>
      <c r="V135" s="174">
        <f t="shared" si="3"/>
        <v>0.9931818182</v>
      </c>
      <c r="W135" s="175" t="str">
        <f t="shared" si="4"/>
        <v>Skill</v>
      </c>
      <c r="X135" s="54">
        <f t="shared" si="5"/>
        <v>7.217360678</v>
      </c>
      <c r="Y135" s="176">
        <f t="shared" si="6"/>
        <v>7.266907777</v>
      </c>
      <c r="Z135" s="176">
        <f t="shared" si="7"/>
        <v>7.263157895</v>
      </c>
      <c r="AA135" s="174">
        <f t="shared" si="8"/>
        <v>0.0005160217035</v>
      </c>
      <c r="AB135" s="87"/>
    </row>
    <row r="136">
      <c r="A136" s="159" t="s">
        <v>138</v>
      </c>
      <c r="B136" s="160">
        <v>288.81</v>
      </c>
      <c r="C136" s="161">
        <f t="shared" ref="C136:C137" si="47">1011/50</f>
        <v>20.22</v>
      </c>
      <c r="D136" s="162" t="s">
        <v>139</v>
      </c>
      <c r="E136" s="36">
        <v>1.0</v>
      </c>
      <c r="F136" s="33">
        <v>4745.0</v>
      </c>
      <c r="G136" s="163" t="s">
        <v>153</v>
      </c>
      <c r="H136" s="77">
        <v>24.0</v>
      </c>
      <c r="I136" s="36">
        <v>-0.038</v>
      </c>
      <c r="J136" s="36">
        <v>-0.01</v>
      </c>
      <c r="K136" s="36" t="s">
        <v>101</v>
      </c>
      <c r="L136" s="36" t="s">
        <v>101</v>
      </c>
      <c r="M136" s="36" t="s">
        <v>101</v>
      </c>
      <c r="N136" s="36"/>
      <c r="O136" s="37">
        <v>0.01</v>
      </c>
      <c r="P136" s="36">
        <v>0.1</v>
      </c>
      <c r="Q136" s="36">
        <v>0.1</v>
      </c>
      <c r="R136" s="36">
        <v>0.253</v>
      </c>
      <c r="S136" s="36">
        <v>0.5</v>
      </c>
      <c r="T136" s="36"/>
      <c r="U136" s="164">
        <f t="shared" si="2"/>
        <v>-0.15</v>
      </c>
      <c r="V136" s="165">
        <f t="shared" si="3"/>
        <v>1.765</v>
      </c>
      <c r="W136" s="166" t="str">
        <f t="shared" si="4"/>
        <v>Normal</v>
      </c>
      <c r="X136" s="42">
        <f t="shared" si="5"/>
        <v>16.42948651</v>
      </c>
      <c r="Y136" s="167">
        <f t="shared" si="6"/>
        <v>9.308490943</v>
      </c>
      <c r="Z136" s="167">
        <f t="shared" si="7"/>
        <v>9.308758664</v>
      </c>
      <c r="AA136" s="165">
        <f t="shared" si="8"/>
        <v>-0.00002876100801</v>
      </c>
      <c r="AB136" s="81"/>
    </row>
    <row r="137">
      <c r="A137" s="168" t="s">
        <v>138</v>
      </c>
      <c r="B137" s="169">
        <v>288.81</v>
      </c>
      <c r="C137" s="170">
        <f t="shared" si="47"/>
        <v>20.22</v>
      </c>
      <c r="D137" s="171" t="s">
        <v>143</v>
      </c>
      <c r="E137" s="48">
        <v>0.266</v>
      </c>
      <c r="F137" s="45">
        <v>694.0</v>
      </c>
      <c r="G137" s="172" t="s">
        <v>153</v>
      </c>
      <c r="H137" s="83">
        <v>24.0</v>
      </c>
      <c r="I137" s="48">
        <v>-0.038</v>
      </c>
      <c r="J137" s="48">
        <v>-0.01</v>
      </c>
      <c r="K137" s="48" t="s">
        <v>101</v>
      </c>
      <c r="L137" s="48" t="s">
        <v>101</v>
      </c>
      <c r="M137" s="48" t="s">
        <v>101</v>
      </c>
      <c r="N137" s="48"/>
      <c r="O137" s="49">
        <v>0.01</v>
      </c>
      <c r="P137" s="48">
        <v>0.1</v>
      </c>
      <c r="Q137" s="48">
        <v>0.1</v>
      </c>
      <c r="R137" s="48">
        <v>0.253</v>
      </c>
      <c r="S137" s="48"/>
      <c r="T137" s="48"/>
      <c r="U137" s="173">
        <f t="shared" si="2"/>
        <v>-0.15</v>
      </c>
      <c r="V137" s="174">
        <f t="shared" si="3"/>
        <v>1.265</v>
      </c>
      <c r="W137" s="175" t="str">
        <f t="shared" si="4"/>
        <v>Skill</v>
      </c>
      <c r="X137" s="54">
        <f t="shared" si="5"/>
        <v>9.033698821</v>
      </c>
      <c r="Y137" s="176">
        <f t="shared" si="6"/>
        <v>7.14126389</v>
      </c>
      <c r="Z137" s="176">
        <f t="shared" si="7"/>
        <v>7.308758664</v>
      </c>
      <c r="AA137" s="174">
        <f t="shared" si="8"/>
        <v>-0.02345450006</v>
      </c>
      <c r="AB137" s="87"/>
    </row>
    <row r="138">
      <c r="A138" s="159" t="s">
        <v>138</v>
      </c>
      <c r="B138" s="160">
        <v>288.81</v>
      </c>
      <c r="C138" s="161">
        <f t="shared" ref="C138:C139" si="48">1066/50</f>
        <v>21.32</v>
      </c>
      <c r="D138" s="162" t="s">
        <v>139</v>
      </c>
      <c r="E138" s="36">
        <v>1.0</v>
      </c>
      <c r="F138" s="33">
        <v>4859.0</v>
      </c>
      <c r="G138" s="163" t="s">
        <v>153</v>
      </c>
      <c r="H138" s="77">
        <v>24.0</v>
      </c>
      <c r="I138" s="36">
        <v>-0.038</v>
      </c>
      <c r="J138" s="36">
        <v>-0.01</v>
      </c>
      <c r="K138" s="36" t="s">
        <v>101</v>
      </c>
      <c r="L138" s="36" t="s">
        <v>101</v>
      </c>
      <c r="M138" s="36" t="s">
        <v>101</v>
      </c>
      <c r="N138" s="36"/>
      <c r="O138" s="37">
        <v>0.01</v>
      </c>
      <c r="P138" s="36">
        <v>0.1</v>
      </c>
      <c r="Q138" s="36">
        <v>0.1</v>
      </c>
      <c r="R138" s="36">
        <v>0.253</v>
      </c>
      <c r="S138" s="36">
        <v>0.5</v>
      </c>
      <c r="T138" s="36"/>
      <c r="U138" s="164">
        <f t="shared" si="2"/>
        <v>-0.15</v>
      </c>
      <c r="V138" s="165">
        <f t="shared" si="3"/>
        <v>1.765</v>
      </c>
      <c r="W138" s="166" t="str">
        <f t="shared" si="4"/>
        <v>Normal</v>
      </c>
      <c r="X138" s="42">
        <f t="shared" si="5"/>
        <v>16.82420969</v>
      </c>
      <c r="Y138" s="167">
        <f t="shared" si="6"/>
        <v>9.532130135</v>
      </c>
      <c r="Z138" s="167">
        <f t="shared" si="7"/>
        <v>9.533637874</v>
      </c>
      <c r="AA138" s="165">
        <f t="shared" si="8"/>
        <v>-0.0001581743925</v>
      </c>
      <c r="AB138" s="81"/>
    </row>
    <row r="139">
      <c r="A139" s="168" t="s">
        <v>138</v>
      </c>
      <c r="B139" s="169">
        <v>288.81</v>
      </c>
      <c r="C139" s="170">
        <f t="shared" si="48"/>
        <v>21.32</v>
      </c>
      <c r="D139" s="171" t="s">
        <v>141</v>
      </c>
      <c r="E139" s="48">
        <v>1.8</v>
      </c>
      <c r="F139" s="45">
        <v>6912.0</v>
      </c>
      <c r="G139" s="172" t="s">
        <v>153</v>
      </c>
      <c r="H139" s="83">
        <v>24.0</v>
      </c>
      <c r="I139" s="48">
        <v>-0.038</v>
      </c>
      <c r="J139" s="48">
        <v>-0.01</v>
      </c>
      <c r="K139" s="48" t="s">
        <v>101</v>
      </c>
      <c r="L139" s="48" t="s">
        <v>101</v>
      </c>
      <c r="M139" s="48" t="s">
        <v>101</v>
      </c>
      <c r="N139" s="48"/>
      <c r="O139" s="49">
        <v>0.01</v>
      </c>
      <c r="P139" s="48">
        <v>0.1</v>
      </c>
      <c r="Q139" s="48">
        <v>0.1</v>
      </c>
      <c r="R139" s="48">
        <v>0.253</v>
      </c>
      <c r="S139" s="48">
        <v>0.5</v>
      </c>
      <c r="T139" s="48"/>
      <c r="U139" s="173">
        <f t="shared" si="2"/>
        <v>-0.15</v>
      </c>
      <c r="V139" s="174">
        <f t="shared" si="3"/>
        <v>1.765</v>
      </c>
      <c r="W139" s="175" t="str">
        <f t="shared" si="4"/>
        <v>Skill</v>
      </c>
      <c r="X139" s="54">
        <f t="shared" si="5"/>
        <v>13.29593851</v>
      </c>
      <c r="Y139" s="176">
        <f t="shared" si="6"/>
        <v>7.533109635</v>
      </c>
      <c r="Z139" s="176">
        <f t="shared" si="7"/>
        <v>7.533637874</v>
      </c>
      <c r="AA139" s="174">
        <f t="shared" si="8"/>
        <v>-0.00007012223253</v>
      </c>
      <c r="AB139" s="87"/>
    </row>
    <row r="140">
      <c r="A140" s="159" t="s">
        <v>138</v>
      </c>
      <c r="B140" s="160">
        <v>288.81</v>
      </c>
      <c r="C140" s="161">
        <f>1091/50</f>
        <v>21.82</v>
      </c>
      <c r="D140" s="162" t="s">
        <v>145</v>
      </c>
      <c r="E140" s="36">
        <v>1.714</v>
      </c>
      <c r="F140" s="33">
        <v>4026.0</v>
      </c>
      <c r="G140" s="163" t="s">
        <v>86</v>
      </c>
      <c r="H140" s="77">
        <v>51.0</v>
      </c>
      <c r="I140" s="36">
        <v>-0.087</v>
      </c>
      <c r="J140" s="36">
        <v>-0.04</v>
      </c>
      <c r="K140" s="36" t="s">
        <v>101</v>
      </c>
      <c r="L140" s="36" t="s">
        <v>101</v>
      </c>
      <c r="M140" s="36" t="s">
        <v>101</v>
      </c>
      <c r="N140" s="36"/>
      <c r="O140" s="37">
        <v>0.01</v>
      </c>
      <c r="P140" s="36">
        <v>0.1</v>
      </c>
      <c r="Q140" s="36">
        <v>0.1</v>
      </c>
      <c r="R140" s="36">
        <v>0.253</v>
      </c>
      <c r="S140" s="36"/>
      <c r="T140" s="36"/>
      <c r="U140" s="164">
        <f t="shared" si="2"/>
        <v>-0.2684210526</v>
      </c>
      <c r="V140" s="165">
        <f t="shared" si="3"/>
        <v>1.067578947</v>
      </c>
      <c r="W140" s="166" t="str">
        <f t="shared" si="4"/>
        <v>Skill</v>
      </c>
      <c r="X140" s="42">
        <f t="shared" si="5"/>
        <v>8.132999141</v>
      </c>
      <c r="Y140" s="167">
        <f t="shared" si="6"/>
        <v>7.618171154</v>
      </c>
      <c r="Z140" s="167">
        <f t="shared" si="7"/>
        <v>7.634166495</v>
      </c>
      <c r="AA140" s="165">
        <f t="shared" si="8"/>
        <v>-0.002099630033</v>
      </c>
      <c r="AB140" s="81"/>
    </row>
    <row r="141">
      <c r="A141" s="168" t="s">
        <v>138</v>
      </c>
      <c r="B141" s="169">
        <v>288.81</v>
      </c>
      <c r="C141" s="170">
        <f t="shared" ref="C141:C142" si="49">1098/50</f>
        <v>21.96</v>
      </c>
      <c r="D141" s="171" t="s">
        <v>147</v>
      </c>
      <c r="E141" s="48">
        <v>2.6</v>
      </c>
      <c r="F141" s="45">
        <v>9021.0</v>
      </c>
      <c r="G141" s="172" t="s">
        <v>86</v>
      </c>
      <c r="H141" s="83">
        <v>51.0</v>
      </c>
      <c r="I141" s="48">
        <v>-0.087</v>
      </c>
      <c r="J141" s="48">
        <v>-0.04</v>
      </c>
      <c r="K141" s="48" t="s">
        <v>101</v>
      </c>
      <c r="L141" s="48" t="s">
        <v>101</v>
      </c>
      <c r="M141" s="48" t="s">
        <v>101</v>
      </c>
      <c r="N141" s="48"/>
      <c r="O141" s="49">
        <v>0.01</v>
      </c>
      <c r="P141" s="48">
        <v>0.1</v>
      </c>
      <c r="Q141" s="48">
        <v>0.1</v>
      </c>
      <c r="R141" s="48">
        <v>0.253</v>
      </c>
      <c r="S141" s="48">
        <v>0.5</v>
      </c>
      <c r="T141" s="48"/>
      <c r="U141" s="173">
        <f t="shared" si="2"/>
        <v>-0.2684210526</v>
      </c>
      <c r="V141" s="174">
        <f t="shared" si="3"/>
        <v>1.567578947</v>
      </c>
      <c r="W141" s="175" t="str">
        <f t="shared" si="4"/>
        <v>Skill</v>
      </c>
      <c r="X141" s="54">
        <f t="shared" si="5"/>
        <v>12.01348771</v>
      </c>
      <c r="Y141" s="176">
        <f t="shared" si="6"/>
        <v>7.663721006</v>
      </c>
      <c r="Z141" s="176">
        <f t="shared" si="7"/>
        <v>7.662128713</v>
      </c>
      <c r="AA141" s="174">
        <f t="shared" si="8"/>
        <v>0.0002077701819</v>
      </c>
      <c r="AB141" s="87"/>
    </row>
    <row r="142">
      <c r="A142" s="159" t="s">
        <v>138</v>
      </c>
      <c r="B142" s="160">
        <v>288.81</v>
      </c>
      <c r="C142" s="161">
        <f t="shared" si="49"/>
        <v>21.96</v>
      </c>
      <c r="D142" s="162" t="s">
        <v>139</v>
      </c>
      <c r="E142" s="36">
        <v>1.0</v>
      </c>
      <c r="F142" s="33">
        <v>4375.0</v>
      </c>
      <c r="G142" s="163" t="s">
        <v>86</v>
      </c>
      <c r="H142" s="77">
        <v>51.0</v>
      </c>
      <c r="I142" s="36">
        <v>-0.087</v>
      </c>
      <c r="J142" s="36">
        <v>-0.04</v>
      </c>
      <c r="K142" s="36" t="s">
        <v>101</v>
      </c>
      <c r="L142" s="36" t="s">
        <v>101</v>
      </c>
      <c r="M142" s="36" t="s">
        <v>101</v>
      </c>
      <c r="N142" s="36"/>
      <c r="O142" s="37">
        <v>0.01</v>
      </c>
      <c r="P142" s="36">
        <v>0.1</v>
      </c>
      <c r="Q142" s="36">
        <v>0.1</v>
      </c>
      <c r="R142" s="36">
        <v>0.253</v>
      </c>
      <c r="S142" s="36">
        <v>0.5</v>
      </c>
      <c r="T142" s="36"/>
      <c r="U142" s="164">
        <f t="shared" si="2"/>
        <v>-0.2684210526</v>
      </c>
      <c r="V142" s="165">
        <f t="shared" si="3"/>
        <v>1.567578947</v>
      </c>
      <c r="W142" s="166" t="str">
        <f t="shared" si="4"/>
        <v>Normal</v>
      </c>
      <c r="X142" s="42">
        <f t="shared" si="5"/>
        <v>15.14836744</v>
      </c>
      <c r="Y142" s="167">
        <f t="shared" si="6"/>
        <v>9.663543558</v>
      </c>
      <c r="Z142" s="167">
        <f t="shared" si="7"/>
        <v>9.662128713</v>
      </c>
      <c r="AA142" s="165">
        <f t="shared" si="8"/>
        <v>0.0001464106115</v>
      </c>
      <c r="AB142" s="81"/>
    </row>
    <row r="143">
      <c r="A143" s="168" t="s">
        <v>138</v>
      </c>
      <c r="B143" s="169">
        <v>288.81</v>
      </c>
      <c r="C143" s="170">
        <f>1116/50</f>
        <v>22.32</v>
      </c>
      <c r="D143" s="171" t="s">
        <v>139</v>
      </c>
      <c r="E143" s="48">
        <v>1.0</v>
      </c>
      <c r="F143" s="45">
        <v>4407.0</v>
      </c>
      <c r="G143" s="172" t="s">
        <v>86</v>
      </c>
      <c r="H143" s="83">
        <v>51.0</v>
      </c>
      <c r="I143" s="48">
        <v>-0.087</v>
      </c>
      <c r="J143" s="48">
        <v>-0.04</v>
      </c>
      <c r="K143" s="48" t="s">
        <v>101</v>
      </c>
      <c r="L143" s="48" t="s">
        <v>101</v>
      </c>
      <c r="M143" s="48" t="s">
        <v>101</v>
      </c>
      <c r="N143" s="48"/>
      <c r="O143" s="49">
        <v>0.01</v>
      </c>
      <c r="P143" s="48">
        <v>0.1</v>
      </c>
      <c r="Q143" s="48">
        <v>0.1</v>
      </c>
      <c r="R143" s="48">
        <v>0.253</v>
      </c>
      <c r="S143" s="48">
        <v>0.5</v>
      </c>
      <c r="T143" s="48"/>
      <c r="U143" s="173">
        <f t="shared" si="2"/>
        <v>-0.2684210526</v>
      </c>
      <c r="V143" s="174">
        <f t="shared" si="3"/>
        <v>1.567578947</v>
      </c>
      <c r="W143" s="175" t="str">
        <f t="shared" si="4"/>
        <v>Normal</v>
      </c>
      <c r="X143" s="54">
        <f t="shared" si="5"/>
        <v>15.25916693</v>
      </c>
      <c r="Y143" s="176">
        <f t="shared" si="6"/>
        <v>9.734225477</v>
      </c>
      <c r="Z143" s="176">
        <f t="shared" si="7"/>
        <v>9.733662145</v>
      </c>
      <c r="AA143" s="174">
        <f t="shared" si="8"/>
        <v>0.00005787119804</v>
      </c>
      <c r="AB143" s="87"/>
    </row>
    <row r="144">
      <c r="A144" s="159" t="s">
        <v>138</v>
      </c>
      <c r="B144" s="160">
        <v>288.81</v>
      </c>
      <c r="C144" s="161">
        <f t="shared" ref="C144:C147" si="50">1150/50</f>
        <v>23</v>
      </c>
      <c r="D144" s="162" t="s">
        <v>148</v>
      </c>
      <c r="E144" s="36">
        <v>2.142</v>
      </c>
      <c r="F144" s="33">
        <v>7896.0</v>
      </c>
      <c r="G144" s="163" t="s">
        <v>87</v>
      </c>
      <c r="H144" s="77">
        <v>37.0</v>
      </c>
      <c r="I144" s="36">
        <v>-0.087</v>
      </c>
      <c r="J144" s="36">
        <v>-0.04</v>
      </c>
      <c r="K144" s="36" t="s">
        <v>101</v>
      </c>
      <c r="L144" s="36" t="s">
        <v>101</v>
      </c>
      <c r="M144" s="36" t="s">
        <v>101</v>
      </c>
      <c r="N144" s="36"/>
      <c r="O144" s="37">
        <v>0.01</v>
      </c>
      <c r="P144" s="36">
        <v>0.1</v>
      </c>
      <c r="Q144" s="36">
        <v>0.1</v>
      </c>
      <c r="R144" s="36">
        <v>0.253</v>
      </c>
      <c r="S144" s="36">
        <v>0.5</v>
      </c>
      <c r="T144" s="36"/>
      <c r="U144" s="164">
        <f t="shared" si="2"/>
        <v>-0.2121019108</v>
      </c>
      <c r="V144" s="165">
        <f t="shared" si="3"/>
        <v>1.623898089</v>
      </c>
      <c r="W144" s="166" t="str">
        <f t="shared" si="4"/>
        <v>Skill</v>
      </c>
      <c r="X144" s="42">
        <f t="shared" si="5"/>
        <v>12.76366646</v>
      </c>
      <c r="Y144" s="167">
        <f t="shared" si="6"/>
        <v>7.85989376</v>
      </c>
      <c r="Z144" s="167">
        <f t="shared" si="7"/>
        <v>7.867346939</v>
      </c>
      <c r="AA144" s="165">
        <f t="shared" si="8"/>
        <v>-0.0009482543697</v>
      </c>
      <c r="AB144" s="81"/>
    </row>
    <row r="145">
      <c r="A145" s="168" t="s">
        <v>138</v>
      </c>
      <c r="B145" s="169">
        <v>288.81</v>
      </c>
      <c r="C145" s="170">
        <f t="shared" si="50"/>
        <v>23</v>
      </c>
      <c r="D145" s="171" t="s">
        <v>139</v>
      </c>
      <c r="E145" s="48">
        <v>1.0</v>
      </c>
      <c r="F145" s="45">
        <v>2687.0</v>
      </c>
      <c r="G145" s="172" t="s">
        <v>83</v>
      </c>
      <c r="H145" s="83">
        <v>58.0</v>
      </c>
      <c r="I145" s="48">
        <v>-0.087</v>
      </c>
      <c r="J145" s="48">
        <v>-0.04</v>
      </c>
      <c r="K145" s="48">
        <v>-0.1</v>
      </c>
      <c r="L145" s="48" t="s">
        <v>101</v>
      </c>
      <c r="M145" s="48" t="s">
        <v>101</v>
      </c>
      <c r="N145" s="48"/>
      <c r="O145" s="49">
        <v>0.01</v>
      </c>
      <c r="P145" s="48">
        <v>0.1</v>
      </c>
      <c r="Q145" s="48">
        <v>0.1</v>
      </c>
      <c r="R145" s="48">
        <v>0.253</v>
      </c>
      <c r="S145" s="48"/>
      <c r="T145" s="48"/>
      <c r="U145" s="173">
        <f t="shared" si="2"/>
        <v>-0.293258427</v>
      </c>
      <c r="V145" s="174">
        <f t="shared" si="3"/>
        <v>0.942741573</v>
      </c>
      <c r="W145" s="175" t="str">
        <f t="shared" si="4"/>
        <v>Normal</v>
      </c>
      <c r="X145" s="54">
        <f t="shared" si="5"/>
        <v>9.30369447</v>
      </c>
      <c r="Y145" s="176">
        <f t="shared" si="6"/>
        <v>9.868764396</v>
      </c>
      <c r="Z145" s="176">
        <f t="shared" si="7"/>
        <v>9.867346939</v>
      </c>
      <c r="AA145" s="174">
        <f t="shared" si="8"/>
        <v>0.0001436306498</v>
      </c>
      <c r="AB145" s="87"/>
    </row>
    <row r="146">
      <c r="A146" s="159" t="s">
        <v>138</v>
      </c>
      <c r="B146" s="160">
        <v>288.81</v>
      </c>
      <c r="C146" s="161">
        <f t="shared" si="50"/>
        <v>23</v>
      </c>
      <c r="D146" s="162" t="s">
        <v>145</v>
      </c>
      <c r="E146" s="36">
        <v>1.714</v>
      </c>
      <c r="F146" s="33">
        <v>6309.0</v>
      </c>
      <c r="G146" s="163" t="s">
        <v>87</v>
      </c>
      <c r="H146" s="77">
        <v>37.0</v>
      </c>
      <c r="I146" s="36">
        <v>-0.087</v>
      </c>
      <c r="J146" s="36">
        <v>-0.04</v>
      </c>
      <c r="K146" s="36" t="s">
        <v>101</v>
      </c>
      <c r="L146" s="36" t="s">
        <v>101</v>
      </c>
      <c r="M146" s="36" t="s">
        <v>101</v>
      </c>
      <c r="N146" s="36"/>
      <c r="O146" s="37">
        <v>0.01</v>
      </c>
      <c r="P146" s="36">
        <v>0.1</v>
      </c>
      <c r="Q146" s="36">
        <v>0.1</v>
      </c>
      <c r="R146" s="36">
        <v>0.253</v>
      </c>
      <c r="S146" s="36">
        <v>0.5</v>
      </c>
      <c r="T146" s="36"/>
      <c r="U146" s="164">
        <f t="shared" si="2"/>
        <v>-0.2121019108</v>
      </c>
      <c r="V146" s="165">
        <f t="shared" si="3"/>
        <v>1.623898089</v>
      </c>
      <c r="W146" s="166" t="str">
        <f t="shared" si="4"/>
        <v>Skill</v>
      </c>
      <c r="X146" s="42">
        <f t="shared" si="5"/>
        <v>12.74493084</v>
      </c>
      <c r="Y146" s="167">
        <f t="shared" si="6"/>
        <v>7.848356328</v>
      </c>
      <c r="Z146" s="167">
        <f t="shared" si="7"/>
        <v>7.867346939</v>
      </c>
      <c r="AA146" s="165">
        <f t="shared" si="8"/>
        <v>-0.002419692696</v>
      </c>
      <c r="AB146" s="81"/>
    </row>
    <row r="147">
      <c r="A147" s="168" t="s">
        <v>138</v>
      </c>
      <c r="B147" s="169">
        <v>288.81</v>
      </c>
      <c r="C147" s="170">
        <f t="shared" si="50"/>
        <v>23</v>
      </c>
      <c r="D147" s="171" t="s">
        <v>143</v>
      </c>
      <c r="E147" s="48">
        <v>0.266</v>
      </c>
      <c r="F147" s="45">
        <v>557.0</v>
      </c>
      <c r="G147" s="172" t="s">
        <v>83</v>
      </c>
      <c r="H147" s="83">
        <v>58.0</v>
      </c>
      <c r="I147" s="48">
        <v>-0.087</v>
      </c>
      <c r="J147" s="48">
        <v>-0.04</v>
      </c>
      <c r="K147" s="48">
        <v>-0.1</v>
      </c>
      <c r="L147" s="48" t="s">
        <v>101</v>
      </c>
      <c r="M147" s="48" t="s">
        <v>101</v>
      </c>
      <c r="N147" s="48"/>
      <c r="O147" s="49">
        <v>0.01</v>
      </c>
      <c r="P147" s="48">
        <v>0.1</v>
      </c>
      <c r="Q147" s="48">
        <v>0.1</v>
      </c>
      <c r="R147" s="48">
        <v>0.253</v>
      </c>
      <c r="S147" s="48"/>
      <c r="T147" s="48"/>
      <c r="U147" s="173">
        <f t="shared" si="2"/>
        <v>-0.293258427</v>
      </c>
      <c r="V147" s="174">
        <f t="shared" si="3"/>
        <v>0.942741573</v>
      </c>
      <c r="W147" s="175" t="str">
        <f t="shared" si="4"/>
        <v>Skill</v>
      </c>
      <c r="X147" s="54">
        <f t="shared" si="5"/>
        <v>7.250389399</v>
      </c>
      <c r="Y147" s="176">
        <f t="shared" si="6"/>
        <v>7.690749625</v>
      </c>
      <c r="Z147" s="176">
        <f t="shared" si="7"/>
        <v>7.867346939</v>
      </c>
      <c r="AA147" s="174">
        <f t="shared" si="8"/>
        <v>-0.02296230178</v>
      </c>
      <c r="AB147" s="87"/>
    </row>
    <row r="148">
      <c r="A148" s="159" t="s">
        <v>138</v>
      </c>
      <c r="B148" s="160">
        <v>288.81</v>
      </c>
      <c r="C148" s="161">
        <f t="shared" ref="C148:C149" si="51">1219/50</f>
        <v>24.38</v>
      </c>
      <c r="D148" s="162" t="s">
        <v>139</v>
      </c>
      <c r="E148" s="36">
        <v>1.0</v>
      </c>
      <c r="F148" s="33">
        <v>4588.0</v>
      </c>
      <c r="G148" s="163" t="s">
        <v>86</v>
      </c>
      <c r="H148" s="77">
        <v>51.0</v>
      </c>
      <c r="I148" s="36">
        <v>-0.087</v>
      </c>
      <c r="J148" s="36">
        <v>-0.04</v>
      </c>
      <c r="K148" s="36" t="s">
        <v>101</v>
      </c>
      <c r="L148" s="36" t="s">
        <v>101</v>
      </c>
      <c r="M148" s="36" t="s">
        <v>101</v>
      </c>
      <c r="N148" s="36"/>
      <c r="O148" s="37">
        <v>0.01</v>
      </c>
      <c r="P148" s="36">
        <v>0.1</v>
      </c>
      <c r="Q148" s="36">
        <v>0.1</v>
      </c>
      <c r="R148" s="36">
        <v>0.253</v>
      </c>
      <c r="S148" s="36">
        <v>0.5</v>
      </c>
      <c r="T148" s="36"/>
      <c r="U148" s="164">
        <f t="shared" si="2"/>
        <v>-0.2684210526</v>
      </c>
      <c r="V148" s="165">
        <f t="shared" si="3"/>
        <v>1.567578947</v>
      </c>
      <c r="W148" s="166" t="str">
        <f t="shared" si="4"/>
        <v>Normal</v>
      </c>
      <c r="X148" s="42">
        <f t="shared" si="5"/>
        <v>15.88587653</v>
      </c>
      <c r="Y148" s="167">
        <f t="shared" si="6"/>
        <v>10.13402008</v>
      </c>
      <c r="Z148" s="167">
        <f t="shared" si="7"/>
        <v>10.13302475</v>
      </c>
      <c r="AA148" s="165">
        <f t="shared" si="8"/>
        <v>0.00009821624342</v>
      </c>
      <c r="AB148" s="81"/>
    </row>
    <row r="149">
      <c r="A149" s="168" t="s">
        <v>138</v>
      </c>
      <c r="B149" s="169">
        <v>288.81</v>
      </c>
      <c r="C149" s="170">
        <f t="shared" si="51"/>
        <v>24.38</v>
      </c>
      <c r="D149" s="171" t="s">
        <v>143</v>
      </c>
      <c r="E149" s="48">
        <v>0.266</v>
      </c>
      <c r="F149" s="45">
        <v>652.0</v>
      </c>
      <c r="G149" s="172" t="s">
        <v>86</v>
      </c>
      <c r="H149" s="83">
        <v>51.0</v>
      </c>
      <c r="I149" s="48">
        <v>-0.087</v>
      </c>
      <c r="J149" s="48">
        <v>-0.04</v>
      </c>
      <c r="K149" s="48" t="s">
        <v>101</v>
      </c>
      <c r="L149" s="48" t="s">
        <v>101</v>
      </c>
      <c r="M149" s="48" t="s">
        <v>101</v>
      </c>
      <c r="N149" s="48"/>
      <c r="O149" s="49">
        <v>0.01</v>
      </c>
      <c r="P149" s="48">
        <v>0.1</v>
      </c>
      <c r="Q149" s="48">
        <v>0.1</v>
      </c>
      <c r="R149" s="48">
        <v>0.253</v>
      </c>
      <c r="S149" s="48"/>
      <c r="T149" s="48"/>
      <c r="U149" s="173">
        <f t="shared" si="2"/>
        <v>-0.2684210526</v>
      </c>
      <c r="V149" s="174">
        <f t="shared" si="3"/>
        <v>1.067578947</v>
      </c>
      <c r="W149" s="175" t="str">
        <f t="shared" si="4"/>
        <v>Skill</v>
      </c>
      <c r="X149" s="54">
        <f t="shared" si="5"/>
        <v>8.486990823</v>
      </c>
      <c r="Y149" s="176">
        <f t="shared" si="6"/>
        <v>7.949754764</v>
      </c>
      <c r="Z149" s="176">
        <f t="shared" si="7"/>
        <v>8.133024753</v>
      </c>
      <c r="AA149" s="174">
        <f t="shared" si="8"/>
        <v>-0.02305354</v>
      </c>
      <c r="AB149" s="87"/>
    </row>
    <row r="150">
      <c r="A150" s="159" t="s">
        <v>138</v>
      </c>
      <c r="B150" s="160">
        <v>288.81</v>
      </c>
      <c r="C150" s="161">
        <f t="shared" ref="C150:C152" si="52">1287/50</f>
        <v>25.74</v>
      </c>
      <c r="D150" s="162" t="s">
        <v>147</v>
      </c>
      <c r="E150" s="36">
        <v>2.6</v>
      </c>
      <c r="F150" s="33">
        <v>9088.0</v>
      </c>
      <c r="G150" s="163" t="s">
        <v>83</v>
      </c>
      <c r="H150" s="77">
        <v>58.0</v>
      </c>
      <c r="I150" s="36">
        <v>-0.087</v>
      </c>
      <c r="J150" s="36">
        <v>-0.04</v>
      </c>
      <c r="K150" s="36">
        <v>-0.1</v>
      </c>
      <c r="L150" s="36" t="s">
        <v>101</v>
      </c>
      <c r="M150" s="36" t="s">
        <v>101</v>
      </c>
      <c r="N150" s="36"/>
      <c r="O150" s="37">
        <v>0.01</v>
      </c>
      <c r="P150" s="36">
        <v>0.1</v>
      </c>
      <c r="Q150" s="36">
        <v>0.1</v>
      </c>
      <c r="R150" s="36">
        <v>0.253</v>
      </c>
      <c r="S150" s="36">
        <v>0.5</v>
      </c>
      <c r="T150" s="36"/>
      <c r="U150" s="164">
        <f t="shared" si="2"/>
        <v>-0.293258427</v>
      </c>
      <c r="V150" s="165">
        <f t="shared" si="3"/>
        <v>1.442741573</v>
      </c>
      <c r="W150" s="166" t="str">
        <f t="shared" si="4"/>
        <v>Skill</v>
      </c>
      <c r="X150" s="42">
        <f t="shared" si="5"/>
        <v>12.10271326</v>
      </c>
      <c r="Y150" s="167">
        <f t="shared" si="6"/>
        <v>8.388691005</v>
      </c>
      <c r="Z150" s="167">
        <f t="shared" si="7"/>
        <v>8.387730792</v>
      </c>
      <c r="AA150" s="165">
        <f t="shared" si="8"/>
        <v>0.0001144651169</v>
      </c>
      <c r="AB150" s="81"/>
    </row>
    <row r="151">
      <c r="A151" s="168" t="s">
        <v>138</v>
      </c>
      <c r="B151" s="169">
        <v>288.81</v>
      </c>
      <c r="C151" s="170">
        <f t="shared" si="52"/>
        <v>25.74</v>
      </c>
      <c r="D151" s="171" t="s">
        <v>139</v>
      </c>
      <c r="E151" s="48">
        <v>1.0</v>
      </c>
      <c r="F151" s="45">
        <v>2829.0</v>
      </c>
      <c r="G151" s="172" t="s">
        <v>83</v>
      </c>
      <c r="H151" s="83">
        <v>58.0</v>
      </c>
      <c r="I151" s="48">
        <v>-0.087</v>
      </c>
      <c r="J151" s="48">
        <v>-0.04</v>
      </c>
      <c r="K151" s="48">
        <v>-0.1</v>
      </c>
      <c r="L151" s="48" t="s">
        <v>101</v>
      </c>
      <c r="M151" s="48" t="s">
        <v>101</v>
      </c>
      <c r="N151" s="48"/>
      <c r="O151" s="49">
        <v>0.01</v>
      </c>
      <c r="P151" s="48">
        <v>0.1</v>
      </c>
      <c r="Q151" s="48">
        <v>0.1</v>
      </c>
      <c r="R151" s="48">
        <v>0.253</v>
      </c>
      <c r="S151" s="48"/>
      <c r="T151" s="48"/>
      <c r="U151" s="173">
        <f t="shared" si="2"/>
        <v>-0.293258427</v>
      </c>
      <c r="V151" s="174">
        <f t="shared" si="3"/>
        <v>0.942741573</v>
      </c>
      <c r="W151" s="175" t="str">
        <f t="shared" si="4"/>
        <v>Normal</v>
      </c>
      <c r="X151" s="54">
        <f t="shared" si="5"/>
        <v>9.795367196</v>
      </c>
      <c r="Y151" s="176">
        <f t="shared" si="6"/>
        <v>10.3902994</v>
      </c>
      <c r="Z151" s="176">
        <f t="shared" si="7"/>
        <v>10.38773079</v>
      </c>
      <c r="AA151" s="174">
        <f t="shared" si="8"/>
        <v>0.0002472116815</v>
      </c>
      <c r="AB151" s="87"/>
    </row>
    <row r="152">
      <c r="A152" s="159" t="s">
        <v>138</v>
      </c>
      <c r="B152" s="160">
        <v>288.81</v>
      </c>
      <c r="C152" s="161">
        <f t="shared" si="52"/>
        <v>25.74</v>
      </c>
      <c r="D152" s="162" t="s">
        <v>143</v>
      </c>
      <c r="E152" s="36">
        <v>0.266</v>
      </c>
      <c r="F152" s="33">
        <v>908.0</v>
      </c>
      <c r="G152" s="163" t="s">
        <v>83</v>
      </c>
      <c r="H152" s="77">
        <v>58.0</v>
      </c>
      <c r="I152" s="36">
        <v>-0.087</v>
      </c>
      <c r="J152" s="36">
        <v>-0.04</v>
      </c>
      <c r="K152" s="36">
        <v>-0.1</v>
      </c>
      <c r="L152" s="36" t="s">
        <v>101</v>
      </c>
      <c r="M152" s="36" t="s">
        <v>101</v>
      </c>
      <c r="N152" s="36"/>
      <c r="O152" s="37">
        <v>0.01</v>
      </c>
      <c r="P152" s="36">
        <v>0.1</v>
      </c>
      <c r="Q152" s="36">
        <v>0.1</v>
      </c>
      <c r="R152" s="36">
        <v>0.253</v>
      </c>
      <c r="S152" s="36">
        <v>0.5</v>
      </c>
      <c r="T152" s="36"/>
      <c r="U152" s="164">
        <f t="shared" si="2"/>
        <v>-0.293258427</v>
      </c>
      <c r="V152" s="165">
        <f t="shared" si="3"/>
        <v>1.442741573</v>
      </c>
      <c r="W152" s="166" t="str">
        <f t="shared" si="4"/>
        <v>Skill</v>
      </c>
      <c r="X152" s="42">
        <f t="shared" si="5"/>
        <v>11.81930624</v>
      </c>
      <c r="Y152" s="167">
        <f t="shared" si="6"/>
        <v>8.192254565</v>
      </c>
      <c r="Z152" s="167">
        <f t="shared" si="7"/>
        <v>8.387730792</v>
      </c>
      <c r="AA152" s="165">
        <f t="shared" si="8"/>
        <v>-0.02386110264</v>
      </c>
      <c r="AB152" s="81"/>
    </row>
    <row r="153">
      <c r="A153" s="168" t="s">
        <v>138</v>
      </c>
      <c r="B153" s="169">
        <v>288.81</v>
      </c>
      <c r="C153" s="170">
        <f t="shared" ref="C153:C156" si="53">1376/50</f>
        <v>27.52</v>
      </c>
      <c r="D153" s="171" t="s">
        <v>148</v>
      </c>
      <c r="E153" s="48">
        <v>2.142</v>
      </c>
      <c r="F153" s="45">
        <v>6051.0</v>
      </c>
      <c r="G153" s="172" t="s">
        <v>87</v>
      </c>
      <c r="H153" s="83">
        <v>37.0</v>
      </c>
      <c r="I153" s="48">
        <v>-0.087</v>
      </c>
      <c r="J153" s="48">
        <v>-0.04</v>
      </c>
      <c r="K153" s="48" t="s">
        <v>101</v>
      </c>
      <c r="L153" s="48" t="s">
        <v>101</v>
      </c>
      <c r="M153" s="48" t="s">
        <v>101</v>
      </c>
      <c r="N153" s="48"/>
      <c r="O153" s="49">
        <v>0.01</v>
      </c>
      <c r="P153" s="48">
        <v>0.1</v>
      </c>
      <c r="Q153" s="48">
        <v>0.1</v>
      </c>
      <c r="R153" s="48">
        <v>0.253</v>
      </c>
      <c r="S153" s="48"/>
      <c r="T153" s="48"/>
      <c r="U153" s="173">
        <f t="shared" si="2"/>
        <v>-0.2121019108</v>
      </c>
      <c r="V153" s="174">
        <f t="shared" si="3"/>
        <v>1.123898089</v>
      </c>
      <c r="W153" s="175" t="str">
        <f t="shared" si="4"/>
        <v>Skill</v>
      </c>
      <c r="X153" s="54">
        <f t="shared" si="5"/>
        <v>9.78127479</v>
      </c>
      <c r="Y153" s="176">
        <f t="shared" si="6"/>
        <v>8.702990853</v>
      </c>
      <c r="Z153" s="176">
        <f t="shared" si="7"/>
        <v>8.710885681</v>
      </c>
      <c r="AA153" s="174">
        <f t="shared" si="8"/>
        <v>-0.0009071396388</v>
      </c>
      <c r="AB153" s="87"/>
    </row>
    <row r="154">
      <c r="A154" s="159" t="s">
        <v>138</v>
      </c>
      <c r="B154" s="160">
        <v>288.81</v>
      </c>
      <c r="C154" s="161">
        <f t="shared" si="53"/>
        <v>27.52</v>
      </c>
      <c r="D154" s="162" t="s">
        <v>139</v>
      </c>
      <c r="E154" s="36">
        <v>1.0</v>
      </c>
      <c r="F154" s="33">
        <v>5831.0</v>
      </c>
      <c r="G154" s="163" t="s">
        <v>87</v>
      </c>
      <c r="H154" s="77">
        <v>37.0</v>
      </c>
      <c r="I154" s="36">
        <v>-0.087</v>
      </c>
      <c r="J154" s="36">
        <v>-0.04</v>
      </c>
      <c r="K154" s="36" t="s">
        <v>101</v>
      </c>
      <c r="L154" s="36" t="s">
        <v>101</v>
      </c>
      <c r="M154" s="36" t="s">
        <v>101</v>
      </c>
      <c r="N154" s="36">
        <v>0.261</v>
      </c>
      <c r="O154" s="37">
        <v>0.01</v>
      </c>
      <c r="P154" s="36">
        <v>0.1</v>
      </c>
      <c r="Q154" s="36">
        <v>0.1</v>
      </c>
      <c r="R154" s="36">
        <v>0.253</v>
      </c>
      <c r="S154" s="36">
        <v>0.5</v>
      </c>
      <c r="T154" s="36"/>
      <c r="U154" s="164">
        <f t="shared" si="2"/>
        <v>-0.2121019108</v>
      </c>
      <c r="V154" s="165">
        <f t="shared" si="3"/>
        <v>1.884898089</v>
      </c>
      <c r="W154" s="166" t="str">
        <f t="shared" si="4"/>
        <v>Normal</v>
      </c>
      <c r="X154" s="42">
        <f t="shared" si="5"/>
        <v>20.18974412</v>
      </c>
      <c r="Y154" s="167">
        <f t="shared" si="6"/>
        <v>10.71131869</v>
      </c>
      <c r="Z154" s="167">
        <f t="shared" si="7"/>
        <v>10.71088568</v>
      </c>
      <c r="AA154" s="165">
        <f t="shared" si="8"/>
        <v>0.0000404249439</v>
      </c>
      <c r="AB154" s="81"/>
    </row>
    <row r="155">
      <c r="A155" s="168" t="s">
        <v>138</v>
      </c>
      <c r="B155" s="169">
        <v>288.81</v>
      </c>
      <c r="C155" s="170">
        <f t="shared" si="53"/>
        <v>27.52</v>
      </c>
      <c r="D155" s="171" t="s">
        <v>145</v>
      </c>
      <c r="E155" s="48">
        <v>1.714</v>
      </c>
      <c r="F155" s="45">
        <v>6986.0</v>
      </c>
      <c r="G155" s="172" t="s">
        <v>87</v>
      </c>
      <c r="H155" s="83">
        <v>37.0</v>
      </c>
      <c r="I155" s="48">
        <v>-0.087</v>
      </c>
      <c r="J155" s="48">
        <v>-0.04</v>
      </c>
      <c r="K155" s="48" t="s">
        <v>101</v>
      </c>
      <c r="L155" s="48" t="s">
        <v>101</v>
      </c>
      <c r="M155" s="48" t="s">
        <v>101</v>
      </c>
      <c r="N155" s="48"/>
      <c r="O155" s="49">
        <v>0.01</v>
      </c>
      <c r="P155" s="48">
        <v>0.1</v>
      </c>
      <c r="Q155" s="48">
        <v>0.1</v>
      </c>
      <c r="R155" s="48">
        <v>0.253</v>
      </c>
      <c r="S155" s="48">
        <v>0.5</v>
      </c>
      <c r="T155" s="48"/>
      <c r="U155" s="173">
        <f t="shared" si="2"/>
        <v>-0.2121019108</v>
      </c>
      <c r="V155" s="174">
        <f t="shared" si="3"/>
        <v>1.623898089</v>
      </c>
      <c r="W155" s="175" t="str">
        <f t="shared" si="4"/>
        <v>Skill</v>
      </c>
      <c r="X155" s="54">
        <f t="shared" si="5"/>
        <v>14.11255142</v>
      </c>
      <c r="Y155" s="176">
        <f t="shared" si="6"/>
        <v>8.690540071</v>
      </c>
      <c r="Z155" s="176">
        <f t="shared" si="7"/>
        <v>8.710885681</v>
      </c>
      <c r="AA155" s="174">
        <f t="shared" si="8"/>
        <v>-0.00234112143</v>
      </c>
      <c r="AB155" s="87"/>
    </row>
    <row r="156">
      <c r="A156" s="159" t="s">
        <v>138</v>
      </c>
      <c r="B156" s="160">
        <v>288.81</v>
      </c>
      <c r="C156" s="161">
        <f t="shared" si="53"/>
        <v>27.52</v>
      </c>
      <c r="D156" s="162" t="s">
        <v>151</v>
      </c>
      <c r="E156" s="36">
        <v>2.571</v>
      </c>
      <c r="F156" s="33">
        <v>7267.0</v>
      </c>
      <c r="G156" s="163" t="s">
        <v>87</v>
      </c>
      <c r="H156" s="77">
        <v>37.0</v>
      </c>
      <c r="I156" s="36">
        <v>-0.087</v>
      </c>
      <c r="J156" s="36">
        <v>-0.04</v>
      </c>
      <c r="K156" s="36" t="s">
        <v>101</v>
      </c>
      <c r="L156" s="36" t="s">
        <v>101</v>
      </c>
      <c r="M156" s="36" t="s">
        <v>101</v>
      </c>
      <c r="N156" s="36"/>
      <c r="O156" s="37">
        <v>0.01</v>
      </c>
      <c r="P156" s="36">
        <v>0.1</v>
      </c>
      <c r="Q156" s="36">
        <v>0.1</v>
      </c>
      <c r="R156" s="36">
        <v>0.253</v>
      </c>
      <c r="S156" s="36"/>
      <c r="T156" s="36"/>
      <c r="U156" s="164">
        <f t="shared" si="2"/>
        <v>-0.2121019108</v>
      </c>
      <c r="V156" s="165">
        <f t="shared" si="3"/>
        <v>1.123898089</v>
      </c>
      <c r="W156" s="166" t="str">
        <f t="shared" si="4"/>
        <v>Skill</v>
      </c>
      <c r="X156" s="42">
        <f t="shared" si="5"/>
        <v>9.786803239</v>
      </c>
      <c r="Y156" s="167">
        <f t="shared" si="6"/>
        <v>8.707909848</v>
      </c>
      <c r="Z156" s="167">
        <f t="shared" si="7"/>
        <v>8.710885681</v>
      </c>
      <c r="AA156" s="165">
        <f t="shared" si="8"/>
        <v>-0.0003417390797</v>
      </c>
      <c r="AB156" s="81"/>
    </row>
    <row r="157">
      <c r="A157" s="168" t="s">
        <v>138</v>
      </c>
      <c r="B157" s="169">
        <v>288.81</v>
      </c>
      <c r="C157" s="170">
        <f>1468/50</f>
        <v>29.36</v>
      </c>
      <c r="D157" s="171" t="s">
        <v>139</v>
      </c>
      <c r="E157" s="48">
        <v>1.0</v>
      </c>
      <c r="F157" s="45">
        <v>3581.0</v>
      </c>
      <c r="G157" s="172" t="s">
        <v>87</v>
      </c>
      <c r="H157" s="83">
        <v>37.0</v>
      </c>
      <c r="I157" s="48">
        <v>-0.087</v>
      </c>
      <c r="J157" s="48">
        <v>-0.04</v>
      </c>
      <c r="K157" s="48" t="s">
        <v>101</v>
      </c>
      <c r="L157" s="48" t="s">
        <v>101</v>
      </c>
      <c r="M157" s="48" t="s">
        <v>101</v>
      </c>
      <c r="N157" s="48"/>
      <c r="O157" s="49">
        <v>0.01</v>
      </c>
      <c r="P157" s="48">
        <v>0.1</v>
      </c>
      <c r="Q157" s="48">
        <v>0.1</v>
      </c>
      <c r="R157" s="48">
        <v>0.253</v>
      </c>
      <c r="S157" s="48"/>
      <c r="T157" s="48"/>
      <c r="U157" s="173">
        <f t="shared" si="2"/>
        <v>-0.2121019108</v>
      </c>
      <c r="V157" s="174">
        <f t="shared" si="3"/>
        <v>1.123898089</v>
      </c>
      <c r="W157" s="175" t="str">
        <f t="shared" si="4"/>
        <v>Normal</v>
      </c>
      <c r="X157" s="54">
        <f t="shared" si="5"/>
        <v>12.39915515</v>
      </c>
      <c r="Y157" s="176">
        <f t="shared" si="6"/>
        <v>11.0322771</v>
      </c>
      <c r="Z157" s="176">
        <f t="shared" si="7"/>
        <v>11.03334611</v>
      </c>
      <c r="AA157" s="174">
        <f t="shared" si="8"/>
        <v>-0.00009689820421</v>
      </c>
      <c r="AB157" s="87"/>
    </row>
    <row r="158">
      <c r="A158" s="159" t="s">
        <v>138</v>
      </c>
      <c r="B158" s="160">
        <v>288.81</v>
      </c>
      <c r="C158" s="161">
        <f t="shared" ref="C158:C160" si="54">1592/50</f>
        <v>31.84</v>
      </c>
      <c r="D158" s="162" t="s">
        <v>139</v>
      </c>
      <c r="E158" s="36">
        <v>1.0</v>
      </c>
      <c r="F158" s="33">
        <v>3717.0</v>
      </c>
      <c r="G158" s="163" t="s">
        <v>87</v>
      </c>
      <c r="H158" s="77">
        <v>37.0</v>
      </c>
      <c r="I158" s="36">
        <v>-0.087</v>
      </c>
      <c r="J158" s="36">
        <v>-0.04</v>
      </c>
      <c r="K158" s="36" t="s">
        <v>101</v>
      </c>
      <c r="L158" s="36" t="s">
        <v>101</v>
      </c>
      <c r="M158" s="36" t="s">
        <v>101</v>
      </c>
      <c r="N158" s="36"/>
      <c r="O158" s="37">
        <v>0.01</v>
      </c>
      <c r="P158" s="36">
        <v>0.1</v>
      </c>
      <c r="Q158" s="36">
        <v>0.1</v>
      </c>
      <c r="R158" s="36">
        <v>0.253</v>
      </c>
      <c r="S158" s="36"/>
      <c r="T158" s="36"/>
      <c r="U158" s="164">
        <f t="shared" si="2"/>
        <v>-0.2121019108</v>
      </c>
      <c r="V158" s="165">
        <f t="shared" si="3"/>
        <v>1.123898089</v>
      </c>
      <c r="W158" s="166" t="str">
        <f t="shared" si="4"/>
        <v>Normal</v>
      </c>
      <c r="X158" s="42">
        <f t="shared" si="5"/>
        <v>12.87005298</v>
      </c>
      <c r="Y158" s="167">
        <f t="shared" si="6"/>
        <v>11.45126333</v>
      </c>
      <c r="Z158" s="167">
        <f t="shared" si="7"/>
        <v>11.45039311</v>
      </c>
      <c r="AA158" s="165">
        <f t="shared" si="8"/>
        <v>0.0000759933209</v>
      </c>
      <c r="AB158" s="81"/>
    </row>
    <row r="159">
      <c r="A159" s="168" t="s">
        <v>138</v>
      </c>
      <c r="B159" s="169">
        <v>288.81</v>
      </c>
      <c r="C159" s="170">
        <f t="shared" si="54"/>
        <v>31.84</v>
      </c>
      <c r="D159" s="171" t="s">
        <v>143</v>
      </c>
      <c r="E159" s="48">
        <v>0.266</v>
      </c>
      <c r="F159" s="45">
        <v>797.0</v>
      </c>
      <c r="G159" s="172" t="s">
        <v>87</v>
      </c>
      <c r="H159" s="83">
        <v>37.0</v>
      </c>
      <c r="I159" s="48">
        <v>-0.087</v>
      </c>
      <c r="J159" s="48">
        <v>-0.04</v>
      </c>
      <c r="K159" s="48" t="s">
        <v>101</v>
      </c>
      <c r="L159" s="48" t="s">
        <v>101</v>
      </c>
      <c r="M159" s="48" t="s">
        <v>101</v>
      </c>
      <c r="N159" s="48"/>
      <c r="O159" s="49">
        <v>0.01</v>
      </c>
      <c r="P159" s="48">
        <v>0.1</v>
      </c>
      <c r="Q159" s="48">
        <v>0.1</v>
      </c>
      <c r="R159" s="48">
        <v>0.253</v>
      </c>
      <c r="S159" s="48"/>
      <c r="T159" s="48"/>
      <c r="U159" s="173">
        <f t="shared" si="2"/>
        <v>-0.2121019108</v>
      </c>
      <c r="V159" s="174">
        <f t="shared" si="3"/>
        <v>1.123898089</v>
      </c>
      <c r="W159" s="175" t="str">
        <f t="shared" si="4"/>
        <v>Skill</v>
      </c>
      <c r="X159" s="54">
        <f t="shared" si="5"/>
        <v>10.3744351</v>
      </c>
      <c r="Y159" s="176">
        <f t="shared" si="6"/>
        <v>9.230761402</v>
      </c>
      <c r="Z159" s="176">
        <f t="shared" si="7"/>
        <v>9.450393111</v>
      </c>
      <c r="AA159" s="174">
        <f t="shared" si="8"/>
        <v>-0.02379345538</v>
      </c>
      <c r="AB159" s="87"/>
    </row>
    <row r="160">
      <c r="A160" s="159" t="s">
        <v>138</v>
      </c>
      <c r="B160" s="160">
        <v>288.81</v>
      </c>
      <c r="C160" s="161">
        <f t="shared" si="54"/>
        <v>31.84</v>
      </c>
      <c r="D160" s="162" t="s">
        <v>141</v>
      </c>
      <c r="E160" s="36">
        <v>1.8</v>
      </c>
      <c r="F160" s="33">
        <v>7978.0</v>
      </c>
      <c r="G160" s="163" t="s">
        <v>87</v>
      </c>
      <c r="H160" s="77">
        <v>37.0</v>
      </c>
      <c r="I160" s="36">
        <v>-0.087</v>
      </c>
      <c r="J160" s="36">
        <v>-0.04</v>
      </c>
      <c r="K160" s="36" t="s">
        <v>101</v>
      </c>
      <c r="L160" s="36" t="s">
        <v>101</v>
      </c>
      <c r="M160" s="36" t="s">
        <v>101</v>
      </c>
      <c r="N160" s="36"/>
      <c r="O160" s="37">
        <v>0.01</v>
      </c>
      <c r="P160" s="36">
        <v>0.1</v>
      </c>
      <c r="Q160" s="36">
        <v>0.1</v>
      </c>
      <c r="R160" s="36">
        <v>0.253</v>
      </c>
      <c r="S160" s="36">
        <v>0.5</v>
      </c>
      <c r="T160" s="36"/>
      <c r="U160" s="164">
        <f t="shared" si="2"/>
        <v>-0.2121019108</v>
      </c>
      <c r="V160" s="165">
        <f t="shared" si="3"/>
        <v>1.623898089</v>
      </c>
      <c r="W160" s="166" t="str">
        <f t="shared" si="4"/>
        <v>Skill</v>
      </c>
      <c r="X160" s="42">
        <f t="shared" si="5"/>
        <v>15.34649847</v>
      </c>
      <c r="Y160" s="167">
        <f t="shared" si="6"/>
        <v>9.450407368</v>
      </c>
      <c r="Z160" s="167">
        <f t="shared" si="7"/>
        <v>9.450393111</v>
      </c>
      <c r="AA160" s="165">
        <f t="shared" si="8"/>
        <v>0.000001508597981</v>
      </c>
      <c r="AB160" s="81"/>
    </row>
    <row r="161">
      <c r="A161" s="168" t="s">
        <v>138</v>
      </c>
      <c r="B161" s="169">
        <v>288.81</v>
      </c>
      <c r="C161" s="170">
        <f>1616/50</f>
        <v>32.32</v>
      </c>
      <c r="D161" s="171" t="s">
        <v>139</v>
      </c>
      <c r="E161" s="48">
        <v>1.0</v>
      </c>
      <c r="F161" s="45">
        <v>4135.0</v>
      </c>
      <c r="G161" s="172" t="s">
        <v>79</v>
      </c>
      <c r="H161" s="83">
        <v>22.0</v>
      </c>
      <c r="I161" s="48">
        <v>-0.072</v>
      </c>
      <c r="J161" s="48">
        <v>-0.01</v>
      </c>
      <c r="K161" s="48" t="s">
        <v>101</v>
      </c>
      <c r="L161" s="48" t="s">
        <v>101</v>
      </c>
      <c r="M161" s="48" t="s">
        <v>101</v>
      </c>
      <c r="N161" s="48"/>
      <c r="O161" s="49">
        <v>0.01</v>
      </c>
      <c r="P161" s="48">
        <v>0.1</v>
      </c>
      <c r="Q161" s="48">
        <v>0.1</v>
      </c>
      <c r="R161" s="48">
        <v>0.253</v>
      </c>
      <c r="S161" s="48"/>
      <c r="T161" s="48"/>
      <c r="U161" s="173">
        <f t="shared" si="2"/>
        <v>-0.1394366197</v>
      </c>
      <c r="V161" s="174">
        <f t="shared" si="3"/>
        <v>1.24156338</v>
      </c>
      <c r="W161" s="175" t="str">
        <f t="shared" si="4"/>
        <v>Normal</v>
      </c>
      <c r="X161" s="54">
        <f t="shared" si="5"/>
        <v>14.31737128</v>
      </c>
      <c r="Y161" s="176">
        <f t="shared" si="6"/>
        <v>11.53172807</v>
      </c>
      <c r="Z161" s="176">
        <f t="shared" si="7"/>
        <v>11.52888558</v>
      </c>
      <c r="AA161" s="174">
        <f t="shared" si="8"/>
        <v>0.0002464932743</v>
      </c>
      <c r="AB161" s="87"/>
    </row>
    <row r="162">
      <c r="A162" s="159" t="s">
        <v>138</v>
      </c>
      <c r="B162" s="160">
        <v>288.81</v>
      </c>
      <c r="C162" s="161">
        <f t="shared" ref="C162:C165" si="55">1644/50</f>
        <v>32.88</v>
      </c>
      <c r="D162" s="162" t="s">
        <v>148</v>
      </c>
      <c r="E162" s="36">
        <v>2.142</v>
      </c>
      <c r="F162" s="33">
        <v>7384.0</v>
      </c>
      <c r="G162" s="163" t="s">
        <v>79</v>
      </c>
      <c r="H162" s="77">
        <v>22.0</v>
      </c>
      <c r="I162" s="36">
        <v>-0.072</v>
      </c>
      <c r="J162" s="36">
        <v>-0.01</v>
      </c>
      <c r="K162" s="36" t="s">
        <v>101</v>
      </c>
      <c r="L162" s="36" t="s">
        <v>101</v>
      </c>
      <c r="M162" s="36" t="s">
        <v>101</v>
      </c>
      <c r="N162" s="36"/>
      <c r="O162" s="37">
        <v>0.01</v>
      </c>
      <c r="P162" s="36">
        <v>0.1</v>
      </c>
      <c r="Q162" s="36">
        <v>0.1</v>
      </c>
      <c r="R162" s="36">
        <v>0.253</v>
      </c>
      <c r="S162" s="36"/>
      <c r="T162" s="36"/>
      <c r="U162" s="164">
        <f t="shared" si="2"/>
        <v>-0.1394366197</v>
      </c>
      <c r="V162" s="165">
        <f t="shared" si="3"/>
        <v>1.24156338</v>
      </c>
      <c r="W162" s="166" t="str">
        <f t="shared" si="4"/>
        <v>Skill</v>
      </c>
      <c r="X162" s="42">
        <f t="shared" si="5"/>
        <v>11.93603256</v>
      </c>
      <c r="Y162" s="167">
        <f t="shared" si="6"/>
        <v>9.613711836</v>
      </c>
      <c r="Z162" s="167">
        <f t="shared" si="7"/>
        <v>9.619577308</v>
      </c>
      <c r="AA162" s="165">
        <f t="shared" si="8"/>
        <v>-0.0006101152306</v>
      </c>
      <c r="AB162" s="81"/>
    </row>
    <row r="163">
      <c r="A163" s="168" t="s">
        <v>138</v>
      </c>
      <c r="B163" s="169">
        <v>288.81</v>
      </c>
      <c r="C163" s="170">
        <f t="shared" si="55"/>
        <v>32.88</v>
      </c>
      <c r="D163" s="171" t="s">
        <v>139</v>
      </c>
      <c r="E163" s="48">
        <v>1.0</v>
      </c>
      <c r="F163" s="45">
        <v>5043.0</v>
      </c>
      <c r="G163" s="172" t="s">
        <v>79</v>
      </c>
      <c r="H163" s="83">
        <v>22.0</v>
      </c>
      <c r="I163" s="48">
        <v>-0.072</v>
      </c>
      <c r="J163" s="48">
        <v>-0.01</v>
      </c>
      <c r="K163" s="48" t="s">
        <v>101</v>
      </c>
      <c r="L163" s="48" t="s">
        <v>101</v>
      </c>
      <c r="M163" s="48" t="s">
        <v>101</v>
      </c>
      <c r="N163" s="48">
        <v>0.261</v>
      </c>
      <c r="O163" s="49">
        <v>0.01</v>
      </c>
      <c r="P163" s="48">
        <v>0.1</v>
      </c>
      <c r="Q163" s="48">
        <v>0.1</v>
      </c>
      <c r="R163" s="48">
        <v>0.253</v>
      </c>
      <c r="S163" s="48"/>
      <c r="T163" s="48"/>
      <c r="U163" s="173">
        <f t="shared" si="2"/>
        <v>-0.1394366197</v>
      </c>
      <c r="V163" s="174">
        <f t="shared" si="3"/>
        <v>1.50256338</v>
      </c>
      <c r="W163" s="175" t="str">
        <f t="shared" si="4"/>
        <v>Normal</v>
      </c>
      <c r="X163" s="54">
        <f t="shared" si="5"/>
        <v>17.46130674</v>
      </c>
      <c r="Y163" s="176">
        <f t="shared" si="6"/>
        <v>11.62101178</v>
      </c>
      <c r="Z163" s="176">
        <f t="shared" si="7"/>
        <v>11.61957731</v>
      </c>
      <c r="AA163" s="174">
        <f t="shared" si="8"/>
        <v>0.0001234377217</v>
      </c>
      <c r="AB163" s="87"/>
    </row>
    <row r="164">
      <c r="A164" s="159" t="s">
        <v>138</v>
      </c>
      <c r="B164" s="160">
        <v>288.81</v>
      </c>
      <c r="C164" s="161">
        <f t="shared" si="55"/>
        <v>32.88</v>
      </c>
      <c r="D164" s="162" t="s">
        <v>145</v>
      </c>
      <c r="E164" s="36">
        <v>1.714</v>
      </c>
      <c r="F164" s="33">
        <v>8275.0</v>
      </c>
      <c r="G164" s="163" t="s">
        <v>79</v>
      </c>
      <c r="H164" s="77">
        <v>22.0</v>
      </c>
      <c r="I164" s="36">
        <v>-0.072</v>
      </c>
      <c r="J164" s="36">
        <v>-0.01</v>
      </c>
      <c r="K164" s="36" t="s">
        <v>101</v>
      </c>
      <c r="L164" s="36" t="s">
        <v>101</v>
      </c>
      <c r="M164" s="36" t="s">
        <v>101</v>
      </c>
      <c r="N164" s="36"/>
      <c r="O164" s="37">
        <v>0.01</v>
      </c>
      <c r="P164" s="36">
        <v>0.1</v>
      </c>
      <c r="Q164" s="36">
        <v>0.1</v>
      </c>
      <c r="R164" s="36">
        <v>0.253</v>
      </c>
      <c r="S164" s="36">
        <v>0.5</v>
      </c>
      <c r="T164" s="36"/>
      <c r="U164" s="164">
        <f t="shared" si="2"/>
        <v>-0.1394366197</v>
      </c>
      <c r="V164" s="165">
        <f t="shared" si="3"/>
        <v>1.74156338</v>
      </c>
      <c r="W164" s="166" t="str">
        <f t="shared" si="4"/>
        <v>Skill</v>
      </c>
      <c r="X164" s="42">
        <f t="shared" si="5"/>
        <v>16.71648482</v>
      </c>
      <c r="Y164" s="167">
        <f t="shared" si="6"/>
        <v>9.59855094</v>
      </c>
      <c r="Z164" s="167">
        <f t="shared" si="7"/>
        <v>9.619577308</v>
      </c>
      <c r="AA164" s="165">
        <f t="shared" si="8"/>
        <v>-0.002190577289</v>
      </c>
      <c r="AB164" s="81"/>
    </row>
    <row r="165">
      <c r="A165" s="168" t="s">
        <v>138</v>
      </c>
      <c r="B165" s="169">
        <v>288.81</v>
      </c>
      <c r="C165" s="170">
        <f t="shared" si="55"/>
        <v>32.88</v>
      </c>
      <c r="D165" s="171" t="s">
        <v>143</v>
      </c>
      <c r="E165" s="48">
        <v>0.266</v>
      </c>
      <c r="F165" s="45">
        <v>1258.0</v>
      </c>
      <c r="G165" s="172" t="s">
        <v>79</v>
      </c>
      <c r="H165" s="83">
        <v>22.0</v>
      </c>
      <c r="I165" s="48">
        <v>-0.072</v>
      </c>
      <c r="J165" s="48">
        <v>-0.01</v>
      </c>
      <c r="K165" s="48" t="s">
        <v>101</v>
      </c>
      <c r="L165" s="48" t="s">
        <v>101</v>
      </c>
      <c r="M165" s="48" t="s">
        <v>101</v>
      </c>
      <c r="N165" s="48"/>
      <c r="O165" s="49">
        <v>0.01</v>
      </c>
      <c r="P165" s="48">
        <v>0.1</v>
      </c>
      <c r="Q165" s="48">
        <v>0.1</v>
      </c>
      <c r="R165" s="48">
        <v>0.253</v>
      </c>
      <c r="S165" s="48">
        <v>0.5</v>
      </c>
      <c r="T165" s="48"/>
      <c r="U165" s="173">
        <f t="shared" si="2"/>
        <v>-0.1394366197</v>
      </c>
      <c r="V165" s="174">
        <f t="shared" si="3"/>
        <v>1.74156338</v>
      </c>
      <c r="W165" s="175" t="str">
        <f t="shared" si="4"/>
        <v>Skill</v>
      </c>
      <c r="X165" s="54">
        <f t="shared" si="5"/>
        <v>16.37520622</v>
      </c>
      <c r="Y165" s="176">
        <f t="shared" si="6"/>
        <v>9.402589883</v>
      </c>
      <c r="Z165" s="176">
        <f t="shared" si="7"/>
        <v>9.619577308</v>
      </c>
      <c r="AA165" s="174">
        <f t="shared" si="8"/>
        <v>-0.02307741038</v>
      </c>
      <c r="AB165" s="87"/>
    </row>
    <row r="166">
      <c r="A166" s="159" t="s">
        <v>138</v>
      </c>
      <c r="B166" s="160">
        <v>288.81</v>
      </c>
      <c r="C166" s="161">
        <f>1734/50</f>
        <v>34.68</v>
      </c>
      <c r="D166" s="162" t="s">
        <v>139</v>
      </c>
      <c r="E166" s="36">
        <v>1.0</v>
      </c>
      <c r="F166" s="33">
        <v>4270.0</v>
      </c>
      <c r="G166" s="163" t="s">
        <v>79</v>
      </c>
      <c r="H166" s="77">
        <v>22.0</v>
      </c>
      <c r="I166" s="36">
        <v>-0.072</v>
      </c>
      <c r="J166" s="36">
        <v>-0.01</v>
      </c>
      <c r="K166" s="36" t="s">
        <v>101</v>
      </c>
      <c r="L166" s="36" t="s">
        <v>101</v>
      </c>
      <c r="M166" s="36" t="s">
        <v>101</v>
      </c>
      <c r="N166" s="36"/>
      <c r="O166" s="37">
        <v>0.01</v>
      </c>
      <c r="P166" s="36">
        <v>0.1</v>
      </c>
      <c r="Q166" s="36">
        <v>0.1</v>
      </c>
      <c r="R166" s="36">
        <v>0.253</v>
      </c>
      <c r="S166" s="36"/>
      <c r="T166" s="36"/>
      <c r="U166" s="164">
        <f t="shared" si="2"/>
        <v>-0.1394366197</v>
      </c>
      <c r="V166" s="165">
        <f t="shared" si="3"/>
        <v>1.24156338</v>
      </c>
      <c r="W166" s="166" t="str">
        <f t="shared" si="4"/>
        <v>Normal</v>
      </c>
      <c r="X166" s="42">
        <f t="shared" si="5"/>
        <v>14.78480662</v>
      </c>
      <c r="Y166" s="167">
        <f t="shared" si="6"/>
        <v>11.90821738</v>
      </c>
      <c r="Z166" s="167">
        <f t="shared" si="7"/>
        <v>11.904814</v>
      </c>
      <c r="AA166" s="165">
        <f t="shared" si="8"/>
        <v>0.0002858003814</v>
      </c>
      <c r="AB166" s="81"/>
    </row>
    <row r="167">
      <c r="A167" s="168" t="s">
        <v>138</v>
      </c>
      <c r="B167" s="169">
        <v>288.81</v>
      </c>
      <c r="C167" s="170">
        <f t="shared" ref="C167:C169" si="56">1806/50</f>
        <v>36.12</v>
      </c>
      <c r="D167" s="171" t="s">
        <v>139</v>
      </c>
      <c r="E167" s="48">
        <v>1.0</v>
      </c>
      <c r="F167" s="45">
        <v>6100.0</v>
      </c>
      <c r="G167" s="172" t="s">
        <v>79</v>
      </c>
      <c r="H167" s="83">
        <v>22.0</v>
      </c>
      <c r="I167" s="48">
        <v>-0.072</v>
      </c>
      <c r="J167" s="48">
        <v>-0.01</v>
      </c>
      <c r="K167" s="48" t="s">
        <v>101</v>
      </c>
      <c r="L167" s="48" t="s">
        <v>101</v>
      </c>
      <c r="M167" s="48" t="s">
        <v>101</v>
      </c>
      <c r="N167" s="48"/>
      <c r="O167" s="49">
        <v>0.01</v>
      </c>
      <c r="P167" s="48">
        <v>0.1</v>
      </c>
      <c r="Q167" s="48">
        <v>0.1</v>
      </c>
      <c r="R167" s="48">
        <v>0.253</v>
      </c>
      <c r="S167" s="48">
        <v>0.5</v>
      </c>
      <c r="T167" s="48"/>
      <c r="U167" s="173">
        <f t="shared" si="2"/>
        <v>-0.1394366197</v>
      </c>
      <c r="V167" s="174">
        <f t="shared" si="3"/>
        <v>1.74156338</v>
      </c>
      <c r="W167" s="175" t="str">
        <f t="shared" si="4"/>
        <v>Normal</v>
      </c>
      <c r="X167" s="54">
        <f t="shared" si="5"/>
        <v>21.12115231</v>
      </c>
      <c r="Y167" s="176">
        <f t="shared" si="6"/>
        <v>12.12769662</v>
      </c>
      <c r="Z167" s="176">
        <f t="shared" si="7"/>
        <v>12.12634989</v>
      </c>
      <c r="AA167" s="174">
        <f t="shared" si="8"/>
        <v>0.0001110453743</v>
      </c>
      <c r="AB167" s="87"/>
    </row>
    <row r="168">
      <c r="A168" s="159" t="s">
        <v>138</v>
      </c>
      <c r="B168" s="160">
        <v>288.81</v>
      </c>
      <c r="C168" s="161">
        <f t="shared" si="56"/>
        <v>36.12</v>
      </c>
      <c r="D168" s="162" t="s">
        <v>143</v>
      </c>
      <c r="E168" s="36">
        <v>0.266</v>
      </c>
      <c r="F168" s="33">
        <v>944.0</v>
      </c>
      <c r="G168" s="163" t="s">
        <v>79</v>
      </c>
      <c r="H168" s="77">
        <v>22.0</v>
      </c>
      <c r="I168" s="36">
        <v>-0.072</v>
      </c>
      <c r="J168" s="36">
        <v>-0.01</v>
      </c>
      <c r="K168" s="36" t="s">
        <v>101</v>
      </c>
      <c r="L168" s="36" t="s">
        <v>101</v>
      </c>
      <c r="M168" s="36" t="s">
        <v>101</v>
      </c>
      <c r="N168" s="36"/>
      <c r="O168" s="37">
        <v>0.01</v>
      </c>
      <c r="P168" s="36">
        <v>0.1</v>
      </c>
      <c r="Q168" s="36">
        <v>0.1</v>
      </c>
      <c r="R168" s="36">
        <v>0.253</v>
      </c>
      <c r="S168" s="36"/>
      <c r="T168" s="36"/>
      <c r="U168" s="164">
        <f t="shared" si="2"/>
        <v>-0.1394366197</v>
      </c>
      <c r="V168" s="165">
        <f t="shared" si="3"/>
        <v>1.24156338</v>
      </c>
      <c r="W168" s="166" t="str">
        <f t="shared" si="4"/>
        <v>Skill</v>
      </c>
      <c r="X168" s="42">
        <f t="shared" si="5"/>
        <v>12.28791309</v>
      </c>
      <c r="Y168" s="167">
        <f t="shared" si="6"/>
        <v>9.897129126</v>
      </c>
      <c r="Z168" s="167">
        <f t="shared" si="7"/>
        <v>10.12634989</v>
      </c>
      <c r="AA168" s="165">
        <f t="shared" si="8"/>
        <v>-0.02316032889</v>
      </c>
      <c r="AB168" s="81"/>
    </row>
    <row r="169">
      <c r="A169" s="168" t="s">
        <v>138</v>
      </c>
      <c r="B169" s="169">
        <v>288.81</v>
      </c>
      <c r="C169" s="170">
        <f t="shared" si="56"/>
        <v>36.12</v>
      </c>
      <c r="D169" s="171" t="s">
        <v>141</v>
      </c>
      <c r="E169" s="48">
        <v>1.8</v>
      </c>
      <c r="F169" s="45">
        <v>9170.0</v>
      </c>
      <c r="G169" s="172" t="s">
        <v>79</v>
      </c>
      <c r="H169" s="83">
        <v>22.0</v>
      </c>
      <c r="I169" s="48">
        <v>-0.072</v>
      </c>
      <c r="J169" s="48">
        <v>-0.01</v>
      </c>
      <c r="K169" s="48" t="s">
        <v>101</v>
      </c>
      <c r="L169" s="48" t="s">
        <v>101</v>
      </c>
      <c r="M169" s="48" t="s">
        <v>101</v>
      </c>
      <c r="N169" s="48"/>
      <c r="O169" s="49">
        <v>0.01</v>
      </c>
      <c r="P169" s="48">
        <v>0.1</v>
      </c>
      <c r="Q169" s="48">
        <v>0.1</v>
      </c>
      <c r="R169" s="48">
        <v>0.253</v>
      </c>
      <c r="S169" s="48">
        <v>0.5</v>
      </c>
      <c r="T169" s="48"/>
      <c r="U169" s="173">
        <f t="shared" si="2"/>
        <v>-0.1394366197</v>
      </c>
      <c r="V169" s="174">
        <f t="shared" si="3"/>
        <v>1.74156338</v>
      </c>
      <c r="W169" s="175" t="str">
        <f t="shared" si="4"/>
        <v>Skill</v>
      </c>
      <c r="X169" s="54">
        <f t="shared" si="5"/>
        <v>17.63943231</v>
      </c>
      <c r="Y169" s="176">
        <f t="shared" si="6"/>
        <v>10.12850437</v>
      </c>
      <c r="Z169" s="176">
        <f t="shared" si="7"/>
        <v>10.12634989</v>
      </c>
      <c r="AA169" s="174">
        <f t="shared" si="8"/>
        <v>0.0002127142534</v>
      </c>
      <c r="AB169" s="87"/>
    </row>
    <row r="170">
      <c r="A170" s="159" t="s">
        <v>138</v>
      </c>
      <c r="B170" s="160">
        <v>288.81</v>
      </c>
      <c r="C170" s="161">
        <f>1895/50</f>
        <v>37.9</v>
      </c>
      <c r="D170" s="162" t="s">
        <v>139</v>
      </c>
      <c r="E170" s="36">
        <v>1.0</v>
      </c>
      <c r="F170" s="33">
        <v>3822.0</v>
      </c>
      <c r="G170" s="163" t="s">
        <v>86</v>
      </c>
      <c r="H170" s="77">
        <v>51.0</v>
      </c>
      <c r="I170" s="36">
        <v>-0.087</v>
      </c>
      <c r="J170" s="36">
        <v>-0.04</v>
      </c>
      <c r="K170" s="36" t="s">
        <v>101</v>
      </c>
      <c r="L170" s="36" t="s">
        <v>101</v>
      </c>
      <c r="M170" s="36" t="s">
        <v>101</v>
      </c>
      <c r="N170" s="36"/>
      <c r="O170" s="37">
        <v>0.01</v>
      </c>
      <c r="P170" s="36">
        <v>0.1</v>
      </c>
      <c r="Q170" s="36">
        <v>0.1</v>
      </c>
      <c r="R170" s="36">
        <v>0.253</v>
      </c>
      <c r="S170" s="36"/>
      <c r="T170" s="36"/>
      <c r="U170" s="164">
        <f t="shared" si="2"/>
        <v>-0.2684210526</v>
      </c>
      <c r="V170" s="165">
        <f t="shared" si="3"/>
        <v>1.067578947</v>
      </c>
      <c r="W170" s="166" t="str">
        <f t="shared" si="4"/>
        <v>Normal</v>
      </c>
      <c r="X170" s="42">
        <f t="shared" si="5"/>
        <v>13.23361379</v>
      </c>
      <c r="Y170" s="167">
        <f t="shared" si="6"/>
        <v>12.39591117</v>
      </c>
      <c r="Z170" s="167">
        <f t="shared" si="7"/>
        <v>12.39238264</v>
      </c>
      <c r="AA170" s="165">
        <f t="shared" si="8"/>
        <v>0.0002846524711</v>
      </c>
      <c r="AB170" s="81"/>
    </row>
    <row r="171">
      <c r="A171" s="168" t="s">
        <v>138</v>
      </c>
      <c r="B171" s="169">
        <v>288.81</v>
      </c>
      <c r="C171" s="170">
        <f t="shared" ref="C171:C172" si="57">1914/50</f>
        <v>38.28</v>
      </c>
      <c r="D171" s="171" t="s">
        <v>148</v>
      </c>
      <c r="E171" s="48">
        <v>2.142</v>
      </c>
      <c r="F171" s="45">
        <v>6896.0</v>
      </c>
      <c r="G171" s="172" t="s">
        <v>86</v>
      </c>
      <c r="H171" s="83">
        <v>51.0</v>
      </c>
      <c r="I171" s="48">
        <v>-0.087</v>
      </c>
      <c r="J171" s="48">
        <v>-0.04</v>
      </c>
      <c r="K171" s="48" t="s">
        <v>101</v>
      </c>
      <c r="L171" s="48" t="s">
        <v>101</v>
      </c>
      <c r="M171" s="48" t="s">
        <v>101</v>
      </c>
      <c r="N171" s="48"/>
      <c r="O171" s="49">
        <v>0.01</v>
      </c>
      <c r="P171" s="48">
        <v>0.1</v>
      </c>
      <c r="Q171" s="48">
        <v>0.1</v>
      </c>
      <c r="R171" s="48">
        <v>0.253</v>
      </c>
      <c r="S171" s="48"/>
      <c r="T171" s="48"/>
      <c r="U171" s="173">
        <f t="shared" si="2"/>
        <v>-0.2684210526</v>
      </c>
      <c r="V171" s="174">
        <f t="shared" si="3"/>
        <v>1.067578947</v>
      </c>
      <c r="W171" s="175" t="str">
        <f t="shared" si="4"/>
        <v>Skill</v>
      </c>
      <c r="X171" s="54">
        <f t="shared" si="5"/>
        <v>11.14719401</v>
      </c>
      <c r="Y171" s="176">
        <f t="shared" si="6"/>
        <v>10.4415641</v>
      </c>
      <c r="Z171" s="176">
        <f t="shared" si="7"/>
        <v>10.44809322</v>
      </c>
      <c r="AA171" s="174">
        <f t="shared" si="8"/>
        <v>-0.0006253011341</v>
      </c>
      <c r="AB171" s="87"/>
    </row>
    <row r="172">
      <c r="A172" s="159" t="s">
        <v>138</v>
      </c>
      <c r="B172" s="160">
        <v>288.81</v>
      </c>
      <c r="C172" s="161">
        <f t="shared" si="57"/>
        <v>38.28</v>
      </c>
      <c r="D172" s="162" t="s">
        <v>145</v>
      </c>
      <c r="E172" s="36">
        <v>1.714</v>
      </c>
      <c r="F172" s="33">
        <v>5799.0</v>
      </c>
      <c r="G172" s="163" t="s">
        <v>87</v>
      </c>
      <c r="H172" s="77">
        <v>37.0</v>
      </c>
      <c r="I172" s="36">
        <v>-0.087</v>
      </c>
      <c r="J172" s="36">
        <v>-0.04</v>
      </c>
      <c r="K172" s="36" t="s">
        <v>101</v>
      </c>
      <c r="L172" s="36" t="s">
        <v>101</v>
      </c>
      <c r="M172" s="36" t="s">
        <v>101</v>
      </c>
      <c r="N172" s="36"/>
      <c r="O172" s="37">
        <v>0.01</v>
      </c>
      <c r="P172" s="36">
        <v>0.1</v>
      </c>
      <c r="Q172" s="36">
        <v>0.1</v>
      </c>
      <c r="R172" s="36">
        <v>0.253</v>
      </c>
      <c r="S172" s="36"/>
      <c r="T172" s="36"/>
      <c r="U172" s="164">
        <f t="shared" si="2"/>
        <v>-0.2121019108</v>
      </c>
      <c r="V172" s="165">
        <f t="shared" si="3"/>
        <v>1.123898089</v>
      </c>
      <c r="W172" s="166" t="str">
        <f t="shared" si="4"/>
        <v>Skill</v>
      </c>
      <c r="X172" s="42">
        <f t="shared" si="5"/>
        <v>11.71467015</v>
      </c>
      <c r="Y172" s="167">
        <f t="shared" si="6"/>
        <v>10.42324946</v>
      </c>
      <c r="Z172" s="167">
        <f t="shared" si="7"/>
        <v>10.44809322</v>
      </c>
      <c r="AA172" s="165">
        <f t="shared" si="8"/>
        <v>-0.002383494949</v>
      </c>
      <c r="AB172" s="81"/>
    </row>
    <row r="173">
      <c r="A173" s="168" t="s">
        <v>138</v>
      </c>
      <c r="B173" s="169">
        <v>288.81</v>
      </c>
      <c r="C173" s="170">
        <f t="shared" ref="C173:C174" si="58">1965/50</f>
        <v>39.3</v>
      </c>
      <c r="D173" s="171" t="s">
        <v>139</v>
      </c>
      <c r="E173" s="48">
        <v>1.0</v>
      </c>
      <c r="F173" s="45">
        <v>5907.0</v>
      </c>
      <c r="G173" s="172" t="s">
        <v>87</v>
      </c>
      <c r="H173" s="83">
        <v>37.0</v>
      </c>
      <c r="I173" s="48">
        <v>-0.087</v>
      </c>
      <c r="J173" s="48">
        <v>-0.04</v>
      </c>
      <c r="K173" s="48" t="s">
        <v>101</v>
      </c>
      <c r="L173" s="48" t="s">
        <v>101</v>
      </c>
      <c r="M173" s="48" t="s">
        <v>101</v>
      </c>
      <c r="N173" s="48"/>
      <c r="O173" s="49">
        <v>0.01</v>
      </c>
      <c r="P173" s="48">
        <v>0.1</v>
      </c>
      <c r="Q173" s="48">
        <v>0.1</v>
      </c>
      <c r="R173" s="48">
        <v>0.253</v>
      </c>
      <c r="S173" s="48">
        <v>0.5</v>
      </c>
      <c r="T173" s="48"/>
      <c r="U173" s="173">
        <f t="shared" si="2"/>
        <v>-0.2121019108</v>
      </c>
      <c r="V173" s="174">
        <f t="shared" si="3"/>
        <v>1.623898089</v>
      </c>
      <c r="W173" s="175" t="str">
        <f t="shared" si="4"/>
        <v>Normal</v>
      </c>
      <c r="X173" s="54">
        <f t="shared" si="5"/>
        <v>20.45289291</v>
      </c>
      <c r="Y173" s="176">
        <f t="shared" si="6"/>
        <v>12.59493625</v>
      </c>
      <c r="Z173" s="176">
        <f t="shared" si="7"/>
        <v>12.59580052</v>
      </c>
      <c r="AA173" s="174">
        <f t="shared" si="8"/>
        <v>-0.00006862103412</v>
      </c>
      <c r="AB173" s="87"/>
    </row>
    <row r="174">
      <c r="A174" s="159" t="s">
        <v>138</v>
      </c>
      <c r="B174" s="160">
        <v>288.81</v>
      </c>
      <c r="C174" s="161">
        <f t="shared" si="58"/>
        <v>39.3</v>
      </c>
      <c r="D174" s="162" t="s">
        <v>141</v>
      </c>
      <c r="E174" s="36">
        <v>1.8</v>
      </c>
      <c r="F174" s="33">
        <v>10383.0</v>
      </c>
      <c r="G174" s="163" t="s">
        <v>87</v>
      </c>
      <c r="H174" s="77">
        <v>37.0</v>
      </c>
      <c r="I174" s="36">
        <v>-0.087</v>
      </c>
      <c r="J174" s="36">
        <v>-0.04</v>
      </c>
      <c r="K174" s="36" t="s">
        <v>101</v>
      </c>
      <c r="L174" s="36" t="s">
        <v>101</v>
      </c>
      <c r="M174" s="36" t="s">
        <v>101</v>
      </c>
      <c r="N174" s="36">
        <v>0.261</v>
      </c>
      <c r="O174" s="37">
        <v>0.01</v>
      </c>
      <c r="P174" s="36">
        <v>0.1</v>
      </c>
      <c r="Q174" s="36">
        <v>0.1</v>
      </c>
      <c r="R174" s="36">
        <v>0.253</v>
      </c>
      <c r="S174" s="36">
        <v>0.5</v>
      </c>
      <c r="T174" s="36"/>
      <c r="U174" s="164">
        <f t="shared" si="2"/>
        <v>-0.2121019108</v>
      </c>
      <c r="V174" s="165">
        <f t="shared" si="3"/>
        <v>1.884898089</v>
      </c>
      <c r="W174" s="166" t="str">
        <f t="shared" si="4"/>
        <v>Skill</v>
      </c>
      <c r="X174" s="42">
        <f t="shared" si="5"/>
        <v>19.97276179</v>
      </c>
      <c r="Y174" s="167">
        <f t="shared" si="6"/>
        <v>10.59620247</v>
      </c>
      <c r="Z174" s="167">
        <f t="shared" si="7"/>
        <v>10.59580052</v>
      </c>
      <c r="AA174" s="165">
        <f t="shared" si="8"/>
        <v>0.00003793315892</v>
      </c>
      <c r="AB174" s="81"/>
    </row>
    <row r="175">
      <c r="A175" s="168" t="s">
        <v>138</v>
      </c>
      <c r="B175" s="169">
        <v>288.81</v>
      </c>
      <c r="C175" s="170">
        <f t="shared" ref="C175:C176" si="59">2055/50</f>
        <v>41.1</v>
      </c>
      <c r="D175" s="171" t="s">
        <v>147</v>
      </c>
      <c r="E175" s="48">
        <v>2.6</v>
      </c>
      <c r="F175" s="45">
        <v>11756.0</v>
      </c>
      <c r="G175" s="172" t="s">
        <v>83</v>
      </c>
      <c r="H175" s="83">
        <v>58.0</v>
      </c>
      <c r="I175" s="48">
        <v>-0.087</v>
      </c>
      <c r="J175" s="48">
        <v>-0.04</v>
      </c>
      <c r="K175" s="48">
        <v>-0.1</v>
      </c>
      <c r="L175" s="48" t="s">
        <v>101</v>
      </c>
      <c r="M175" s="48" t="s">
        <v>101</v>
      </c>
      <c r="N175" s="48"/>
      <c r="O175" s="49">
        <v>0.01</v>
      </c>
      <c r="P175" s="48">
        <v>0.1</v>
      </c>
      <c r="Q175" s="48">
        <v>0.1</v>
      </c>
      <c r="R175" s="48">
        <v>0.253</v>
      </c>
      <c r="S175" s="48">
        <v>0.5</v>
      </c>
      <c r="T175" s="48"/>
      <c r="U175" s="173">
        <f t="shared" si="2"/>
        <v>-0.293258427</v>
      </c>
      <c r="V175" s="174">
        <f t="shared" si="3"/>
        <v>1.442741573</v>
      </c>
      <c r="W175" s="175" t="str">
        <f t="shared" si="4"/>
        <v>Skill</v>
      </c>
      <c r="X175" s="54">
        <f t="shared" si="5"/>
        <v>15.65575452</v>
      </c>
      <c r="Y175" s="176">
        <f t="shared" si="6"/>
        <v>10.85139211</v>
      </c>
      <c r="Z175" s="176">
        <f t="shared" si="7"/>
        <v>10.8501292</v>
      </c>
      <c r="AA175" s="174">
        <f t="shared" si="8"/>
        <v>0.0001163819396</v>
      </c>
      <c r="AB175" s="87"/>
    </row>
    <row r="176">
      <c r="A176" s="159" t="s">
        <v>138</v>
      </c>
      <c r="B176" s="160">
        <v>288.81</v>
      </c>
      <c r="C176" s="161">
        <f t="shared" si="59"/>
        <v>41.1</v>
      </c>
      <c r="D176" s="162" t="s">
        <v>139</v>
      </c>
      <c r="E176" s="36">
        <v>1.0</v>
      </c>
      <c r="F176" s="33">
        <v>3499.0</v>
      </c>
      <c r="G176" s="163" t="s">
        <v>83</v>
      </c>
      <c r="H176" s="77">
        <v>58.0</v>
      </c>
      <c r="I176" s="36">
        <v>-0.087</v>
      </c>
      <c r="J176" s="36">
        <v>-0.04</v>
      </c>
      <c r="K176" s="36">
        <v>-0.1</v>
      </c>
      <c r="L176" s="36" t="s">
        <v>101</v>
      </c>
      <c r="M176" s="36" t="s">
        <v>101</v>
      </c>
      <c r="N176" s="36"/>
      <c r="O176" s="37">
        <v>0.01</v>
      </c>
      <c r="P176" s="36">
        <v>0.1</v>
      </c>
      <c r="Q176" s="36">
        <v>0.1</v>
      </c>
      <c r="R176" s="36">
        <v>0.253</v>
      </c>
      <c r="S176" s="36"/>
      <c r="T176" s="36"/>
      <c r="U176" s="164">
        <f t="shared" si="2"/>
        <v>-0.293258427</v>
      </c>
      <c r="V176" s="165">
        <f t="shared" si="3"/>
        <v>0.942741573</v>
      </c>
      <c r="W176" s="166" t="str">
        <f t="shared" si="4"/>
        <v>Normal</v>
      </c>
      <c r="X176" s="42">
        <f t="shared" si="5"/>
        <v>12.11523147</v>
      </c>
      <c r="Y176" s="167">
        <f t="shared" si="6"/>
        <v>12.85106313</v>
      </c>
      <c r="Z176" s="167">
        <f t="shared" si="7"/>
        <v>12.8501292</v>
      </c>
      <c r="AA176" s="165">
        <f t="shared" si="8"/>
        <v>0.00007267317483</v>
      </c>
      <c r="AB176" s="81"/>
    </row>
    <row r="177">
      <c r="A177" s="168" t="s">
        <v>138</v>
      </c>
      <c r="B177" s="169">
        <v>288.81</v>
      </c>
      <c r="C177" s="170">
        <f t="shared" ref="C177:C181" si="60">2153/50</f>
        <v>43.06</v>
      </c>
      <c r="D177" s="171" t="s">
        <v>148</v>
      </c>
      <c r="E177" s="48">
        <v>2.142</v>
      </c>
      <c r="F177" s="45">
        <v>7723.0</v>
      </c>
      <c r="G177" s="172" t="s">
        <v>87</v>
      </c>
      <c r="H177" s="83">
        <v>37.0</v>
      </c>
      <c r="I177" s="48">
        <v>-0.087</v>
      </c>
      <c r="J177" s="48">
        <v>-0.04</v>
      </c>
      <c r="K177" s="48" t="s">
        <v>101</v>
      </c>
      <c r="L177" s="48" t="s">
        <v>101</v>
      </c>
      <c r="M177" s="48" t="s">
        <v>101</v>
      </c>
      <c r="N177" s="48"/>
      <c r="O177" s="49">
        <v>0.01</v>
      </c>
      <c r="P177" s="48">
        <v>0.1</v>
      </c>
      <c r="Q177" s="48">
        <v>0.1</v>
      </c>
      <c r="R177" s="48">
        <v>0.253</v>
      </c>
      <c r="S177" s="48"/>
      <c r="T177" s="48"/>
      <c r="U177" s="173">
        <f t="shared" si="2"/>
        <v>-0.2121019108</v>
      </c>
      <c r="V177" s="174">
        <f t="shared" si="3"/>
        <v>1.123898089</v>
      </c>
      <c r="W177" s="175" t="str">
        <f t="shared" si="4"/>
        <v>Skill</v>
      </c>
      <c r="X177" s="54">
        <f t="shared" si="5"/>
        <v>12.48401672</v>
      </c>
      <c r="Y177" s="176">
        <f t="shared" si="6"/>
        <v>11.10778357</v>
      </c>
      <c r="Z177" s="176">
        <f t="shared" si="7"/>
        <v>11.11824496</v>
      </c>
      <c r="AA177" s="174">
        <f t="shared" si="8"/>
        <v>-0.0009418075465</v>
      </c>
      <c r="AB177" s="87"/>
    </row>
    <row r="178">
      <c r="A178" s="159" t="s">
        <v>138</v>
      </c>
      <c r="B178" s="160">
        <v>288.81</v>
      </c>
      <c r="C178" s="161">
        <f t="shared" si="60"/>
        <v>43.06</v>
      </c>
      <c r="D178" s="162" t="s">
        <v>139</v>
      </c>
      <c r="E178" s="36">
        <v>1.0</v>
      </c>
      <c r="F178" s="33">
        <v>5940.0</v>
      </c>
      <c r="G178" s="163" t="s">
        <v>86</v>
      </c>
      <c r="H178" s="77">
        <v>51.0</v>
      </c>
      <c r="I178" s="36">
        <v>-0.087</v>
      </c>
      <c r="J178" s="36">
        <v>-0.04</v>
      </c>
      <c r="K178" s="36" t="s">
        <v>101</v>
      </c>
      <c r="L178" s="36" t="s">
        <v>101</v>
      </c>
      <c r="M178" s="36" t="s">
        <v>101</v>
      </c>
      <c r="N178" s="36"/>
      <c r="O178" s="37">
        <v>0.01</v>
      </c>
      <c r="P178" s="36">
        <v>0.1</v>
      </c>
      <c r="Q178" s="36">
        <v>0.1</v>
      </c>
      <c r="R178" s="36">
        <v>0.253</v>
      </c>
      <c r="S178" s="36">
        <v>0.5</v>
      </c>
      <c r="T178" s="36"/>
      <c r="U178" s="164">
        <f t="shared" si="2"/>
        <v>-0.2684210526</v>
      </c>
      <c r="V178" s="165">
        <f t="shared" si="3"/>
        <v>1.567578947</v>
      </c>
      <c r="W178" s="166" t="str">
        <f t="shared" si="4"/>
        <v>Normal</v>
      </c>
      <c r="X178" s="42">
        <f t="shared" si="5"/>
        <v>20.56715488</v>
      </c>
      <c r="Y178" s="167">
        <f t="shared" si="6"/>
        <v>13.12033114</v>
      </c>
      <c r="Z178" s="167">
        <f t="shared" si="7"/>
        <v>13.11824496</v>
      </c>
      <c r="AA178" s="165">
        <f t="shared" si="8"/>
        <v>0.0001590035624</v>
      </c>
      <c r="AB178" s="81"/>
    </row>
    <row r="179">
      <c r="A179" s="168" t="s">
        <v>138</v>
      </c>
      <c r="B179" s="169">
        <v>288.81</v>
      </c>
      <c r="C179" s="170">
        <f t="shared" si="60"/>
        <v>43.06</v>
      </c>
      <c r="D179" s="171" t="s">
        <v>145</v>
      </c>
      <c r="E179" s="48">
        <v>1.714</v>
      </c>
      <c r="F179" s="45">
        <v>8917.0</v>
      </c>
      <c r="G179" s="172" t="s">
        <v>87</v>
      </c>
      <c r="H179" s="83">
        <v>37.0</v>
      </c>
      <c r="I179" s="48">
        <v>-0.087</v>
      </c>
      <c r="J179" s="48">
        <v>-0.04</v>
      </c>
      <c r="K179" s="48" t="s">
        <v>101</v>
      </c>
      <c r="L179" s="48" t="s">
        <v>101</v>
      </c>
      <c r="M179" s="48" t="s">
        <v>101</v>
      </c>
      <c r="N179" s="48"/>
      <c r="O179" s="49">
        <v>0.01</v>
      </c>
      <c r="P179" s="48">
        <v>0.1</v>
      </c>
      <c r="Q179" s="48">
        <v>0.1</v>
      </c>
      <c r="R179" s="48">
        <v>0.253</v>
      </c>
      <c r="S179" s="48">
        <v>0.5</v>
      </c>
      <c r="T179" s="48"/>
      <c r="U179" s="173">
        <f t="shared" si="2"/>
        <v>-0.2121019108</v>
      </c>
      <c r="V179" s="174">
        <f t="shared" si="3"/>
        <v>1.623898089</v>
      </c>
      <c r="W179" s="175" t="str">
        <f t="shared" si="4"/>
        <v>Skill</v>
      </c>
      <c r="X179" s="54">
        <f t="shared" si="5"/>
        <v>18.01340123</v>
      </c>
      <c r="Y179" s="176">
        <f t="shared" si="6"/>
        <v>11.09269193</v>
      </c>
      <c r="Z179" s="176">
        <f t="shared" si="7"/>
        <v>11.11824496</v>
      </c>
      <c r="AA179" s="174">
        <f t="shared" si="8"/>
        <v>-0.002303591541</v>
      </c>
      <c r="AB179" s="87"/>
    </row>
    <row r="180">
      <c r="A180" s="159" t="s">
        <v>138</v>
      </c>
      <c r="B180" s="160">
        <v>288.81</v>
      </c>
      <c r="C180" s="161">
        <f t="shared" si="60"/>
        <v>43.06</v>
      </c>
      <c r="D180" s="162" t="s">
        <v>151</v>
      </c>
      <c r="E180" s="36">
        <v>2.571</v>
      </c>
      <c r="F180" s="33">
        <v>9275.0</v>
      </c>
      <c r="G180" s="163" t="s">
        <v>87</v>
      </c>
      <c r="H180" s="77">
        <v>37.0</v>
      </c>
      <c r="I180" s="36">
        <v>-0.087</v>
      </c>
      <c r="J180" s="36">
        <v>-0.04</v>
      </c>
      <c r="K180" s="36" t="s">
        <v>101</v>
      </c>
      <c r="L180" s="36" t="s">
        <v>101</v>
      </c>
      <c r="M180" s="36" t="s">
        <v>101</v>
      </c>
      <c r="N180" s="36"/>
      <c r="O180" s="37">
        <v>0.01</v>
      </c>
      <c r="P180" s="36">
        <v>0.1</v>
      </c>
      <c r="Q180" s="36">
        <v>0.1</v>
      </c>
      <c r="R180" s="36">
        <v>0.253</v>
      </c>
      <c r="S180" s="36"/>
      <c r="T180" s="36"/>
      <c r="U180" s="164">
        <f t="shared" si="2"/>
        <v>-0.2121019108</v>
      </c>
      <c r="V180" s="165">
        <f t="shared" si="3"/>
        <v>1.123898089</v>
      </c>
      <c r="W180" s="166" t="str">
        <f t="shared" si="4"/>
        <v>Skill</v>
      </c>
      <c r="X180" s="42">
        <f t="shared" si="5"/>
        <v>12.49106922</v>
      </c>
      <c r="Y180" s="167">
        <f t="shared" si="6"/>
        <v>11.1140586</v>
      </c>
      <c r="Z180" s="167">
        <f t="shared" si="7"/>
        <v>11.11824496</v>
      </c>
      <c r="AA180" s="165">
        <f t="shared" si="8"/>
        <v>-0.0003766725992</v>
      </c>
      <c r="AB180" s="81"/>
    </row>
    <row r="181">
      <c r="A181" s="168" t="s">
        <v>138</v>
      </c>
      <c r="B181" s="169">
        <v>288.81</v>
      </c>
      <c r="C181" s="170">
        <f t="shared" si="60"/>
        <v>43.06</v>
      </c>
      <c r="D181" s="171" t="s">
        <v>143</v>
      </c>
      <c r="E181" s="48">
        <v>0.266</v>
      </c>
      <c r="F181" s="45">
        <v>1309.0</v>
      </c>
      <c r="G181" s="172" t="s">
        <v>86</v>
      </c>
      <c r="H181" s="83">
        <v>51.0</v>
      </c>
      <c r="I181" s="48">
        <v>-0.087</v>
      </c>
      <c r="J181" s="48">
        <v>-0.04</v>
      </c>
      <c r="K181" s="48" t="s">
        <v>101</v>
      </c>
      <c r="L181" s="48" t="s">
        <v>101</v>
      </c>
      <c r="M181" s="48" t="s">
        <v>101</v>
      </c>
      <c r="N181" s="48"/>
      <c r="O181" s="49">
        <v>0.01</v>
      </c>
      <c r="P181" s="48">
        <v>0.1</v>
      </c>
      <c r="Q181" s="48">
        <v>0.1</v>
      </c>
      <c r="R181" s="48">
        <v>0.253</v>
      </c>
      <c r="S181" s="48">
        <v>0.5</v>
      </c>
      <c r="T181" s="48"/>
      <c r="U181" s="173">
        <f t="shared" si="2"/>
        <v>-0.2684210526</v>
      </c>
      <c r="V181" s="174">
        <f t="shared" si="3"/>
        <v>1.567578947</v>
      </c>
      <c r="W181" s="175" t="str">
        <f t="shared" si="4"/>
        <v>Skill</v>
      </c>
      <c r="X181" s="54">
        <f t="shared" si="5"/>
        <v>17.03906593</v>
      </c>
      <c r="Y181" s="176">
        <f t="shared" si="6"/>
        <v>10.86967005</v>
      </c>
      <c r="Z181" s="176">
        <f t="shared" si="7"/>
        <v>11.11824496</v>
      </c>
      <c r="AA181" s="174">
        <f t="shared" si="8"/>
        <v>-0.02286867142</v>
      </c>
      <c r="AB181" s="87"/>
    </row>
    <row r="182">
      <c r="A182" s="159" t="s">
        <v>138</v>
      </c>
      <c r="B182" s="160">
        <v>288.81</v>
      </c>
      <c r="C182" s="161">
        <f t="shared" ref="C182:C183" si="61">2276/50</f>
        <v>45.52</v>
      </c>
      <c r="D182" s="162" t="s">
        <v>139</v>
      </c>
      <c r="E182" s="180">
        <v>1.0</v>
      </c>
      <c r="F182" s="33">
        <v>5602.0</v>
      </c>
      <c r="G182" s="163" t="s">
        <v>83</v>
      </c>
      <c r="H182" s="77">
        <v>58.0</v>
      </c>
      <c r="I182" s="36">
        <v>-0.087</v>
      </c>
      <c r="J182" s="36">
        <v>-0.04</v>
      </c>
      <c r="K182" s="36">
        <v>-0.1</v>
      </c>
      <c r="L182" s="36" t="s">
        <v>101</v>
      </c>
      <c r="M182" s="36" t="s">
        <v>101</v>
      </c>
      <c r="N182" s="36"/>
      <c r="O182" s="37">
        <v>0.01</v>
      </c>
      <c r="P182" s="36">
        <v>0.1</v>
      </c>
      <c r="Q182" s="36">
        <v>0.1</v>
      </c>
      <c r="R182" s="36">
        <v>0.253</v>
      </c>
      <c r="S182" s="36">
        <v>0.5</v>
      </c>
      <c r="T182" s="36"/>
      <c r="U182" s="164">
        <f t="shared" si="2"/>
        <v>-0.293258427</v>
      </c>
      <c r="V182" s="165">
        <f t="shared" si="3"/>
        <v>1.442741573</v>
      </c>
      <c r="W182" s="166" t="str">
        <f t="shared" si="4"/>
        <v>Normal</v>
      </c>
      <c r="X182" s="42">
        <f t="shared" si="5"/>
        <v>19.39683529</v>
      </c>
      <c r="Y182" s="167">
        <f t="shared" si="6"/>
        <v>13.44442806</v>
      </c>
      <c r="Z182" s="167">
        <f t="shared" si="7"/>
        <v>13.4424162</v>
      </c>
      <c r="AA182" s="165">
        <f t="shared" si="8"/>
        <v>0.0001496430169</v>
      </c>
      <c r="AB182" s="81"/>
    </row>
    <row r="183">
      <c r="A183" s="168" t="s">
        <v>138</v>
      </c>
      <c r="B183" s="169">
        <v>288.81</v>
      </c>
      <c r="C183" s="170">
        <f t="shared" si="61"/>
        <v>45.52</v>
      </c>
      <c r="D183" s="171" t="s">
        <v>143</v>
      </c>
      <c r="E183" s="178">
        <v>0.266</v>
      </c>
      <c r="F183" s="45">
        <v>1239.0</v>
      </c>
      <c r="G183" s="172" t="s">
        <v>83</v>
      </c>
      <c r="H183" s="83">
        <v>58.0</v>
      </c>
      <c r="I183" s="48">
        <v>-0.087</v>
      </c>
      <c r="J183" s="48">
        <v>-0.04</v>
      </c>
      <c r="K183" s="48">
        <v>-0.1</v>
      </c>
      <c r="L183" s="48" t="s">
        <v>101</v>
      </c>
      <c r="M183" s="48" t="s">
        <v>101</v>
      </c>
      <c r="N183" s="48"/>
      <c r="O183" s="49">
        <v>0.01</v>
      </c>
      <c r="P183" s="48">
        <v>0.1</v>
      </c>
      <c r="Q183" s="48">
        <v>0.1</v>
      </c>
      <c r="R183" s="48">
        <v>0.253</v>
      </c>
      <c r="S183" s="48">
        <v>0.5</v>
      </c>
      <c r="T183" s="48"/>
      <c r="U183" s="173">
        <f t="shared" si="2"/>
        <v>-0.293258427</v>
      </c>
      <c r="V183" s="174">
        <f t="shared" si="3"/>
        <v>1.442741573</v>
      </c>
      <c r="W183" s="175" t="str">
        <f t="shared" si="4"/>
        <v>Skill</v>
      </c>
      <c r="X183" s="54">
        <f t="shared" si="5"/>
        <v>16.12788593</v>
      </c>
      <c r="Y183" s="176">
        <f t="shared" si="6"/>
        <v>11.17863811</v>
      </c>
      <c r="Z183" s="176">
        <f t="shared" si="7"/>
        <v>11.4424162</v>
      </c>
      <c r="AA183" s="174">
        <f t="shared" si="8"/>
        <v>-0.02359662074</v>
      </c>
      <c r="AB183" s="87"/>
    </row>
    <row r="184">
      <c r="A184" s="159" t="s">
        <v>138</v>
      </c>
      <c r="B184" s="160">
        <v>288.81</v>
      </c>
      <c r="C184" s="161">
        <f t="shared" ref="C184:C186" si="62">2407/50</f>
        <v>48.14</v>
      </c>
      <c r="D184" s="162" t="s">
        <v>139</v>
      </c>
      <c r="E184" s="36">
        <v>1.0</v>
      </c>
      <c r="F184" s="33">
        <v>5740.0</v>
      </c>
      <c r="G184" s="163" t="s">
        <v>83</v>
      </c>
      <c r="H184" s="77">
        <v>58.0</v>
      </c>
      <c r="I184" s="36">
        <v>-0.087</v>
      </c>
      <c r="J184" s="36">
        <v>-0.04</v>
      </c>
      <c r="K184" s="36">
        <v>-0.1</v>
      </c>
      <c r="L184" s="36" t="s">
        <v>101</v>
      </c>
      <c r="M184" s="36" t="s">
        <v>101</v>
      </c>
      <c r="N184" s="36"/>
      <c r="O184" s="37">
        <v>0.01</v>
      </c>
      <c r="P184" s="36">
        <v>0.1</v>
      </c>
      <c r="Q184" s="36">
        <v>0.1</v>
      </c>
      <c r="R184" s="36">
        <v>0.253</v>
      </c>
      <c r="S184" s="36">
        <v>0.5</v>
      </c>
      <c r="T184" s="36"/>
      <c r="U184" s="164">
        <f t="shared" si="2"/>
        <v>-0.293258427</v>
      </c>
      <c r="V184" s="165">
        <f t="shared" si="3"/>
        <v>1.442741573</v>
      </c>
      <c r="W184" s="166" t="str">
        <f t="shared" si="4"/>
        <v>Normal</v>
      </c>
      <c r="X184" s="42">
        <f t="shared" si="5"/>
        <v>19.87465808</v>
      </c>
      <c r="Y184" s="167">
        <f t="shared" si="6"/>
        <v>13.7756189</v>
      </c>
      <c r="Z184" s="167">
        <f t="shared" si="7"/>
        <v>13.77342862</v>
      </c>
      <c r="AA184" s="165">
        <f t="shared" si="8"/>
        <v>0.0001589969263</v>
      </c>
      <c r="AB184" s="81"/>
    </row>
    <row r="185">
      <c r="A185" s="168" t="s">
        <v>138</v>
      </c>
      <c r="B185" s="169">
        <v>288.81</v>
      </c>
      <c r="C185" s="170">
        <f t="shared" si="62"/>
        <v>48.14</v>
      </c>
      <c r="D185" s="171" t="s">
        <v>143</v>
      </c>
      <c r="E185" s="48">
        <v>0.266</v>
      </c>
      <c r="F185" s="45">
        <v>833.0</v>
      </c>
      <c r="G185" s="172" t="s">
        <v>83</v>
      </c>
      <c r="H185" s="83">
        <v>58.0</v>
      </c>
      <c r="I185" s="48">
        <v>-0.087</v>
      </c>
      <c r="J185" s="48">
        <v>-0.04</v>
      </c>
      <c r="K185" s="48">
        <v>-0.1</v>
      </c>
      <c r="L185" s="48" t="s">
        <v>101</v>
      </c>
      <c r="M185" s="48" t="s">
        <v>101</v>
      </c>
      <c r="N185" s="48"/>
      <c r="O185" s="49">
        <v>0.01</v>
      </c>
      <c r="P185" s="48">
        <v>0.1</v>
      </c>
      <c r="Q185" s="48">
        <v>0.1</v>
      </c>
      <c r="R185" s="48">
        <v>0.253</v>
      </c>
      <c r="S185" s="48"/>
      <c r="T185" s="48"/>
      <c r="U185" s="173">
        <f t="shared" si="2"/>
        <v>-0.293258427</v>
      </c>
      <c r="V185" s="174">
        <f t="shared" si="3"/>
        <v>0.942741573</v>
      </c>
      <c r="W185" s="175" t="str">
        <f t="shared" si="4"/>
        <v>Skill</v>
      </c>
      <c r="X185" s="54">
        <f t="shared" si="5"/>
        <v>10.84304196</v>
      </c>
      <c r="Y185" s="176">
        <f t="shared" si="6"/>
        <v>11.50160581</v>
      </c>
      <c r="Z185" s="176">
        <f t="shared" si="7"/>
        <v>11.77342862</v>
      </c>
      <c r="AA185" s="174">
        <f t="shared" si="8"/>
        <v>-0.02363346559</v>
      </c>
      <c r="AB185" s="87"/>
    </row>
    <row r="186">
      <c r="A186" s="159" t="s">
        <v>138</v>
      </c>
      <c r="B186" s="160">
        <v>288.81</v>
      </c>
      <c r="C186" s="161">
        <f t="shared" si="62"/>
        <v>48.14</v>
      </c>
      <c r="D186" s="162" t="s">
        <v>141</v>
      </c>
      <c r="E186" s="36">
        <v>1.8</v>
      </c>
      <c r="F186" s="33">
        <v>5771.0</v>
      </c>
      <c r="G186" s="163" t="s">
        <v>83</v>
      </c>
      <c r="H186" s="77">
        <v>58.0</v>
      </c>
      <c r="I186" s="36">
        <v>-0.087</v>
      </c>
      <c r="J186" s="36">
        <v>-0.04</v>
      </c>
      <c r="K186" s="36">
        <v>-0.1</v>
      </c>
      <c r="L186" s="36" t="s">
        <v>101</v>
      </c>
      <c r="M186" s="36" t="s">
        <v>101</v>
      </c>
      <c r="N186" s="36"/>
      <c r="O186" s="37">
        <v>0.01</v>
      </c>
      <c r="P186" s="36">
        <v>0.1</v>
      </c>
      <c r="Q186" s="36">
        <v>0.1</v>
      </c>
      <c r="R186" s="36">
        <v>0.253</v>
      </c>
      <c r="S186" s="36"/>
      <c r="T186" s="36"/>
      <c r="U186" s="164">
        <f t="shared" si="2"/>
        <v>-0.293258427</v>
      </c>
      <c r="V186" s="165">
        <f t="shared" si="3"/>
        <v>0.942741573</v>
      </c>
      <c r="W186" s="166" t="str">
        <f t="shared" si="4"/>
        <v>Skill</v>
      </c>
      <c r="X186" s="42">
        <f t="shared" si="5"/>
        <v>11.10110838</v>
      </c>
      <c r="Y186" s="167">
        <f t="shared" si="6"/>
        <v>11.77534618</v>
      </c>
      <c r="Z186" s="167">
        <f t="shared" si="7"/>
        <v>11.77342862</v>
      </c>
      <c r="AA186" s="165">
        <f t="shared" si="8"/>
        <v>0.0001628453987</v>
      </c>
      <c r="AB186" s="81"/>
    </row>
    <row r="187">
      <c r="A187" s="168" t="s">
        <v>138</v>
      </c>
      <c r="B187" s="169">
        <v>288.81</v>
      </c>
      <c r="C187" s="170">
        <f t="shared" ref="C187:C188" si="63">2427/50</f>
        <v>48.54</v>
      </c>
      <c r="D187" s="171" t="s">
        <v>139</v>
      </c>
      <c r="E187" s="48">
        <v>1.0</v>
      </c>
      <c r="F187" s="45">
        <v>3764.0</v>
      </c>
      <c r="G187" s="172" t="s">
        <v>83</v>
      </c>
      <c r="H187" s="83">
        <v>58.0</v>
      </c>
      <c r="I187" s="48">
        <v>-0.087</v>
      </c>
      <c r="J187" s="48">
        <v>-0.04</v>
      </c>
      <c r="K187" s="48">
        <v>-0.1</v>
      </c>
      <c r="L187" s="48" t="s">
        <v>101</v>
      </c>
      <c r="M187" s="48" t="s">
        <v>101</v>
      </c>
      <c r="N187" s="48"/>
      <c r="O187" s="49">
        <v>0.01</v>
      </c>
      <c r="P187" s="48">
        <v>0.1</v>
      </c>
      <c r="Q187" s="48">
        <v>0.1</v>
      </c>
      <c r="R187" s="48">
        <v>0.253</v>
      </c>
      <c r="S187" s="48"/>
      <c r="T187" s="48"/>
      <c r="U187" s="173">
        <f t="shared" si="2"/>
        <v>-0.293258427</v>
      </c>
      <c r="V187" s="174">
        <f t="shared" si="3"/>
        <v>0.942741573</v>
      </c>
      <c r="W187" s="175" t="str">
        <f t="shared" si="4"/>
        <v>Normal</v>
      </c>
      <c r="X187" s="54">
        <f t="shared" si="5"/>
        <v>13.03278972</v>
      </c>
      <c r="Y187" s="176">
        <f t="shared" si="6"/>
        <v>13.82435027</v>
      </c>
      <c r="Z187" s="176">
        <f t="shared" si="7"/>
        <v>13.82272948</v>
      </c>
      <c r="AA187" s="174">
        <f t="shared" si="8"/>
        <v>0.0001172419316</v>
      </c>
      <c r="AB187" s="87"/>
    </row>
    <row r="188">
      <c r="A188" s="159" t="s">
        <v>138</v>
      </c>
      <c r="B188" s="160">
        <v>288.81</v>
      </c>
      <c r="C188" s="161">
        <f t="shared" si="63"/>
        <v>48.54</v>
      </c>
      <c r="D188" s="162" t="s">
        <v>143</v>
      </c>
      <c r="E188" s="36">
        <v>0.266</v>
      </c>
      <c r="F188" s="33">
        <v>837.0</v>
      </c>
      <c r="G188" s="163" t="s">
        <v>83</v>
      </c>
      <c r="H188" s="77">
        <v>58.0</v>
      </c>
      <c r="I188" s="36">
        <v>-0.087</v>
      </c>
      <c r="J188" s="36">
        <v>-0.04</v>
      </c>
      <c r="K188" s="36">
        <v>-0.1</v>
      </c>
      <c r="L188" s="36" t="s">
        <v>101</v>
      </c>
      <c r="M188" s="36" t="s">
        <v>101</v>
      </c>
      <c r="N188" s="36"/>
      <c r="O188" s="37">
        <v>0.01</v>
      </c>
      <c r="P188" s="36">
        <v>0.1</v>
      </c>
      <c r="Q188" s="36">
        <v>0.1</v>
      </c>
      <c r="R188" s="36">
        <v>0.253</v>
      </c>
      <c r="S188" s="36"/>
      <c r="T188" s="36"/>
      <c r="U188" s="164">
        <f t="shared" si="2"/>
        <v>-0.293258427</v>
      </c>
      <c r="V188" s="165">
        <f t="shared" si="3"/>
        <v>0.942741573</v>
      </c>
      <c r="W188" s="166" t="str">
        <f t="shared" si="4"/>
        <v>Skill</v>
      </c>
      <c r="X188" s="42">
        <f t="shared" si="5"/>
        <v>10.89510938</v>
      </c>
      <c r="Y188" s="167">
        <f t="shared" si="6"/>
        <v>11.55683561</v>
      </c>
      <c r="Z188" s="167">
        <f t="shared" si="7"/>
        <v>11.82272948</v>
      </c>
      <c r="AA188" s="165">
        <f t="shared" si="8"/>
        <v>-0.02300749762</v>
      </c>
      <c r="AB188" s="81"/>
    </row>
    <row r="189">
      <c r="A189" s="168" t="s">
        <v>138</v>
      </c>
      <c r="B189" s="169">
        <v>288.81</v>
      </c>
      <c r="C189" s="170">
        <f t="shared" ref="C189:C191" si="64">2446/50</f>
        <v>48.92</v>
      </c>
      <c r="D189" s="171" t="s">
        <v>148</v>
      </c>
      <c r="E189" s="48">
        <v>2.142</v>
      </c>
      <c r="F189" s="45">
        <v>10585.0</v>
      </c>
      <c r="G189" s="172" t="s">
        <v>83</v>
      </c>
      <c r="H189" s="83">
        <v>58.0</v>
      </c>
      <c r="I189" s="48">
        <v>-0.087</v>
      </c>
      <c r="J189" s="48">
        <v>-0.04</v>
      </c>
      <c r="K189" s="48">
        <v>-0.1</v>
      </c>
      <c r="L189" s="48" t="s">
        <v>101</v>
      </c>
      <c r="M189" s="48" t="s">
        <v>101</v>
      </c>
      <c r="N189" s="48"/>
      <c r="O189" s="49">
        <v>0.01</v>
      </c>
      <c r="P189" s="48">
        <v>0.1</v>
      </c>
      <c r="Q189" s="48">
        <v>0.1</v>
      </c>
      <c r="R189" s="48">
        <v>0.253</v>
      </c>
      <c r="S189" s="48">
        <v>0.5</v>
      </c>
      <c r="T189" s="48"/>
      <c r="U189" s="173">
        <f t="shared" si="2"/>
        <v>-0.293258427</v>
      </c>
      <c r="V189" s="174">
        <f t="shared" si="3"/>
        <v>1.442741573</v>
      </c>
      <c r="W189" s="175" t="str">
        <f t="shared" si="4"/>
        <v>Skill</v>
      </c>
      <c r="X189" s="54">
        <f t="shared" si="5"/>
        <v>17.11036087</v>
      </c>
      <c r="Y189" s="176">
        <f t="shared" si="6"/>
        <v>11.85961588</v>
      </c>
      <c r="Z189" s="176">
        <f t="shared" si="7"/>
        <v>11.8692705</v>
      </c>
      <c r="AA189" s="174">
        <f t="shared" si="8"/>
        <v>-0.0008140748127</v>
      </c>
      <c r="AB189" s="87"/>
    </row>
    <row r="190">
      <c r="A190" s="159" t="s">
        <v>138</v>
      </c>
      <c r="B190" s="160">
        <v>288.81</v>
      </c>
      <c r="C190" s="161">
        <f t="shared" si="64"/>
        <v>48.92</v>
      </c>
      <c r="D190" s="162" t="s">
        <v>139</v>
      </c>
      <c r="E190" s="36">
        <v>1.0</v>
      </c>
      <c r="F190" s="33">
        <v>4822.0</v>
      </c>
      <c r="G190" s="163" t="s">
        <v>83</v>
      </c>
      <c r="H190" s="77">
        <v>58.0</v>
      </c>
      <c r="I190" s="36">
        <v>-0.087</v>
      </c>
      <c r="J190" s="36">
        <v>-0.04</v>
      </c>
      <c r="K190" s="36">
        <v>-0.1</v>
      </c>
      <c r="L190" s="36" t="s">
        <v>101</v>
      </c>
      <c r="M190" s="36" t="s">
        <v>101</v>
      </c>
      <c r="N190" s="36">
        <v>0.261</v>
      </c>
      <c r="O190" s="37">
        <v>0.01</v>
      </c>
      <c r="P190" s="36">
        <v>0.1</v>
      </c>
      <c r="Q190" s="36">
        <v>0.1</v>
      </c>
      <c r="R190" s="36">
        <v>0.253</v>
      </c>
      <c r="S190" s="36"/>
      <c r="T190" s="36"/>
      <c r="U190" s="164">
        <f t="shared" si="2"/>
        <v>-0.293258427</v>
      </c>
      <c r="V190" s="165">
        <f t="shared" si="3"/>
        <v>1.203741573</v>
      </c>
      <c r="W190" s="166" t="str">
        <f t="shared" si="4"/>
        <v>Normal</v>
      </c>
      <c r="X190" s="42">
        <f t="shared" si="5"/>
        <v>16.69609778</v>
      </c>
      <c r="Y190" s="167">
        <f t="shared" si="6"/>
        <v>13.87016795</v>
      </c>
      <c r="Z190" s="167">
        <f t="shared" si="7"/>
        <v>13.8692705</v>
      </c>
      <c r="AA190" s="165">
        <f t="shared" si="8"/>
        <v>0.00006470347496</v>
      </c>
      <c r="AB190" s="81"/>
    </row>
    <row r="191">
      <c r="A191" s="168" t="s">
        <v>138</v>
      </c>
      <c r="B191" s="169">
        <v>288.81</v>
      </c>
      <c r="C191" s="170">
        <f t="shared" si="64"/>
        <v>48.92</v>
      </c>
      <c r="D191" s="171" t="s">
        <v>145</v>
      </c>
      <c r="E191" s="48">
        <v>1.714</v>
      </c>
      <c r="F191" s="45">
        <v>9519.0</v>
      </c>
      <c r="G191" s="172" t="s">
        <v>87</v>
      </c>
      <c r="H191" s="83">
        <v>37.0</v>
      </c>
      <c r="I191" s="48">
        <v>-0.087</v>
      </c>
      <c r="J191" s="48">
        <v>-0.04</v>
      </c>
      <c r="K191" s="48" t="s">
        <v>101</v>
      </c>
      <c r="L191" s="48" t="s">
        <v>101</v>
      </c>
      <c r="M191" s="48" t="s">
        <v>101</v>
      </c>
      <c r="N191" s="48"/>
      <c r="O191" s="49">
        <v>0.01</v>
      </c>
      <c r="P191" s="48">
        <v>0.1</v>
      </c>
      <c r="Q191" s="48">
        <v>0.1</v>
      </c>
      <c r="R191" s="48">
        <v>0.253</v>
      </c>
      <c r="S191" s="48">
        <v>0.5</v>
      </c>
      <c r="T191" s="48"/>
      <c r="U191" s="173">
        <f t="shared" si="2"/>
        <v>-0.2121019108</v>
      </c>
      <c r="V191" s="174">
        <f t="shared" si="3"/>
        <v>1.623898089</v>
      </c>
      <c r="W191" s="175" t="str">
        <f t="shared" si="4"/>
        <v>Skill</v>
      </c>
      <c r="X191" s="54">
        <f t="shared" si="5"/>
        <v>19.22951287</v>
      </c>
      <c r="Y191" s="176">
        <f t="shared" si="6"/>
        <v>11.84157614</v>
      </c>
      <c r="Z191" s="176">
        <f t="shared" si="7"/>
        <v>11.8692705</v>
      </c>
      <c r="AA191" s="174">
        <f t="shared" si="8"/>
        <v>-0.002338738805</v>
      </c>
      <c r="AB191" s="87"/>
    </row>
    <row r="192">
      <c r="A192" s="159" t="s">
        <v>138</v>
      </c>
      <c r="B192" s="160">
        <v>288.81</v>
      </c>
      <c r="C192" s="161">
        <f t="shared" ref="C192:C193" si="65">2501/50</f>
        <v>50.02</v>
      </c>
      <c r="D192" s="162" t="s">
        <v>139</v>
      </c>
      <c r="E192" s="36">
        <v>1.0</v>
      </c>
      <c r="F192" s="33">
        <v>5835.0</v>
      </c>
      <c r="G192" s="163" t="s">
        <v>83</v>
      </c>
      <c r="H192" s="77">
        <v>58.0</v>
      </c>
      <c r="I192" s="36">
        <v>-0.087</v>
      </c>
      <c r="J192" s="36">
        <v>-0.04</v>
      </c>
      <c r="K192" s="36">
        <v>-0.1</v>
      </c>
      <c r="L192" s="36" t="s">
        <v>101</v>
      </c>
      <c r="M192" s="36" t="s">
        <v>101</v>
      </c>
      <c r="N192" s="36"/>
      <c r="O192" s="37">
        <v>0.01</v>
      </c>
      <c r="P192" s="36">
        <v>0.1</v>
      </c>
      <c r="Q192" s="36">
        <v>0.1</v>
      </c>
      <c r="R192" s="36">
        <v>0.253</v>
      </c>
      <c r="S192" s="36">
        <v>0.5</v>
      </c>
      <c r="T192" s="36"/>
      <c r="U192" s="164">
        <f t="shared" si="2"/>
        <v>-0.293258427</v>
      </c>
      <c r="V192" s="165">
        <f t="shared" si="3"/>
        <v>1.442741573</v>
      </c>
      <c r="W192" s="166" t="str">
        <f t="shared" si="4"/>
        <v>Normal</v>
      </c>
      <c r="X192" s="42">
        <f t="shared" si="5"/>
        <v>20.20359406</v>
      </c>
      <c r="Y192" s="167">
        <f t="shared" si="6"/>
        <v>14.00361259</v>
      </c>
      <c r="Z192" s="167">
        <f t="shared" si="7"/>
        <v>14.00239962</v>
      </c>
      <c r="AA192" s="165">
        <f t="shared" si="8"/>
        <v>0.00008661874958</v>
      </c>
      <c r="AB192" s="81"/>
    </row>
    <row r="193">
      <c r="A193" s="168" t="s">
        <v>138</v>
      </c>
      <c r="B193" s="169">
        <v>288.81</v>
      </c>
      <c r="C193" s="170">
        <f t="shared" si="65"/>
        <v>50.02</v>
      </c>
      <c r="D193" s="171" t="s">
        <v>143</v>
      </c>
      <c r="E193" s="48">
        <v>0.266</v>
      </c>
      <c r="F193" s="45">
        <v>849.0</v>
      </c>
      <c r="G193" s="172" t="s">
        <v>83</v>
      </c>
      <c r="H193" s="83">
        <v>58.0</v>
      </c>
      <c r="I193" s="48">
        <v>-0.087</v>
      </c>
      <c r="J193" s="48">
        <v>-0.04</v>
      </c>
      <c r="K193" s="48">
        <v>-0.1</v>
      </c>
      <c r="L193" s="48" t="s">
        <v>101</v>
      </c>
      <c r="M193" s="48" t="s">
        <v>101</v>
      </c>
      <c r="N193" s="48"/>
      <c r="O193" s="49">
        <v>0.01</v>
      </c>
      <c r="P193" s="48">
        <v>0.1</v>
      </c>
      <c r="Q193" s="48">
        <v>0.1</v>
      </c>
      <c r="R193" s="48">
        <v>0.253</v>
      </c>
      <c r="S193" s="48"/>
      <c r="T193" s="48"/>
      <c r="U193" s="173">
        <f t="shared" si="2"/>
        <v>-0.293258427</v>
      </c>
      <c r="V193" s="174">
        <f t="shared" si="3"/>
        <v>0.942741573</v>
      </c>
      <c r="W193" s="175" t="str">
        <f t="shared" si="4"/>
        <v>Skill</v>
      </c>
      <c r="X193" s="54">
        <f t="shared" si="5"/>
        <v>11.05131167</v>
      </c>
      <c r="Y193" s="176">
        <f t="shared" si="6"/>
        <v>11.72252501</v>
      </c>
      <c r="Z193" s="176">
        <f t="shared" si="7"/>
        <v>12.00239962</v>
      </c>
      <c r="AA193" s="174">
        <f t="shared" si="8"/>
        <v>-0.02387494195</v>
      </c>
      <c r="AB193" s="87"/>
    </row>
    <row r="194">
      <c r="A194" s="159" t="s">
        <v>173</v>
      </c>
      <c r="B194" s="160">
        <v>234.0</v>
      </c>
      <c r="C194" s="161">
        <f>2556/50</f>
        <v>51.12</v>
      </c>
      <c r="D194" s="162" t="s">
        <v>139</v>
      </c>
      <c r="E194" s="36">
        <v>1.0</v>
      </c>
      <c r="F194" s="33">
        <v>332.0</v>
      </c>
      <c r="G194" s="163" t="s">
        <v>81</v>
      </c>
      <c r="H194" s="77">
        <v>71.0</v>
      </c>
      <c r="I194" s="36">
        <v>-0.148</v>
      </c>
      <c r="J194" s="36">
        <v>-0.15</v>
      </c>
      <c r="K194" s="36">
        <v>-0.08</v>
      </c>
      <c r="L194" s="36">
        <v>-0.04</v>
      </c>
      <c r="M194" s="36">
        <v>-0.14</v>
      </c>
      <c r="N194" s="36"/>
      <c r="O194" s="37"/>
      <c r="P194" s="36"/>
      <c r="Q194" s="36"/>
      <c r="R194" s="36"/>
      <c r="S194" s="36"/>
      <c r="T194" s="36">
        <v>-0.25</v>
      </c>
      <c r="U194" s="164">
        <f t="shared" si="2"/>
        <v>-0.3345549738</v>
      </c>
      <c r="V194" s="165">
        <f t="shared" si="3"/>
        <v>0.1</v>
      </c>
      <c r="W194" s="166" t="str">
        <f t="shared" si="4"/>
        <v>Normal</v>
      </c>
      <c r="X194" s="42">
        <f t="shared" si="5"/>
        <v>1.418803419</v>
      </c>
      <c r="Y194" s="167">
        <f t="shared" si="6"/>
        <v>14.18803419</v>
      </c>
      <c r="Z194" s="167">
        <f t="shared" si="7"/>
        <v>14.13320647</v>
      </c>
      <c r="AA194" s="165">
        <f t="shared" si="8"/>
        <v>0.003864363257</v>
      </c>
      <c r="AB194" s="81"/>
    </row>
    <row r="195">
      <c r="A195" s="168" t="s">
        <v>138</v>
      </c>
      <c r="B195" s="169">
        <v>288.81</v>
      </c>
      <c r="C195" s="170">
        <f t="shared" ref="C195:C196" si="66">2569/50</f>
        <v>51.38</v>
      </c>
      <c r="D195" s="171" t="s">
        <v>147</v>
      </c>
      <c r="E195" s="48">
        <v>2.6</v>
      </c>
      <c r="F195" s="45">
        <v>14321.0</v>
      </c>
      <c r="G195" s="172" t="s">
        <v>86</v>
      </c>
      <c r="H195" s="83">
        <v>51.0</v>
      </c>
      <c r="I195" s="48">
        <v>-0.087</v>
      </c>
      <c r="J195" s="48">
        <v>-0.04</v>
      </c>
      <c r="K195" s="48" t="s">
        <v>101</v>
      </c>
      <c r="L195" s="48" t="s">
        <v>101</v>
      </c>
      <c r="M195" s="48" t="s">
        <v>101</v>
      </c>
      <c r="N195" s="48"/>
      <c r="O195" s="49">
        <v>0.01</v>
      </c>
      <c r="P195" s="48">
        <v>0.1</v>
      </c>
      <c r="Q195" s="48">
        <v>0.1</v>
      </c>
      <c r="R195" s="48">
        <v>0.253</v>
      </c>
      <c r="S195" s="48">
        <v>0.5</v>
      </c>
      <c r="T195" s="48"/>
      <c r="U195" s="173">
        <f t="shared" si="2"/>
        <v>-0.2684210526</v>
      </c>
      <c r="V195" s="174">
        <f t="shared" si="3"/>
        <v>1.567578947</v>
      </c>
      <c r="W195" s="175" t="str">
        <f t="shared" si="4"/>
        <v>Skill</v>
      </c>
      <c r="X195" s="54">
        <f t="shared" si="5"/>
        <v>19.07162814</v>
      </c>
      <c r="Y195" s="176">
        <f t="shared" si="6"/>
        <v>12.16629515</v>
      </c>
      <c r="Z195" s="176">
        <f t="shared" si="7"/>
        <v>12.16379174</v>
      </c>
      <c r="AA195" s="174">
        <f t="shared" si="8"/>
        <v>0.0002057658267</v>
      </c>
      <c r="AB195" s="87"/>
    </row>
    <row r="196">
      <c r="A196" s="159" t="s">
        <v>138</v>
      </c>
      <c r="B196" s="160">
        <v>288.81</v>
      </c>
      <c r="C196" s="161">
        <f t="shared" si="66"/>
        <v>51.38</v>
      </c>
      <c r="D196" s="162" t="s">
        <v>139</v>
      </c>
      <c r="E196" s="36">
        <v>1.0</v>
      </c>
      <c r="F196" s="33">
        <v>3867.0</v>
      </c>
      <c r="G196" s="163" t="s">
        <v>83</v>
      </c>
      <c r="H196" s="77">
        <v>58.0</v>
      </c>
      <c r="I196" s="36">
        <v>-0.087</v>
      </c>
      <c r="J196" s="36">
        <v>-0.04</v>
      </c>
      <c r="K196" s="36">
        <v>-0.1</v>
      </c>
      <c r="L196" s="36" t="s">
        <v>101</v>
      </c>
      <c r="M196" s="36" t="s">
        <v>101</v>
      </c>
      <c r="N196" s="36"/>
      <c r="O196" s="37">
        <v>0.01</v>
      </c>
      <c r="P196" s="36">
        <v>0.1</v>
      </c>
      <c r="Q196" s="36">
        <v>0.1</v>
      </c>
      <c r="R196" s="36">
        <v>0.253</v>
      </c>
      <c r="S196" s="36"/>
      <c r="T196" s="36"/>
      <c r="U196" s="164">
        <f t="shared" si="2"/>
        <v>-0.293258427</v>
      </c>
      <c r="V196" s="165">
        <f t="shared" si="3"/>
        <v>0.942741573</v>
      </c>
      <c r="W196" s="166" t="str">
        <f t="shared" si="4"/>
        <v>Normal</v>
      </c>
      <c r="X196" s="42">
        <f t="shared" si="5"/>
        <v>13.38942557</v>
      </c>
      <c r="Y196" s="167">
        <f t="shared" si="6"/>
        <v>14.20264679</v>
      </c>
      <c r="Z196" s="167">
        <f t="shared" si="7"/>
        <v>14.16379174</v>
      </c>
      <c r="AA196" s="165">
        <f t="shared" si="8"/>
        <v>0.002735761095</v>
      </c>
      <c r="AB196" s="81"/>
    </row>
    <row r="197">
      <c r="A197" s="168" t="s">
        <v>138</v>
      </c>
      <c r="B197" s="169">
        <v>288.81</v>
      </c>
      <c r="C197" s="170">
        <f t="shared" ref="C197:C199" si="67">2672/50</f>
        <v>53.44</v>
      </c>
      <c r="D197" s="171" t="s">
        <v>148</v>
      </c>
      <c r="E197" s="48">
        <v>2.142</v>
      </c>
      <c r="F197" s="45">
        <v>8615.0</v>
      </c>
      <c r="G197" s="172" t="s">
        <v>87</v>
      </c>
      <c r="H197" s="83">
        <v>37.0</v>
      </c>
      <c r="I197" s="48">
        <v>-0.087</v>
      </c>
      <c r="J197" s="48">
        <v>-0.04</v>
      </c>
      <c r="K197" s="48" t="s">
        <v>101</v>
      </c>
      <c r="L197" s="48" t="s">
        <v>101</v>
      </c>
      <c r="M197" s="48" t="s">
        <v>101</v>
      </c>
      <c r="N197" s="48"/>
      <c r="O197" s="49">
        <v>0.01</v>
      </c>
      <c r="P197" s="48">
        <v>0.1</v>
      </c>
      <c r="Q197" s="48">
        <v>0.1</v>
      </c>
      <c r="R197" s="48">
        <v>0.253</v>
      </c>
      <c r="S197" s="48"/>
      <c r="T197" s="48"/>
      <c r="U197" s="173">
        <f t="shared" si="2"/>
        <v>-0.2121019108</v>
      </c>
      <c r="V197" s="174">
        <f t="shared" si="3"/>
        <v>1.123898089</v>
      </c>
      <c r="W197" s="175" t="str">
        <f t="shared" si="4"/>
        <v>Skill</v>
      </c>
      <c r="X197" s="54">
        <f t="shared" si="5"/>
        <v>13.92591015</v>
      </c>
      <c r="Y197" s="176">
        <f t="shared" si="6"/>
        <v>12.39072322</v>
      </c>
      <c r="Z197" s="176">
        <f t="shared" si="7"/>
        <v>12.401744</v>
      </c>
      <c r="AA197" s="174">
        <f t="shared" si="8"/>
        <v>-0.0008894384864</v>
      </c>
      <c r="AB197" s="87"/>
    </row>
    <row r="198">
      <c r="A198" s="159" t="s">
        <v>138</v>
      </c>
      <c r="B198" s="160">
        <v>288.81</v>
      </c>
      <c r="C198" s="161">
        <f t="shared" si="67"/>
        <v>53.44</v>
      </c>
      <c r="D198" s="162" t="s">
        <v>139</v>
      </c>
      <c r="E198" s="36">
        <v>1.0</v>
      </c>
      <c r="F198" s="33">
        <v>6001.0</v>
      </c>
      <c r="G198" s="163" t="s">
        <v>83</v>
      </c>
      <c r="H198" s="77">
        <v>58.0</v>
      </c>
      <c r="I198" s="36">
        <v>-0.087</v>
      </c>
      <c r="J198" s="36">
        <v>-0.04</v>
      </c>
      <c r="K198" s="36">
        <v>-0.1</v>
      </c>
      <c r="L198" s="36" t="s">
        <v>101</v>
      </c>
      <c r="M198" s="36" t="s">
        <v>101</v>
      </c>
      <c r="N198" s="36"/>
      <c r="O198" s="37">
        <v>0.01</v>
      </c>
      <c r="P198" s="36">
        <v>0.1</v>
      </c>
      <c r="Q198" s="36">
        <v>0.1</v>
      </c>
      <c r="R198" s="36">
        <v>0.253</v>
      </c>
      <c r="S198" s="36">
        <v>0.5</v>
      </c>
      <c r="T198" s="36"/>
      <c r="U198" s="164">
        <f t="shared" si="2"/>
        <v>-0.293258427</v>
      </c>
      <c r="V198" s="165">
        <f t="shared" si="3"/>
        <v>1.442741573</v>
      </c>
      <c r="W198" s="166" t="str">
        <f t="shared" si="4"/>
        <v>Normal</v>
      </c>
      <c r="X198" s="42">
        <f t="shared" si="5"/>
        <v>20.7783664</v>
      </c>
      <c r="Y198" s="167">
        <f t="shared" si="6"/>
        <v>14.40200157</v>
      </c>
      <c r="Z198" s="167">
        <f t="shared" si="7"/>
        <v>14.401744</v>
      </c>
      <c r="AA198" s="165">
        <f t="shared" si="8"/>
        <v>0.00001788397945</v>
      </c>
      <c r="AB198" s="81"/>
    </row>
    <row r="199">
      <c r="A199" s="168" t="s">
        <v>138</v>
      </c>
      <c r="B199" s="169">
        <v>288.81</v>
      </c>
      <c r="C199" s="170">
        <f t="shared" si="67"/>
        <v>53.44</v>
      </c>
      <c r="D199" s="171" t="s">
        <v>151</v>
      </c>
      <c r="E199" s="48">
        <v>2.571</v>
      </c>
      <c r="F199" s="45">
        <v>14949.0</v>
      </c>
      <c r="G199" s="172" t="s">
        <v>87</v>
      </c>
      <c r="H199" s="83">
        <v>37.0</v>
      </c>
      <c r="I199" s="48">
        <v>-0.087</v>
      </c>
      <c r="J199" s="48">
        <v>-0.04</v>
      </c>
      <c r="K199" s="48" t="s">
        <v>101</v>
      </c>
      <c r="L199" s="48" t="s">
        <v>101</v>
      </c>
      <c r="M199" s="48" t="s">
        <v>101</v>
      </c>
      <c r="N199" s="48"/>
      <c r="O199" s="49">
        <v>0.01</v>
      </c>
      <c r="P199" s="48">
        <v>0.1</v>
      </c>
      <c r="Q199" s="48">
        <v>0.1</v>
      </c>
      <c r="R199" s="48">
        <v>0.253</v>
      </c>
      <c r="S199" s="48">
        <v>0.5</v>
      </c>
      <c r="T199" s="48"/>
      <c r="U199" s="173">
        <f t="shared" si="2"/>
        <v>-0.2121019108</v>
      </c>
      <c r="V199" s="174">
        <f t="shared" si="3"/>
        <v>1.623898089</v>
      </c>
      <c r="W199" s="175" t="str">
        <f t="shared" si="4"/>
        <v>Skill</v>
      </c>
      <c r="X199" s="54">
        <f t="shared" si="5"/>
        <v>20.13250607</v>
      </c>
      <c r="Y199" s="176">
        <f t="shared" si="6"/>
        <v>12.39764133</v>
      </c>
      <c r="Z199" s="176">
        <f t="shared" si="7"/>
        <v>12.401744</v>
      </c>
      <c r="AA199" s="174">
        <f t="shared" si="8"/>
        <v>-0.0003309236173</v>
      </c>
    </row>
    <row r="200">
      <c r="A200" s="159" t="s">
        <v>154</v>
      </c>
      <c r="B200" s="160">
        <v>263.0</v>
      </c>
      <c r="C200" s="161">
        <f t="shared" ref="C200:C201" si="68">20+20+14</f>
        <v>54</v>
      </c>
      <c r="D200" s="162" t="s">
        <v>139</v>
      </c>
      <c r="E200" s="36">
        <v>1.0</v>
      </c>
      <c r="F200" s="33">
        <v>2889.0</v>
      </c>
      <c r="G200" s="163" t="s">
        <v>83</v>
      </c>
      <c r="H200" s="77">
        <v>62.0</v>
      </c>
      <c r="I200" s="36">
        <v>-0.096</v>
      </c>
      <c r="J200" s="36">
        <v>-0.1</v>
      </c>
      <c r="K200" s="185" t="s">
        <v>101</v>
      </c>
      <c r="L200" s="36" t="s">
        <v>101</v>
      </c>
      <c r="M200" s="36" t="s">
        <v>101</v>
      </c>
      <c r="N200" s="36"/>
      <c r="O200" s="37">
        <v>0.01</v>
      </c>
      <c r="P200" s="36">
        <v>0.05</v>
      </c>
      <c r="Q200" s="36">
        <v>0.1</v>
      </c>
      <c r="R200" s="36">
        <v>0.1</v>
      </c>
      <c r="S200" s="36"/>
      <c r="T200" s="36"/>
      <c r="U200" s="164">
        <f t="shared" si="2"/>
        <v>-0.3065934066</v>
      </c>
      <c r="V200" s="165">
        <f t="shared" si="3"/>
        <v>0.7574065934</v>
      </c>
      <c r="W200" s="166" t="str">
        <f t="shared" si="4"/>
        <v>Normal</v>
      </c>
      <c r="X200" s="42">
        <f t="shared" si="5"/>
        <v>10.98479087</v>
      </c>
      <c r="Y200" s="167">
        <f t="shared" si="6"/>
        <v>14.50316246</v>
      </c>
      <c r="Z200" s="167">
        <f t="shared" si="7"/>
        <v>14.46511628</v>
      </c>
      <c r="AA200" s="165">
        <f t="shared" si="8"/>
        <v>0.002623302591</v>
      </c>
      <c r="AB200" s="81"/>
    </row>
    <row r="201">
      <c r="A201" s="168" t="s">
        <v>154</v>
      </c>
      <c r="B201" s="169">
        <v>263.0</v>
      </c>
      <c r="C201" s="170">
        <f t="shared" si="68"/>
        <v>54</v>
      </c>
      <c r="D201" s="171" t="s">
        <v>174</v>
      </c>
      <c r="E201" s="48">
        <v>3.0</v>
      </c>
      <c r="F201" s="45">
        <v>7470.0</v>
      </c>
      <c r="G201" s="172" t="s">
        <v>83</v>
      </c>
      <c r="H201" s="83">
        <v>62.0</v>
      </c>
      <c r="I201" s="48">
        <v>-0.096</v>
      </c>
      <c r="J201" s="48">
        <v>-0.1</v>
      </c>
      <c r="K201" s="185" t="s">
        <v>101</v>
      </c>
      <c r="L201" s="48" t="s">
        <v>101</v>
      </c>
      <c r="M201" s="48" t="s">
        <v>101</v>
      </c>
      <c r="N201" s="48"/>
      <c r="O201" s="49">
        <v>0.01</v>
      </c>
      <c r="P201" s="48">
        <v>0.05</v>
      </c>
      <c r="Q201" s="48">
        <v>0.1</v>
      </c>
      <c r="R201" s="48">
        <v>0.1</v>
      </c>
      <c r="S201" s="48"/>
      <c r="T201" s="48"/>
      <c r="U201" s="173">
        <f t="shared" si="2"/>
        <v>-0.3065934066</v>
      </c>
      <c r="V201" s="174">
        <f t="shared" si="3"/>
        <v>0.7574065934</v>
      </c>
      <c r="W201" s="175" t="str">
        <f t="shared" si="4"/>
        <v>Skill</v>
      </c>
      <c r="X201" s="54">
        <f t="shared" si="5"/>
        <v>9.467680608</v>
      </c>
      <c r="Y201" s="176">
        <f t="shared" si="6"/>
        <v>12.50012964</v>
      </c>
      <c r="Z201" s="176">
        <f t="shared" si="7"/>
        <v>12.46511628</v>
      </c>
      <c r="AA201" s="174">
        <f t="shared" si="8"/>
        <v>0.002801039887</v>
      </c>
      <c r="AB201" s="87"/>
    </row>
    <row r="202">
      <c r="A202" s="159" t="s">
        <v>138</v>
      </c>
      <c r="B202" s="160">
        <v>288.81</v>
      </c>
      <c r="C202" s="161">
        <f>2781/50</f>
        <v>55.62</v>
      </c>
      <c r="D202" s="162" t="s">
        <v>139</v>
      </c>
      <c r="E202" s="36">
        <v>1.0</v>
      </c>
      <c r="F202" s="33">
        <v>3988.0</v>
      </c>
      <c r="G202" s="163" t="s">
        <v>83</v>
      </c>
      <c r="H202" s="77">
        <v>58.0</v>
      </c>
      <c r="I202" s="36">
        <v>-0.087</v>
      </c>
      <c r="J202" s="36">
        <v>-0.04</v>
      </c>
      <c r="K202" s="36">
        <v>-0.1</v>
      </c>
      <c r="L202" s="36" t="s">
        <v>101</v>
      </c>
      <c r="M202" s="36" t="s">
        <v>101</v>
      </c>
      <c r="N202" s="36"/>
      <c r="O202" s="37">
        <v>0.01</v>
      </c>
      <c r="P202" s="36">
        <v>0.1</v>
      </c>
      <c r="Q202" s="36">
        <v>0.1</v>
      </c>
      <c r="R202" s="36">
        <v>0.253</v>
      </c>
      <c r="S202" s="36"/>
      <c r="T202" s="36"/>
      <c r="U202" s="164">
        <f t="shared" si="2"/>
        <v>-0.293258427</v>
      </c>
      <c r="V202" s="165">
        <f t="shared" si="3"/>
        <v>0.942741573</v>
      </c>
      <c r="W202" s="166" t="str">
        <f t="shared" si="4"/>
        <v>Normal</v>
      </c>
      <c r="X202" s="42">
        <f t="shared" si="5"/>
        <v>13.80838614</v>
      </c>
      <c r="Y202" s="167">
        <f t="shared" si="6"/>
        <v>14.64705337</v>
      </c>
      <c r="Z202" s="167">
        <f t="shared" si="7"/>
        <v>14.64538356</v>
      </c>
      <c r="AA202" s="165">
        <f t="shared" si="8"/>
        <v>0.0001140035877</v>
      </c>
    </row>
    <row r="203">
      <c r="A203" s="168" t="s">
        <v>138</v>
      </c>
      <c r="B203" s="169">
        <v>288.81</v>
      </c>
      <c r="C203" s="170">
        <f t="shared" ref="C203:C204" si="69">2905/50</f>
        <v>58.1</v>
      </c>
      <c r="D203" s="171" t="s">
        <v>139</v>
      </c>
      <c r="E203" s="48">
        <v>1.0</v>
      </c>
      <c r="F203" s="45">
        <v>4061.0</v>
      </c>
      <c r="G203" s="172" t="s">
        <v>83</v>
      </c>
      <c r="H203" s="83">
        <v>58.0</v>
      </c>
      <c r="I203" s="48">
        <v>-0.087</v>
      </c>
      <c r="J203" s="48">
        <v>-0.04</v>
      </c>
      <c r="K203" s="48">
        <v>-0.1</v>
      </c>
      <c r="L203" s="48" t="s">
        <v>101</v>
      </c>
      <c r="M203" s="48" t="s">
        <v>101</v>
      </c>
      <c r="N203" s="48"/>
      <c r="O203" s="49">
        <v>0.01</v>
      </c>
      <c r="P203" s="48">
        <v>0.1</v>
      </c>
      <c r="Q203" s="48">
        <v>0.1</v>
      </c>
      <c r="R203" s="48">
        <v>0.253</v>
      </c>
      <c r="S203" s="48"/>
      <c r="T203" s="48"/>
      <c r="U203" s="173">
        <f t="shared" si="2"/>
        <v>-0.293258427</v>
      </c>
      <c r="V203" s="174">
        <f t="shared" si="3"/>
        <v>0.942741573</v>
      </c>
      <c r="W203" s="175" t="str">
        <f t="shared" si="4"/>
        <v>Normal</v>
      </c>
      <c r="X203" s="54">
        <f t="shared" si="5"/>
        <v>14.06114747</v>
      </c>
      <c r="Y203" s="176">
        <f t="shared" si="6"/>
        <v>14.91516644</v>
      </c>
      <c r="Z203" s="176">
        <f t="shared" si="7"/>
        <v>14.91284748</v>
      </c>
      <c r="AA203" s="174">
        <f t="shared" si="8"/>
        <v>0.0001554761141</v>
      </c>
      <c r="AB203" s="87"/>
    </row>
    <row r="204">
      <c r="A204" s="159" t="s">
        <v>138</v>
      </c>
      <c r="B204" s="160">
        <v>288.81</v>
      </c>
      <c r="C204" s="161">
        <f t="shared" si="69"/>
        <v>58.1</v>
      </c>
      <c r="D204" s="162" t="s">
        <v>141</v>
      </c>
      <c r="E204" s="36">
        <v>1.8</v>
      </c>
      <c r="F204" s="33">
        <v>7545.0</v>
      </c>
      <c r="G204" s="163" t="s">
        <v>87</v>
      </c>
      <c r="H204" s="77">
        <v>37.0</v>
      </c>
      <c r="I204" s="36">
        <v>-0.087</v>
      </c>
      <c r="J204" s="36">
        <v>-0.04</v>
      </c>
      <c r="K204" s="36" t="s">
        <v>101</v>
      </c>
      <c r="L204" s="36" t="s">
        <v>101</v>
      </c>
      <c r="M204" s="36" t="s">
        <v>101</v>
      </c>
      <c r="N204" s="36"/>
      <c r="O204" s="37">
        <v>0.01</v>
      </c>
      <c r="P204" s="36">
        <v>0.1</v>
      </c>
      <c r="Q204" s="36">
        <v>0.1</v>
      </c>
      <c r="R204" s="36">
        <v>0.253</v>
      </c>
      <c r="S204" s="36"/>
      <c r="T204" s="36"/>
      <c r="U204" s="164">
        <f t="shared" si="2"/>
        <v>-0.2121019108</v>
      </c>
      <c r="V204" s="165">
        <f t="shared" si="3"/>
        <v>1.123898089</v>
      </c>
      <c r="W204" s="166" t="str">
        <f t="shared" si="4"/>
        <v>Skill</v>
      </c>
      <c r="X204" s="42">
        <f t="shared" si="5"/>
        <v>14.51357871</v>
      </c>
      <c r="Y204" s="167">
        <f t="shared" si="6"/>
        <v>12.91360742</v>
      </c>
      <c r="Z204" s="167">
        <f t="shared" si="7"/>
        <v>12.91284748</v>
      </c>
      <c r="AA204" s="165">
        <f t="shared" si="8"/>
        <v>0.00005884806421</v>
      </c>
      <c r="AB204" s="81"/>
    </row>
    <row r="205">
      <c r="A205" s="168" t="s">
        <v>138</v>
      </c>
      <c r="B205" s="169">
        <v>288.81</v>
      </c>
      <c r="C205" s="170">
        <f t="shared" ref="C205:C206" si="70">2925/50</f>
        <v>58.5</v>
      </c>
      <c r="D205" s="171" t="s">
        <v>148</v>
      </c>
      <c r="E205" s="48">
        <v>2.142</v>
      </c>
      <c r="F205" s="45">
        <v>11553.0</v>
      </c>
      <c r="G205" s="172" t="s">
        <v>83</v>
      </c>
      <c r="H205" s="83">
        <v>58.0</v>
      </c>
      <c r="I205" s="48">
        <v>-0.087</v>
      </c>
      <c r="J205" s="48">
        <v>-0.04</v>
      </c>
      <c r="K205" s="48">
        <v>-0.1</v>
      </c>
      <c r="L205" s="48" t="s">
        <v>101</v>
      </c>
      <c r="M205" s="48" t="s">
        <v>101</v>
      </c>
      <c r="N205" s="48"/>
      <c r="O205" s="49">
        <v>0.01</v>
      </c>
      <c r="P205" s="48">
        <v>0.1</v>
      </c>
      <c r="Q205" s="48">
        <v>0.1</v>
      </c>
      <c r="R205" s="48">
        <v>0.253</v>
      </c>
      <c r="S205" s="48">
        <v>0.5</v>
      </c>
      <c r="T205" s="48"/>
      <c r="U205" s="173">
        <f t="shared" si="2"/>
        <v>-0.293258427</v>
      </c>
      <c r="V205" s="174">
        <f t="shared" si="3"/>
        <v>1.442741573</v>
      </c>
      <c r="W205" s="175" t="str">
        <f t="shared" si="4"/>
        <v>Skill</v>
      </c>
      <c r="X205" s="54">
        <f t="shared" si="5"/>
        <v>18.6751062</v>
      </c>
      <c r="Y205" s="176">
        <f t="shared" si="6"/>
        <v>12.94417972</v>
      </c>
      <c r="Z205" s="176">
        <f t="shared" si="7"/>
        <v>12.95505618</v>
      </c>
      <c r="AA205" s="174">
        <f t="shared" si="8"/>
        <v>-0.0008402590439</v>
      </c>
      <c r="AB205" s="87"/>
    </row>
    <row r="206">
      <c r="A206" s="159" t="s">
        <v>138</v>
      </c>
      <c r="B206" s="160">
        <v>288.81</v>
      </c>
      <c r="C206" s="161">
        <f t="shared" si="70"/>
        <v>58.5</v>
      </c>
      <c r="D206" s="162" t="s">
        <v>139</v>
      </c>
      <c r="E206" s="36">
        <v>1.0</v>
      </c>
      <c r="F206" s="33">
        <v>5200.0</v>
      </c>
      <c r="G206" s="163" t="s">
        <v>83</v>
      </c>
      <c r="H206" s="77">
        <v>58.0</v>
      </c>
      <c r="I206" s="36">
        <v>-0.087</v>
      </c>
      <c r="J206" s="36">
        <v>-0.04</v>
      </c>
      <c r="K206" s="36">
        <v>-0.1</v>
      </c>
      <c r="L206" s="36" t="s">
        <v>101</v>
      </c>
      <c r="M206" s="36" t="s">
        <v>101</v>
      </c>
      <c r="N206" s="36">
        <v>0.261</v>
      </c>
      <c r="O206" s="37">
        <v>0.01</v>
      </c>
      <c r="P206" s="36">
        <v>0.1</v>
      </c>
      <c r="Q206" s="36">
        <v>0.1</v>
      </c>
      <c r="R206" s="36">
        <v>0.253</v>
      </c>
      <c r="S206" s="36"/>
      <c r="T206" s="36"/>
      <c r="U206" s="164">
        <f t="shared" si="2"/>
        <v>-0.293258427</v>
      </c>
      <c r="V206" s="165">
        <f t="shared" si="3"/>
        <v>1.203741573</v>
      </c>
      <c r="W206" s="166" t="str">
        <f t="shared" si="4"/>
        <v>Normal</v>
      </c>
      <c r="X206" s="42">
        <f t="shared" si="5"/>
        <v>18.00491673</v>
      </c>
      <c r="Y206" s="167">
        <f t="shared" si="6"/>
        <v>14.95746025</v>
      </c>
      <c r="Z206" s="167">
        <f t="shared" si="7"/>
        <v>14.95505618</v>
      </c>
      <c r="AA206" s="165">
        <f t="shared" si="8"/>
        <v>0.0001607270199</v>
      </c>
      <c r="AB206" s="81"/>
    </row>
    <row r="207">
      <c r="A207" s="168" t="s">
        <v>138</v>
      </c>
      <c r="B207" s="169">
        <v>288.81</v>
      </c>
      <c r="C207" s="170">
        <f t="shared" ref="C207:C209" si="71">2949/50</f>
        <v>58.98</v>
      </c>
      <c r="D207" s="171" t="s">
        <v>139</v>
      </c>
      <c r="E207" s="48">
        <v>1.0</v>
      </c>
      <c r="F207" s="45">
        <v>6795.0</v>
      </c>
      <c r="G207" s="172" t="s">
        <v>86</v>
      </c>
      <c r="H207" s="83">
        <v>51.0</v>
      </c>
      <c r="I207" s="48">
        <v>-0.087</v>
      </c>
      <c r="J207" s="48">
        <v>-0.04</v>
      </c>
      <c r="K207" s="48" t="s">
        <v>101</v>
      </c>
      <c r="L207" s="48" t="s">
        <v>101</v>
      </c>
      <c r="M207" s="48" t="s">
        <v>101</v>
      </c>
      <c r="N207" s="48"/>
      <c r="O207" s="49">
        <v>0.01</v>
      </c>
      <c r="P207" s="48">
        <v>0.1</v>
      </c>
      <c r="Q207" s="48">
        <v>0.1</v>
      </c>
      <c r="R207" s="48">
        <v>0.253</v>
      </c>
      <c r="S207" s="48">
        <v>0.5</v>
      </c>
      <c r="T207" s="48"/>
      <c r="U207" s="173">
        <f t="shared" si="2"/>
        <v>-0.2684210526</v>
      </c>
      <c r="V207" s="174">
        <f t="shared" si="3"/>
        <v>1.567578947</v>
      </c>
      <c r="W207" s="175" t="str">
        <f t="shared" si="4"/>
        <v>Normal</v>
      </c>
      <c r="X207" s="54">
        <f t="shared" si="5"/>
        <v>23.52757868</v>
      </c>
      <c r="Y207" s="176">
        <f t="shared" si="6"/>
        <v>15.00886365</v>
      </c>
      <c r="Z207" s="176">
        <f t="shared" si="7"/>
        <v>15.00537394</v>
      </c>
      <c r="AA207" s="174">
        <f t="shared" si="8"/>
        <v>0.0002325103198</v>
      </c>
      <c r="AB207" s="87"/>
    </row>
    <row r="208">
      <c r="A208" s="159" t="s">
        <v>138</v>
      </c>
      <c r="B208" s="160">
        <v>288.81</v>
      </c>
      <c r="C208" s="161">
        <f t="shared" si="71"/>
        <v>58.98</v>
      </c>
      <c r="D208" s="162" t="s">
        <v>143</v>
      </c>
      <c r="E208" s="36">
        <v>0.266</v>
      </c>
      <c r="F208" s="33">
        <v>1042.0</v>
      </c>
      <c r="G208" s="163" t="s">
        <v>86</v>
      </c>
      <c r="H208" s="77">
        <v>51.0</v>
      </c>
      <c r="I208" s="36">
        <v>-0.087</v>
      </c>
      <c r="J208" s="36">
        <v>-0.04</v>
      </c>
      <c r="K208" s="36" t="s">
        <v>101</v>
      </c>
      <c r="L208" s="36" t="s">
        <v>101</v>
      </c>
      <c r="M208" s="36" t="s">
        <v>101</v>
      </c>
      <c r="N208" s="36"/>
      <c r="O208" s="37">
        <v>0.01</v>
      </c>
      <c r="P208" s="36">
        <v>0.1</v>
      </c>
      <c r="Q208" s="36">
        <v>0.1</v>
      </c>
      <c r="R208" s="36">
        <v>0.253</v>
      </c>
      <c r="S208" s="36"/>
      <c r="T208" s="36"/>
      <c r="U208" s="164">
        <f t="shared" si="2"/>
        <v>-0.2684210526</v>
      </c>
      <c r="V208" s="165">
        <f t="shared" si="3"/>
        <v>1.067578947</v>
      </c>
      <c r="W208" s="166" t="str">
        <f t="shared" si="4"/>
        <v>Skill</v>
      </c>
      <c r="X208" s="42">
        <f t="shared" si="5"/>
        <v>13.56356509</v>
      </c>
      <c r="Y208" s="167">
        <f t="shared" si="6"/>
        <v>12.70497617</v>
      </c>
      <c r="Z208" s="167">
        <f t="shared" si="7"/>
        <v>13.00537394</v>
      </c>
      <c r="AA208" s="165">
        <f t="shared" si="8"/>
        <v>-0.02364410293</v>
      </c>
      <c r="AB208" s="81"/>
    </row>
    <row r="209">
      <c r="A209" s="168" t="s">
        <v>138</v>
      </c>
      <c r="B209" s="169">
        <v>288.81</v>
      </c>
      <c r="C209" s="170">
        <f t="shared" si="71"/>
        <v>58.98</v>
      </c>
      <c r="D209" s="171" t="s">
        <v>141</v>
      </c>
      <c r="E209" s="48">
        <v>1.8</v>
      </c>
      <c r="F209" s="45">
        <v>6375.0</v>
      </c>
      <c r="G209" s="172" t="s">
        <v>83</v>
      </c>
      <c r="H209" s="83">
        <v>58.0</v>
      </c>
      <c r="I209" s="48">
        <v>-0.087</v>
      </c>
      <c r="J209" s="48">
        <v>-0.04</v>
      </c>
      <c r="K209" s="48">
        <v>-0.1</v>
      </c>
      <c r="L209" s="48" t="s">
        <v>101</v>
      </c>
      <c r="M209" s="48" t="s">
        <v>101</v>
      </c>
      <c r="N209" s="48"/>
      <c r="O209" s="49">
        <v>0.01</v>
      </c>
      <c r="P209" s="48">
        <v>0.1</v>
      </c>
      <c r="Q209" s="48">
        <v>0.1</v>
      </c>
      <c r="R209" s="48">
        <v>0.253</v>
      </c>
      <c r="S209" s="48"/>
      <c r="T209" s="48"/>
      <c r="U209" s="173">
        <f t="shared" si="2"/>
        <v>-0.293258427</v>
      </c>
      <c r="V209" s="174">
        <f t="shared" si="3"/>
        <v>0.942741573</v>
      </c>
      <c r="W209" s="175" t="str">
        <f t="shared" si="4"/>
        <v>Skill</v>
      </c>
      <c r="X209" s="54">
        <f t="shared" si="5"/>
        <v>12.26296412</v>
      </c>
      <c r="Y209" s="176">
        <f t="shared" si="6"/>
        <v>13.00776848</v>
      </c>
      <c r="Z209" s="176">
        <f t="shared" si="7"/>
        <v>13.00537394</v>
      </c>
      <c r="AA209" s="174">
        <f t="shared" si="8"/>
        <v>0.0001840855442</v>
      </c>
      <c r="AB209" s="87"/>
    </row>
    <row r="210">
      <c r="A210" s="159" t="s">
        <v>138</v>
      </c>
      <c r="B210" s="160">
        <v>288.81</v>
      </c>
      <c r="C210" s="161">
        <f t="shared" ref="C210:C212" si="72">3009/50</f>
        <v>60.18</v>
      </c>
      <c r="D210" s="162" t="s">
        <v>147</v>
      </c>
      <c r="E210" s="36">
        <v>2.6</v>
      </c>
      <c r="F210" s="33">
        <v>18584.0</v>
      </c>
      <c r="G210" s="163" t="s">
        <v>87</v>
      </c>
      <c r="H210" s="77">
        <v>37.0</v>
      </c>
      <c r="I210" s="36">
        <v>-0.087</v>
      </c>
      <c r="J210" s="36">
        <v>-0.04</v>
      </c>
      <c r="K210" s="36" t="s">
        <v>101</v>
      </c>
      <c r="L210" s="36" t="s">
        <v>101</v>
      </c>
      <c r="M210" s="36" t="s">
        <v>101</v>
      </c>
      <c r="N210" s="36">
        <v>0.261</v>
      </c>
      <c r="O210" s="37">
        <v>0.01</v>
      </c>
      <c r="P210" s="36">
        <v>0.1</v>
      </c>
      <c r="Q210" s="36">
        <v>0.1</v>
      </c>
      <c r="R210" s="36">
        <v>0.253</v>
      </c>
      <c r="S210" s="36">
        <v>0.5</v>
      </c>
      <c r="T210" s="36"/>
      <c r="U210" s="164">
        <f t="shared" si="2"/>
        <v>-0.2121019108</v>
      </c>
      <c r="V210" s="165">
        <f t="shared" si="3"/>
        <v>1.884898089</v>
      </c>
      <c r="W210" s="166" t="str">
        <f t="shared" si="4"/>
        <v>Skill</v>
      </c>
      <c r="X210" s="42">
        <f t="shared" si="5"/>
        <v>24.74877015</v>
      </c>
      <c r="Y210" s="167">
        <f t="shared" si="6"/>
        <v>13.1300309</v>
      </c>
      <c r="Z210" s="167">
        <f t="shared" si="7"/>
        <v>13.12960497</v>
      </c>
      <c r="AA210" s="165">
        <f t="shared" si="8"/>
        <v>0.00003243921274</v>
      </c>
      <c r="AB210" s="81"/>
    </row>
    <row r="211">
      <c r="A211" s="168" t="s">
        <v>138</v>
      </c>
      <c r="B211" s="169">
        <v>288.81</v>
      </c>
      <c r="C211" s="170">
        <f t="shared" si="72"/>
        <v>60.18</v>
      </c>
      <c r="D211" s="171" t="s">
        <v>139</v>
      </c>
      <c r="E211" s="48">
        <v>1.0</v>
      </c>
      <c r="F211" s="45">
        <v>4911.0</v>
      </c>
      <c r="G211" s="172" t="s">
        <v>87</v>
      </c>
      <c r="H211" s="83">
        <v>37.0</v>
      </c>
      <c r="I211" s="48">
        <v>-0.087</v>
      </c>
      <c r="J211" s="48">
        <v>-0.04</v>
      </c>
      <c r="K211" s="48" t="s">
        <v>101</v>
      </c>
      <c r="L211" s="48" t="s">
        <v>101</v>
      </c>
      <c r="M211" s="48" t="s">
        <v>101</v>
      </c>
      <c r="N211" s="48" t="s">
        <v>101</v>
      </c>
      <c r="O211" s="49">
        <v>0.01</v>
      </c>
      <c r="P211" s="48">
        <v>0.1</v>
      </c>
      <c r="Q211" s="48">
        <v>0.1</v>
      </c>
      <c r="R211" s="48">
        <v>0.253</v>
      </c>
      <c r="S211" s="48"/>
      <c r="T211" s="48"/>
      <c r="U211" s="173">
        <f t="shared" si="2"/>
        <v>-0.2121019108</v>
      </c>
      <c r="V211" s="174">
        <f t="shared" si="3"/>
        <v>1.123898089</v>
      </c>
      <c r="W211" s="175" t="str">
        <f t="shared" si="4"/>
        <v>Normal</v>
      </c>
      <c r="X211" s="54">
        <f t="shared" si="5"/>
        <v>17.00425886</v>
      </c>
      <c r="Y211" s="176">
        <f t="shared" si="6"/>
        <v>15.12971596</v>
      </c>
      <c r="Z211" s="176">
        <f t="shared" si="7"/>
        <v>15.12960497</v>
      </c>
      <c r="AA211" s="174">
        <f t="shared" si="8"/>
        <v>0.000007335709368</v>
      </c>
      <c r="AB211" s="87"/>
    </row>
    <row r="212">
      <c r="A212" s="159" t="s">
        <v>138</v>
      </c>
      <c r="B212" s="160">
        <v>288.81</v>
      </c>
      <c r="C212" s="161">
        <f t="shared" si="72"/>
        <v>60.18</v>
      </c>
      <c r="D212" s="162" t="s">
        <v>143</v>
      </c>
      <c r="E212" s="36">
        <v>0.266</v>
      </c>
      <c r="F212" s="33">
        <v>1601.0</v>
      </c>
      <c r="G212" s="163" t="s">
        <v>87</v>
      </c>
      <c r="H212" s="77">
        <v>37.0</v>
      </c>
      <c r="I212" s="36">
        <v>-0.087</v>
      </c>
      <c r="J212" s="36">
        <v>-0.04</v>
      </c>
      <c r="K212" s="36" t="s">
        <v>101</v>
      </c>
      <c r="L212" s="36" t="s">
        <v>101</v>
      </c>
      <c r="M212" s="36" t="s">
        <v>101</v>
      </c>
      <c r="N212" s="36" t="s">
        <v>101</v>
      </c>
      <c r="O212" s="37">
        <v>0.01</v>
      </c>
      <c r="P212" s="36">
        <v>0.1</v>
      </c>
      <c r="Q212" s="36">
        <v>0.1</v>
      </c>
      <c r="R212" s="36">
        <v>0.253</v>
      </c>
      <c r="S212" s="36">
        <v>0.5</v>
      </c>
      <c r="T212" s="36"/>
      <c r="U212" s="164">
        <f t="shared" si="2"/>
        <v>-0.2121019108</v>
      </c>
      <c r="V212" s="165">
        <f t="shared" si="3"/>
        <v>1.623898089</v>
      </c>
      <c r="W212" s="166" t="str">
        <f t="shared" si="4"/>
        <v>Skill</v>
      </c>
      <c r="X212" s="42">
        <f t="shared" si="5"/>
        <v>20.8399882</v>
      </c>
      <c r="Y212" s="167">
        <f t="shared" si="6"/>
        <v>12.83331038</v>
      </c>
      <c r="Z212" s="167">
        <f t="shared" si="7"/>
        <v>13.12960497</v>
      </c>
      <c r="AA212" s="165">
        <f t="shared" si="8"/>
        <v>-0.02308793163</v>
      </c>
      <c r="AB212" s="81"/>
    </row>
    <row r="213">
      <c r="A213" s="168" t="s">
        <v>169</v>
      </c>
      <c r="B213" s="169">
        <v>274.0</v>
      </c>
      <c r="C213" s="170">
        <f>(357+5095)/100+300/50</f>
        <v>60.52</v>
      </c>
      <c r="D213" s="171" t="s">
        <v>139</v>
      </c>
      <c r="E213" s="48">
        <v>1.0</v>
      </c>
      <c r="F213" s="45">
        <v>3076.0</v>
      </c>
      <c r="G213" s="172" t="s">
        <v>175</v>
      </c>
      <c r="H213" s="83">
        <f>133.2*0.5</f>
        <v>66.6</v>
      </c>
      <c r="I213" s="48">
        <v>-0.102</v>
      </c>
      <c r="J213" s="48">
        <v>-0.15</v>
      </c>
      <c r="K213" s="48" t="s">
        <v>101</v>
      </c>
      <c r="L213" s="48" t="s">
        <v>101</v>
      </c>
      <c r="M213" s="48" t="s">
        <v>101</v>
      </c>
      <c r="N213" s="48" t="s">
        <v>101</v>
      </c>
      <c r="O213" s="49">
        <v>0.01</v>
      </c>
      <c r="P213" s="48">
        <v>0.04</v>
      </c>
      <c r="Q213" s="48">
        <v>0.1</v>
      </c>
      <c r="R213" s="185"/>
      <c r="S213" s="48">
        <v>0.16</v>
      </c>
      <c r="T213" s="48"/>
      <c r="U213" s="173">
        <f t="shared" si="2"/>
        <v>-0.321221865</v>
      </c>
      <c r="V213" s="174">
        <f t="shared" si="3"/>
        <v>0.736778135</v>
      </c>
      <c r="W213" s="175" t="str">
        <f t="shared" si="4"/>
        <v>Normal</v>
      </c>
      <c r="X213" s="54">
        <f t="shared" si="5"/>
        <v>11.22627737</v>
      </c>
      <c r="Y213" s="176">
        <f t="shared" si="6"/>
        <v>15.23698497</v>
      </c>
      <c r="Z213" s="176">
        <f t="shared" si="7"/>
        <v>15.16440378</v>
      </c>
      <c r="AA213" s="174">
        <f t="shared" si="8"/>
        <v>0.004763488001</v>
      </c>
      <c r="AB213" s="87"/>
    </row>
    <row r="214">
      <c r="A214" s="159" t="s">
        <v>138</v>
      </c>
      <c r="B214" s="160">
        <v>288.81</v>
      </c>
      <c r="C214" s="161">
        <f t="shared" ref="C214:C218" si="73">3103/50</f>
        <v>62.06</v>
      </c>
      <c r="D214" s="162" t="s">
        <v>148</v>
      </c>
      <c r="E214" s="36">
        <v>2.142</v>
      </c>
      <c r="F214" s="33">
        <v>9253.0</v>
      </c>
      <c r="G214" s="163" t="s">
        <v>87</v>
      </c>
      <c r="H214" s="77">
        <v>37.0</v>
      </c>
      <c r="I214" s="36">
        <v>-0.087</v>
      </c>
      <c r="J214" s="36">
        <v>-0.04</v>
      </c>
      <c r="K214" s="36" t="s">
        <v>101</v>
      </c>
      <c r="L214" s="36" t="s">
        <v>101</v>
      </c>
      <c r="M214" s="36" t="s">
        <v>101</v>
      </c>
      <c r="N214" s="36" t="s">
        <v>101</v>
      </c>
      <c r="O214" s="37">
        <v>0.01</v>
      </c>
      <c r="P214" s="36">
        <v>0.1</v>
      </c>
      <c r="Q214" s="36">
        <v>0.1</v>
      </c>
      <c r="R214" s="36">
        <v>0.253</v>
      </c>
      <c r="S214" s="36"/>
      <c r="T214" s="36"/>
      <c r="U214" s="164">
        <f t="shared" si="2"/>
        <v>-0.2121019108</v>
      </c>
      <c r="V214" s="165">
        <f t="shared" si="3"/>
        <v>1.123898089</v>
      </c>
      <c r="W214" s="166" t="str">
        <f t="shared" si="4"/>
        <v>Skill</v>
      </c>
      <c r="X214" s="42">
        <f t="shared" si="5"/>
        <v>14.95721957</v>
      </c>
      <c r="Y214" s="167">
        <f t="shared" si="6"/>
        <v>13.30834149</v>
      </c>
      <c r="Z214" s="167">
        <f t="shared" si="7"/>
        <v>13.31985992</v>
      </c>
      <c r="AA214" s="165">
        <f t="shared" si="8"/>
        <v>-0.0008655041242</v>
      </c>
      <c r="AB214" s="81"/>
    </row>
    <row r="215">
      <c r="A215" s="168" t="s">
        <v>138</v>
      </c>
      <c r="B215" s="169">
        <v>288.81</v>
      </c>
      <c r="C215" s="170">
        <f t="shared" si="73"/>
        <v>62.06</v>
      </c>
      <c r="D215" s="171" t="s">
        <v>139</v>
      </c>
      <c r="E215" s="48">
        <v>1.0</v>
      </c>
      <c r="F215" s="45">
        <v>6384.0</v>
      </c>
      <c r="G215" s="172" t="s">
        <v>83</v>
      </c>
      <c r="H215" s="83">
        <v>58.0</v>
      </c>
      <c r="I215" s="48">
        <v>-0.087</v>
      </c>
      <c r="J215" s="48">
        <v>-0.04</v>
      </c>
      <c r="K215" s="48">
        <v>-0.1</v>
      </c>
      <c r="L215" s="48" t="s">
        <v>101</v>
      </c>
      <c r="M215" s="48" t="s">
        <v>101</v>
      </c>
      <c r="N215" s="48" t="s">
        <v>101</v>
      </c>
      <c r="O215" s="49">
        <v>0.01</v>
      </c>
      <c r="P215" s="48">
        <v>0.1</v>
      </c>
      <c r="Q215" s="48">
        <v>0.1</v>
      </c>
      <c r="R215" s="48">
        <v>0.253</v>
      </c>
      <c r="S215" s="48">
        <v>0.5</v>
      </c>
      <c r="T215" s="48"/>
      <c r="U215" s="173">
        <f t="shared" si="2"/>
        <v>-0.293258427</v>
      </c>
      <c r="V215" s="174">
        <f t="shared" si="3"/>
        <v>1.442741573</v>
      </c>
      <c r="W215" s="175" t="str">
        <f t="shared" si="4"/>
        <v>Normal</v>
      </c>
      <c r="X215" s="54">
        <f t="shared" si="5"/>
        <v>22.10449777</v>
      </c>
      <c r="Y215" s="176">
        <f t="shared" si="6"/>
        <v>15.32117614</v>
      </c>
      <c r="Z215" s="176">
        <f t="shared" si="7"/>
        <v>15.31985992</v>
      </c>
      <c r="AA215" s="174">
        <f t="shared" si="8"/>
        <v>0.00008590892982</v>
      </c>
      <c r="AB215" s="87"/>
    </row>
    <row r="216">
      <c r="A216" s="159" t="s">
        <v>138</v>
      </c>
      <c r="B216" s="160">
        <v>288.81</v>
      </c>
      <c r="C216" s="161">
        <f t="shared" si="73"/>
        <v>62.06</v>
      </c>
      <c r="D216" s="162" t="s">
        <v>145</v>
      </c>
      <c r="E216" s="36">
        <v>1.714</v>
      </c>
      <c r="F216" s="33">
        <v>7393.0</v>
      </c>
      <c r="G216" s="163" t="s">
        <v>87</v>
      </c>
      <c r="H216" s="77">
        <v>37.0</v>
      </c>
      <c r="I216" s="36">
        <v>-0.087</v>
      </c>
      <c r="J216" s="36">
        <v>-0.04</v>
      </c>
      <c r="K216" s="36" t="s">
        <v>101</v>
      </c>
      <c r="L216" s="36" t="s">
        <v>101</v>
      </c>
      <c r="M216" s="36" t="s">
        <v>101</v>
      </c>
      <c r="N216" s="36" t="s">
        <v>101</v>
      </c>
      <c r="O216" s="37">
        <v>0.01</v>
      </c>
      <c r="P216" s="36">
        <v>0.1</v>
      </c>
      <c r="Q216" s="36">
        <v>0.1</v>
      </c>
      <c r="R216" s="36">
        <v>0.253</v>
      </c>
      <c r="S216" s="36"/>
      <c r="T216" s="36"/>
      <c r="U216" s="164">
        <f t="shared" si="2"/>
        <v>-0.2121019108</v>
      </c>
      <c r="V216" s="165">
        <f t="shared" si="3"/>
        <v>1.123898089</v>
      </c>
      <c r="W216" s="166" t="str">
        <f t="shared" si="4"/>
        <v>Skill</v>
      </c>
      <c r="X216" s="42">
        <f t="shared" si="5"/>
        <v>14.93473985</v>
      </c>
      <c r="Y216" s="167">
        <f t="shared" si="6"/>
        <v>13.28833993</v>
      </c>
      <c r="Z216" s="167">
        <f t="shared" si="7"/>
        <v>13.31985992</v>
      </c>
      <c r="AA216" s="165">
        <f t="shared" si="8"/>
        <v>-0.002372003393</v>
      </c>
      <c r="AB216" s="81"/>
    </row>
    <row r="217">
      <c r="A217" s="168" t="s">
        <v>138</v>
      </c>
      <c r="B217" s="169">
        <v>288.81</v>
      </c>
      <c r="C217" s="170">
        <f t="shared" si="73"/>
        <v>62.06</v>
      </c>
      <c r="D217" s="171" t="s">
        <v>151</v>
      </c>
      <c r="E217" s="48">
        <v>2.571</v>
      </c>
      <c r="F217" s="45">
        <v>11112.0</v>
      </c>
      <c r="G217" s="172" t="s">
        <v>87</v>
      </c>
      <c r="H217" s="83">
        <v>37.0</v>
      </c>
      <c r="I217" s="48">
        <v>-0.087</v>
      </c>
      <c r="J217" s="48">
        <v>-0.04</v>
      </c>
      <c r="K217" s="48" t="s">
        <v>101</v>
      </c>
      <c r="L217" s="48" t="s">
        <v>101</v>
      </c>
      <c r="M217" s="48" t="s">
        <v>101</v>
      </c>
      <c r="N217" s="48" t="s">
        <v>101</v>
      </c>
      <c r="O217" s="49">
        <v>0.01</v>
      </c>
      <c r="P217" s="48">
        <v>0.1</v>
      </c>
      <c r="Q217" s="48">
        <v>0.1</v>
      </c>
      <c r="R217" s="48">
        <v>0.253</v>
      </c>
      <c r="S217" s="48"/>
      <c r="T217" s="48"/>
      <c r="U217" s="173">
        <f t="shared" si="2"/>
        <v>-0.2121019108</v>
      </c>
      <c r="V217" s="174">
        <f t="shared" si="3"/>
        <v>1.123898089</v>
      </c>
      <c r="W217" s="175" t="str">
        <f t="shared" si="4"/>
        <v>Skill</v>
      </c>
      <c r="X217" s="54">
        <f t="shared" si="5"/>
        <v>14.96504164</v>
      </c>
      <c r="Y217" s="176">
        <f t="shared" si="6"/>
        <v>13.31530126</v>
      </c>
      <c r="Z217" s="176">
        <f t="shared" si="7"/>
        <v>13.31985992</v>
      </c>
      <c r="AA217" s="174">
        <f t="shared" si="8"/>
        <v>-0.0003423624571</v>
      </c>
      <c r="AB217" s="87"/>
    </row>
    <row r="218">
      <c r="A218" s="159" t="s">
        <v>138</v>
      </c>
      <c r="B218" s="160">
        <v>288.81</v>
      </c>
      <c r="C218" s="161">
        <f t="shared" si="73"/>
        <v>62.06</v>
      </c>
      <c r="D218" s="162" t="s">
        <v>143</v>
      </c>
      <c r="E218" s="36">
        <v>0.266</v>
      </c>
      <c r="F218" s="33">
        <v>943.0</v>
      </c>
      <c r="G218" s="163" t="s">
        <v>83</v>
      </c>
      <c r="H218" s="77">
        <v>58.0</v>
      </c>
      <c r="I218" s="36">
        <v>-0.087</v>
      </c>
      <c r="J218" s="36">
        <v>-0.04</v>
      </c>
      <c r="K218" s="36">
        <v>-0.1</v>
      </c>
      <c r="L218" s="36" t="s">
        <v>101</v>
      </c>
      <c r="M218" s="36" t="s">
        <v>101</v>
      </c>
      <c r="N218" s="36" t="s">
        <v>101</v>
      </c>
      <c r="O218" s="37">
        <v>0.01</v>
      </c>
      <c r="P218" s="36">
        <v>0.1</v>
      </c>
      <c r="Q218" s="36">
        <v>0.1</v>
      </c>
      <c r="R218" s="36">
        <v>0.253</v>
      </c>
      <c r="S218" s="36"/>
      <c r="T218" s="36"/>
      <c r="U218" s="164">
        <f t="shared" si="2"/>
        <v>-0.293258427</v>
      </c>
      <c r="V218" s="165">
        <f t="shared" si="3"/>
        <v>0.942741573</v>
      </c>
      <c r="W218" s="166" t="str">
        <f t="shared" si="4"/>
        <v>Skill</v>
      </c>
      <c r="X218" s="42">
        <f t="shared" si="5"/>
        <v>12.27489624</v>
      </c>
      <c r="Y218" s="167">
        <f t="shared" si="6"/>
        <v>13.02042531</v>
      </c>
      <c r="Z218" s="167">
        <f t="shared" si="7"/>
        <v>13.31985992</v>
      </c>
      <c r="AA218" s="165">
        <f t="shared" si="8"/>
        <v>-0.02299729852</v>
      </c>
      <c r="AB218" s="81"/>
    </row>
    <row r="219">
      <c r="A219" s="168" t="s">
        <v>173</v>
      </c>
      <c r="B219" s="169">
        <v>234.0</v>
      </c>
      <c r="C219" s="170">
        <f>3107/50</f>
        <v>62.14</v>
      </c>
      <c r="D219" s="171" t="s">
        <v>139</v>
      </c>
      <c r="E219" s="48">
        <v>1.0</v>
      </c>
      <c r="F219" s="45">
        <v>360.0</v>
      </c>
      <c r="G219" s="172" t="s">
        <v>81</v>
      </c>
      <c r="H219" s="83">
        <v>71.0</v>
      </c>
      <c r="I219" s="48">
        <v>-0.148</v>
      </c>
      <c r="J219" s="48">
        <v>-0.15</v>
      </c>
      <c r="K219" s="48">
        <v>-0.08</v>
      </c>
      <c r="L219" s="48">
        <v>-0.04</v>
      </c>
      <c r="M219" s="48">
        <v>-0.14</v>
      </c>
      <c r="N219" s="48">
        <v>-0.298</v>
      </c>
      <c r="O219" s="49"/>
      <c r="P219" s="48"/>
      <c r="Q219" s="48"/>
      <c r="R219" s="48"/>
      <c r="S219" s="48"/>
      <c r="T219" s="48">
        <v>-0.25</v>
      </c>
      <c r="U219" s="173">
        <f t="shared" si="2"/>
        <v>-0.3345549738</v>
      </c>
      <c r="V219" s="174">
        <f t="shared" si="3"/>
        <v>0.1</v>
      </c>
      <c r="W219" s="175" t="str">
        <f t="shared" si="4"/>
        <v>Normal</v>
      </c>
      <c r="X219" s="54">
        <f t="shared" si="5"/>
        <v>1.538461538</v>
      </c>
      <c r="Y219" s="176">
        <f t="shared" si="6"/>
        <v>15.38461538</v>
      </c>
      <c r="Z219" s="176">
        <f t="shared" si="7"/>
        <v>15.32784016</v>
      </c>
      <c r="AA219" s="174">
        <f t="shared" si="8"/>
        <v>0.003690389383</v>
      </c>
      <c r="AB219" s="87"/>
    </row>
    <row r="220">
      <c r="A220" s="159" t="s">
        <v>138</v>
      </c>
      <c r="B220" s="160">
        <v>288.81</v>
      </c>
      <c r="C220" s="161">
        <f t="shared" ref="C220:C221" si="74">3210/50</f>
        <v>64.2</v>
      </c>
      <c r="D220" s="162" t="s">
        <v>139</v>
      </c>
      <c r="E220" s="36">
        <v>1.0</v>
      </c>
      <c r="F220" s="33">
        <v>4229.0</v>
      </c>
      <c r="G220" s="163" t="s">
        <v>83</v>
      </c>
      <c r="H220" s="77">
        <v>58.0</v>
      </c>
      <c r="I220" s="36">
        <v>-0.087</v>
      </c>
      <c r="J220" s="36">
        <v>-0.04</v>
      </c>
      <c r="K220" s="36">
        <v>-0.1</v>
      </c>
      <c r="L220" s="36" t="s">
        <v>101</v>
      </c>
      <c r="M220" s="36" t="s">
        <v>101</v>
      </c>
      <c r="N220" s="36" t="s">
        <v>101</v>
      </c>
      <c r="O220" s="37">
        <v>0.01</v>
      </c>
      <c r="P220" s="36">
        <v>0.1</v>
      </c>
      <c r="Q220" s="36">
        <v>0.1</v>
      </c>
      <c r="R220" s="36">
        <v>0.253</v>
      </c>
      <c r="S220" s="36"/>
      <c r="T220" s="36"/>
      <c r="U220" s="164">
        <f t="shared" si="2"/>
        <v>-0.293258427</v>
      </c>
      <c r="V220" s="165">
        <f t="shared" si="3"/>
        <v>0.942741573</v>
      </c>
      <c r="W220" s="166" t="str">
        <f t="shared" si="4"/>
        <v>Normal</v>
      </c>
      <c r="X220" s="42">
        <f t="shared" si="5"/>
        <v>14.64284478</v>
      </c>
      <c r="Y220" s="167">
        <f t="shared" si="6"/>
        <v>15.53219376</v>
      </c>
      <c r="Z220" s="167">
        <f t="shared" si="7"/>
        <v>15.53017241</v>
      </c>
      <c r="AA220" s="165">
        <f t="shared" si="8"/>
        <v>0.0001301390548</v>
      </c>
      <c r="AB220" s="81"/>
    </row>
    <row r="221">
      <c r="A221" s="168" t="s">
        <v>138</v>
      </c>
      <c r="B221" s="169">
        <v>288.81</v>
      </c>
      <c r="C221" s="170">
        <f t="shared" si="74"/>
        <v>64.2</v>
      </c>
      <c r="D221" s="171" t="s">
        <v>143</v>
      </c>
      <c r="E221" s="48">
        <v>0.266</v>
      </c>
      <c r="F221" s="45">
        <v>958.0</v>
      </c>
      <c r="G221" s="172" t="s">
        <v>83</v>
      </c>
      <c r="H221" s="83">
        <v>58.0</v>
      </c>
      <c r="I221" s="48">
        <v>-0.087</v>
      </c>
      <c r="J221" s="48">
        <v>-0.04</v>
      </c>
      <c r="K221" s="48">
        <v>-0.1</v>
      </c>
      <c r="L221" s="48" t="s">
        <v>101</v>
      </c>
      <c r="M221" s="48" t="s">
        <v>101</v>
      </c>
      <c r="N221" s="48" t="s">
        <v>101</v>
      </c>
      <c r="O221" s="49">
        <v>0.01</v>
      </c>
      <c r="P221" s="48">
        <v>0.1</v>
      </c>
      <c r="Q221" s="48">
        <v>0.1</v>
      </c>
      <c r="R221" s="48">
        <v>0.253</v>
      </c>
      <c r="S221" s="48"/>
      <c r="T221" s="48"/>
      <c r="U221" s="173">
        <f t="shared" si="2"/>
        <v>-0.293258427</v>
      </c>
      <c r="V221" s="174">
        <f t="shared" si="3"/>
        <v>0.942741573</v>
      </c>
      <c r="W221" s="175" t="str">
        <f t="shared" si="4"/>
        <v>Skill</v>
      </c>
      <c r="X221" s="54">
        <f t="shared" si="5"/>
        <v>12.47014909</v>
      </c>
      <c r="Y221" s="176">
        <f t="shared" si="6"/>
        <v>13.22753706</v>
      </c>
      <c r="Z221" s="176">
        <f t="shared" si="7"/>
        <v>13.53017241</v>
      </c>
      <c r="AA221" s="174">
        <f t="shared" si="8"/>
        <v>-0.02287919176</v>
      </c>
      <c r="AB221" s="87"/>
    </row>
    <row r="222">
      <c r="A222" s="159" t="s">
        <v>169</v>
      </c>
      <c r="B222" s="160">
        <v>274.0</v>
      </c>
      <c r="C222" s="161">
        <f>(412+5600)/100+300/50</f>
        <v>66.12</v>
      </c>
      <c r="D222" s="162" t="s">
        <v>139</v>
      </c>
      <c r="E222" s="36">
        <v>1.0</v>
      </c>
      <c r="F222" s="33">
        <v>2657.0</v>
      </c>
      <c r="G222" s="163" t="s">
        <v>175</v>
      </c>
      <c r="H222" s="77">
        <f>233.2*0.5</f>
        <v>116.6</v>
      </c>
      <c r="I222" s="36">
        <v>-0.102</v>
      </c>
      <c r="J222" s="36">
        <v>-0.15</v>
      </c>
      <c r="K222" s="36" t="s">
        <v>101</v>
      </c>
      <c r="L222" s="36" t="s">
        <v>101</v>
      </c>
      <c r="M222" s="36" t="s">
        <v>101</v>
      </c>
      <c r="N222" s="36" t="s">
        <v>101</v>
      </c>
      <c r="O222" s="37">
        <v>0.01</v>
      </c>
      <c r="P222" s="36">
        <v>0.04</v>
      </c>
      <c r="Q222" s="36">
        <v>0.1</v>
      </c>
      <c r="R222" s="186"/>
      <c r="S222" s="36">
        <v>0.16</v>
      </c>
      <c r="T222" s="36"/>
      <c r="U222" s="164">
        <f t="shared" si="2"/>
        <v>-0.4435333897</v>
      </c>
      <c r="V222" s="165">
        <f t="shared" si="3"/>
        <v>0.6144666103</v>
      </c>
      <c r="W222" s="166" t="str">
        <f t="shared" si="4"/>
        <v>Normal</v>
      </c>
      <c r="X222" s="42">
        <f t="shared" si="5"/>
        <v>9.697080292</v>
      </c>
      <c r="Y222" s="167">
        <f t="shared" si="6"/>
        <v>15.78129735</v>
      </c>
      <c r="Z222" s="167">
        <f t="shared" si="7"/>
        <v>15.71343537</v>
      </c>
      <c r="AA222" s="165">
        <f t="shared" si="8"/>
        <v>0.00430015221</v>
      </c>
      <c r="AB222" s="81"/>
    </row>
    <row r="223">
      <c r="A223" s="168" t="s">
        <v>138</v>
      </c>
      <c r="B223" s="169">
        <v>288.81</v>
      </c>
      <c r="C223" s="170">
        <f t="shared" ref="C223:C224" si="75">3309/50</f>
        <v>66.18</v>
      </c>
      <c r="D223" s="171" t="s">
        <v>139</v>
      </c>
      <c r="E223" s="48">
        <v>1.0</v>
      </c>
      <c r="F223" s="45">
        <v>4848.0</v>
      </c>
      <c r="G223" s="172" t="s">
        <v>86</v>
      </c>
      <c r="H223" s="83">
        <v>51.0</v>
      </c>
      <c r="I223" s="48">
        <v>-0.087</v>
      </c>
      <c r="J223" s="48">
        <v>-0.04</v>
      </c>
      <c r="K223" s="48" t="s">
        <v>101</v>
      </c>
      <c r="L223" s="48" t="s">
        <v>101</v>
      </c>
      <c r="M223" s="48" t="s">
        <v>101</v>
      </c>
      <c r="N223" s="48" t="s">
        <v>101</v>
      </c>
      <c r="O223" s="49">
        <v>0.01</v>
      </c>
      <c r="P223" s="48">
        <v>0.1</v>
      </c>
      <c r="Q223" s="48">
        <v>0.1</v>
      </c>
      <c r="R223" s="48">
        <v>0.253</v>
      </c>
      <c r="S223" s="48"/>
      <c r="T223" s="48"/>
      <c r="U223" s="173">
        <f t="shared" si="2"/>
        <v>-0.2684210526</v>
      </c>
      <c r="V223" s="174">
        <f t="shared" si="3"/>
        <v>1.067578947</v>
      </c>
      <c r="W223" s="175" t="str">
        <f t="shared" si="4"/>
        <v>Normal</v>
      </c>
      <c r="X223" s="54">
        <f t="shared" si="5"/>
        <v>16.78612236</v>
      </c>
      <c r="Y223" s="176">
        <f t="shared" si="6"/>
        <v>15.72354195</v>
      </c>
      <c r="Z223" s="176">
        <f t="shared" si="7"/>
        <v>15.71908202</v>
      </c>
      <c r="AA223" s="174">
        <f t="shared" si="8"/>
        <v>0.0002836464803</v>
      </c>
      <c r="AB223" s="87"/>
    </row>
    <row r="224">
      <c r="A224" s="159" t="s">
        <v>138</v>
      </c>
      <c r="B224" s="160">
        <v>288.81</v>
      </c>
      <c r="C224" s="161">
        <f t="shared" si="75"/>
        <v>66.18</v>
      </c>
      <c r="D224" s="162" t="s">
        <v>141</v>
      </c>
      <c r="E224" s="36">
        <v>1.8</v>
      </c>
      <c r="F224" s="33">
        <v>7616.0</v>
      </c>
      <c r="G224" s="163" t="s">
        <v>86</v>
      </c>
      <c r="H224" s="77">
        <v>51.0</v>
      </c>
      <c r="I224" s="36">
        <v>-0.087</v>
      </c>
      <c r="J224" s="36">
        <v>-0.04</v>
      </c>
      <c r="K224" s="36" t="s">
        <v>101</v>
      </c>
      <c r="L224" s="36" t="s">
        <v>101</v>
      </c>
      <c r="M224" s="36" t="s">
        <v>101</v>
      </c>
      <c r="N224" s="36" t="s">
        <v>101</v>
      </c>
      <c r="O224" s="37">
        <v>0.01</v>
      </c>
      <c r="P224" s="36">
        <v>0.1</v>
      </c>
      <c r="Q224" s="36">
        <v>0.1</v>
      </c>
      <c r="R224" s="36">
        <v>0.253</v>
      </c>
      <c r="S224" s="36"/>
      <c r="T224" s="36"/>
      <c r="U224" s="164">
        <f t="shared" si="2"/>
        <v>-0.2684210526</v>
      </c>
      <c r="V224" s="165">
        <f t="shared" si="3"/>
        <v>1.067578947</v>
      </c>
      <c r="W224" s="166" t="str">
        <f t="shared" si="4"/>
        <v>Skill</v>
      </c>
      <c r="X224" s="42">
        <f t="shared" si="5"/>
        <v>14.65015447</v>
      </c>
      <c r="Y224" s="167">
        <f t="shared" si="6"/>
        <v>13.72278322</v>
      </c>
      <c r="Z224" s="167">
        <f t="shared" si="7"/>
        <v>13.71908202</v>
      </c>
      <c r="AA224" s="165">
        <f t="shared" si="8"/>
        <v>0.000269711855</v>
      </c>
      <c r="AB224" s="81"/>
    </row>
    <row r="225">
      <c r="A225" s="168" t="s">
        <v>138</v>
      </c>
      <c r="B225" s="169">
        <v>288.81</v>
      </c>
      <c r="C225" s="170">
        <f>3351/50</f>
        <v>67.02</v>
      </c>
      <c r="D225" s="171" t="s">
        <v>139</v>
      </c>
      <c r="E225" s="48">
        <v>1.0</v>
      </c>
      <c r="F225" s="45">
        <v>6583.0</v>
      </c>
      <c r="G225" s="172" t="s">
        <v>83</v>
      </c>
      <c r="H225" s="83">
        <v>58.0</v>
      </c>
      <c r="I225" s="48">
        <v>-0.087</v>
      </c>
      <c r="J225" s="48">
        <v>-0.04</v>
      </c>
      <c r="K225" s="48">
        <v>-0.1</v>
      </c>
      <c r="L225" s="48" t="s">
        <v>101</v>
      </c>
      <c r="M225" s="48" t="s">
        <v>101</v>
      </c>
      <c r="N225" s="48" t="s">
        <v>101</v>
      </c>
      <c r="O225" s="49">
        <v>0.01</v>
      </c>
      <c r="P225" s="48">
        <v>0.1</v>
      </c>
      <c r="Q225" s="48">
        <v>0.1</v>
      </c>
      <c r="R225" s="48">
        <v>0.253</v>
      </c>
      <c r="S225" s="48">
        <v>0.5</v>
      </c>
      <c r="T225" s="48"/>
      <c r="U225" s="173">
        <f t="shared" si="2"/>
        <v>-0.293258427</v>
      </c>
      <c r="V225" s="174">
        <f t="shared" si="3"/>
        <v>1.442741573</v>
      </c>
      <c r="W225" s="175" t="str">
        <f t="shared" si="4"/>
        <v>Normal</v>
      </c>
      <c r="X225" s="54">
        <f t="shared" si="5"/>
        <v>22.79353208</v>
      </c>
      <c r="Y225" s="176">
        <f t="shared" si="6"/>
        <v>15.79876293</v>
      </c>
      <c r="Z225" s="176">
        <f t="shared" si="7"/>
        <v>15.79763414</v>
      </c>
      <c r="AA225" s="174">
        <f t="shared" si="8"/>
        <v>0.00007144817535</v>
      </c>
      <c r="AB225" s="87"/>
    </row>
    <row r="226">
      <c r="A226" s="159" t="s">
        <v>169</v>
      </c>
      <c r="B226" s="160">
        <v>274.0</v>
      </c>
      <c r="C226" s="161">
        <f>(590+5600)/100+300/50</f>
        <v>67.9</v>
      </c>
      <c r="D226" s="162" t="s">
        <v>139</v>
      </c>
      <c r="E226" s="36">
        <v>1.0</v>
      </c>
      <c r="F226" s="33">
        <v>2685.0</v>
      </c>
      <c r="G226" s="163" t="s">
        <v>175</v>
      </c>
      <c r="H226" s="77">
        <f>233.2*0.5</f>
        <v>116.6</v>
      </c>
      <c r="I226" s="36">
        <v>-0.102</v>
      </c>
      <c r="J226" s="36">
        <v>-0.15</v>
      </c>
      <c r="K226" s="36" t="s">
        <v>101</v>
      </c>
      <c r="L226" s="36" t="s">
        <v>101</v>
      </c>
      <c r="M226" s="36" t="s">
        <v>101</v>
      </c>
      <c r="N226" s="36" t="s">
        <v>101</v>
      </c>
      <c r="O226" s="37">
        <v>0.01</v>
      </c>
      <c r="P226" s="36">
        <v>0.04</v>
      </c>
      <c r="Q226" s="36">
        <v>0.1</v>
      </c>
      <c r="R226" s="186"/>
      <c r="S226" s="36">
        <v>0.16</v>
      </c>
      <c r="T226" s="36"/>
      <c r="U226" s="164">
        <f t="shared" si="2"/>
        <v>-0.4435333897</v>
      </c>
      <c r="V226" s="165">
        <f t="shared" si="3"/>
        <v>0.6144666103</v>
      </c>
      <c r="W226" s="166" t="str">
        <f t="shared" si="4"/>
        <v>Normal</v>
      </c>
      <c r="X226" s="42">
        <f t="shared" si="5"/>
        <v>9.799270073</v>
      </c>
      <c r="Y226" s="167">
        <f t="shared" si="6"/>
        <v>15.94760384</v>
      </c>
      <c r="Z226" s="167">
        <f t="shared" si="7"/>
        <v>15.87893632</v>
      </c>
      <c r="AA226" s="165">
        <f t="shared" si="8"/>
        <v>0.004305820465</v>
      </c>
      <c r="AB226" s="81"/>
    </row>
    <row r="227">
      <c r="A227" s="168" t="s">
        <v>138</v>
      </c>
      <c r="B227" s="169">
        <v>288.81</v>
      </c>
      <c r="C227" s="170">
        <f t="shared" ref="C227:C228" si="76">3420/50</f>
        <v>68.4</v>
      </c>
      <c r="D227" s="171" t="s">
        <v>147</v>
      </c>
      <c r="E227" s="48">
        <v>2.6</v>
      </c>
      <c r="F227" s="45">
        <v>16980.0</v>
      </c>
      <c r="G227" s="172" t="s">
        <v>87</v>
      </c>
      <c r="H227" s="83">
        <v>37.0</v>
      </c>
      <c r="I227" s="48">
        <v>-0.087</v>
      </c>
      <c r="J227" s="48">
        <v>-0.04</v>
      </c>
      <c r="K227" s="48" t="s">
        <v>101</v>
      </c>
      <c r="L227" s="48" t="s">
        <v>101</v>
      </c>
      <c r="M227" s="48" t="s">
        <v>101</v>
      </c>
      <c r="N227" s="48" t="s">
        <v>101</v>
      </c>
      <c r="O227" s="49">
        <v>0.01</v>
      </c>
      <c r="P227" s="48">
        <v>0.1</v>
      </c>
      <c r="Q227" s="48">
        <v>0.1</v>
      </c>
      <c r="R227" s="48">
        <v>0.253</v>
      </c>
      <c r="S227" s="48">
        <v>0.5</v>
      </c>
      <c r="T227" s="48"/>
      <c r="U227" s="173">
        <f t="shared" si="2"/>
        <v>-0.2121019108</v>
      </c>
      <c r="V227" s="174">
        <f t="shared" si="3"/>
        <v>1.623898089</v>
      </c>
      <c r="W227" s="175" t="str">
        <f t="shared" si="4"/>
        <v>Skill</v>
      </c>
      <c r="X227" s="54">
        <f t="shared" si="5"/>
        <v>22.61268388</v>
      </c>
      <c r="Y227" s="176">
        <f t="shared" si="6"/>
        <v>13.92494026</v>
      </c>
      <c r="Z227" s="176">
        <f t="shared" si="7"/>
        <v>13.92468619</v>
      </c>
      <c r="AA227" s="174">
        <f t="shared" si="8"/>
        <v>0.00001824540637</v>
      </c>
      <c r="AB227" s="87"/>
    </row>
    <row r="228">
      <c r="A228" s="159" t="s">
        <v>138</v>
      </c>
      <c r="B228" s="160">
        <v>288.81</v>
      </c>
      <c r="C228" s="161">
        <f t="shared" si="76"/>
        <v>68.4</v>
      </c>
      <c r="D228" s="162" t="s">
        <v>139</v>
      </c>
      <c r="E228" s="36">
        <v>1.0</v>
      </c>
      <c r="F228" s="33">
        <v>7469.0</v>
      </c>
      <c r="G228" s="163" t="s">
        <v>87</v>
      </c>
      <c r="H228" s="77">
        <v>37.0</v>
      </c>
      <c r="I228" s="36">
        <v>-0.087</v>
      </c>
      <c r="J228" s="36">
        <v>-0.04</v>
      </c>
      <c r="K228" s="36" t="s">
        <v>101</v>
      </c>
      <c r="L228" s="36" t="s">
        <v>101</v>
      </c>
      <c r="M228" s="36" t="s">
        <v>101</v>
      </c>
      <c r="N228" s="36" t="s">
        <v>101</v>
      </c>
      <c r="O228" s="37">
        <v>0.01</v>
      </c>
      <c r="P228" s="36">
        <v>0.1</v>
      </c>
      <c r="Q228" s="36">
        <v>0.1</v>
      </c>
      <c r="R228" s="36">
        <v>0.253</v>
      </c>
      <c r="S228" s="36">
        <v>0.5</v>
      </c>
      <c r="T228" s="36"/>
      <c r="U228" s="164">
        <f t="shared" si="2"/>
        <v>-0.2121019108</v>
      </c>
      <c r="V228" s="165">
        <f t="shared" si="3"/>
        <v>1.623898089</v>
      </c>
      <c r="W228" s="166" t="str">
        <f t="shared" si="4"/>
        <v>Normal</v>
      </c>
      <c r="X228" s="42">
        <f t="shared" si="5"/>
        <v>25.86129289</v>
      </c>
      <c r="Y228" s="167">
        <f t="shared" si="6"/>
        <v>15.9254408</v>
      </c>
      <c r="Z228" s="167">
        <f t="shared" si="7"/>
        <v>15.92468619</v>
      </c>
      <c r="AA228" s="165">
        <f t="shared" si="8"/>
        <v>0.00004738405432</v>
      </c>
      <c r="AB228" s="81"/>
    </row>
    <row r="229">
      <c r="A229" s="168" t="s">
        <v>138</v>
      </c>
      <c r="B229" s="169">
        <v>288.81</v>
      </c>
      <c r="C229" s="170">
        <f t="shared" ref="C229:C232" si="77">3494/50</f>
        <v>69.88</v>
      </c>
      <c r="D229" s="171" t="s">
        <v>148</v>
      </c>
      <c r="E229" s="48">
        <v>2.142</v>
      </c>
      <c r="F229" s="45">
        <v>8193.0</v>
      </c>
      <c r="G229" s="172" t="s">
        <v>83</v>
      </c>
      <c r="H229" s="83">
        <v>58.0</v>
      </c>
      <c r="I229" s="48">
        <v>-0.087</v>
      </c>
      <c r="J229" s="48">
        <v>-0.04</v>
      </c>
      <c r="K229" s="48">
        <v>-0.1</v>
      </c>
      <c r="L229" s="48" t="s">
        <v>101</v>
      </c>
      <c r="M229" s="48" t="s">
        <v>101</v>
      </c>
      <c r="N229" s="48" t="s">
        <v>101</v>
      </c>
      <c r="O229" s="49">
        <v>0.01</v>
      </c>
      <c r="P229" s="48">
        <v>0.1</v>
      </c>
      <c r="Q229" s="48">
        <v>0.1</v>
      </c>
      <c r="R229" s="48">
        <v>0.253</v>
      </c>
      <c r="S229" s="48"/>
      <c r="T229" s="48"/>
      <c r="U229" s="173">
        <f t="shared" si="2"/>
        <v>-0.293258427</v>
      </c>
      <c r="V229" s="174">
        <f t="shared" si="3"/>
        <v>0.942741573</v>
      </c>
      <c r="W229" s="175" t="str">
        <f t="shared" si="4"/>
        <v>Skill</v>
      </c>
      <c r="X229" s="54">
        <f t="shared" si="5"/>
        <v>13.24375878</v>
      </c>
      <c r="Y229" s="176">
        <f t="shared" si="6"/>
        <v>14.04813276</v>
      </c>
      <c r="Z229" s="176">
        <f t="shared" si="7"/>
        <v>14.05825511</v>
      </c>
      <c r="AA229" s="174">
        <f t="shared" si="8"/>
        <v>-0.0007205476069</v>
      </c>
      <c r="AB229" s="87"/>
    </row>
    <row r="230">
      <c r="A230" s="159" t="s">
        <v>138</v>
      </c>
      <c r="B230" s="160">
        <v>288.81</v>
      </c>
      <c r="C230" s="161">
        <f t="shared" si="77"/>
        <v>69.88</v>
      </c>
      <c r="D230" s="162" t="s">
        <v>139</v>
      </c>
      <c r="E230" s="36">
        <v>1.0</v>
      </c>
      <c r="F230" s="33">
        <v>7272.0</v>
      </c>
      <c r="G230" s="163" t="s">
        <v>86</v>
      </c>
      <c r="H230" s="77">
        <v>51.0</v>
      </c>
      <c r="I230" s="36">
        <v>-0.087</v>
      </c>
      <c r="J230" s="36">
        <v>-0.04</v>
      </c>
      <c r="K230" s="36" t="s">
        <v>101</v>
      </c>
      <c r="L230" s="36" t="s">
        <v>101</v>
      </c>
      <c r="M230" s="36" t="s">
        <v>101</v>
      </c>
      <c r="N230" s="36" t="s">
        <v>101</v>
      </c>
      <c r="O230" s="37">
        <v>0.01</v>
      </c>
      <c r="P230" s="36">
        <v>0.1</v>
      </c>
      <c r="Q230" s="36">
        <v>0.1</v>
      </c>
      <c r="R230" s="36">
        <v>0.253</v>
      </c>
      <c r="S230" s="36">
        <v>0.5</v>
      </c>
      <c r="T230" s="36"/>
      <c r="U230" s="164">
        <f t="shared" si="2"/>
        <v>-0.2684210526</v>
      </c>
      <c r="V230" s="165">
        <f t="shared" si="3"/>
        <v>1.567578947</v>
      </c>
      <c r="W230" s="166" t="str">
        <f t="shared" si="4"/>
        <v>Normal</v>
      </c>
      <c r="X230" s="42">
        <f t="shared" si="5"/>
        <v>25.17918355</v>
      </c>
      <c r="Y230" s="167">
        <f t="shared" si="6"/>
        <v>16.062466</v>
      </c>
      <c r="Z230" s="167">
        <f t="shared" si="7"/>
        <v>16.05825511</v>
      </c>
      <c r="AA230" s="165">
        <f t="shared" si="8"/>
        <v>0.0002621573492</v>
      </c>
      <c r="AB230" s="81"/>
    </row>
    <row r="231">
      <c r="A231" s="168" t="s">
        <v>138</v>
      </c>
      <c r="B231" s="169">
        <v>288.81</v>
      </c>
      <c r="C231" s="170">
        <f t="shared" si="77"/>
        <v>69.88</v>
      </c>
      <c r="D231" s="171" t="s">
        <v>145</v>
      </c>
      <c r="E231" s="48">
        <v>1.714</v>
      </c>
      <c r="F231" s="45">
        <v>11275.0</v>
      </c>
      <c r="G231" s="172" t="s">
        <v>87</v>
      </c>
      <c r="H231" s="83">
        <v>37.0</v>
      </c>
      <c r="I231" s="48">
        <v>-0.087</v>
      </c>
      <c r="J231" s="48">
        <v>-0.04</v>
      </c>
      <c r="K231" s="48" t="s">
        <v>101</v>
      </c>
      <c r="L231" s="48" t="s">
        <v>101</v>
      </c>
      <c r="M231" s="48" t="s">
        <v>101</v>
      </c>
      <c r="N231" s="48" t="s">
        <v>101</v>
      </c>
      <c r="O231" s="49">
        <v>0.01</v>
      </c>
      <c r="P231" s="48">
        <v>0.1</v>
      </c>
      <c r="Q231" s="48">
        <v>0.1</v>
      </c>
      <c r="R231" s="48">
        <v>0.253</v>
      </c>
      <c r="S231" s="48">
        <v>0.5</v>
      </c>
      <c r="T231" s="48"/>
      <c r="U231" s="173">
        <f t="shared" si="2"/>
        <v>-0.2121019108</v>
      </c>
      <c r="V231" s="174">
        <f t="shared" si="3"/>
        <v>1.623898089</v>
      </c>
      <c r="W231" s="175" t="str">
        <f t="shared" si="4"/>
        <v>Skill</v>
      </c>
      <c r="X231" s="54">
        <f t="shared" si="5"/>
        <v>22.77684186</v>
      </c>
      <c r="Y231" s="176">
        <f t="shared" si="6"/>
        <v>14.0260291</v>
      </c>
      <c r="Z231" s="176">
        <f t="shared" si="7"/>
        <v>14.05825511</v>
      </c>
      <c r="AA231" s="174">
        <f t="shared" si="8"/>
        <v>-0.002297585861</v>
      </c>
      <c r="AB231" s="87"/>
    </row>
    <row r="232">
      <c r="A232" s="159" t="s">
        <v>138</v>
      </c>
      <c r="B232" s="160">
        <v>288.81</v>
      </c>
      <c r="C232" s="161">
        <f t="shared" si="77"/>
        <v>69.88</v>
      </c>
      <c r="D232" s="162" t="s">
        <v>143</v>
      </c>
      <c r="E232" s="36">
        <v>0.266</v>
      </c>
      <c r="F232" s="33">
        <v>1127.0</v>
      </c>
      <c r="G232" s="163" t="s">
        <v>86</v>
      </c>
      <c r="H232" s="77">
        <v>51.0</v>
      </c>
      <c r="I232" s="36">
        <v>-0.087</v>
      </c>
      <c r="J232" s="36">
        <v>-0.04</v>
      </c>
      <c r="K232" s="36" t="s">
        <v>101</v>
      </c>
      <c r="L232" s="36" t="s">
        <v>101</v>
      </c>
      <c r="M232" s="36" t="s">
        <v>101</v>
      </c>
      <c r="N232" s="36" t="s">
        <v>101</v>
      </c>
      <c r="O232" s="37">
        <v>0.01</v>
      </c>
      <c r="P232" s="36">
        <v>0.1</v>
      </c>
      <c r="Q232" s="36">
        <v>0.1</v>
      </c>
      <c r="R232" s="36">
        <v>0.253</v>
      </c>
      <c r="S232" s="36"/>
      <c r="T232" s="36"/>
      <c r="U232" s="164">
        <f t="shared" si="2"/>
        <v>-0.2684210526</v>
      </c>
      <c r="V232" s="165">
        <f t="shared" si="3"/>
        <v>1.067578947</v>
      </c>
      <c r="W232" s="166" t="str">
        <f t="shared" si="4"/>
        <v>Skill</v>
      </c>
      <c r="X232" s="42">
        <f t="shared" si="5"/>
        <v>14.66999794</v>
      </c>
      <c r="Y232" s="167">
        <f t="shared" si="6"/>
        <v>13.74137058</v>
      </c>
      <c r="Z232" s="167">
        <f t="shared" si="7"/>
        <v>14.05825511</v>
      </c>
      <c r="AA232" s="165">
        <f t="shared" si="8"/>
        <v>-0.02306062007</v>
      </c>
      <c r="AB232" s="81"/>
    </row>
    <row r="233">
      <c r="A233" s="168" t="s">
        <v>138</v>
      </c>
      <c r="B233" s="169">
        <v>288.81</v>
      </c>
      <c r="C233" s="170">
        <f>3600/50</f>
        <v>72</v>
      </c>
      <c r="D233" s="171" t="s">
        <v>139</v>
      </c>
      <c r="E233" s="48">
        <v>1.0</v>
      </c>
      <c r="F233" s="45">
        <v>6770.0</v>
      </c>
      <c r="G233" s="172" t="s">
        <v>83</v>
      </c>
      <c r="H233" s="83">
        <v>58.0</v>
      </c>
      <c r="I233" s="48">
        <v>-0.087</v>
      </c>
      <c r="J233" s="48">
        <v>-0.04</v>
      </c>
      <c r="K233" s="48">
        <v>-0.1</v>
      </c>
      <c r="L233" s="48" t="s">
        <v>101</v>
      </c>
      <c r="M233" s="48" t="s">
        <v>101</v>
      </c>
      <c r="N233" s="48" t="s">
        <v>101</v>
      </c>
      <c r="O233" s="49">
        <v>0.01</v>
      </c>
      <c r="P233" s="48">
        <v>0.1</v>
      </c>
      <c r="Q233" s="48">
        <v>0.1</v>
      </c>
      <c r="R233" s="48">
        <v>0.253</v>
      </c>
      <c r="S233" s="48">
        <v>0.5</v>
      </c>
      <c r="T233" s="48"/>
      <c r="U233" s="173">
        <f t="shared" si="2"/>
        <v>-0.293258427</v>
      </c>
      <c r="V233" s="174">
        <f t="shared" si="3"/>
        <v>1.442741573</v>
      </c>
      <c r="W233" s="175" t="str">
        <f t="shared" si="4"/>
        <v>Normal</v>
      </c>
      <c r="X233" s="54">
        <f t="shared" si="5"/>
        <v>23.44101659</v>
      </c>
      <c r="Y233" s="176">
        <f t="shared" si="6"/>
        <v>16.24755051</v>
      </c>
      <c r="Z233" s="176">
        <f t="shared" si="7"/>
        <v>16.24489796</v>
      </c>
      <c r="AA233" s="174">
        <f t="shared" si="8"/>
        <v>0.0001632587</v>
      </c>
      <c r="AB233" s="87"/>
    </row>
    <row r="234">
      <c r="A234" s="159" t="s">
        <v>138</v>
      </c>
      <c r="B234" s="160">
        <f>189+99.81</f>
        <v>288.81</v>
      </c>
      <c r="C234" s="161">
        <f t="shared" ref="C234:C235" si="78">3731/50</f>
        <v>74.62</v>
      </c>
      <c r="D234" s="162" t="s">
        <v>139</v>
      </c>
      <c r="E234" s="36">
        <v>1.0</v>
      </c>
      <c r="F234" s="33">
        <v>7724.0</v>
      </c>
      <c r="G234" s="163" t="s">
        <v>87</v>
      </c>
      <c r="H234" s="77">
        <v>37.0</v>
      </c>
      <c r="I234" s="36">
        <v>-0.087</v>
      </c>
      <c r="J234" s="36">
        <v>-0.04</v>
      </c>
      <c r="K234" s="36" t="s">
        <v>101</v>
      </c>
      <c r="L234" s="36" t="s">
        <v>101</v>
      </c>
      <c r="M234" s="36" t="s">
        <v>101</v>
      </c>
      <c r="N234" s="36" t="s">
        <v>101</v>
      </c>
      <c r="O234" s="37">
        <v>0.01</v>
      </c>
      <c r="P234" s="36">
        <v>0.1</v>
      </c>
      <c r="Q234" s="36">
        <v>0.1</v>
      </c>
      <c r="R234" s="36">
        <v>0.253</v>
      </c>
      <c r="S234" s="36">
        <v>0.5</v>
      </c>
      <c r="T234" s="36"/>
      <c r="U234" s="164">
        <f t="shared" si="2"/>
        <v>-0.2121019108</v>
      </c>
      <c r="V234" s="165">
        <f t="shared" si="3"/>
        <v>1.623898089</v>
      </c>
      <c r="W234" s="166" t="str">
        <f t="shared" si="4"/>
        <v>Normal</v>
      </c>
      <c r="X234" s="42">
        <f t="shared" si="5"/>
        <v>26.74422631</v>
      </c>
      <c r="Y234" s="167">
        <f t="shared" si="6"/>
        <v>16.46915314</v>
      </c>
      <c r="Z234" s="167">
        <f t="shared" si="7"/>
        <v>16.46825291</v>
      </c>
      <c r="AA234" s="165">
        <f t="shared" si="8"/>
        <v>0.00005466150582</v>
      </c>
      <c r="AB234" s="81"/>
    </row>
    <row r="235">
      <c r="A235" s="168" t="s">
        <v>138</v>
      </c>
      <c r="B235" s="169">
        <v>288.81</v>
      </c>
      <c r="C235" s="170">
        <f t="shared" si="78"/>
        <v>74.62</v>
      </c>
      <c r="D235" s="171" t="s">
        <v>141</v>
      </c>
      <c r="E235" s="48">
        <v>1.8</v>
      </c>
      <c r="F235" s="45">
        <v>8032.0</v>
      </c>
      <c r="G235" s="172" t="s">
        <v>86</v>
      </c>
      <c r="H235" s="83">
        <v>51.0</v>
      </c>
      <c r="I235" s="48">
        <v>-0.087</v>
      </c>
      <c r="J235" s="48">
        <v>-0.04</v>
      </c>
      <c r="K235" s="48" t="s">
        <v>101</v>
      </c>
      <c r="L235" s="48" t="s">
        <v>101</v>
      </c>
      <c r="M235" s="48" t="s">
        <v>101</v>
      </c>
      <c r="N235" s="48" t="s">
        <v>101</v>
      </c>
      <c r="O235" s="49">
        <v>0.01</v>
      </c>
      <c r="P235" s="48">
        <v>0.1</v>
      </c>
      <c r="Q235" s="48">
        <v>0.1</v>
      </c>
      <c r="R235" s="48">
        <v>0.253</v>
      </c>
      <c r="S235" s="48"/>
      <c r="T235" s="48"/>
      <c r="U235" s="173">
        <f t="shared" si="2"/>
        <v>-0.2684210526</v>
      </c>
      <c r="V235" s="174">
        <f t="shared" si="3"/>
        <v>1.067578947</v>
      </c>
      <c r="W235" s="175" t="str">
        <f t="shared" si="4"/>
        <v>Skill</v>
      </c>
      <c r="X235" s="54">
        <f t="shared" si="5"/>
        <v>15.45037299</v>
      </c>
      <c r="Y235" s="176">
        <f t="shared" si="6"/>
        <v>14.47234701</v>
      </c>
      <c r="Z235" s="176">
        <f t="shared" si="7"/>
        <v>14.46825291</v>
      </c>
      <c r="AA235" s="174">
        <f t="shared" si="8"/>
        <v>0.0002828913818</v>
      </c>
      <c r="AB235" s="87"/>
    </row>
    <row r="236">
      <c r="A236" s="159" t="s">
        <v>157</v>
      </c>
      <c r="B236" s="160">
        <v>81.0</v>
      </c>
      <c r="C236" s="161">
        <f>52/4+2166/100+2166/100</f>
        <v>56.32</v>
      </c>
      <c r="D236" s="162" t="s">
        <v>139</v>
      </c>
      <c r="E236" s="36">
        <v>1.0</v>
      </c>
      <c r="F236" s="33">
        <v>119.0</v>
      </c>
      <c r="G236" s="163" t="s">
        <v>81</v>
      </c>
      <c r="H236" s="77">
        <v>71.0</v>
      </c>
      <c r="I236" s="36">
        <v>-0.148</v>
      </c>
      <c r="J236" s="185" t="s">
        <v>101</v>
      </c>
      <c r="K236" s="36">
        <v>-0.08</v>
      </c>
      <c r="L236" s="36">
        <v>-0.04</v>
      </c>
      <c r="M236" s="36">
        <v>-0.14</v>
      </c>
      <c r="N236" s="36">
        <v>-0.298</v>
      </c>
      <c r="O236" s="37"/>
      <c r="P236" s="36"/>
      <c r="Q236" s="36"/>
      <c r="R236" s="36"/>
      <c r="S236" s="36"/>
      <c r="T236" s="36"/>
      <c r="U236" s="164">
        <f t="shared" si="2"/>
        <v>-0.3345549738</v>
      </c>
      <c r="V236" s="165">
        <f t="shared" si="3"/>
        <v>0.1</v>
      </c>
      <c r="W236" s="166" t="str">
        <f t="shared" si="4"/>
        <v>Normal</v>
      </c>
      <c r="X236" s="42">
        <f t="shared" si="5"/>
        <v>1.469135802</v>
      </c>
      <c r="Y236" s="167">
        <f t="shared" si="6"/>
        <v>14.69135802</v>
      </c>
      <c r="Z236" s="167">
        <f t="shared" si="7"/>
        <v>14.7219007</v>
      </c>
      <c r="AA236" s="165">
        <f t="shared" si="8"/>
        <v>-0.002078955249</v>
      </c>
      <c r="AB236" s="81"/>
    </row>
    <row r="237">
      <c r="A237" s="168" t="s">
        <v>157</v>
      </c>
      <c r="B237" s="169">
        <v>81.0</v>
      </c>
      <c r="C237" s="170">
        <f>18/4+(1614+1911)/100</f>
        <v>39.75</v>
      </c>
      <c r="D237" s="171" t="s">
        <v>139</v>
      </c>
      <c r="E237" s="48">
        <v>1.0</v>
      </c>
      <c r="F237" s="45">
        <v>264.0</v>
      </c>
      <c r="G237" s="172" t="s">
        <v>81</v>
      </c>
      <c r="H237" s="83">
        <v>71.0</v>
      </c>
      <c r="I237" s="48">
        <v>-0.148</v>
      </c>
      <c r="J237" s="185" t="s">
        <v>101</v>
      </c>
      <c r="K237" s="48">
        <v>-0.08</v>
      </c>
      <c r="L237" s="48">
        <v>-0.04</v>
      </c>
      <c r="M237" s="48">
        <v>-0.14</v>
      </c>
      <c r="N237" s="48" t="s">
        <v>101</v>
      </c>
      <c r="O237" s="49"/>
      <c r="P237" s="48"/>
      <c r="Q237" s="48"/>
      <c r="R237" s="48"/>
      <c r="S237" s="48"/>
      <c r="T237" s="48"/>
      <c r="U237" s="173">
        <f t="shared" si="2"/>
        <v>-0.3345549738</v>
      </c>
      <c r="V237" s="174">
        <f t="shared" si="3"/>
        <v>0.2574450262</v>
      </c>
      <c r="W237" s="175" t="str">
        <f t="shared" si="4"/>
        <v>Normal</v>
      </c>
      <c r="X237" s="54">
        <f t="shared" si="5"/>
        <v>3.259259259</v>
      </c>
      <c r="Y237" s="176">
        <f t="shared" si="6"/>
        <v>12.66002031</v>
      </c>
      <c r="Z237" s="176">
        <f t="shared" si="7"/>
        <v>12.66013072</v>
      </c>
      <c r="AA237" s="174">
        <f t="shared" si="8"/>
        <v>-0.000008721337179</v>
      </c>
      <c r="AB237" s="87"/>
    </row>
    <row r="238">
      <c r="A238" s="159" t="s">
        <v>176</v>
      </c>
      <c r="B238" s="160">
        <v>368.0</v>
      </c>
      <c r="C238" s="160">
        <f t="shared" ref="C238:C240" si="79">597/50+703/50</f>
        <v>26</v>
      </c>
      <c r="D238" s="162" t="s">
        <v>177</v>
      </c>
      <c r="E238" s="36">
        <v>3.9</v>
      </c>
      <c r="F238" s="33">
        <v>9475.0</v>
      </c>
      <c r="G238" s="163" t="s">
        <v>84</v>
      </c>
      <c r="H238" s="77">
        <f>66/2</f>
        <v>33</v>
      </c>
      <c r="I238" s="36">
        <v>-0.112</v>
      </c>
      <c r="J238" s="36">
        <v>-0.15</v>
      </c>
      <c r="K238" s="36"/>
      <c r="L238" s="36"/>
      <c r="M238" s="36"/>
      <c r="N238" s="36"/>
      <c r="O238" s="37"/>
      <c r="P238" s="36">
        <v>0.1</v>
      </c>
      <c r="Q238" s="185"/>
      <c r="R238" s="36">
        <v>-0.22</v>
      </c>
      <c r="S238" s="36">
        <v>0.357</v>
      </c>
      <c r="T238" s="36"/>
      <c r="U238" s="164">
        <f t="shared" si="2"/>
        <v>-0.1941176471</v>
      </c>
      <c r="V238" s="165">
        <f t="shared" si="3"/>
        <v>0.7808823529</v>
      </c>
      <c r="W238" s="166" t="str">
        <f t="shared" si="4"/>
        <v>Skill</v>
      </c>
      <c r="X238" s="42">
        <f t="shared" si="5"/>
        <v>6.601867336</v>
      </c>
      <c r="Y238" s="167">
        <f t="shared" si="6"/>
        <v>8.454368716</v>
      </c>
      <c r="Z238" s="167">
        <f t="shared" si="7"/>
        <v>8.435643564</v>
      </c>
      <c r="AA238" s="165">
        <f t="shared" si="8"/>
        <v>0.00221484918</v>
      </c>
      <c r="AB238" s="81"/>
    </row>
    <row r="239">
      <c r="A239" s="168" t="s">
        <v>176</v>
      </c>
      <c r="B239" s="169">
        <v>368.0</v>
      </c>
      <c r="C239" s="169">
        <f t="shared" si="79"/>
        <v>26</v>
      </c>
      <c r="D239" s="171" t="s">
        <v>178</v>
      </c>
      <c r="E239" s="48">
        <v>2.1</v>
      </c>
      <c r="F239" s="45">
        <v>6030.0</v>
      </c>
      <c r="G239" s="172" t="s">
        <v>179</v>
      </c>
      <c r="H239" s="83">
        <f t="shared" ref="H239:H240" si="80">19/2</f>
        <v>9.5</v>
      </c>
      <c r="I239" s="48">
        <v>-0.112</v>
      </c>
      <c r="J239" s="48">
        <v>-0.14</v>
      </c>
      <c r="K239" s="48"/>
      <c r="L239" s="48"/>
      <c r="M239" s="48"/>
      <c r="N239" s="48"/>
      <c r="O239" s="49"/>
      <c r="P239" s="48">
        <v>0.1</v>
      </c>
      <c r="Q239" s="185"/>
      <c r="R239" s="48">
        <v>-0.22</v>
      </c>
      <c r="S239" s="48">
        <v>0.357</v>
      </c>
      <c r="T239" s="48"/>
      <c r="U239" s="173">
        <f t="shared" si="2"/>
        <v>-0.06602316602</v>
      </c>
      <c r="V239" s="174">
        <f t="shared" si="3"/>
        <v>0.918976834</v>
      </c>
      <c r="W239" s="175" t="str">
        <f t="shared" si="4"/>
        <v>Skill</v>
      </c>
      <c r="X239" s="54">
        <f t="shared" si="5"/>
        <v>7.802795031</v>
      </c>
      <c r="Y239" s="176">
        <f t="shared" si="6"/>
        <v>8.490741815</v>
      </c>
      <c r="Z239" s="176">
        <f t="shared" si="7"/>
        <v>8.435643564</v>
      </c>
      <c r="AA239" s="174">
        <f t="shared" si="8"/>
        <v>0.00648921515</v>
      </c>
      <c r="AB239" s="87"/>
    </row>
    <row r="240">
      <c r="A240" s="159" t="s">
        <v>176</v>
      </c>
      <c r="B240" s="160">
        <v>368.0</v>
      </c>
      <c r="C240" s="160">
        <f t="shared" si="79"/>
        <v>26</v>
      </c>
      <c r="D240" s="162" t="s">
        <v>139</v>
      </c>
      <c r="E240" s="36">
        <v>1.0</v>
      </c>
      <c r="F240" s="33">
        <v>2178.0</v>
      </c>
      <c r="G240" s="163" t="s">
        <v>179</v>
      </c>
      <c r="H240" s="77">
        <f t="shared" si="80"/>
        <v>9.5</v>
      </c>
      <c r="I240" s="36">
        <v>-0.112</v>
      </c>
      <c r="J240" s="36">
        <v>-0.14</v>
      </c>
      <c r="K240" s="36"/>
      <c r="L240" s="36"/>
      <c r="M240" s="36"/>
      <c r="N240" s="36"/>
      <c r="O240" s="37"/>
      <c r="P240" s="36">
        <v>0.1</v>
      </c>
      <c r="Q240" s="185"/>
      <c r="R240" s="36">
        <v>-0.22</v>
      </c>
      <c r="S240" s="36"/>
      <c r="T240" s="36"/>
      <c r="U240" s="164">
        <f t="shared" si="2"/>
        <v>-0.06602316602</v>
      </c>
      <c r="V240" s="165">
        <f t="shared" si="3"/>
        <v>0.561976834</v>
      </c>
      <c r="W240" s="166" t="str">
        <f t="shared" si="4"/>
        <v>Normal</v>
      </c>
      <c r="X240" s="42">
        <f t="shared" si="5"/>
        <v>5.918478261</v>
      </c>
      <c r="Y240" s="167">
        <f t="shared" si="6"/>
        <v>10.53153423</v>
      </c>
      <c r="Z240" s="167">
        <f t="shared" si="7"/>
        <v>10.43564356</v>
      </c>
      <c r="AA240" s="165">
        <f t="shared" si="8"/>
        <v>0.009105098927</v>
      </c>
      <c r="AB240" s="81"/>
    </row>
    <row r="241">
      <c r="A241" s="168" t="s">
        <v>116</v>
      </c>
      <c r="B241" s="169">
        <v>246.0</v>
      </c>
      <c r="C241" s="170">
        <f>(1087+1227+888)/50</f>
        <v>64.04</v>
      </c>
      <c r="D241" s="171" t="s">
        <v>180</v>
      </c>
      <c r="E241" s="48">
        <v>0.774</v>
      </c>
      <c r="F241" s="45">
        <v>1759.0</v>
      </c>
      <c r="G241" s="172" t="s">
        <v>82</v>
      </c>
      <c r="H241" s="83">
        <v>76.0</v>
      </c>
      <c r="I241" s="48">
        <v>-0.094</v>
      </c>
      <c r="J241" s="48"/>
      <c r="K241" s="48"/>
      <c r="L241" s="48"/>
      <c r="M241" s="48"/>
      <c r="N241" s="48"/>
      <c r="O241" s="49">
        <v>0.01</v>
      </c>
      <c r="P241" s="48">
        <v>0.1</v>
      </c>
      <c r="Q241" s="185"/>
      <c r="R241" s="48">
        <v>0.026</v>
      </c>
      <c r="S241" s="48"/>
      <c r="T241" s="48"/>
      <c r="U241" s="173">
        <f t="shared" si="2"/>
        <v>-0.3489795918</v>
      </c>
      <c r="V241" s="174">
        <f t="shared" si="3"/>
        <v>0.6930204082</v>
      </c>
      <c r="W241" s="175" t="str">
        <f t="shared" si="4"/>
        <v>Skill</v>
      </c>
      <c r="X241" s="54">
        <f t="shared" si="5"/>
        <v>9.238251297</v>
      </c>
      <c r="Y241" s="176">
        <f t="shared" si="6"/>
        <v>13.33041739</v>
      </c>
      <c r="Z241" s="176">
        <f t="shared" si="7"/>
        <v>13.51467204</v>
      </c>
      <c r="AA241" s="174">
        <f t="shared" si="8"/>
        <v>-0.01382212172</v>
      </c>
      <c r="AB241" s="87"/>
    </row>
    <row r="242">
      <c r="A242" s="159" t="s">
        <v>122</v>
      </c>
      <c r="B242" s="160">
        <v>170.0</v>
      </c>
      <c r="C242" s="161">
        <f>906/50+2412/100+1173/50</f>
        <v>65.7</v>
      </c>
      <c r="D242" s="162" t="s">
        <v>139</v>
      </c>
      <c r="E242" s="36">
        <v>1.0</v>
      </c>
      <c r="F242" s="33">
        <v>1870.0</v>
      </c>
      <c r="G242" s="163" t="s">
        <v>70</v>
      </c>
      <c r="H242" s="77">
        <v>33.3</v>
      </c>
      <c r="I242" s="36">
        <v>-0.076</v>
      </c>
      <c r="J242" s="36">
        <v>-0.1</v>
      </c>
      <c r="K242" s="36">
        <v>-0.14</v>
      </c>
      <c r="L242" s="36"/>
      <c r="M242" s="36"/>
      <c r="N242" s="36"/>
      <c r="O242" s="37">
        <v>0.01</v>
      </c>
      <c r="P242" s="36">
        <v>0.1</v>
      </c>
      <c r="Q242" s="36">
        <v>0.1</v>
      </c>
      <c r="R242" s="36"/>
      <c r="S242" s="36"/>
      <c r="T242" s="36"/>
      <c r="U242" s="164">
        <f t="shared" si="2"/>
        <v>-0.1954990215</v>
      </c>
      <c r="V242" s="165">
        <f t="shared" si="3"/>
        <v>0.6985009785</v>
      </c>
      <c r="W242" s="166" t="str">
        <f t="shared" si="4"/>
        <v>Normal</v>
      </c>
      <c r="X242" s="42">
        <f t="shared" si="5"/>
        <v>11</v>
      </c>
      <c r="Y242" s="167">
        <f t="shared" si="6"/>
        <v>15.74800944</v>
      </c>
      <c r="Z242" s="167">
        <f t="shared" si="7"/>
        <v>15.67377399</v>
      </c>
      <c r="AA242" s="165">
        <f t="shared" si="8"/>
        <v>0.004713957597</v>
      </c>
      <c r="AB242" s="81"/>
    </row>
    <row r="243">
      <c r="A243" s="168"/>
      <c r="B243" s="169"/>
      <c r="C243" s="170"/>
      <c r="D243" s="171"/>
      <c r="E243" s="48"/>
      <c r="F243" s="45"/>
      <c r="G243" s="172"/>
      <c r="H243" s="83"/>
      <c r="I243" s="48"/>
      <c r="J243" s="48"/>
      <c r="K243" s="48"/>
      <c r="L243" s="48"/>
      <c r="M243" s="48"/>
      <c r="N243" s="48"/>
      <c r="O243" s="49"/>
      <c r="P243" s="48"/>
      <c r="Q243" s="48"/>
      <c r="R243" s="48"/>
      <c r="S243" s="48"/>
      <c r="T243" s="48"/>
      <c r="U243" s="173">
        <f t="shared" si="2"/>
        <v>0</v>
      </c>
      <c r="V243" s="174">
        <f t="shared" si="3"/>
        <v>1</v>
      </c>
      <c r="W243" s="175" t="str">
        <f t="shared" si="4"/>
        <v>Skill</v>
      </c>
      <c r="X243" s="54" t="str">
        <f t="shared" si="5"/>
        <v>#DIV/0!</v>
      </c>
      <c r="Y243" s="176" t="str">
        <f t="shared" si="6"/>
        <v>#DIV/0!</v>
      </c>
      <c r="Z243" s="176">
        <f t="shared" si="7"/>
        <v>2</v>
      </c>
      <c r="AA243" s="174" t="str">
        <f t="shared" si="8"/>
        <v>#DIV/0!</v>
      </c>
      <c r="AB243" s="87"/>
    </row>
    <row r="244">
      <c r="A244" s="159"/>
      <c r="B244" s="160"/>
      <c r="C244" s="161"/>
      <c r="D244" s="162"/>
      <c r="E244" s="36"/>
      <c r="F244" s="33"/>
      <c r="G244" s="163"/>
      <c r="H244" s="77"/>
      <c r="I244" s="36"/>
      <c r="J244" s="36"/>
      <c r="K244" s="36"/>
      <c r="L244" s="36"/>
      <c r="M244" s="36"/>
      <c r="N244" s="36"/>
      <c r="O244" s="37"/>
      <c r="P244" s="36"/>
      <c r="Q244" s="36"/>
      <c r="R244" s="36"/>
      <c r="S244" s="36"/>
      <c r="T244" s="36"/>
      <c r="U244" s="164">
        <f t="shared" si="2"/>
        <v>0</v>
      </c>
      <c r="V244" s="165">
        <f t="shared" si="3"/>
        <v>1</v>
      </c>
      <c r="W244" s="166" t="str">
        <f t="shared" si="4"/>
        <v>Skill</v>
      </c>
      <c r="X244" s="42" t="str">
        <f t="shared" si="5"/>
        <v>#DIV/0!</v>
      </c>
      <c r="Y244" s="167" t="str">
        <f t="shared" si="6"/>
        <v>#DIV/0!</v>
      </c>
      <c r="Z244" s="167">
        <f t="shared" si="7"/>
        <v>2</v>
      </c>
      <c r="AA244" s="165" t="str">
        <f t="shared" si="8"/>
        <v>#DIV/0!</v>
      </c>
      <c r="AB244" s="81"/>
    </row>
    <row r="245">
      <c r="A245" s="168"/>
      <c r="B245" s="169"/>
      <c r="C245" s="170"/>
      <c r="D245" s="171"/>
      <c r="E245" s="48"/>
      <c r="F245" s="45"/>
      <c r="G245" s="172"/>
      <c r="H245" s="83"/>
      <c r="I245" s="48"/>
      <c r="J245" s="48"/>
      <c r="K245" s="48"/>
      <c r="L245" s="48"/>
      <c r="M245" s="48"/>
      <c r="N245" s="48"/>
      <c r="O245" s="49"/>
      <c r="P245" s="48"/>
      <c r="Q245" s="48"/>
      <c r="R245" s="48"/>
      <c r="S245" s="48"/>
      <c r="T245" s="48"/>
      <c r="U245" s="173">
        <f t="shared" si="2"/>
        <v>0</v>
      </c>
      <c r="V245" s="174">
        <f t="shared" si="3"/>
        <v>1</v>
      </c>
      <c r="W245" s="175" t="str">
        <f t="shared" si="4"/>
        <v>Skill</v>
      </c>
      <c r="X245" s="54" t="str">
        <f t="shared" si="5"/>
        <v>#DIV/0!</v>
      </c>
      <c r="Y245" s="176" t="str">
        <f t="shared" si="6"/>
        <v>#DIV/0!</v>
      </c>
      <c r="Z245" s="176">
        <f t="shared" si="7"/>
        <v>2</v>
      </c>
      <c r="AA245" s="174" t="str">
        <f t="shared" si="8"/>
        <v>#DIV/0!</v>
      </c>
      <c r="AB245" s="87"/>
    </row>
    <row r="246">
      <c r="A246" s="159"/>
      <c r="B246" s="160"/>
      <c r="C246" s="161"/>
      <c r="D246" s="162"/>
      <c r="E246" s="36"/>
      <c r="F246" s="33"/>
      <c r="G246" s="163"/>
      <c r="H246" s="77"/>
      <c r="I246" s="36"/>
      <c r="J246" s="36"/>
      <c r="K246" s="36"/>
      <c r="L246" s="36"/>
      <c r="M246" s="36"/>
      <c r="N246" s="36"/>
      <c r="O246" s="37"/>
      <c r="P246" s="36"/>
      <c r="Q246" s="36"/>
      <c r="R246" s="36"/>
      <c r="S246" s="36"/>
      <c r="T246" s="36"/>
      <c r="U246" s="164">
        <f t="shared" si="2"/>
        <v>0</v>
      </c>
      <c r="V246" s="165">
        <f t="shared" si="3"/>
        <v>1</v>
      </c>
      <c r="W246" s="166" t="str">
        <f t="shared" si="4"/>
        <v>Skill</v>
      </c>
      <c r="X246" s="42" t="str">
        <f t="shared" si="5"/>
        <v>#DIV/0!</v>
      </c>
      <c r="Y246" s="167" t="str">
        <f t="shared" si="6"/>
        <v>#DIV/0!</v>
      </c>
      <c r="Z246" s="167">
        <f t="shared" si="7"/>
        <v>2</v>
      </c>
      <c r="AA246" s="165" t="str">
        <f t="shared" si="8"/>
        <v>#DIV/0!</v>
      </c>
      <c r="AB246" s="81"/>
    </row>
    <row r="247">
      <c r="A247" s="168"/>
      <c r="B247" s="169"/>
      <c r="C247" s="170"/>
      <c r="D247" s="171"/>
      <c r="E247" s="48"/>
      <c r="F247" s="45"/>
      <c r="G247" s="172"/>
      <c r="H247" s="83"/>
      <c r="I247" s="48"/>
      <c r="J247" s="48"/>
      <c r="K247" s="48"/>
      <c r="L247" s="48"/>
      <c r="M247" s="48"/>
      <c r="N247" s="48"/>
      <c r="O247" s="49"/>
      <c r="P247" s="48"/>
      <c r="Q247" s="48"/>
      <c r="R247" s="48"/>
      <c r="S247" s="48"/>
      <c r="T247" s="48"/>
      <c r="U247" s="173">
        <f t="shared" si="2"/>
        <v>0</v>
      </c>
      <c r="V247" s="174">
        <f t="shared" si="3"/>
        <v>1</v>
      </c>
      <c r="W247" s="175" t="str">
        <f t="shared" si="4"/>
        <v>Skill</v>
      </c>
      <c r="X247" s="54" t="str">
        <f t="shared" si="5"/>
        <v>#DIV/0!</v>
      </c>
      <c r="Y247" s="176" t="str">
        <f t="shared" si="6"/>
        <v>#DIV/0!</v>
      </c>
      <c r="Z247" s="176">
        <f t="shared" si="7"/>
        <v>2</v>
      </c>
      <c r="AA247" s="174" t="str">
        <f t="shared" si="8"/>
        <v>#DIV/0!</v>
      </c>
      <c r="AB247" s="87"/>
    </row>
    <row r="248">
      <c r="A248" s="159"/>
      <c r="B248" s="160"/>
      <c r="C248" s="161"/>
      <c r="D248" s="162"/>
      <c r="E248" s="36"/>
      <c r="F248" s="33"/>
      <c r="G248" s="163"/>
      <c r="H248" s="77"/>
      <c r="I248" s="36"/>
      <c r="J248" s="36"/>
      <c r="K248" s="36"/>
      <c r="L248" s="36"/>
      <c r="M248" s="36"/>
      <c r="N248" s="36"/>
      <c r="O248" s="37"/>
      <c r="P248" s="36"/>
      <c r="Q248" s="36"/>
      <c r="R248" s="36"/>
      <c r="S248" s="36"/>
      <c r="T248" s="36"/>
      <c r="U248" s="164">
        <f t="shared" si="2"/>
        <v>0</v>
      </c>
      <c r="V248" s="165">
        <f t="shared" si="3"/>
        <v>1</v>
      </c>
      <c r="W248" s="166" t="str">
        <f t="shared" si="4"/>
        <v>Skill</v>
      </c>
      <c r="X248" s="42" t="str">
        <f t="shared" si="5"/>
        <v>#DIV/0!</v>
      </c>
      <c r="Y248" s="167" t="str">
        <f t="shared" si="6"/>
        <v>#DIV/0!</v>
      </c>
      <c r="Z248" s="167">
        <f t="shared" si="7"/>
        <v>2</v>
      </c>
      <c r="AA248" s="165" t="str">
        <f t="shared" si="8"/>
        <v>#DIV/0!</v>
      </c>
      <c r="AB248" s="81"/>
    </row>
  </sheetData>
  <mergeCells count="2">
    <mergeCell ref="I1:N1"/>
    <mergeCell ref="O1:T1"/>
  </mergeCells>
  <conditionalFormatting sqref="AA1:AA248">
    <cfRule type="colorScale" priority="1">
      <colorScale>
        <cfvo type="min"/>
        <cfvo type="formula" val="0"/>
        <cfvo type="max"/>
        <color rgb="FFCFE2F3"/>
        <color rgb="FFFFFFFF"/>
        <color rgb="FFF4CCCC"/>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75"/>
  <cols>
    <col customWidth="1" min="1" max="1" width="10.75"/>
    <col customWidth="1" min="2" max="2" width="6.13"/>
    <col customWidth="1" min="3" max="3" width="9.13"/>
    <col customWidth="1" min="4" max="4" width="14.75"/>
    <col customWidth="1" min="5" max="5" width="9.63"/>
    <col customWidth="1" min="6" max="6" width="7.5"/>
    <col customWidth="1" min="7" max="7" width="12.75"/>
    <col customWidth="1" min="8" max="17" width="5.63"/>
    <col customWidth="1" min="18" max="18" width="9.63"/>
    <col customWidth="1" min="19" max="19" width="9.38"/>
    <col customWidth="1" min="20" max="20" width="12.88"/>
    <col customWidth="1" min="21" max="21" width="7.5"/>
    <col customWidth="1" min="22" max="22" width="15.13"/>
    <col customWidth="1" min="23" max="24" width="8.88"/>
    <col customWidth="1" min="25" max="25" width="64.5"/>
  </cols>
  <sheetData>
    <row r="1">
      <c r="A1" s="19" t="s">
        <v>111</v>
      </c>
      <c r="B1" s="154" t="s">
        <v>181</v>
      </c>
      <c r="C1" s="155" t="s">
        <v>112</v>
      </c>
      <c r="D1" s="20" t="s">
        <v>113</v>
      </c>
      <c r="E1" s="156" t="s">
        <v>132</v>
      </c>
      <c r="F1" s="20" t="s">
        <v>55</v>
      </c>
      <c r="G1" s="187" t="s">
        <v>56</v>
      </c>
      <c r="H1" s="23" t="s">
        <v>57</v>
      </c>
      <c r="I1" s="24"/>
      <c r="J1" s="24"/>
      <c r="K1" s="24"/>
      <c r="L1" s="24"/>
      <c r="M1" s="25" t="s">
        <v>58</v>
      </c>
      <c r="N1" s="24"/>
      <c r="O1" s="24"/>
      <c r="P1" s="24"/>
      <c r="Q1" s="24"/>
      <c r="R1" s="73" t="s">
        <v>40</v>
      </c>
      <c r="S1" s="30" t="s">
        <v>182</v>
      </c>
      <c r="T1" s="154" t="s">
        <v>183</v>
      </c>
      <c r="U1" s="27" t="s">
        <v>184</v>
      </c>
      <c r="V1" s="154" t="s">
        <v>185</v>
      </c>
      <c r="W1" s="27" t="s">
        <v>63</v>
      </c>
      <c r="X1" s="74" t="s">
        <v>64</v>
      </c>
      <c r="Y1" s="188"/>
    </row>
    <row r="2">
      <c r="A2" s="32" t="s">
        <v>120</v>
      </c>
      <c r="B2" s="189">
        <v>188.0</v>
      </c>
      <c r="C2" s="161">
        <f>1/50</f>
        <v>0.02</v>
      </c>
      <c r="D2" s="33" t="s">
        <v>186</v>
      </c>
      <c r="E2" s="36">
        <v>0.7</v>
      </c>
      <c r="F2" s="33">
        <v>364.0</v>
      </c>
      <c r="G2" s="190" t="s">
        <v>164</v>
      </c>
      <c r="H2" s="36">
        <v>-0.035</v>
      </c>
      <c r="I2" s="36" t="s">
        <v>101</v>
      </c>
      <c r="J2" s="36" t="s">
        <v>101</v>
      </c>
      <c r="K2" s="36" t="s">
        <v>101</v>
      </c>
      <c r="L2" s="36" t="s">
        <v>101</v>
      </c>
      <c r="M2" s="37"/>
      <c r="N2" s="36"/>
      <c r="O2" s="36"/>
      <c r="P2" s="36"/>
      <c r="Q2" s="36"/>
      <c r="R2" s="78">
        <f t="shared" ref="R2:R105" si="1">1+SUM(H2:Q2)</f>
        <v>0.965</v>
      </c>
      <c r="S2" s="42">
        <f t="shared" ref="S2:S105" si="2">F2/R2</f>
        <v>377.2020725</v>
      </c>
      <c r="T2" s="167">
        <f t="shared" ref="T2:T105" si="3">B2*2</f>
        <v>376</v>
      </c>
      <c r="U2" s="39">
        <f t="shared" ref="U2:U105" si="4">S2-T2</f>
        <v>1.202072539</v>
      </c>
      <c r="V2" s="167">
        <f t="shared" ref="V2:V105" si="5">U2/E2</f>
        <v>1.717246484</v>
      </c>
      <c r="W2" s="167">
        <f t="shared" ref="W2:W105" si="6">2500*C2/(75+C2)</f>
        <v>0.6664889363</v>
      </c>
      <c r="X2" s="165">
        <f t="shared" ref="X2:X105" si="7">(V2-W2)/V2</f>
        <v>0.6118851065</v>
      </c>
      <c r="Y2" s="191"/>
    </row>
    <row r="3">
      <c r="A3" s="44" t="s">
        <v>120</v>
      </c>
      <c r="B3" s="192">
        <v>188.0</v>
      </c>
      <c r="C3" s="170">
        <f>2/50</f>
        <v>0.04</v>
      </c>
      <c r="D3" s="45" t="s">
        <v>186</v>
      </c>
      <c r="E3" s="48">
        <v>0.7</v>
      </c>
      <c r="F3" s="45">
        <v>369.0</v>
      </c>
      <c r="G3" s="193" t="s">
        <v>150</v>
      </c>
      <c r="H3" s="48">
        <v>-0.023</v>
      </c>
      <c r="I3" s="48" t="s">
        <v>101</v>
      </c>
      <c r="J3" s="48" t="s">
        <v>101</v>
      </c>
      <c r="K3" s="48" t="s">
        <v>101</v>
      </c>
      <c r="L3" s="48" t="s">
        <v>101</v>
      </c>
      <c r="M3" s="49"/>
      <c r="N3" s="48"/>
      <c r="O3" s="48"/>
      <c r="P3" s="48"/>
      <c r="Q3" s="48"/>
      <c r="R3" s="84">
        <f t="shared" si="1"/>
        <v>0.977</v>
      </c>
      <c r="S3" s="54">
        <f t="shared" si="2"/>
        <v>377.6867963</v>
      </c>
      <c r="T3" s="176">
        <f t="shared" si="3"/>
        <v>376</v>
      </c>
      <c r="U3" s="51">
        <f t="shared" si="4"/>
        <v>1.686796315</v>
      </c>
      <c r="V3" s="176">
        <f t="shared" si="5"/>
        <v>2.409709022</v>
      </c>
      <c r="W3" s="176">
        <f t="shared" si="6"/>
        <v>1.332622601</v>
      </c>
      <c r="X3" s="174">
        <f t="shared" si="7"/>
        <v>0.4469777931</v>
      </c>
      <c r="Y3" s="194"/>
    </row>
    <row r="4">
      <c r="A4" s="32" t="s">
        <v>120</v>
      </c>
      <c r="B4" s="189">
        <v>188.0</v>
      </c>
      <c r="C4" s="161">
        <f>6/50</f>
        <v>0.12</v>
      </c>
      <c r="D4" s="33" t="s">
        <v>186</v>
      </c>
      <c r="E4" s="36">
        <v>0.7</v>
      </c>
      <c r="F4" s="33">
        <v>370.0</v>
      </c>
      <c r="G4" s="190" t="s">
        <v>150</v>
      </c>
      <c r="H4" s="36">
        <v>-0.023</v>
      </c>
      <c r="I4" s="36" t="s">
        <v>101</v>
      </c>
      <c r="J4" s="36" t="s">
        <v>101</v>
      </c>
      <c r="K4" s="36" t="s">
        <v>101</v>
      </c>
      <c r="L4" s="36" t="s">
        <v>101</v>
      </c>
      <c r="M4" s="37"/>
      <c r="N4" s="36"/>
      <c r="O4" s="36"/>
      <c r="P4" s="36"/>
      <c r="Q4" s="36"/>
      <c r="R4" s="78">
        <f t="shared" si="1"/>
        <v>0.977</v>
      </c>
      <c r="S4" s="42">
        <f t="shared" si="2"/>
        <v>378.7103378</v>
      </c>
      <c r="T4" s="167">
        <f t="shared" si="3"/>
        <v>376</v>
      </c>
      <c r="U4" s="39">
        <f t="shared" si="4"/>
        <v>2.710337769</v>
      </c>
      <c r="V4" s="167">
        <f t="shared" si="5"/>
        <v>3.871911098</v>
      </c>
      <c r="W4" s="167">
        <f t="shared" si="6"/>
        <v>3.993610224</v>
      </c>
      <c r="X4" s="165">
        <f t="shared" si="7"/>
        <v>-0.03143128095</v>
      </c>
      <c r="Y4" s="191"/>
    </row>
    <row r="5">
      <c r="A5" s="44" t="s">
        <v>166</v>
      </c>
      <c r="B5" s="169">
        <v>61.09</v>
      </c>
      <c r="C5" s="170">
        <f t="shared" ref="C5:C6" si="8">7/50</f>
        <v>0.14</v>
      </c>
      <c r="D5" s="45" t="s">
        <v>187</v>
      </c>
      <c r="E5" s="48">
        <v>1.5</v>
      </c>
      <c r="F5" s="45">
        <v>150.0</v>
      </c>
      <c r="G5" s="193" t="s">
        <v>152</v>
      </c>
      <c r="H5" s="48">
        <v>-0.035</v>
      </c>
      <c r="I5" s="48">
        <v>-0.01</v>
      </c>
      <c r="J5" s="48">
        <v>-0.06</v>
      </c>
      <c r="K5" s="48" t="s">
        <v>101</v>
      </c>
      <c r="L5" s="48" t="s">
        <v>101</v>
      </c>
      <c r="M5" s="49">
        <v>0.251</v>
      </c>
      <c r="N5" s="48"/>
      <c r="O5" s="48"/>
      <c r="P5" s="48"/>
      <c r="Q5" s="48"/>
      <c r="R5" s="84">
        <f t="shared" si="1"/>
        <v>1.146</v>
      </c>
      <c r="S5" s="54">
        <f t="shared" si="2"/>
        <v>130.8900524</v>
      </c>
      <c r="T5" s="176">
        <f t="shared" si="3"/>
        <v>122.18</v>
      </c>
      <c r="U5" s="51">
        <f t="shared" si="4"/>
        <v>8.710052356</v>
      </c>
      <c r="V5" s="176">
        <f t="shared" si="5"/>
        <v>5.806701571</v>
      </c>
      <c r="W5" s="176">
        <f t="shared" si="6"/>
        <v>4.657971786</v>
      </c>
      <c r="X5" s="174">
        <f t="shared" si="7"/>
        <v>0.1978282801</v>
      </c>
      <c r="Y5" s="194"/>
    </row>
    <row r="6">
      <c r="A6" s="32" t="s">
        <v>120</v>
      </c>
      <c r="B6" s="189">
        <v>188.0</v>
      </c>
      <c r="C6" s="161">
        <f t="shared" si="8"/>
        <v>0.14</v>
      </c>
      <c r="D6" s="33" t="s">
        <v>186</v>
      </c>
      <c r="E6" s="36">
        <v>0.7</v>
      </c>
      <c r="F6" s="33">
        <v>367.0</v>
      </c>
      <c r="G6" s="190" t="s">
        <v>144</v>
      </c>
      <c r="H6" s="36">
        <v>-0.034</v>
      </c>
      <c r="I6" s="36" t="s">
        <v>101</v>
      </c>
      <c r="J6" s="36" t="s">
        <v>101</v>
      </c>
      <c r="K6" s="36" t="s">
        <v>101</v>
      </c>
      <c r="L6" s="36" t="s">
        <v>101</v>
      </c>
      <c r="M6" s="37"/>
      <c r="N6" s="36"/>
      <c r="O6" s="36"/>
      <c r="P6" s="36"/>
      <c r="Q6" s="36"/>
      <c r="R6" s="78">
        <f t="shared" si="1"/>
        <v>0.966</v>
      </c>
      <c r="S6" s="42">
        <f t="shared" si="2"/>
        <v>379.9171843</v>
      </c>
      <c r="T6" s="167">
        <f t="shared" si="3"/>
        <v>376</v>
      </c>
      <c r="U6" s="39">
        <f t="shared" si="4"/>
        <v>3.917184265</v>
      </c>
      <c r="V6" s="167">
        <f t="shared" si="5"/>
        <v>5.595977521</v>
      </c>
      <c r="W6" s="167">
        <f t="shared" si="6"/>
        <v>4.657971786</v>
      </c>
      <c r="X6" s="165">
        <f t="shared" si="7"/>
        <v>0.1676214266</v>
      </c>
      <c r="Y6" s="191"/>
    </row>
    <row r="7">
      <c r="A7" s="44" t="s">
        <v>120</v>
      </c>
      <c r="B7" s="192">
        <v>188.0</v>
      </c>
      <c r="C7" s="170">
        <f>14/50</f>
        <v>0.28</v>
      </c>
      <c r="D7" s="45" t="s">
        <v>186</v>
      </c>
      <c r="E7" s="48">
        <v>0.7</v>
      </c>
      <c r="F7" s="45">
        <v>370.0</v>
      </c>
      <c r="G7" s="193" t="s">
        <v>144</v>
      </c>
      <c r="H7" s="48">
        <v>-0.034</v>
      </c>
      <c r="I7" s="48" t="s">
        <v>101</v>
      </c>
      <c r="J7" s="48" t="s">
        <v>101</v>
      </c>
      <c r="K7" s="48" t="s">
        <v>101</v>
      </c>
      <c r="L7" s="48" t="s">
        <v>101</v>
      </c>
      <c r="M7" s="49"/>
      <c r="N7" s="48"/>
      <c r="O7" s="48"/>
      <c r="P7" s="48"/>
      <c r="Q7" s="48"/>
      <c r="R7" s="84">
        <f t="shared" si="1"/>
        <v>0.966</v>
      </c>
      <c r="S7" s="54">
        <f t="shared" si="2"/>
        <v>383.0227743</v>
      </c>
      <c r="T7" s="176">
        <f t="shared" si="3"/>
        <v>376</v>
      </c>
      <c r="U7" s="51">
        <f t="shared" si="4"/>
        <v>7.022774327</v>
      </c>
      <c r="V7" s="176">
        <f t="shared" si="5"/>
        <v>10.03253475</v>
      </c>
      <c r="W7" s="176">
        <f t="shared" si="6"/>
        <v>9.298618491</v>
      </c>
      <c r="X7" s="174">
        <f t="shared" si="7"/>
        <v>0.0731536227</v>
      </c>
      <c r="Y7" s="194"/>
    </row>
    <row r="8">
      <c r="A8" s="32" t="s">
        <v>120</v>
      </c>
      <c r="B8" s="189">
        <v>188.0</v>
      </c>
      <c r="C8" s="161">
        <f>15/50</f>
        <v>0.3</v>
      </c>
      <c r="D8" s="33" t="s">
        <v>186</v>
      </c>
      <c r="E8" s="36">
        <v>0.7</v>
      </c>
      <c r="F8" s="33">
        <v>332.0</v>
      </c>
      <c r="G8" s="190" t="s">
        <v>149</v>
      </c>
      <c r="H8" s="36">
        <v>-0.025</v>
      </c>
      <c r="I8" s="36">
        <v>-0.01</v>
      </c>
      <c r="J8" s="36">
        <v>-0.1</v>
      </c>
      <c r="K8" s="36" t="s">
        <v>101</v>
      </c>
      <c r="L8" s="36" t="s">
        <v>101</v>
      </c>
      <c r="M8" s="37"/>
      <c r="N8" s="36"/>
      <c r="O8" s="36"/>
      <c r="P8" s="36"/>
      <c r="Q8" s="36"/>
      <c r="R8" s="78">
        <f t="shared" si="1"/>
        <v>0.865</v>
      </c>
      <c r="S8" s="42">
        <f t="shared" si="2"/>
        <v>383.8150289</v>
      </c>
      <c r="T8" s="167">
        <f t="shared" si="3"/>
        <v>376</v>
      </c>
      <c r="U8" s="39">
        <f t="shared" si="4"/>
        <v>7.815028902</v>
      </c>
      <c r="V8" s="167">
        <f t="shared" si="5"/>
        <v>11.164327</v>
      </c>
      <c r="W8" s="167">
        <f t="shared" si="6"/>
        <v>9.960159363</v>
      </c>
      <c r="X8" s="165">
        <f t="shared" si="7"/>
        <v>0.1078585068</v>
      </c>
      <c r="Y8" s="191"/>
    </row>
    <row r="9">
      <c r="A9" s="44" t="s">
        <v>120</v>
      </c>
      <c r="B9" s="192">
        <v>188.0</v>
      </c>
      <c r="C9" s="170">
        <f>18/50</f>
        <v>0.36</v>
      </c>
      <c r="D9" s="45" t="s">
        <v>186</v>
      </c>
      <c r="E9" s="48">
        <v>0.7</v>
      </c>
      <c r="F9" s="45">
        <v>333.0</v>
      </c>
      <c r="G9" s="193" t="s">
        <v>149</v>
      </c>
      <c r="H9" s="48">
        <v>-0.025</v>
      </c>
      <c r="I9" s="48">
        <v>-0.01</v>
      </c>
      <c r="J9" s="48">
        <v>-0.1</v>
      </c>
      <c r="K9" s="48" t="s">
        <v>101</v>
      </c>
      <c r="L9" s="48" t="s">
        <v>101</v>
      </c>
      <c r="M9" s="49"/>
      <c r="N9" s="48"/>
      <c r="O9" s="48"/>
      <c r="P9" s="48"/>
      <c r="Q9" s="48"/>
      <c r="R9" s="84">
        <f t="shared" si="1"/>
        <v>0.865</v>
      </c>
      <c r="S9" s="54">
        <f t="shared" si="2"/>
        <v>384.9710983</v>
      </c>
      <c r="T9" s="176">
        <f t="shared" si="3"/>
        <v>376</v>
      </c>
      <c r="U9" s="51">
        <f t="shared" si="4"/>
        <v>8.971098266</v>
      </c>
      <c r="V9" s="176">
        <f t="shared" si="5"/>
        <v>12.81585467</v>
      </c>
      <c r="W9" s="176">
        <f t="shared" si="6"/>
        <v>11.94267516</v>
      </c>
      <c r="X9" s="174">
        <f t="shared" si="7"/>
        <v>0.06813275658</v>
      </c>
      <c r="Y9" s="194"/>
    </row>
    <row r="10">
      <c r="A10" s="32" t="s">
        <v>120</v>
      </c>
      <c r="B10" s="189">
        <v>188.0</v>
      </c>
      <c r="C10" s="161">
        <f>24/50</f>
        <v>0.48</v>
      </c>
      <c r="D10" s="33" t="s">
        <v>186</v>
      </c>
      <c r="E10" s="36">
        <v>0.7</v>
      </c>
      <c r="F10" s="33">
        <v>335.0</v>
      </c>
      <c r="G10" s="190" t="s">
        <v>149</v>
      </c>
      <c r="H10" s="36">
        <v>-0.025</v>
      </c>
      <c r="I10" s="36">
        <v>-0.01</v>
      </c>
      <c r="J10" s="36">
        <v>-0.1</v>
      </c>
      <c r="K10" s="36" t="s">
        <v>101</v>
      </c>
      <c r="L10" s="36" t="s">
        <v>101</v>
      </c>
      <c r="M10" s="37"/>
      <c r="N10" s="36"/>
      <c r="O10" s="36"/>
      <c r="P10" s="36"/>
      <c r="Q10" s="36"/>
      <c r="R10" s="78">
        <f t="shared" si="1"/>
        <v>0.865</v>
      </c>
      <c r="S10" s="42">
        <f t="shared" si="2"/>
        <v>387.283237</v>
      </c>
      <c r="T10" s="167">
        <f t="shared" si="3"/>
        <v>376</v>
      </c>
      <c r="U10" s="39">
        <f t="shared" si="4"/>
        <v>11.28323699</v>
      </c>
      <c r="V10" s="167">
        <f t="shared" si="5"/>
        <v>16.11890999</v>
      </c>
      <c r="W10" s="167">
        <f t="shared" si="6"/>
        <v>15.89825119</v>
      </c>
      <c r="X10" s="165">
        <f t="shared" si="7"/>
        <v>0.01368943678</v>
      </c>
      <c r="Y10" s="191"/>
    </row>
    <row r="11">
      <c r="A11" s="44" t="s">
        <v>166</v>
      </c>
      <c r="B11" s="169">
        <v>61.09</v>
      </c>
      <c r="C11" s="170">
        <f t="shared" ref="C11:C12" si="9">30/50</f>
        <v>0.6</v>
      </c>
      <c r="D11" s="45" t="s">
        <v>187</v>
      </c>
      <c r="E11" s="48">
        <v>1.5</v>
      </c>
      <c r="F11" s="45">
        <v>176.0</v>
      </c>
      <c r="G11" s="193" t="s">
        <v>144</v>
      </c>
      <c r="H11" s="48">
        <v>-0.035</v>
      </c>
      <c r="I11" s="48">
        <v>-0.01</v>
      </c>
      <c r="J11" s="48">
        <v>-0.06</v>
      </c>
      <c r="K11" s="48" t="s">
        <v>101</v>
      </c>
      <c r="L11" s="48" t="s">
        <v>101</v>
      </c>
      <c r="M11" s="49">
        <v>0.251</v>
      </c>
      <c r="N11" s="48"/>
      <c r="O11" s="48"/>
      <c r="P11" s="48"/>
      <c r="Q11" s="48"/>
      <c r="R11" s="84">
        <f t="shared" si="1"/>
        <v>1.146</v>
      </c>
      <c r="S11" s="54">
        <f t="shared" si="2"/>
        <v>153.5776614</v>
      </c>
      <c r="T11" s="176">
        <f t="shared" si="3"/>
        <v>122.18</v>
      </c>
      <c r="U11" s="51">
        <f t="shared" si="4"/>
        <v>31.39766143</v>
      </c>
      <c r="V11" s="176">
        <f t="shared" si="5"/>
        <v>20.93177429</v>
      </c>
      <c r="W11" s="176">
        <f t="shared" si="6"/>
        <v>19.84126984</v>
      </c>
      <c r="X11" s="174">
        <f t="shared" si="7"/>
        <v>0.05209804153</v>
      </c>
      <c r="Y11" s="194"/>
    </row>
    <row r="12">
      <c r="A12" s="32" t="s">
        <v>166</v>
      </c>
      <c r="B12" s="160">
        <v>61.09</v>
      </c>
      <c r="C12" s="161">
        <f t="shared" si="9"/>
        <v>0.6</v>
      </c>
      <c r="D12" s="33" t="s">
        <v>187</v>
      </c>
      <c r="E12" s="36">
        <v>1.5</v>
      </c>
      <c r="F12" s="33">
        <v>176.0</v>
      </c>
      <c r="G12" s="190" t="s">
        <v>152</v>
      </c>
      <c r="H12" s="36">
        <v>-0.035</v>
      </c>
      <c r="I12" s="36">
        <v>-0.01</v>
      </c>
      <c r="J12" s="36">
        <v>-0.06</v>
      </c>
      <c r="K12" s="36" t="s">
        <v>101</v>
      </c>
      <c r="L12" s="36" t="s">
        <v>101</v>
      </c>
      <c r="M12" s="37">
        <v>0.251</v>
      </c>
      <c r="N12" s="36"/>
      <c r="O12" s="36"/>
      <c r="P12" s="36"/>
      <c r="Q12" s="36"/>
      <c r="R12" s="78">
        <f t="shared" si="1"/>
        <v>1.146</v>
      </c>
      <c r="S12" s="42">
        <f t="shared" si="2"/>
        <v>153.5776614</v>
      </c>
      <c r="T12" s="167">
        <f t="shared" si="3"/>
        <v>122.18</v>
      </c>
      <c r="U12" s="39">
        <f t="shared" si="4"/>
        <v>31.39766143</v>
      </c>
      <c r="V12" s="167">
        <f t="shared" si="5"/>
        <v>20.93177429</v>
      </c>
      <c r="W12" s="167">
        <f t="shared" si="6"/>
        <v>19.84126984</v>
      </c>
      <c r="X12" s="165">
        <f t="shared" si="7"/>
        <v>0.05209804153</v>
      </c>
      <c r="Y12" s="191"/>
    </row>
    <row r="13">
      <c r="A13" s="44" t="s">
        <v>120</v>
      </c>
      <c r="B13" s="192">
        <v>188.0</v>
      </c>
      <c r="C13" s="170">
        <f>31/50</f>
        <v>0.62</v>
      </c>
      <c r="D13" s="45" t="s">
        <v>186</v>
      </c>
      <c r="E13" s="48">
        <v>0.7</v>
      </c>
      <c r="F13" s="45">
        <v>338.0</v>
      </c>
      <c r="G13" s="193" t="s">
        <v>149</v>
      </c>
      <c r="H13" s="48">
        <v>-0.025</v>
      </c>
      <c r="I13" s="48">
        <v>-0.01</v>
      </c>
      <c r="J13" s="48">
        <v>-0.1</v>
      </c>
      <c r="K13" s="48" t="s">
        <v>101</v>
      </c>
      <c r="L13" s="48" t="s">
        <v>101</v>
      </c>
      <c r="M13" s="49"/>
      <c r="N13" s="48"/>
      <c r="O13" s="48"/>
      <c r="P13" s="48"/>
      <c r="Q13" s="48"/>
      <c r="R13" s="84">
        <f t="shared" si="1"/>
        <v>0.865</v>
      </c>
      <c r="S13" s="54">
        <f t="shared" si="2"/>
        <v>390.7514451</v>
      </c>
      <c r="T13" s="176">
        <f t="shared" si="3"/>
        <v>376</v>
      </c>
      <c r="U13" s="51">
        <f t="shared" si="4"/>
        <v>14.75144509</v>
      </c>
      <c r="V13" s="176">
        <f t="shared" si="5"/>
        <v>21.07349298</v>
      </c>
      <c r="W13" s="176">
        <f t="shared" si="6"/>
        <v>20.49722296</v>
      </c>
      <c r="X13" s="174">
        <f t="shared" si="7"/>
        <v>0.02734572881</v>
      </c>
      <c r="Y13" s="194"/>
    </row>
    <row r="14">
      <c r="A14" s="32" t="s">
        <v>120</v>
      </c>
      <c r="B14" s="189">
        <v>188.0</v>
      </c>
      <c r="C14" s="195">
        <f>37/50</f>
        <v>0.74</v>
      </c>
      <c r="D14" s="33" t="s">
        <v>186</v>
      </c>
      <c r="E14" s="36">
        <v>0.7</v>
      </c>
      <c r="F14" s="33">
        <v>380.0</v>
      </c>
      <c r="G14" s="190" t="s">
        <v>150</v>
      </c>
      <c r="H14" s="36">
        <v>-0.025</v>
      </c>
      <c r="I14" s="36">
        <v>-0.01</v>
      </c>
      <c r="J14" s="36" t="s">
        <v>101</v>
      </c>
      <c r="K14" s="36" t="s">
        <v>101</v>
      </c>
      <c r="L14" s="36"/>
      <c r="M14" s="37"/>
      <c r="N14" s="36"/>
      <c r="O14" s="36"/>
      <c r="P14" s="36"/>
      <c r="Q14" s="36"/>
      <c r="R14" s="78">
        <f t="shared" si="1"/>
        <v>0.965</v>
      </c>
      <c r="S14" s="42">
        <f t="shared" si="2"/>
        <v>393.7823834</v>
      </c>
      <c r="T14" s="167">
        <f t="shared" si="3"/>
        <v>376</v>
      </c>
      <c r="U14" s="39">
        <f t="shared" si="4"/>
        <v>17.78238342</v>
      </c>
      <c r="V14" s="167">
        <f t="shared" si="5"/>
        <v>25.40340489</v>
      </c>
      <c r="W14" s="167">
        <f t="shared" si="6"/>
        <v>24.42566675</v>
      </c>
      <c r="X14" s="165">
        <f t="shared" si="7"/>
        <v>0.03848846779</v>
      </c>
      <c r="Y14" s="191"/>
    </row>
    <row r="15">
      <c r="A15" s="44" t="s">
        <v>166</v>
      </c>
      <c r="B15" s="169">
        <v>61.09</v>
      </c>
      <c r="C15" s="170">
        <f>38/50</f>
        <v>0.76</v>
      </c>
      <c r="D15" s="45" t="s">
        <v>188</v>
      </c>
      <c r="E15" s="48">
        <v>2.0</v>
      </c>
      <c r="F15" s="45">
        <v>230.0</v>
      </c>
      <c r="G15" s="193" t="s">
        <v>144</v>
      </c>
      <c r="H15" s="48">
        <v>-0.035</v>
      </c>
      <c r="I15" s="48">
        <v>-0.01</v>
      </c>
      <c r="J15" s="48">
        <v>-0.06</v>
      </c>
      <c r="K15" s="48">
        <v>0.178</v>
      </c>
      <c r="L15" s="48"/>
      <c r="M15" s="49">
        <v>0.251</v>
      </c>
      <c r="N15" s="48"/>
      <c r="O15" s="48"/>
      <c r="P15" s="48"/>
      <c r="Q15" s="48"/>
      <c r="R15" s="84">
        <f t="shared" si="1"/>
        <v>1.324</v>
      </c>
      <c r="S15" s="54">
        <f t="shared" si="2"/>
        <v>173.7160121</v>
      </c>
      <c r="T15" s="176">
        <f t="shared" si="3"/>
        <v>122.18</v>
      </c>
      <c r="U15" s="51">
        <f t="shared" si="4"/>
        <v>51.53601208</v>
      </c>
      <c r="V15" s="176">
        <f t="shared" si="5"/>
        <v>25.76800604</v>
      </c>
      <c r="W15" s="176">
        <f t="shared" si="6"/>
        <v>25.07919747</v>
      </c>
      <c r="X15" s="174">
        <f t="shared" si="7"/>
        <v>0.02673115551</v>
      </c>
      <c r="Y15" s="194"/>
    </row>
    <row r="16">
      <c r="A16" s="32" t="s">
        <v>166</v>
      </c>
      <c r="B16" s="160">
        <f>59+13.09</f>
        <v>72.09</v>
      </c>
      <c r="C16" s="161">
        <f>46/50</f>
        <v>0.92</v>
      </c>
      <c r="D16" s="33" t="s">
        <v>188</v>
      </c>
      <c r="E16" s="36">
        <v>2.0</v>
      </c>
      <c r="F16" s="33">
        <v>272.0</v>
      </c>
      <c r="G16" s="190" t="s">
        <v>144</v>
      </c>
      <c r="H16" s="36">
        <v>-0.035</v>
      </c>
      <c r="I16" s="36">
        <v>-0.01</v>
      </c>
      <c r="J16" s="36">
        <v>-0.06</v>
      </c>
      <c r="K16" s="36">
        <v>0.178</v>
      </c>
      <c r="L16" s="36"/>
      <c r="M16" s="37">
        <v>0.248</v>
      </c>
      <c r="N16" s="36"/>
      <c r="O16" s="36"/>
      <c r="P16" s="36"/>
      <c r="Q16" s="36"/>
      <c r="R16" s="78">
        <f t="shared" si="1"/>
        <v>1.321</v>
      </c>
      <c r="S16" s="42">
        <f t="shared" si="2"/>
        <v>205.9046177</v>
      </c>
      <c r="T16" s="167">
        <f t="shared" si="3"/>
        <v>144.18</v>
      </c>
      <c r="U16" s="39">
        <f t="shared" si="4"/>
        <v>61.72461771</v>
      </c>
      <c r="V16" s="167">
        <f t="shared" si="5"/>
        <v>30.86230886</v>
      </c>
      <c r="W16" s="167">
        <f t="shared" si="6"/>
        <v>30.29504742</v>
      </c>
      <c r="X16" s="165">
        <f t="shared" si="7"/>
        <v>0.01838039536</v>
      </c>
      <c r="Y16" s="191"/>
    </row>
    <row r="17">
      <c r="A17" s="44" t="s">
        <v>166</v>
      </c>
      <c r="B17" s="169">
        <v>61.09</v>
      </c>
      <c r="C17" s="170">
        <f>47/50</f>
        <v>0.94</v>
      </c>
      <c r="D17" s="45" t="s">
        <v>188</v>
      </c>
      <c r="E17" s="48">
        <v>2.0</v>
      </c>
      <c r="F17" s="45">
        <v>246.0</v>
      </c>
      <c r="G17" s="193" t="s">
        <v>144</v>
      </c>
      <c r="H17" s="48">
        <v>-0.035</v>
      </c>
      <c r="I17" s="48">
        <v>-0.01</v>
      </c>
      <c r="J17" s="48">
        <v>-0.06</v>
      </c>
      <c r="K17" s="48">
        <v>0.178</v>
      </c>
      <c r="L17" s="48"/>
      <c r="M17" s="49">
        <v>0.251</v>
      </c>
      <c r="N17" s="48"/>
      <c r="O17" s="48"/>
      <c r="P17" s="48"/>
      <c r="Q17" s="48"/>
      <c r="R17" s="84">
        <f t="shared" si="1"/>
        <v>1.324</v>
      </c>
      <c r="S17" s="54">
        <f t="shared" si="2"/>
        <v>185.8006042</v>
      </c>
      <c r="T17" s="176">
        <f t="shared" si="3"/>
        <v>122.18</v>
      </c>
      <c r="U17" s="51">
        <f t="shared" si="4"/>
        <v>63.62060423</v>
      </c>
      <c r="V17" s="176">
        <f t="shared" si="5"/>
        <v>31.81030211</v>
      </c>
      <c r="W17" s="176">
        <f t="shared" si="6"/>
        <v>30.94548328</v>
      </c>
      <c r="X17" s="174">
        <f t="shared" si="7"/>
        <v>0.02718675338</v>
      </c>
      <c r="Y17" s="194"/>
    </row>
    <row r="18">
      <c r="A18" s="32" t="s">
        <v>120</v>
      </c>
      <c r="B18" s="189">
        <v>188.0</v>
      </c>
      <c r="C18" s="195">
        <f>50/50</f>
        <v>1</v>
      </c>
      <c r="D18" s="33" t="s">
        <v>186</v>
      </c>
      <c r="E18" s="36">
        <v>0.7</v>
      </c>
      <c r="F18" s="33">
        <v>385.0</v>
      </c>
      <c r="G18" s="190" t="s">
        <v>150</v>
      </c>
      <c r="H18" s="36">
        <v>-0.025</v>
      </c>
      <c r="I18" s="36">
        <v>-0.01</v>
      </c>
      <c r="J18" s="36" t="s">
        <v>101</v>
      </c>
      <c r="K18" s="36"/>
      <c r="L18" s="36"/>
      <c r="M18" s="37"/>
      <c r="N18" s="36"/>
      <c r="O18" s="36"/>
      <c r="P18" s="36"/>
      <c r="Q18" s="36"/>
      <c r="R18" s="78">
        <f t="shared" si="1"/>
        <v>0.965</v>
      </c>
      <c r="S18" s="42">
        <f t="shared" si="2"/>
        <v>398.9637306</v>
      </c>
      <c r="T18" s="167">
        <f t="shared" si="3"/>
        <v>376</v>
      </c>
      <c r="U18" s="39">
        <f t="shared" si="4"/>
        <v>22.96373057</v>
      </c>
      <c r="V18" s="167">
        <f t="shared" si="5"/>
        <v>32.80532939</v>
      </c>
      <c r="W18" s="167">
        <f t="shared" si="6"/>
        <v>32.89473684</v>
      </c>
      <c r="X18" s="165">
        <f t="shared" si="7"/>
        <v>-0.002725394262</v>
      </c>
      <c r="Y18" s="191"/>
    </row>
    <row r="19">
      <c r="A19" s="44" t="s">
        <v>166</v>
      </c>
      <c r="B19" s="169">
        <f t="shared" ref="B19:B20" si="10">59+13.09</f>
        <v>72.09</v>
      </c>
      <c r="C19" s="170">
        <f>52/50</f>
        <v>1.04</v>
      </c>
      <c r="D19" s="45" t="s">
        <v>188</v>
      </c>
      <c r="E19" s="48">
        <v>2.0</v>
      </c>
      <c r="F19" s="45">
        <v>283.0</v>
      </c>
      <c r="G19" s="193" t="s">
        <v>144</v>
      </c>
      <c r="H19" s="48">
        <v>-0.035</v>
      </c>
      <c r="I19" s="48">
        <v>-0.01</v>
      </c>
      <c r="J19" s="48">
        <v>-0.06</v>
      </c>
      <c r="K19" s="48">
        <v>0.178</v>
      </c>
      <c r="L19" s="48"/>
      <c r="M19" s="49">
        <v>0.248</v>
      </c>
      <c r="N19" s="48"/>
      <c r="O19" s="48"/>
      <c r="P19" s="48"/>
      <c r="Q19" s="48"/>
      <c r="R19" s="84">
        <f t="shared" si="1"/>
        <v>1.321</v>
      </c>
      <c r="S19" s="54">
        <f t="shared" si="2"/>
        <v>214.2316427</v>
      </c>
      <c r="T19" s="176">
        <f t="shared" si="3"/>
        <v>144.18</v>
      </c>
      <c r="U19" s="51">
        <f t="shared" si="4"/>
        <v>70.05164269</v>
      </c>
      <c r="V19" s="176">
        <f t="shared" si="5"/>
        <v>35.02582135</v>
      </c>
      <c r="W19" s="176">
        <f t="shared" si="6"/>
        <v>34.19253025</v>
      </c>
      <c r="X19" s="174">
        <f t="shared" si="7"/>
        <v>0.02379076545</v>
      </c>
      <c r="Y19" s="194"/>
    </row>
    <row r="20">
      <c r="A20" s="32" t="s">
        <v>166</v>
      </c>
      <c r="B20" s="160">
        <f t="shared" si="10"/>
        <v>72.09</v>
      </c>
      <c r="C20" s="161">
        <f>61/50</f>
        <v>1.22</v>
      </c>
      <c r="D20" s="33" t="s">
        <v>187</v>
      </c>
      <c r="E20" s="36">
        <v>1.5</v>
      </c>
      <c r="F20" s="33">
        <v>235.0</v>
      </c>
      <c r="G20" s="190" t="s">
        <v>144</v>
      </c>
      <c r="H20" s="36">
        <v>-0.035</v>
      </c>
      <c r="I20" s="36">
        <v>-0.01</v>
      </c>
      <c r="J20" s="36">
        <v>-0.06</v>
      </c>
      <c r="K20" s="36"/>
      <c r="L20" s="36"/>
      <c r="M20" s="37">
        <v>0.248</v>
      </c>
      <c r="N20" s="36"/>
      <c r="O20" s="36"/>
      <c r="P20" s="36"/>
      <c r="Q20" s="36"/>
      <c r="R20" s="78">
        <f t="shared" si="1"/>
        <v>1.143</v>
      </c>
      <c r="S20" s="42">
        <f t="shared" si="2"/>
        <v>205.5993001</v>
      </c>
      <c r="T20" s="167">
        <f t="shared" si="3"/>
        <v>144.18</v>
      </c>
      <c r="U20" s="39">
        <f t="shared" si="4"/>
        <v>61.41930009</v>
      </c>
      <c r="V20" s="167">
        <f t="shared" si="5"/>
        <v>40.94620006</v>
      </c>
      <c r="W20" s="167">
        <f t="shared" si="6"/>
        <v>40.0157439</v>
      </c>
      <c r="X20" s="165">
        <f t="shared" si="7"/>
        <v>0.02272387078</v>
      </c>
      <c r="Y20" s="191"/>
    </row>
    <row r="21">
      <c r="A21" s="44" t="s">
        <v>166</v>
      </c>
      <c r="B21" s="169">
        <v>1.0</v>
      </c>
      <c r="C21" s="170">
        <f t="shared" ref="C21:C23" si="11">62/50</f>
        <v>1.24</v>
      </c>
      <c r="D21" s="45" t="s">
        <v>187</v>
      </c>
      <c r="E21" s="48">
        <v>1.5</v>
      </c>
      <c r="F21" s="45">
        <v>76.0</v>
      </c>
      <c r="G21" s="193" t="s">
        <v>163</v>
      </c>
      <c r="H21" s="48">
        <v>-0.024</v>
      </c>
      <c r="I21" s="48">
        <v>-0.01</v>
      </c>
      <c r="J21" s="48" t="s">
        <v>101</v>
      </c>
      <c r="K21" s="48"/>
      <c r="L21" s="48"/>
      <c r="M21" s="49">
        <v>0.248</v>
      </c>
      <c r="N21" s="48"/>
      <c r="O21" s="48"/>
      <c r="P21" s="48"/>
      <c r="Q21" s="48"/>
      <c r="R21" s="84">
        <f t="shared" si="1"/>
        <v>1.214</v>
      </c>
      <c r="S21" s="54">
        <f t="shared" si="2"/>
        <v>62.6029654</v>
      </c>
      <c r="T21" s="176">
        <f t="shared" si="3"/>
        <v>2</v>
      </c>
      <c r="U21" s="51">
        <f t="shared" si="4"/>
        <v>60.6029654</v>
      </c>
      <c r="V21" s="176">
        <f t="shared" si="5"/>
        <v>40.40197694</v>
      </c>
      <c r="W21" s="176">
        <f t="shared" si="6"/>
        <v>40.6610703</v>
      </c>
      <c r="X21" s="174">
        <f t="shared" si="7"/>
        <v>-0.006412888383</v>
      </c>
      <c r="Y21" s="194"/>
    </row>
    <row r="22">
      <c r="A22" s="32" t="s">
        <v>166</v>
      </c>
      <c r="B22" s="160">
        <v>1.0</v>
      </c>
      <c r="C22" s="161">
        <f t="shared" si="11"/>
        <v>1.24</v>
      </c>
      <c r="D22" s="33" t="s">
        <v>187</v>
      </c>
      <c r="E22" s="36">
        <v>1.5</v>
      </c>
      <c r="F22" s="33">
        <v>70.0</v>
      </c>
      <c r="G22" s="190" t="s">
        <v>189</v>
      </c>
      <c r="H22" s="36">
        <v>-0.024</v>
      </c>
      <c r="I22" s="36">
        <v>-0.01</v>
      </c>
      <c r="J22" s="36">
        <v>-0.1</v>
      </c>
      <c r="K22" s="36"/>
      <c r="L22" s="36"/>
      <c r="M22" s="37">
        <v>0.248</v>
      </c>
      <c r="N22" s="36"/>
      <c r="O22" s="36"/>
      <c r="P22" s="36"/>
      <c r="Q22" s="36"/>
      <c r="R22" s="78">
        <f t="shared" si="1"/>
        <v>1.114</v>
      </c>
      <c r="S22" s="42">
        <f t="shared" si="2"/>
        <v>62.83662478</v>
      </c>
      <c r="T22" s="167">
        <f t="shared" si="3"/>
        <v>2</v>
      </c>
      <c r="U22" s="39">
        <f t="shared" si="4"/>
        <v>60.83662478</v>
      </c>
      <c r="V22" s="167">
        <f t="shared" si="5"/>
        <v>40.55774985</v>
      </c>
      <c r="W22" s="167">
        <f t="shared" si="6"/>
        <v>40.6610703</v>
      </c>
      <c r="X22" s="165">
        <f t="shared" si="7"/>
        <v>-0.002547489797</v>
      </c>
      <c r="Y22" s="191"/>
    </row>
    <row r="23">
      <c r="A23" s="44" t="s">
        <v>166</v>
      </c>
      <c r="B23" s="169">
        <v>1.0</v>
      </c>
      <c r="C23" s="170">
        <f t="shared" si="11"/>
        <v>1.24</v>
      </c>
      <c r="D23" s="45" t="s">
        <v>188</v>
      </c>
      <c r="E23" s="48">
        <v>2.0</v>
      </c>
      <c r="F23" s="45">
        <v>115.0</v>
      </c>
      <c r="G23" s="193" t="s">
        <v>163</v>
      </c>
      <c r="H23" s="48">
        <v>-0.024</v>
      </c>
      <c r="I23" s="48">
        <v>-0.01</v>
      </c>
      <c r="J23" s="48" t="s">
        <v>101</v>
      </c>
      <c r="K23" s="48">
        <v>0.178</v>
      </c>
      <c r="L23" s="48"/>
      <c r="M23" s="49">
        <v>0.248</v>
      </c>
      <c r="N23" s="48"/>
      <c r="O23" s="48"/>
      <c r="P23" s="48"/>
      <c r="Q23" s="48"/>
      <c r="R23" s="84">
        <f t="shared" si="1"/>
        <v>1.392</v>
      </c>
      <c r="S23" s="54">
        <f t="shared" si="2"/>
        <v>82.61494253</v>
      </c>
      <c r="T23" s="176">
        <f t="shared" si="3"/>
        <v>2</v>
      </c>
      <c r="U23" s="51">
        <f t="shared" si="4"/>
        <v>80.61494253</v>
      </c>
      <c r="V23" s="176">
        <f t="shared" si="5"/>
        <v>40.30747126</v>
      </c>
      <c r="W23" s="176">
        <f t="shared" si="6"/>
        <v>40.6610703</v>
      </c>
      <c r="X23" s="174">
        <f t="shared" si="7"/>
        <v>-0.008772543373</v>
      </c>
      <c r="Y23" s="194"/>
    </row>
    <row r="24">
      <c r="A24" s="32" t="s">
        <v>166</v>
      </c>
      <c r="B24" s="160">
        <v>61.09</v>
      </c>
      <c r="C24" s="161">
        <f t="shared" ref="C24:C26" si="12">63/50</f>
        <v>1.26</v>
      </c>
      <c r="D24" s="33" t="s">
        <v>187</v>
      </c>
      <c r="E24" s="36">
        <v>1.5</v>
      </c>
      <c r="F24" s="33">
        <v>213.0</v>
      </c>
      <c r="G24" s="190" t="s">
        <v>144</v>
      </c>
      <c r="H24" s="36">
        <v>-0.035</v>
      </c>
      <c r="I24" s="36">
        <v>-0.01</v>
      </c>
      <c r="J24" s="36">
        <v>-0.06</v>
      </c>
      <c r="K24" s="36"/>
      <c r="L24" s="36"/>
      <c r="M24" s="37">
        <v>0.251</v>
      </c>
      <c r="N24" s="36"/>
      <c r="O24" s="36"/>
      <c r="P24" s="36"/>
      <c r="Q24" s="36"/>
      <c r="R24" s="78">
        <f t="shared" si="1"/>
        <v>1.146</v>
      </c>
      <c r="S24" s="42">
        <f t="shared" si="2"/>
        <v>185.8638743</v>
      </c>
      <c r="T24" s="167">
        <f t="shared" si="3"/>
        <v>122.18</v>
      </c>
      <c r="U24" s="39">
        <f t="shared" si="4"/>
        <v>63.68387435</v>
      </c>
      <c r="V24" s="167">
        <f t="shared" si="5"/>
        <v>42.45591623</v>
      </c>
      <c r="W24" s="167">
        <f t="shared" si="6"/>
        <v>41.30605822</v>
      </c>
      <c r="X24" s="165">
        <f t="shared" si="7"/>
        <v>0.0270835754</v>
      </c>
      <c r="Y24" s="191"/>
    </row>
    <row r="25">
      <c r="A25" s="44" t="s">
        <v>166</v>
      </c>
      <c r="B25" s="169">
        <v>61.09</v>
      </c>
      <c r="C25" s="170">
        <f t="shared" si="12"/>
        <v>1.26</v>
      </c>
      <c r="D25" s="45" t="s">
        <v>187</v>
      </c>
      <c r="E25" s="48">
        <v>1.5</v>
      </c>
      <c r="F25" s="45">
        <v>213.0</v>
      </c>
      <c r="G25" s="193" t="s">
        <v>152</v>
      </c>
      <c r="H25" s="48">
        <v>-0.035</v>
      </c>
      <c r="I25" s="48">
        <v>-0.01</v>
      </c>
      <c r="J25" s="48">
        <v>-0.06</v>
      </c>
      <c r="K25" s="48"/>
      <c r="L25" s="48"/>
      <c r="M25" s="49">
        <v>0.251</v>
      </c>
      <c r="N25" s="48"/>
      <c r="O25" s="48"/>
      <c r="P25" s="48"/>
      <c r="Q25" s="48"/>
      <c r="R25" s="84">
        <f t="shared" si="1"/>
        <v>1.146</v>
      </c>
      <c r="S25" s="54">
        <f t="shared" si="2"/>
        <v>185.8638743</v>
      </c>
      <c r="T25" s="176">
        <f t="shared" si="3"/>
        <v>122.18</v>
      </c>
      <c r="U25" s="51">
        <f t="shared" si="4"/>
        <v>63.68387435</v>
      </c>
      <c r="V25" s="176">
        <f t="shared" si="5"/>
        <v>42.45591623</v>
      </c>
      <c r="W25" s="176">
        <f t="shared" si="6"/>
        <v>41.30605822</v>
      </c>
      <c r="X25" s="174">
        <f t="shared" si="7"/>
        <v>0.0270835754</v>
      </c>
      <c r="Y25" s="194"/>
    </row>
    <row r="26">
      <c r="A26" s="32" t="s">
        <v>166</v>
      </c>
      <c r="B26" s="160">
        <v>61.09</v>
      </c>
      <c r="C26" s="161">
        <f t="shared" si="12"/>
        <v>1.26</v>
      </c>
      <c r="D26" s="33" t="s">
        <v>188</v>
      </c>
      <c r="E26" s="36">
        <v>2.0</v>
      </c>
      <c r="F26" s="33">
        <v>273.0</v>
      </c>
      <c r="G26" s="190" t="s">
        <v>144</v>
      </c>
      <c r="H26" s="36">
        <v>-0.035</v>
      </c>
      <c r="I26" s="36">
        <v>-0.01</v>
      </c>
      <c r="J26" s="36">
        <v>-0.06</v>
      </c>
      <c r="K26" s="36">
        <v>0.178</v>
      </c>
      <c r="L26" s="36"/>
      <c r="M26" s="37">
        <v>0.251</v>
      </c>
      <c r="N26" s="36"/>
      <c r="O26" s="36"/>
      <c r="P26" s="36"/>
      <c r="Q26" s="36"/>
      <c r="R26" s="78">
        <f t="shared" si="1"/>
        <v>1.324</v>
      </c>
      <c r="S26" s="42">
        <f t="shared" si="2"/>
        <v>206.1933535</v>
      </c>
      <c r="T26" s="167">
        <f t="shared" si="3"/>
        <v>122.18</v>
      </c>
      <c r="U26" s="39">
        <f t="shared" si="4"/>
        <v>84.01335347</v>
      </c>
      <c r="V26" s="167">
        <f t="shared" si="5"/>
        <v>42.00667674</v>
      </c>
      <c r="W26" s="167">
        <f t="shared" si="6"/>
        <v>41.30605822</v>
      </c>
      <c r="X26" s="165">
        <f t="shared" si="7"/>
        <v>0.0166787418</v>
      </c>
      <c r="Y26" s="191"/>
    </row>
    <row r="27">
      <c r="A27" s="44" t="s">
        <v>120</v>
      </c>
      <c r="B27" s="192">
        <v>188.0</v>
      </c>
      <c r="C27" s="196">
        <f>67/50</f>
        <v>1.34</v>
      </c>
      <c r="D27" s="45" t="s">
        <v>186</v>
      </c>
      <c r="E27" s="48">
        <v>0.7</v>
      </c>
      <c r="F27" s="45">
        <v>393.0</v>
      </c>
      <c r="G27" s="193" t="s">
        <v>150</v>
      </c>
      <c r="H27" s="48">
        <v>-0.025</v>
      </c>
      <c r="I27" s="48">
        <v>-0.01</v>
      </c>
      <c r="J27" s="48" t="s">
        <v>101</v>
      </c>
      <c r="K27" s="48"/>
      <c r="L27" s="48"/>
      <c r="M27" s="49"/>
      <c r="N27" s="48"/>
      <c r="O27" s="48"/>
      <c r="P27" s="48"/>
      <c r="Q27" s="48"/>
      <c r="R27" s="84">
        <f t="shared" si="1"/>
        <v>0.965</v>
      </c>
      <c r="S27" s="54">
        <f t="shared" si="2"/>
        <v>407.253886</v>
      </c>
      <c r="T27" s="176">
        <f t="shared" si="3"/>
        <v>376</v>
      </c>
      <c r="U27" s="51">
        <f t="shared" si="4"/>
        <v>31.25388601</v>
      </c>
      <c r="V27" s="176">
        <f t="shared" si="5"/>
        <v>44.64840859</v>
      </c>
      <c r="W27" s="176">
        <f t="shared" si="6"/>
        <v>43.88263034</v>
      </c>
      <c r="X27" s="174">
        <f t="shared" si="7"/>
        <v>0.01715129996</v>
      </c>
      <c r="Y27" s="194"/>
    </row>
    <row r="28">
      <c r="A28" s="197" t="s">
        <v>120</v>
      </c>
      <c r="B28" s="198">
        <v>188.0</v>
      </c>
      <c r="C28" s="195">
        <f>69/50</f>
        <v>1.38</v>
      </c>
      <c r="D28" s="199" t="s">
        <v>186</v>
      </c>
      <c r="E28" s="182">
        <v>0.7</v>
      </c>
      <c r="F28" s="33">
        <v>385.0</v>
      </c>
      <c r="G28" s="190" t="s">
        <v>91</v>
      </c>
      <c r="H28" s="36">
        <v>-0.046</v>
      </c>
      <c r="I28" s="36">
        <v>-0.01</v>
      </c>
      <c r="J28" s="36" t="s">
        <v>101</v>
      </c>
      <c r="K28" s="36"/>
      <c r="L28" s="36"/>
      <c r="M28" s="37"/>
      <c r="N28" s="36"/>
      <c r="O28" s="36"/>
      <c r="P28" s="36"/>
      <c r="Q28" s="36"/>
      <c r="R28" s="78">
        <f t="shared" si="1"/>
        <v>0.944</v>
      </c>
      <c r="S28" s="42">
        <f t="shared" si="2"/>
        <v>407.8389831</v>
      </c>
      <c r="T28" s="167">
        <f t="shared" si="3"/>
        <v>376</v>
      </c>
      <c r="U28" s="39">
        <f t="shared" si="4"/>
        <v>31.83898305</v>
      </c>
      <c r="V28" s="167">
        <f t="shared" si="5"/>
        <v>45.4842615</v>
      </c>
      <c r="W28" s="167">
        <f t="shared" si="6"/>
        <v>45.16889238</v>
      </c>
      <c r="X28" s="165">
        <f t="shared" si="7"/>
        <v>0.006933587808</v>
      </c>
      <c r="Y28" s="191"/>
    </row>
    <row r="29">
      <c r="A29" s="44" t="s">
        <v>166</v>
      </c>
      <c r="B29" s="169">
        <v>17.0</v>
      </c>
      <c r="C29" s="170">
        <f>72/50</f>
        <v>1.44</v>
      </c>
      <c r="D29" s="45" t="s">
        <v>188</v>
      </c>
      <c r="E29" s="48">
        <v>2.0</v>
      </c>
      <c r="F29" s="45">
        <v>178.0</v>
      </c>
      <c r="G29" s="193" t="s">
        <v>163</v>
      </c>
      <c r="H29" s="48">
        <v>-0.024</v>
      </c>
      <c r="I29" s="48">
        <v>-0.01</v>
      </c>
      <c r="J29" s="48" t="s">
        <v>101</v>
      </c>
      <c r="K29" s="48">
        <v>0.178</v>
      </c>
      <c r="L29" s="48"/>
      <c r="M29" s="49">
        <v>0.248</v>
      </c>
      <c r="N29" s="48"/>
      <c r="O29" s="48"/>
      <c r="P29" s="48"/>
      <c r="Q29" s="48"/>
      <c r="R29" s="84">
        <f t="shared" si="1"/>
        <v>1.392</v>
      </c>
      <c r="S29" s="54">
        <f t="shared" si="2"/>
        <v>127.8735632</v>
      </c>
      <c r="T29" s="176">
        <f t="shared" si="3"/>
        <v>34</v>
      </c>
      <c r="U29" s="51">
        <f t="shared" si="4"/>
        <v>93.87356322</v>
      </c>
      <c r="V29" s="176">
        <f t="shared" si="5"/>
        <v>46.93678161</v>
      </c>
      <c r="W29" s="176">
        <f t="shared" si="6"/>
        <v>47.09576138</v>
      </c>
      <c r="X29" s="174">
        <f t="shared" si="7"/>
        <v>-0.003387104246</v>
      </c>
      <c r="Y29" s="194"/>
    </row>
    <row r="30">
      <c r="A30" s="197" t="s">
        <v>120</v>
      </c>
      <c r="B30" s="198">
        <v>188.0</v>
      </c>
      <c r="C30" s="195">
        <f>78/50</f>
        <v>1.56</v>
      </c>
      <c r="D30" s="199" t="s">
        <v>186</v>
      </c>
      <c r="E30" s="182">
        <v>0.7</v>
      </c>
      <c r="F30" s="33">
        <v>389.0</v>
      </c>
      <c r="G30" s="190" t="s">
        <v>91</v>
      </c>
      <c r="H30" s="36">
        <v>-0.046</v>
      </c>
      <c r="I30" s="36">
        <v>-0.01</v>
      </c>
      <c r="J30" s="36" t="s">
        <v>101</v>
      </c>
      <c r="K30" s="36"/>
      <c r="L30" s="36"/>
      <c r="M30" s="37"/>
      <c r="N30" s="36"/>
      <c r="O30" s="36"/>
      <c r="P30" s="36"/>
      <c r="Q30" s="36"/>
      <c r="R30" s="78">
        <f t="shared" si="1"/>
        <v>0.944</v>
      </c>
      <c r="S30" s="42">
        <f t="shared" si="2"/>
        <v>412.0762712</v>
      </c>
      <c r="T30" s="167">
        <f t="shared" si="3"/>
        <v>376</v>
      </c>
      <c r="U30" s="39">
        <f t="shared" si="4"/>
        <v>36.07627119</v>
      </c>
      <c r="V30" s="167">
        <f t="shared" si="5"/>
        <v>51.53753027</v>
      </c>
      <c r="W30" s="167">
        <f t="shared" si="6"/>
        <v>50.94043887</v>
      </c>
      <c r="X30" s="165">
        <f t="shared" si="7"/>
        <v>0.01158556477</v>
      </c>
      <c r="Y30" s="191"/>
    </row>
    <row r="31">
      <c r="A31" s="44" t="s">
        <v>166</v>
      </c>
      <c r="B31" s="169">
        <v>61.09</v>
      </c>
      <c r="C31" s="170">
        <f t="shared" ref="C31:C34" si="13">79/50</f>
        <v>1.58</v>
      </c>
      <c r="D31" s="45" t="s">
        <v>188</v>
      </c>
      <c r="E31" s="48">
        <v>2.0</v>
      </c>
      <c r="F31" s="45">
        <v>260.0</v>
      </c>
      <c r="G31" s="193" t="s">
        <v>144</v>
      </c>
      <c r="H31" s="48">
        <v>-0.035</v>
      </c>
      <c r="I31" s="48">
        <v>-0.01</v>
      </c>
      <c r="J31" s="48">
        <v>-0.06</v>
      </c>
      <c r="K31" s="48"/>
      <c r="L31" s="48"/>
      <c r="M31" s="49">
        <v>0.251</v>
      </c>
      <c r="N31" s="48"/>
      <c r="O31" s="48"/>
      <c r="P31" s="48"/>
      <c r="Q31" s="48"/>
      <c r="R31" s="84">
        <f t="shared" si="1"/>
        <v>1.146</v>
      </c>
      <c r="S31" s="54">
        <f t="shared" si="2"/>
        <v>226.8760908</v>
      </c>
      <c r="T31" s="176">
        <f t="shared" si="3"/>
        <v>122.18</v>
      </c>
      <c r="U31" s="51">
        <f t="shared" si="4"/>
        <v>104.6960908</v>
      </c>
      <c r="V31" s="176">
        <f t="shared" si="5"/>
        <v>52.34804538</v>
      </c>
      <c r="W31" s="176">
        <f t="shared" si="6"/>
        <v>51.58004701</v>
      </c>
      <c r="X31" s="174">
        <f t="shared" si="7"/>
        <v>0.01467100366</v>
      </c>
      <c r="Y31" s="194"/>
    </row>
    <row r="32">
      <c r="A32" s="32" t="s">
        <v>166</v>
      </c>
      <c r="B32" s="160">
        <v>25.0</v>
      </c>
      <c r="C32" s="161">
        <f t="shared" si="13"/>
        <v>1.58</v>
      </c>
      <c r="D32" s="33" t="s">
        <v>187</v>
      </c>
      <c r="E32" s="36">
        <v>1.5</v>
      </c>
      <c r="F32" s="33">
        <v>154.0</v>
      </c>
      <c r="G32" s="190" t="s">
        <v>163</v>
      </c>
      <c r="H32" s="36">
        <v>-0.024</v>
      </c>
      <c r="I32" s="36">
        <v>-0.01</v>
      </c>
      <c r="J32" s="36" t="s">
        <v>101</v>
      </c>
      <c r="K32" s="36"/>
      <c r="L32" s="36"/>
      <c r="M32" s="37">
        <v>0.248</v>
      </c>
      <c r="N32" s="36"/>
      <c r="O32" s="36"/>
      <c r="P32" s="36"/>
      <c r="Q32" s="36"/>
      <c r="R32" s="78">
        <f t="shared" si="1"/>
        <v>1.214</v>
      </c>
      <c r="S32" s="42">
        <f t="shared" si="2"/>
        <v>126.8533773</v>
      </c>
      <c r="T32" s="167">
        <f t="shared" si="3"/>
        <v>50</v>
      </c>
      <c r="U32" s="39">
        <f t="shared" si="4"/>
        <v>76.85337727</v>
      </c>
      <c r="V32" s="167">
        <f t="shared" si="5"/>
        <v>51.23558484</v>
      </c>
      <c r="W32" s="167">
        <f t="shared" si="6"/>
        <v>51.58004701</v>
      </c>
      <c r="X32" s="165">
        <f t="shared" si="7"/>
        <v>-0.006723104015</v>
      </c>
      <c r="Y32" s="191"/>
    </row>
    <row r="33">
      <c r="A33" s="44" t="s">
        <v>166</v>
      </c>
      <c r="B33" s="169">
        <v>25.0</v>
      </c>
      <c r="C33" s="170">
        <f t="shared" si="13"/>
        <v>1.58</v>
      </c>
      <c r="D33" s="45" t="s">
        <v>187</v>
      </c>
      <c r="E33" s="48">
        <v>1.5</v>
      </c>
      <c r="F33" s="45">
        <v>141.0</v>
      </c>
      <c r="G33" s="193" t="s">
        <v>189</v>
      </c>
      <c r="H33" s="48">
        <v>-0.024</v>
      </c>
      <c r="I33" s="48">
        <v>-0.01</v>
      </c>
      <c r="J33" s="48">
        <v>-0.1</v>
      </c>
      <c r="K33" s="48"/>
      <c r="L33" s="48"/>
      <c r="M33" s="49">
        <v>0.248</v>
      </c>
      <c r="N33" s="48"/>
      <c r="O33" s="48"/>
      <c r="P33" s="48"/>
      <c r="Q33" s="48"/>
      <c r="R33" s="84">
        <f t="shared" si="1"/>
        <v>1.114</v>
      </c>
      <c r="S33" s="54">
        <f t="shared" si="2"/>
        <v>126.5709156</v>
      </c>
      <c r="T33" s="176">
        <f t="shared" si="3"/>
        <v>50</v>
      </c>
      <c r="U33" s="51">
        <f t="shared" si="4"/>
        <v>76.57091562</v>
      </c>
      <c r="V33" s="176">
        <f t="shared" si="5"/>
        <v>51.04727708</v>
      </c>
      <c r="W33" s="176">
        <f t="shared" si="6"/>
        <v>51.58004701</v>
      </c>
      <c r="X33" s="174">
        <f t="shared" si="7"/>
        <v>-0.01043679429</v>
      </c>
      <c r="Y33" s="194"/>
    </row>
    <row r="34">
      <c r="A34" s="32" t="s">
        <v>166</v>
      </c>
      <c r="B34" s="160">
        <v>25.0</v>
      </c>
      <c r="C34" s="161">
        <f t="shared" si="13"/>
        <v>1.58</v>
      </c>
      <c r="D34" s="33" t="s">
        <v>188</v>
      </c>
      <c r="E34" s="36">
        <v>2.0</v>
      </c>
      <c r="F34" s="33">
        <v>197.0</v>
      </c>
      <c r="G34" s="190" t="s">
        <v>189</v>
      </c>
      <c r="H34" s="36">
        <v>-0.024</v>
      </c>
      <c r="I34" s="36">
        <v>-0.01</v>
      </c>
      <c r="J34" s="36">
        <v>-0.1</v>
      </c>
      <c r="K34" s="36">
        <v>0.178</v>
      </c>
      <c r="L34" s="36"/>
      <c r="M34" s="37">
        <v>0.248</v>
      </c>
      <c r="N34" s="36"/>
      <c r="O34" s="36"/>
      <c r="P34" s="36"/>
      <c r="Q34" s="36"/>
      <c r="R34" s="78">
        <f t="shared" si="1"/>
        <v>1.292</v>
      </c>
      <c r="S34" s="42">
        <f t="shared" si="2"/>
        <v>152.4767802</v>
      </c>
      <c r="T34" s="167">
        <f t="shared" si="3"/>
        <v>50</v>
      </c>
      <c r="U34" s="39">
        <f t="shared" si="4"/>
        <v>102.4767802</v>
      </c>
      <c r="V34" s="167">
        <f t="shared" si="5"/>
        <v>51.23839009</v>
      </c>
      <c r="W34" s="167">
        <f t="shared" si="6"/>
        <v>51.58004701</v>
      </c>
      <c r="X34" s="165">
        <f t="shared" si="7"/>
        <v>-0.006667986956</v>
      </c>
      <c r="Y34" s="191"/>
    </row>
    <row r="35">
      <c r="A35" s="200" t="s">
        <v>120</v>
      </c>
      <c r="B35" s="201">
        <v>188.0</v>
      </c>
      <c r="C35" s="196">
        <f>89/50</f>
        <v>1.78</v>
      </c>
      <c r="D35" s="202" t="s">
        <v>186</v>
      </c>
      <c r="E35" s="184">
        <v>0.7</v>
      </c>
      <c r="F35" s="45">
        <v>394.0</v>
      </c>
      <c r="G35" s="193" t="s">
        <v>91</v>
      </c>
      <c r="H35" s="48">
        <v>-0.046</v>
      </c>
      <c r="I35" s="48">
        <v>-0.01</v>
      </c>
      <c r="J35" s="48" t="s">
        <v>101</v>
      </c>
      <c r="K35" s="48"/>
      <c r="L35" s="48"/>
      <c r="M35" s="49"/>
      <c r="N35" s="48"/>
      <c r="O35" s="48"/>
      <c r="P35" s="48"/>
      <c r="Q35" s="48"/>
      <c r="R35" s="84">
        <f t="shared" si="1"/>
        <v>0.944</v>
      </c>
      <c r="S35" s="54">
        <f t="shared" si="2"/>
        <v>417.3728814</v>
      </c>
      <c r="T35" s="176">
        <f t="shared" si="3"/>
        <v>376</v>
      </c>
      <c r="U35" s="51">
        <f t="shared" si="4"/>
        <v>41.37288136</v>
      </c>
      <c r="V35" s="176">
        <f t="shared" si="5"/>
        <v>59.10411622</v>
      </c>
      <c r="W35" s="176">
        <f t="shared" si="6"/>
        <v>57.95780151</v>
      </c>
      <c r="X35" s="174">
        <f t="shared" si="7"/>
        <v>0.0193948372</v>
      </c>
      <c r="Y35" s="194"/>
    </row>
    <row r="36">
      <c r="A36" s="32" t="s">
        <v>166</v>
      </c>
      <c r="B36" s="160">
        <f>59+2.09</f>
        <v>61.09</v>
      </c>
      <c r="C36" s="161">
        <f>96/50</f>
        <v>1.92</v>
      </c>
      <c r="D36" s="33" t="s">
        <v>188</v>
      </c>
      <c r="E36" s="36">
        <v>2.0</v>
      </c>
      <c r="F36" s="33">
        <v>285.0</v>
      </c>
      <c r="G36" s="190" t="s">
        <v>144</v>
      </c>
      <c r="H36" s="36">
        <v>-0.035</v>
      </c>
      <c r="I36" s="36">
        <v>-0.01</v>
      </c>
      <c r="J36" s="36">
        <v>-0.06</v>
      </c>
      <c r="K36" s="36"/>
      <c r="L36" s="36"/>
      <c r="M36" s="37">
        <v>0.251</v>
      </c>
      <c r="N36" s="36"/>
      <c r="O36" s="36"/>
      <c r="P36" s="36"/>
      <c r="Q36" s="36"/>
      <c r="R36" s="78">
        <f t="shared" si="1"/>
        <v>1.146</v>
      </c>
      <c r="S36" s="42">
        <f t="shared" si="2"/>
        <v>248.6910995</v>
      </c>
      <c r="T36" s="167">
        <f t="shared" si="3"/>
        <v>122.18</v>
      </c>
      <c r="U36" s="39">
        <f t="shared" si="4"/>
        <v>126.5110995</v>
      </c>
      <c r="V36" s="167">
        <f t="shared" si="5"/>
        <v>63.25554974</v>
      </c>
      <c r="W36" s="167">
        <f t="shared" si="6"/>
        <v>62.4024961</v>
      </c>
      <c r="X36" s="165">
        <f t="shared" si="7"/>
        <v>0.01348583076</v>
      </c>
      <c r="Y36" s="191"/>
    </row>
    <row r="37">
      <c r="A37" s="44" t="s">
        <v>166</v>
      </c>
      <c r="B37" s="169">
        <f>59+13.09</f>
        <v>72.09</v>
      </c>
      <c r="C37" s="170">
        <f>100/50</f>
        <v>2</v>
      </c>
      <c r="D37" s="45" t="s">
        <v>187</v>
      </c>
      <c r="E37" s="48">
        <v>1.5</v>
      </c>
      <c r="F37" s="45">
        <v>278.0</v>
      </c>
      <c r="G37" s="193" t="s">
        <v>144</v>
      </c>
      <c r="H37" s="48">
        <v>-0.035</v>
      </c>
      <c r="I37" s="48">
        <v>-0.01</v>
      </c>
      <c r="J37" s="48">
        <v>-0.06</v>
      </c>
      <c r="K37" s="48"/>
      <c r="L37" s="48"/>
      <c r="M37" s="49">
        <v>0.248</v>
      </c>
      <c r="N37" s="48"/>
      <c r="O37" s="48"/>
      <c r="P37" s="48"/>
      <c r="Q37" s="48"/>
      <c r="R37" s="84">
        <f t="shared" si="1"/>
        <v>1.143</v>
      </c>
      <c r="S37" s="54">
        <f t="shared" si="2"/>
        <v>243.2195976</v>
      </c>
      <c r="T37" s="176">
        <f t="shared" si="3"/>
        <v>144.18</v>
      </c>
      <c r="U37" s="51">
        <f t="shared" si="4"/>
        <v>99.03959755</v>
      </c>
      <c r="V37" s="176">
        <f t="shared" si="5"/>
        <v>66.02639837</v>
      </c>
      <c r="W37" s="176">
        <f t="shared" si="6"/>
        <v>64.93506494</v>
      </c>
      <c r="X37" s="174">
        <f t="shared" si="7"/>
        <v>0.01652874394</v>
      </c>
      <c r="Y37" s="194"/>
    </row>
    <row r="38">
      <c r="A38" s="197" t="s">
        <v>120</v>
      </c>
      <c r="B38" s="198">
        <v>188.0</v>
      </c>
      <c r="C38" s="195">
        <f>106/50</f>
        <v>2.12</v>
      </c>
      <c r="D38" s="199" t="s">
        <v>186</v>
      </c>
      <c r="E38" s="182">
        <v>0.7</v>
      </c>
      <c r="F38" s="33">
        <v>358.0</v>
      </c>
      <c r="G38" s="190" t="s">
        <v>73</v>
      </c>
      <c r="H38" s="36">
        <v>-0.046</v>
      </c>
      <c r="I38" s="36">
        <v>-0.01</v>
      </c>
      <c r="J38" s="36">
        <v>-0.1</v>
      </c>
      <c r="K38" s="36"/>
      <c r="L38" s="36"/>
      <c r="M38" s="37"/>
      <c r="N38" s="36"/>
      <c r="O38" s="36"/>
      <c r="P38" s="36"/>
      <c r="Q38" s="36"/>
      <c r="R38" s="78">
        <f t="shared" si="1"/>
        <v>0.844</v>
      </c>
      <c r="S38" s="42">
        <f t="shared" si="2"/>
        <v>424.1706161</v>
      </c>
      <c r="T38" s="167">
        <f t="shared" si="3"/>
        <v>376</v>
      </c>
      <c r="U38" s="39">
        <f t="shared" si="4"/>
        <v>48.17061611</v>
      </c>
      <c r="V38" s="167">
        <f t="shared" si="5"/>
        <v>68.81516588</v>
      </c>
      <c r="W38" s="167">
        <f t="shared" si="6"/>
        <v>68.72406639</v>
      </c>
      <c r="X38" s="165">
        <f t="shared" si="7"/>
        <v>0.00132382863</v>
      </c>
      <c r="Y38" s="191"/>
    </row>
    <row r="39">
      <c r="A39" s="44" t="s">
        <v>166</v>
      </c>
      <c r="B39" s="169">
        <v>49.0</v>
      </c>
      <c r="C39" s="170">
        <f t="shared" ref="C39:C41" si="14">107/50</f>
        <v>2.14</v>
      </c>
      <c r="D39" s="45" t="s">
        <v>187</v>
      </c>
      <c r="E39" s="48">
        <v>1.5</v>
      </c>
      <c r="F39" s="45">
        <v>245.0</v>
      </c>
      <c r="G39" s="193" t="s">
        <v>163</v>
      </c>
      <c r="H39" s="48">
        <v>-0.024</v>
      </c>
      <c r="I39" s="48">
        <v>-0.01</v>
      </c>
      <c r="J39" s="48" t="s">
        <v>101</v>
      </c>
      <c r="K39" s="48"/>
      <c r="L39" s="48"/>
      <c r="M39" s="49">
        <v>0.248</v>
      </c>
      <c r="N39" s="48"/>
      <c r="O39" s="48"/>
      <c r="P39" s="48"/>
      <c r="Q39" s="48"/>
      <c r="R39" s="84">
        <f t="shared" si="1"/>
        <v>1.214</v>
      </c>
      <c r="S39" s="54">
        <f t="shared" si="2"/>
        <v>201.8121911</v>
      </c>
      <c r="T39" s="176">
        <f t="shared" si="3"/>
        <v>98</v>
      </c>
      <c r="U39" s="51">
        <f t="shared" si="4"/>
        <v>103.8121911</v>
      </c>
      <c r="V39" s="176">
        <f t="shared" si="5"/>
        <v>69.2081274</v>
      </c>
      <c r="W39" s="176">
        <f t="shared" si="6"/>
        <v>69.35442053</v>
      </c>
      <c r="X39" s="174">
        <f t="shared" si="7"/>
        <v>-0.002113814332</v>
      </c>
      <c r="Y39" s="194"/>
    </row>
    <row r="40">
      <c r="A40" s="32" t="s">
        <v>166</v>
      </c>
      <c r="B40" s="160">
        <v>49.0</v>
      </c>
      <c r="C40" s="161">
        <f t="shared" si="14"/>
        <v>2.14</v>
      </c>
      <c r="D40" s="33" t="s">
        <v>187</v>
      </c>
      <c r="E40" s="36">
        <v>1.5</v>
      </c>
      <c r="F40" s="33">
        <v>224.0</v>
      </c>
      <c r="G40" s="190" t="s">
        <v>189</v>
      </c>
      <c r="H40" s="36">
        <v>-0.024</v>
      </c>
      <c r="I40" s="36">
        <v>-0.01</v>
      </c>
      <c r="J40" s="36">
        <v>-0.1</v>
      </c>
      <c r="K40" s="36"/>
      <c r="L40" s="36"/>
      <c r="M40" s="37">
        <v>0.248</v>
      </c>
      <c r="N40" s="36"/>
      <c r="O40" s="36"/>
      <c r="P40" s="36"/>
      <c r="Q40" s="36"/>
      <c r="R40" s="78">
        <f t="shared" si="1"/>
        <v>1.114</v>
      </c>
      <c r="S40" s="42">
        <f t="shared" si="2"/>
        <v>201.0771993</v>
      </c>
      <c r="T40" s="167">
        <f t="shared" si="3"/>
        <v>98</v>
      </c>
      <c r="U40" s="39">
        <f t="shared" si="4"/>
        <v>103.0771993</v>
      </c>
      <c r="V40" s="167">
        <f t="shared" si="5"/>
        <v>68.71813285</v>
      </c>
      <c r="W40" s="167">
        <f t="shared" si="6"/>
        <v>69.35442053</v>
      </c>
      <c r="X40" s="165">
        <f t="shared" si="7"/>
        <v>-0.00925938545</v>
      </c>
      <c r="Y40" s="191"/>
    </row>
    <row r="41">
      <c r="A41" s="44" t="s">
        <v>166</v>
      </c>
      <c r="B41" s="169">
        <v>49.0</v>
      </c>
      <c r="C41" s="170">
        <f t="shared" si="14"/>
        <v>2.14</v>
      </c>
      <c r="D41" s="45" t="s">
        <v>188</v>
      </c>
      <c r="E41" s="48">
        <v>2.0</v>
      </c>
      <c r="F41" s="45">
        <v>329.0</v>
      </c>
      <c r="G41" s="193" t="s">
        <v>163</v>
      </c>
      <c r="H41" s="48">
        <v>-0.024</v>
      </c>
      <c r="I41" s="48">
        <v>-0.01</v>
      </c>
      <c r="J41" s="48" t="s">
        <v>101</v>
      </c>
      <c r="K41" s="48">
        <v>0.178</v>
      </c>
      <c r="L41" s="48"/>
      <c r="M41" s="49">
        <v>0.248</v>
      </c>
      <c r="N41" s="48"/>
      <c r="O41" s="48"/>
      <c r="P41" s="48"/>
      <c r="Q41" s="48"/>
      <c r="R41" s="84">
        <f t="shared" si="1"/>
        <v>1.392</v>
      </c>
      <c r="S41" s="54">
        <f t="shared" si="2"/>
        <v>236.3505747</v>
      </c>
      <c r="T41" s="176">
        <f t="shared" si="3"/>
        <v>98</v>
      </c>
      <c r="U41" s="51">
        <f t="shared" si="4"/>
        <v>138.3505747</v>
      </c>
      <c r="V41" s="176">
        <f t="shared" si="5"/>
        <v>69.17528736</v>
      </c>
      <c r="W41" s="176">
        <f t="shared" si="6"/>
        <v>69.35442053</v>
      </c>
      <c r="X41" s="174">
        <f t="shared" si="7"/>
        <v>-0.002589554516</v>
      </c>
      <c r="Y41" s="194"/>
    </row>
    <row r="42">
      <c r="A42" s="197" t="s">
        <v>120</v>
      </c>
      <c r="B42" s="198">
        <v>188.0</v>
      </c>
      <c r="C42" s="195">
        <f>114/50</f>
        <v>2.28</v>
      </c>
      <c r="D42" s="199" t="s">
        <v>186</v>
      </c>
      <c r="E42" s="182">
        <v>0.7</v>
      </c>
      <c r="F42" s="33">
        <v>404.0</v>
      </c>
      <c r="G42" s="190" t="s">
        <v>91</v>
      </c>
      <c r="H42" s="36">
        <v>-0.046</v>
      </c>
      <c r="I42" s="36">
        <v>-0.01</v>
      </c>
      <c r="J42" s="36" t="s">
        <v>101</v>
      </c>
      <c r="K42" s="36" t="s">
        <v>101</v>
      </c>
      <c r="L42" s="36" t="s">
        <v>101</v>
      </c>
      <c r="M42" s="37"/>
      <c r="N42" s="36"/>
      <c r="O42" s="36"/>
      <c r="P42" s="36"/>
      <c r="Q42" s="36"/>
      <c r="R42" s="78">
        <f t="shared" si="1"/>
        <v>0.944</v>
      </c>
      <c r="S42" s="42">
        <f t="shared" si="2"/>
        <v>427.9661017</v>
      </c>
      <c r="T42" s="167">
        <f t="shared" si="3"/>
        <v>376</v>
      </c>
      <c r="U42" s="39">
        <f t="shared" si="4"/>
        <v>51.96610169</v>
      </c>
      <c r="V42" s="167">
        <f t="shared" si="5"/>
        <v>74.23728814</v>
      </c>
      <c r="W42" s="167">
        <f t="shared" si="6"/>
        <v>73.75776398</v>
      </c>
      <c r="X42" s="165">
        <f t="shared" si="7"/>
        <v>0.006459343714</v>
      </c>
      <c r="Y42" s="191"/>
    </row>
    <row r="43">
      <c r="A43" s="200" t="s">
        <v>120</v>
      </c>
      <c r="B43" s="201">
        <v>188.0</v>
      </c>
      <c r="C43" s="196">
        <f>126/50</f>
        <v>2.52</v>
      </c>
      <c r="D43" s="202" t="s">
        <v>186</v>
      </c>
      <c r="E43" s="184">
        <v>0.7</v>
      </c>
      <c r="F43" s="45">
        <v>409.0</v>
      </c>
      <c r="G43" s="193" t="s">
        <v>91</v>
      </c>
      <c r="H43" s="48">
        <v>-0.046</v>
      </c>
      <c r="I43" s="48">
        <v>-0.01</v>
      </c>
      <c r="J43" s="48" t="s">
        <v>101</v>
      </c>
      <c r="K43" s="48" t="s">
        <v>101</v>
      </c>
      <c r="L43" s="48" t="s">
        <v>101</v>
      </c>
      <c r="M43" s="49"/>
      <c r="N43" s="48"/>
      <c r="O43" s="48"/>
      <c r="P43" s="48"/>
      <c r="Q43" s="48"/>
      <c r="R43" s="84">
        <f t="shared" si="1"/>
        <v>0.944</v>
      </c>
      <c r="S43" s="54">
        <f t="shared" si="2"/>
        <v>433.2627119</v>
      </c>
      <c r="T43" s="176">
        <f t="shared" si="3"/>
        <v>376</v>
      </c>
      <c r="U43" s="51">
        <f t="shared" si="4"/>
        <v>57.26271186</v>
      </c>
      <c r="V43" s="176">
        <f t="shared" si="5"/>
        <v>81.80387409</v>
      </c>
      <c r="W43" s="176">
        <f t="shared" si="6"/>
        <v>81.26934985</v>
      </c>
      <c r="X43" s="174">
        <f t="shared" si="7"/>
        <v>0.006534216781</v>
      </c>
      <c r="Y43" s="194"/>
    </row>
    <row r="44">
      <c r="A44" s="32" t="s">
        <v>166</v>
      </c>
      <c r="B44" s="160">
        <f>59+13.09</f>
        <v>72.09</v>
      </c>
      <c r="C44" s="160">
        <f>136/50</f>
        <v>2.72</v>
      </c>
      <c r="D44" s="33" t="s">
        <v>188</v>
      </c>
      <c r="E44" s="36">
        <v>2.0</v>
      </c>
      <c r="F44" s="33">
        <v>366.0</v>
      </c>
      <c r="G44" s="190" t="s">
        <v>144</v>
      </c>
      <c r="H44" s="36">
        <v>-0.035</v>
      </c>
      <c r="I44" s="36">
        <v>-0.01</v>
      </c>
      <c r="J44" s="36">
        <v>-0.06</v>
      </c>
      <c r="K44" s="36" t="s">
        <v>101</v>
      </c>
      <c r="L44" s="36" t="s">
        <v>101</v>
      </c>
      <c r="M44" s="37">
        <v>0.248</v>
      </c>
      <c r="N44" s="36"/>
      <c r="O44" s="36"/>
      <c r="P44" s="36"/>
      <c r="Q44" s="36"/>
      <c r="R44" s="78">
        <f t="shared" si="1"/>
        <v>1.143</v>
      </c>
      <c r="S44" s="42">
        <f t="shared" si="2"/>
        <v>320.2099738</v>
      </c>
      <c r="T44" s="167">
        <f t="shared" si="3"/>
        <v>144.18</v>
      </c>
      <c r="U44" s="39">
        <f t="shared" si="4"/>
        <v>176.0299738</v>
      </c>
      <c r="V44" s="167">
        <f t="shared" si="5"/>
        <v>88.01498688</v>
      </c>
      <c r="W44" s="167">
        <f t="shared" si="6"/>
        <v>87.49356665</v>
      </c>
      <c r="X44" s="165">
        <f t="shared" si="7"/>
        <v>0.005924220927</v>
      </c>
      <c r="Y44" s="191"/>
    </row>
    <row r="45">
      <c r="A45" s="200" t="s">
        <v>120</v>
      </c>
      <c r="B45" s="201">
        <v>188.0</v>
      </c>
      <c r="C45" s="196">
        <f>150/50</f>
        <v>3</v>
      </c>
      <c r="D45" s="202" t="s">
        <v>186</v>
      </c>
      <c r="E45" s="184">
        <v>0.7</v>
      </c>
      <c r="F45" s="45">
        <v>374.0</v>
      </c>
      <c r="G45" s="193" t="s">
        <v>73</v>
      </c>
      <c r="H45" s="48">
        <v>-0.046</v>
      </c>
      <c r="I45" s="48">
        <v>-0.01</v>
      </c>
      <c r="J45" s="48">
        <v>-0.1</v>
      </c>
      <c r="K45" s="48" t="s">
        <v>101</v>
      </c>
      <c r="L45" s="48" t="s">
        <v>101</v>
      </c>
      <c r="M45" s="49"/>
      <c r="N45" s="48"/>
      <c r="O45" s="48"/>
      <c r="P45" s="48"/>
      <c r="Q45" s="48"/>
      <c r="R45" s="84">
        <f t="shared" si="1"/>
        <v>0.844</v>
      </c>
      <c r="S45" s="54">
        <f t="shared" si="2"/>
        <v>443.1279621</v>
      </c>
      <c r="T45" s="176">
        <f t="shared" si="3"/>
        <v>376</v>
      </c>
      <c r="U45" s="51">
        <f t="shared" si="4"/>
        <v>67.12796209</v>
      </c>
      <c r="V45" s="176">
        <f t="shared" si="5"/>
        <v>95.89708869</v>
      </c>
      <c r="W45" s="176">
        <f t="shared" si="6"/>
        <v>96.15384615</v>
      </c>
      <c r="X45" s="174">
        <f t="shared" si="7"/>
        <v>-0.002677427063</v>
      </c>
      <c r="Y45" s="194"/>
    </row>
    <row r="46">
      <c r="A46" s="197" t="s">
        <v>120</v>
      </c>
      <c r="B46" s="198">
        <v>188.0</v>
      </c>
      <c r="C46" s="195">
        <f>165/50</f>
        <v>3.3</v>
      </c>
      <c r="D46" s="199" t="s">
        <v>186</v>
      </c>
      <c r="E46" s="182">
        <v>0.7</v>
      </c>
      <c r="F46" s="33">
        <v>425.0</v>
      </c>
      <c r="G46" s="190" t="s">
        <v>91</v>
      </c>
      <c r="H46" s="36">
        <v>-0.046</v>
      </c>
      <c r="I46" s="36">
        <v>-0.01</v>
      </c>
      <c r="J46" s="36" t="s">
        <v>101</v>
      </c>
      <c r="K46" s="36" t="s">
        <v>101</v>
      </c>
      <c r="L46" s="36" t="s">
        <v>101</v>
      </c>
      <c r="M46" s="37"/>
      <c r="N46" s="36"/>
      <c r="O46" s="36"/>
      <c r="P46" s="36"/>
      <c r="Q46" s="36"/>
      <c r="R46" s="78">
        <f t="shared" si="1"/>
        <v>0.944</v>
      </c>
      <c r="S46" s="42">
        <f t="shared" si="2"/>
        <v>450.2118644</v>
      </c>
      <c r="T46" s="167">
        <f t="shared" si="3"/>
        <v>376</v>
      </c>
      <c r="U46" s="39">
        <f t="shared" si="4"/>
        <v>74.21186441</v>
      </c>
      <c r="V46" s="167">
        <f t="shared" si="5"/>
        <v>106.0169492</v>
      </c>
      <c r="W46" s="167">
        <f t="shared" si="6"/>
        <v>105.3639847</v>
      </c>
      <c r="X46" s="165">
        <f t="shared" si="7"/>
        <v>0.006159057428</v>
      </c>
      <c r="Y46" s="191"/>
    </row>
    <row r="47">
      <c r="A47" s="200" t="s">
        <v>120</v>
      </c>
      <c r="B47" s="201">
        <v>188.0</v>
      </c>
      <c r="C47" s="196">
        <f>196/50</f>
        <v>3.92</v>
      </c>
      <c r="D47" s="202" t="s">
        <v>186</v>
      </c>
      <c r="E47" s="184">
        <v>0.7</v>
      </c>
      <c r="F47" s="45">
        <v>437.0</v>
      </c>
      <c r="G47" s="193" t="s">
        <v>91</v>
      </c>
      <c r="H47" s="48">
        <v>-0.046</v>
      </c>
      <c r="I47" s="48">
        <v>-0.01</v>
      </c>
      <c r="J47" s="48" t="s">
        <v>101</v>
      </c>
      <c r="K47" s="48" t="s">
        <v>101</v>
      </c>
      <c r="L47" s="48" t="s">
        <v>101</v>
      </c>
      <c r="M47" s="49"/>
      <c r="N47" s="48"/>
      <c r="O47" s="48"/>
      <c r="P47" s="48"/>
      <c r="Q47" s="48"/>
      <c r="R47" s="84">
        <f t="shared" si="1"/>
        <v>0.944</v>
      </c>
      <c r="S47" s="54">
        <f t="shared" si="2"/>
        <v>462.9237288</v>
      </c>
      <c r="T47" s="176">
        <f t="shared" si="3"/>
        <v>376</v>
      </c>
      <c r="U47" s="51">
        <f t="shared" si="4"/>
        <v>86.92372881</v>
      </c>
      <c r="V47" s="176">
        <f t="shared" si="5"/>
        <v>124.1767554</v>
      </c>
      <c r="W47" s="176">
        <f t="shared" si="6"/>
        <v>124.1763811</v>
      </c>
      <c r="X47" s="174">
        <f t="shared" si="7"/>
        <v>0.000003014271688</v>
      </c>
      <c r="Y47" s="194"/>
    </row>
    <row r="48">
      <c r="A48" s="197" t="s">
        <v>120</v>
      </c>
      <c r="B48" s="198">
        <v>188.0</v>
      </c>
      <c r="C48" s="195">
        <f>214/50</f>
        <v>4.28</v>
      </c>
      <c r="D48" s="199" t="s">
        <v>186</v>
      </c>
      <c r="E48" s="182">
        <v>0.7</v>
      </c>
      <c r="F48" s="33">
        <v>397.0</v>
      </c>
      <c r="G48" s="190" t="s">
        <v>73</v>
      </c>
      <c r="H48" s="36">
        <v>-0.046</v>
      </c>
      <c r="I48" s="36">
        <v>-0.01</v>
      </c>
      <c r="J48" s="36">
        <v>-0.1</v>
      </c>
      <c r="K48" s="36" t="s">
        <v>101</v>
      </c>
      <c r="L48" s="36" t="s">
        <v>101</v>
      </c>
      <c r="M48" s="37"/>
      <c r="N48" s="36"/>
      <c r="O48" s="36"/>
      <c r="P48" s="36"/>
      <c r="Q48" s="36"/>
      <c r="R48" s="78">
        <f t="shared" si="1"/>
        <v>0.844</v>
      </c>
      <c r="S48" s="42">
        <f t="shared" si="2"/>
        <v>470.3791469</v>
      </c>
      <c r="T48" s="167">
        <f t="shared" si="3"/>
        <v>376</v>
      </c>
      <c r="U48" s="39">
        <f t="shared" si="4"/>
        <v>94.37914692</v>
      </c>
      <c r="V48" s="167">
        <f t="shared" si="5"/>
        <v>134.8273527</v>
      </c>
      <c r="W48" s="167">
        <f t="shared" si="6"/>
        <v>134.9646821</v>
      </c>
      <c r="X48" s="165">
        <f t="shared" si="7"/>
        <v>-0.001018557395</v>
      </c>
      <c r="Y48" s="191"/>
    </row>
    <row r="49">
      <c r="A49" s="200" t="s">
        <v>120</v>
      </c>
      <c r="B49" s="201">
        <v>188.0</v>
      </c>
      <c r="C49" s="196">
        <f>233/50</f>
        <v>4.66</v>
      </c>
      <c r="D49" s="202" t="s">
        <v>186</v>
      </c>
      <c r="E49" s="184">
        <v>0.7</v>
      </c>
      <c r="F49" s="45">
        <v>452.0</v>
      </c>
      <c r="G49" s="193" t="s">
        <v>91</v>
      </c>
      <c r="H49" s="48">
        <v>-0.046</v>
      </c>
      <c r="I49" s="48">
        <v>-0.01</v>
      </c>
      <c r="J49" s="48" t="s">
        <v>101</v>
      </c>
      <c r="K49" s="48" t="s">
        <v>101</v>
      </c>
      <c r="L49" s="48" t="s">
        <v>101</v>
      </c>
      <c r="M49" s="49"/>
      <c r="N49" s="48"/>
      <c r="O49" s="48"/>
      <c r="P49" s="48"/>
      <c r="Q49" s="48"/>
      <c r="R49" s="84">
        <f t="shared" si="1"/>
        <v>0.944</v>
      </c>
      <c r="S49" s="54">
        <f t="shared" si="2"/>
        <v>478.8135593</v>
      </c>
      <c r="T49" s="176">
        <f t="shared" si="3"/>
        <v>376</v>
      </c>
      <c r="U49" s="51">
        <f t="shared" si="4"/>
        <v>102.8135593</v>
      </c>
      <c r="V49" s="176">
        <f t="shared" si="5"/>
        <v>146.8765133</v>
      </c>
      <c r="W49" s="176">
        <f t="shared" si="6"/>
        <v>146.2465478</v>
      </c>
      <c r="X49" s="174">
        <f t="shared" si="7"/>
        <v>0.004289082541</v>
      </c>
      <c r="Y49" s="194"/>
    </row>
    <row r="50">
      <c r="A50" s="197" t="s">
        <v>120</v>
      </c>
      <c r="B50" s="198">
        <v>188.0</v>
      </c>
      <c r="C50" s="195">
        <f>272/50</f>
        <v>5.44</v>
      </c>
      <c r="D50" s="199" t="s">
        <v>186</v>
      </c>
      <c r="E50" s="182">
        <v>0.7</v>
      </c>
      <c r="F50" s="33">
        <v>467.0</v>
      </c>
      <c r="G50" s="190" t="s">
        <v>91</v>
      </c>
      <c r="H50" s="36">
        <v>-0.046</v>
      </c>
      <c r="I50" s="36">
        <v>-0.01</v>
      </c>
      <c r="J50" s="36" t="s">
        <v>101</v>
      </c>
      <c r="K50" s="36" t="s">
        <v>101</v>
      </c>
      <c r="L50" s="36" t="s">
        <v>101</v>
      </c>
      <c r="M50" s="37"/>
      <c r="N50" s="36"/>
      <c r="O50" s="36"/>
      <c r="P50" s="36"/>
      <c r="Q50" s="36"/>
      <c r="R50" s="78">
        <f t="shared" si="1"/>
        <v>0.944</v>
      </c>
      <c r="S50" s="42">
        <f t="shared" si="2"/>
        <v>494.7033898</v>
      </c>
      <c r="T50" s="167">
        <f t="shared" si="3"/>
        <v>376</v>
      </c>
      <c r="U50" s="39">
        <f t="shared" si="4"/>
        <v>118.7033898</v>
      </c>
      <c r="V50" s="167">
        <f t="shared" si="5"/>
        <v>169.5762712</v>
      </c>
      <c r="W50" s="167">
        <f t="shared" si="6"/>
        <v>169.0701144</v>
      </c>
      <c r="X50" s="165">
        <f t="shared" si="7"/>
        <v>0.002984832795</v>
      </c>
      <c r="Y50" s="191"/>
    </row>
    <row r="51">
      <c r="A51" s="44" t="s">
        <v>120</v>
      </c>
      <c r="B51" s="169">
        <v>184.0</v>
      </c>
      <c r="C51" s="170">
        <f>300/50</f>
        <v>6</v>
      </c>
      <c r="D51" s="45" t="s">
        <v>186</v>
      </c>
      <c r="E51" s="48">
        <v>0.7</v>
      </c>
      <c r="F51" s="45">
        <v>482.0</v>
      </c>
      <c r="G51" s="193" t="s">
        <v>144</v>
      </c>
      <c r="H51" s="48">
        <v>-0.023</v>
      </c>
      <c r="I51" s="48">
        <v>-0.01</v>
      </c>
      <c r="J51" s="48" t="s">
        <v>101</v>
      </c>
      <c r="K51" s="48" t="s">
        <v>101</v>
      </c>
      <c r="L51" s="48" t="s">
        <v>101</v>
      </c>
      <c r="M51" s="49"/>
      <c r="N51" s="48"/>
      <c r="O51" s="48"/>
      <c r="P51" s="48"/>
      <c r="Q51" s="48"/>
      <c r="R51" s="84">
        <f t="shared" si="1"/>
        <v>0.967</v>
      </c>
      <c r="S51" s="54">
        <f t="shared" si="2"/>
        <v>498.4488108</v>
      </c>
      <c r="T51" s="176">
        <f t="shared" si="3"/>
        <v>368</v>
      </c>
      <c r="U51" s="51">
        <f t="shared" si="4"/>
        <v>130.4488108</v>
      </c>
      <c r="V51" s="176">
        <f t="shared" si="5"/>
        <v>186.3554439</v>
      </c>
      <c r="W51" s="176">
        <f t="shared" si="6"/>
        <v>185.1851852</v>
      </c>
      <c r="X51" s="174">
        <f t="shared" si="7"/>
        <v>0.00627971325</v>
      </c>
      <c r="Y51" s="194"/>
    </row>
    <row r="52">
      <c r="A52" s="32" t="s">
        <v>120</v>
      </c>
      <c r="B52" s="160">
        <v>184.0</v>
      </c>
      <c r="C52" s="161">
        <f>351/50</f>
        <v>7.02</v>
      </c>
      <c r="D52" s="33" t="s">
        <v>186</v>
      </c>
      <c r="E52" s="36">
        <v>0.7</v>
      </c>
      <c r="F52" s="33">
        <v>501.0</v>
      </c>
      <c r="G52" s="190" t="s">
        <v>79</v>
      </c>
      <c r="H52" s="36">
        <v>-0.023</v>
      </c>
      <c r="I52" s="36">
        <v>-0.01</v>
      </c>
      <c r="J52" s="36" t="s">
        <v>101</v>
      </c>
      <c r="K52" s="36" t="s">
        <v>101</v>
      </c>
      <c r="L52" s="36" t="s">
        <v>101</v>
      </c>
      <c r="M52" s="37"/>
      <c r="N52" s="36"/>
      <c r="O52" s="36"/>
      <c r="P52" s="36"/>
      <c r="Q52" s="36"/>
      <c r="R52" s="78">
        <f t="shared" si="1"/>
        <v>0.967</v>
      </c>
      <c r="S52" s="42">
        <f t="shared" si="2"/>
        <v>518.0972079</v>
      </c>
      <c r="T52" s="167">
        <f t="shared" si="3"/>
        <v>368</v>
      </c>
      <c r="U52" s="39">
        <f t="shared" si="4"/>
        <v>150.0972079</v>
      </c>
      <c r="V52" s="167">
        <f t="shared" si="5"/>
        <v>214.4245827</v>
      </c>
      <c r="W52" s="167">
        <f t="shared" si="6"/>
        <v>213.9722019</v>
      </c>
      <c r="X52" s="165">
        <f t="shared" si="7"/>
        <v>0.002109742963</v>
      </c>
      <c r="Y52" s="191"/>
    </row>
    <row r="53">
      <c r="A53" s="44" t="s">
        <v>120</v>
      </c>
      <c r="B53" s="169">
        <v>184.0</v>
      </c>
      <c r="C53" s="170">
        <f>403/50</f>
        <v>8.06</v>
      </c>
      <c r="D53" s="45" t="s">
        <v>186</v>
      </c>
      <c r="E53" s="48">
        <v>0.7</v>
      </c>
      <c r="F53" s="45">
        <v>520.0</v>
      </c>
      <c r="G53" s="193" t="s">
        <v>79</v>
      </c>
      <c r="H53" s="48">
        <v>-0.023</v>
      </c>
      <c r="I53" s="48">
        <v>-0.01</v>
      </c>
      <c r="J53" s="48" t="s">
        <v>101</v>
      </c>
      <c r="K53" s="48" t="s">
        <v>101</v>
      </c>
      <c r="L53" s="48" t="s">
        <v>101</v>
      </c>
      <c r="M53" s="49"/>
      <c r="N53" s="48"/>
      <c r="O53" s="48"/>
      <c r="P53" s="48"/>
      <c r="Q53" s="48"/>
      <c r="R53" s="84">
        <f t="shared" si="1"/>
        <v>0.967</v>
      </c>
      <c r="S53" s="54">
        <f t="shared" si="2"/>
        <v>537.745605</v>
      </c>
      <c r="T53" s="176">
        <f t="shared" si="3"/>
        <v>368</v>
      </c>
      <c r="U53" s="51">
        <f t="shared" si="4"/>
        <v>169.745605</v>
      </c>
      <c r="V53" s="176">
        <f t="shared" si="5"/>
        <v>242.4937214</v>
      </c>
      <c r="W53" s="176">
        <f t="shared" si="6"/>
        <v>242.5957139</v>
      </c>
      <c r="X53" s="174">
        <f t="shared" si="7"/>
        <v>-0.0004205987862</v>
      </c>
      <c r="Y53" s="194"/>
    </row>
    <row r="54">
      <c r="A54" s="32" t="s">
        <v>120</v>
      </c>
      <c r="B54" s="160">
        <v>184.0</v>
      </c>
      <c r="C54" s="161">
        <f>490/50</f>
        <v>9.8</v>
      </c>
      <c r="D54" s="33" t="s">
        <v>186</v>
      </c>
      <c r="E54" s="36">
        <v>0.7</v>
      </c>
      <c r="F54" s="33">
        <v>552.0</v>
      </c>
      <c r="G54" s="190" t="s">
        <v>144</v>
      </c>
      <c r="H54" s="36">
        <v>-0.023</v>
      </c>
      <c r="I54" s="36">
        <v>-0.01</v>
      </c>
      <c r="J54" s="36" t="s">
        <v>101</v>
      </c>
      <c r="K54" s="36" t="s">
        <v>101</v>
      </c>
      <c r="L54" s="36" t="s">
        <v>101</v>
      </c>
      <c r="M54" s="37"/>
      <c r="N54" s="36"/>
      <c r="O54" s="36"/>
      <c r="P54" s="36"/>
      <c r="Q54" s="36"/>
      <c r="R54" s="78">
        <f t="shared" si="1"/>
        <v>0.967</v>
      </c>
      <c r="S54" s="42">
        <f t="shared" si="2"/>
        <v>570.8376422</v>
      </c>
      <c r="T54" s="167">
        <f t="shared" si="3"/>
        <v>368</v>
      </c>
      <c r="U54" s="39">
        <f t="shared" si="4"/>
        <v>202.8376422</v>
      </c>
      <c r="V54" s="167">
        <f t="shared" si="5"/>
        <v>289.7680603</v>
      </c>
      <c r="W54" s="167">
        <f t="shared" si="6"/>
        <v>288.9150943</v>
      </c>
      <c r="X54" s="165">
        <f t="shared" si="7"/>
        <v>0.002943616126</v>
      </c>
      <c r="Y54" s="191"/>
    </row>
    <row r="55">
      <c r="A55" s="44" t="s">
        <v>120</v>
      </c>
      <c r="B55" s="169">
        <v>144.0</v>
      </c>
      <c r="C55" s="170">
        <v>10.0</v>
      </c>
      <c r="D55" s="45" t="s">
        <v>186</v>
      </c>
      <c r="E55" s="48">
        <v>0.7</v>
      </c>
      <c r="F55" s="45">
        <v>477.0</v>
      </c>
      <c r="G55" s="193" t="s">
        <v>164</v>
      </c>
      <c r="H55" s="48">
        <v>-0.035</v>
      </c>
      <c r="I55" s="48" t="s">
        <v>101</v>
      </c>
      <c r="J55" s="48" t="s">
        <v>101</v>
      </c>
      <c r="K55" s="48" t="s">
        <v>101</v>
      </c>
      <c r="L55" s="48" t="s">
        <v>101</v>
      </c>
      <c r="M55" s="49"/>
      <c r="N55" s="48"/>
      <c r="O55" s="48"/>
      <c r="P55" s="48"/>
      <c r="Q55" s="48"/>
      <c r="R55" s="84">
        <f t="shared" si="1"/>
        <v>0.965</v>
      </c>
      <c r="S55" s="54">
        <f t="shared" si="2"/>
        <v>494.3005181</v>
      </c>
      <c r="T55" s="176">
        <f t="shared" si="3"/>
        <v>288</v>
      </c>
      <c r="U55" s="51">
        <f t="shared" si="4"/>
        <v>206.3005181</v>
      </c>
      <c r="V55" s="176">
        <f t="shared" si="5"/>
        <v>294.7150259</v>
      </c>
      <c r="W55" s="176">
        <f t="shared" si="6"/>
        <v>294.1176471</v>
      </c>
      <c r="X55" s="174">
        <f t="shared" si="7"/>
        <v>0.002026971126</v>
      </c>
      <c r="Y55" s="194"/>
    </row>
    <row r="56">
      <c r="A56" s="32" t="s">
        <v>120</v>
      </c>
      <c r="B56" s="160">
        <v>166.0</v>
      </c>
      <c r="C56" s="161">
        <v>10.0</v>
      </c>
      <c r="D56" s="33" t="s">
        <v>186</v>
      </c>
      <c r="E56" s="36">
        <v>0.7</v>
      </c>
      <c r="F56" s="33">
        <v>519.0</v>
      </c>
      <c r="G56" s="190" t="s">
        <v>140</v>
      </c>
      <c r="H56" s="36">
        <v>-0.035</v>
      </c>
      <c r="I56" s="36" t="s">
        <v>101</v>
      </c>
      <c r="J56" s="36" t="s">
        <v>101</v>
      </c>
      <c r="K56" s="36" t="s">
        <v>101</v>
      </c>
      <c r="L56" s="36" t="s">
        <v>101</v>
      </c>
      <c r="M56" s="37"/>
      <c r="N56" s="36"/>
      <c r="O56" s="36"/>
      <c r="P56" s="36"/>
      <c r="Q56" s="36"/>
      <c r="R56" s="78">
        <f t="shared" si="1"/>
        <v>0.965</v>
      </c>
      <c r="S56" s="42">
        <f t="shared" si="2"/>
        <v>537.8238342</v>
      </c>
      <c r="T56" s="167">
        <f t="shared" si="3"/>
        <v>332</v>
      </c>
      <c r="U56" s="39">
        <f t="shared" si="4"/>
        <v>205.8238342</v>
      </c>
      <c r="V56" s="167">
        <f t="shared" si="5"/>
        <v>294.0340489</v>
      </c>
      <c r="W56" s="167">
        <f t="shared" si="6"/>
        <v>294.1176471</v>
      </c>
      <c r="X56" s="165">
        <f t="shared" si="7"/>
        <v>-0.0002843147127</v>
      </c>
      <c r="Y56" s="191"/>
    </row>
    <row r="57">
      <c r="A57" s="44" t="s">
        <v>120</v>
      </c>
      <c r="B57" s="169">
        <v>184.0</v>
      </c>
      <c r="C57" s="170">
        <f>532/50</f>
        <v>10.64</v>
      </c>
      <c r="D57" s="45" t="s">
        <v>186</v>
      </c>
      <c r="E57" s="48">
        <v>0.7</v>
      </c>
      <c r="F57" s="45">
        <v>566.0</v>
      </c>
      <c r="G57" s="193" t="s">
        <v>79</v>
      </c>
      <c r="H57" s="48">
        <v>-0.023</v>
      </c>
      <c r="I57" s="48">
        <v>-0.01</v>
      </c>
      <c r="J57" s="48" t="s">
        <v>101</v>
      </c>
      <c r="K57" s="48" t="s">
        <v>101</v>
      </c>
      <c r="L57" s="48" t="s">
        <v>101</v>
      </c>
      <c r="M57" s="49"/>
      <c r="N57" s="48"/>
      <c r="O57" s="48"/>
      <c r="P57" s="48"/>
      <c r="Q57" s="48"/>
      <c r="R57" s="84">
        <f t="shared" si="1"/>
        <v>0.967</v>
      </c>
      <c r="S57" s="54">
        <f t="shared" si="2"/>
        <v>585.3154085</v>
      </c>
      <c r="T57" s="176">
        <f t="shared" si="3"/>
        <v>368</v>
      </c>
      <c r="U57" s="51">
        <f t="shared" si="4"/>
        <v>217.3154085</v>
      </c>
      <c r="V57" s="176">
        <f t="shared" si="5"/>
        <v>310.4505835</v>
      </c>
      <c r="W57" s="176">
        <f t="shared" si="6"/>
        <v>310.6025222</v>
      </c>
      <c r="X57" s="174">
        <f t="shared" si="7"/>
        <v>-0.0004894132958</v>
      </c>
      <c r="Y57" s="194"/>
    </row>
    <row r="58">
      <c r="A58" s="32" t="s">
        <v>120</v>
      </c>
      <c r="B58" s="160">
        <v>171.0</v>
      </c>
      <c r="C58" s="161">
        <f>560/50</f>
        <v>11.2</v>
      </c>
      <c r="D58" s="33" t="s">
        <v>186</v>
      </c>
      <c r="E58" s="36">
        <v>0.7</v>
      </c>
      <c r="F58" s="33">
        <v>548.0</v>
      </c>
      <c r="G58" s="190" t="s">
        <v>80</v>
      </c>
      <c r="H58" s="36">
        <v>-0.029</v>
      </c>
      <c r="I58" s="36">
        <v>-0.01</v>
      </c>
      <c r="J58" s="36" t="s">
        <v>101</v>
      </c>
      <c r="K58" s="36" t="s">
        <v>101</v>
      </c>
      <c r="L58" s="36" t="s">
        <v>101</v>
      </c>
      <c r="M58" s="37"/>
      <c r="N58" s="36"/>
      <c r="O58" s="36"/>
      <c r="P58" s="36"/>
      <c r="Q58" s="36"/>
      <c r="R58" s="78">
        <f t="shared" si="1"/>
        <v>0.961</v>
      </c>
      <c r="S58" s="42">
        <f t="shared" si="2"/>
        <v>570.239334</v>
      </c>
      <c r="T58" s="167">
        <f t="shared" si="3"/>
        <v>342</v>
      </c>
      <c r="U58" s="39">
        <f t="shared" si="4"/>
        <v>228.239334</v>
      </c>
      <c r="V58" s="167">
        <f t="shared" si="5"/>
        <v>326.0561915</v>
      </c>
      <c r="W58" s="167">
        <f t="shared" si="6"/>
        <v>324.8259861</v>
      </c>
      <c r="X58" s="165">
        <f t="shared" si="7"/>
        <v>0.003772985824</v>
      </c>
      <c r="Y58" s="191"/>
    </row>
    <row r="59">
      <c r="A59" s="44" t="s">
        <v>120</v>
      </c>
      <c r="B59" s="169">
        <v>171.0</v>
      </c>
      <c r="C59" s="170">
        <f>604/50</f>
        <v>12.08</v>
      </c>
      <c r="D59" s="45" t="s">
        <v>186</v>
      </c>
      <c r="E59" s="48">
        <v>0.7</v>
      </c>
      <c r="F59" s="45">
        <v>562.0</v>
      </c>
      <c r="G59" s="193" t="s">
        <v>152</v>
      </c>
      <c r="H59" s="48">
        <v>-0.029</v>
      </c>
      <c r="I59" s="48">
        <v>-0.01</v>
      </c>
      <c r="J59" s="48" t="s">
        <v>101</v>
      </c>
      <c r="K59" s="48" t="s">
        <v>101</v>
      </c>
      <c r="L59" s="48" t="s">
        <v>101</v>
      </c>
      <c r="M59" s="49"/>
      <c r="N59" s="48"/>
      <c r="O59" s="48"/>
      <c r="P59" s="48"/>
      <c r="Q59" s="48"/>
      <c r="R59" s="84">
        <f t="shared" si="1"/>
        <v>0.961</v>
      </c>
      <c r="S59" s="54">
        <f t="shared" si="2"/>
        <v>584.8074922</v>
      </c>
      <c r="T59" s="176">
        <f t="shared" si="3"/>
        <v>342</v>
      </c>
      <c r="U59" s="51">
        <f t="shared" si="4"/>
        <v>242.8074922</v>
      </c>
      <c r="V59" s="176">
        <f t="shared" si="5"/>
        <v>346.867846</v>
      </c>
      <c r="W59" s="176">
        <f t="shared" si="6"/>
        <v>346.8075333</v>
      </c>
      <c r="X59" s="174">
        <f t="shared" si="7"/>
        <v>0.0001738780107</v>
      </c>
      <c r="Y59" s="194"/>
    </row>
    <row r="60">
      <c r="A60" s="32" t="s">
        <v>120</v>
      </c>
      <c r="B60" s="160">
        <v>171.0</v>
      </c>
      <c r="C60" s="161">
        <f>633/50</f>
        <v>12.66</v>
      </c>
      <c r="D60" s="33" t="s">
        <v>186</v>
      </c>
      <c r="E60" s="36">
        <v>0.7</v>
      </c>
      <c r="F60" s="33">
        <v>572.0</v>
      </c>
      <c r="G60" s="190" t="s">
        <v>80</v>
      </c>
      <c r="H60" s="36">
        <v>-0.029</v>
      </c>
      <c r="I60" s="36">
        <v>-0.01</v>
      </c>
      <c r="J60" s="36" t="s">
        <v>101</v>
      </c>
      <c r="K60" s="36" t="s">
        <v>101</v>
      </c>
      <c r="L60" s="36" t="s">
        <v>101</v>
      </c>
      <c r="M60" s="37"/>
      <c r="N60" s="36"/>
      <c r="O60" s="36"/>
      <c r="P60" s="36"/>
      <c r="Q60" s="36"/>
      <c r="R60" s="78">
        <f t="shared" si="1"/>
        <v>0.961</v>
      </c>
      <c r="S60" s="42">
        <f t="shared" si="2"/>
        <v>595.2133195</v>
      </c>
      <c r="T60" s="167">
        <f t="shared" si="3"/>
        <v>342</v>
      </c>
      <c r="U60" s="39">
        <f t="shared" si="4"/>
        <v>253.2133195</v>
      </c>
      <c r="V60" s="167">
        <f t="shared" si="5"/>
        <v>361.7333135</v>
      </c>
      <c r="W60" s="167">
        <f t="shared" si="6"/>
        <v>361.0540726</v>
      </c>
      <c r="X60" s="165">
        <f t="shared" si="7"/>
        <v>0.001877739579</v>
      </c>
      <c r="Y60" s="191"/>
    </row>
    <row r="61">
      <c r="A61" s="44" t="s">
        <v>120</v>
      </c>
      <c r="B61" s="169">
        <v>171.0</v>
      </c>
      <c r="C61" s="170">
        <f>706/50</f>
        <v>14.12</v>
      </c>
      <c r="D61" s="45" t="s">
        <v>186</v>
      </c>
      <c r="E61" s="48">
        <v>0.7</v>
      </c>
      <c r="F61" s="45">
        <v>595.0</v>
      </c>
      <c r="G61" s="193" t="s">
        <v>80</v>
      </c>
      <c r="H61" s="48">
        <v>-0.029</v>
      </c>
      <c r="I61" s="48">
        <v>-0.01</v>
      </c>
      <c r="J61" s="48" t="s">
        <v>101</v>
      </c>
      <c r="K61" s="48" t="s">
        <v>101</v>
      </c>
      <c r="L61" s="48" t="s">
        <v>101</v>
      </c>
      <c r="M61" s="49"/>
      <c r="N61" s="48"/>
      <c r="O61" s="48"/>
      <c r="P61" s="48"/>
      <c r="Q61" s="48"/>
      <c r="R61" s="84">
        <f t="shared" si="1"/>
        <v>0.961</v>
      </c>
      <c r="S61" s="54">
        <f t="shared" si="2"/>
        <v>619.1467222</v>
      </c>
      <c r="T61" s="176">
        <f t="shared" si="3"/>
        <v>342</v>
      </c>
      <c r="U61" s="51">
        <f t="shared" si="4"/>
        <v>277.1467222</v>
      </c>
      <c r="V61" s="176">
        <f t="shared" si="5"/>
        <v>395.9238888</v>
      </c>
      <c r="W61" s="176">
        <f t="shared" si="6"/>
        <v>396.0951526</v>
      </c>
      <c r="X61" s="174">
        <f t="shared" si="7"/>
        <v>-0.0004325674751</v>
      </c>
      <c r="Y61" s="194"/>
    </row>
    <row r="62">
      <c r="A62" s="32" t="s">
        <v>120</v>
      </c>
      <c r="B62" s="160">
        <v>171.0</v>
      </c>
      <c r="C62" s="161">
        <f>724/50</f>
        <v>14.48</v>
      </c>
      <c r="D62" s="33" t="s">
        <v>186</v>
      </c>
      <c r="E62" s="36">
        <v>0.7</v>
      </c>
      <c r="F62" s="33">
        <v>589.0</v>
      </c>
      <c r="G62" s="190" t="s">
        <v>104</v>
      </c>
      <c r="H62" s="36">
        <v>-0.058</v>
      </c>
      <c r="I62" s="36" t="s">
        <v>101</v>
      </c>
      <c r="J62" s="36" t="s">
        <v>101</v>
      </c>
      <c r="K62" s="36" t="s">
        <v>101</v>
      </c>
      <c r="L62" s="36" t="s">
        <v>101</v>
      </c>
      <c r="M62" s="37"/>
      <c r="N62" s="36"/>
      <c r="O62" s="36"/>
      <c r="P62" s="36"/>
      <c r="Q62" s="36"/>
      <c r="R62" s="78">
        <f t="shared" si="1"/>
        <v>0.942</v>
      </c>
      <c r="S62" s="42">
        <f t="shared" si="2"/>
        <v>625.2653928</v>
      </c>
      <c r="T62" s="167">
        <f t="shared" si="3"/>
        <v>342</v>
      </c>
      <c r="U62" s="39">
        <f t="shared" si="4"/>
        <v>283.2653928</v>
      </c>
      <c r="V62" s="167">
        <f t="shared" si="5"/>
        <v>404.6648468</v>
      </c>
      <c r="W62" s="167">
        <f t="shared" si="6"/>
        <v>404.5596781</v>
      </c>
      <c r="X62" s="165">
        <f t="shared" si="7"/>
        <v>0.0002598908477</v>
      </c>
      <c r="Y62" s="191"/>
    </row>
    <row r="63">
      <c r="A63" s="44" t="s">
        <v>120</v>
      </c>
      <c r="B63" s="169">
        <v>171.0</v>
      </c>
      <c r="C63" s="170">
        <f>798/50</f>
        <v>15.96</v>
      </c>
      <c r="D63" s="45" t="s">
        <v>186</v>
      </c>
      <c r="E63" s="48">
        <v>0.7</v>
      </c>
      <c r="F63" s="45">
        <v>612.0</v>
      </c>
      <c r="G63" s="193" t="s">
        <v>104</v>
      </c>
      <c r="H63" s="48">
        <v>-0.058</v>
      </c>
      <c r="I63" s="48" t="s">
        <v>101</v>
      </c>
      <c r="J63" s="48" t="s">
        <v>101</v>
      </c>
      <c r="K63" s="48" t="s">
        <v>101</v>
      </c>
      <c r="L63" s="48" t="s">
        <v>101</v>
      </c>
      <c r="M63" s="49"/>
      <c r="N63" s="48"/>
      <c r="O63" s="48"/>
      <c r="P63" s="48"/>
      <c r="Q63" s="48"/>
      <c r="R63" s="84">
        <f t="shared" si="1"/>
        <v>0.942</v>
      </c>
      <c r="S63" s="54">
        <f t="shared" si="2"/>
        <v>649.6815287</v>
      </c>
      <c r="T63" s="176">
        <f t="shared" si="3"/>
        <v>342</v>
      </c>
      <c r="U63" s="51">
        <f t="shared" si="4"/>
        <v>307.6815287</v>
      </c>
      <c r="V63" s="176">
        <f t="shared" si="5"/>
        <v>439.5450409</v>
      </c>
      <c r="W63" s="176">
        <f t="shared" si="6"/>
        <v>438.6543536</v>
      </c>
      <c r="X63" s="174">
        <f t="shared" si="7"/>
        <v>0.002026384787</v>
      </c>
      <c r="Y63" s="194"/>
    </row>
    <row r="64">
      <c r="A64" s="32" t="s">
        <v>120</v>
      </c>
      <c r="B64" s="160">
        <v>171.0</v>
      </c>
      <c r="C64" s="161">
        <f>884/50</f>
        <v>17.68</v>
      </c>
      <c r="D64" s="33" t="s">
        <v>186</v>
      </c>
      <c r="E64" s="36">
        <v>0.7</v>
      </c>
      <c r="F64" s="33">
        <v>637.0</v>
      </c>
      <c r="G64" s="190" t="s">
        <v>104</v>
      </c>
      <c r="H64" s="36">
        <v>-0.058</v>
      </c>
      <c r="I64" s="36" t="s">
        <v>101</v>
      </c>
      <c r="J64" s="36" t="s">
        <v>101</v>
      </c>
      <c r="K64" s="36" t="s">
        <v>101</v>
      </c>
      <c r="L64" s="36" t="s">
        <v>101</v>
      </c>
      <c r="M64" s="37"/>
      <c r="N64" s="36"/>
      <c r="O64" s="36"/>
      <c r="P64" s="36"/>
      <c r="Q64" s="36"/>
      <c r="R64" s="78">
        <f t="shared" si="1"/>
        <v>0.942</v>
      </c>
      <c r="S64" s="42">
        <f t="shared" si="2"/>
        <v>676.2208068</v>
      </c>
      <c r="T64" s="167">
        <f t="shared" si="3"/>
        <v>342</v>
      </c>
      <c r="U64" s="39">
        <f t="shared" si="4"/>
        <v>334.2208068</v>
      </c>
      <c r="V64" s="167">
        <f t="shared" si="5"/>
        <v>477.4582954</v>
      </c>
      <c r="W64" s="167">
        <f t="shared" si="6"/>
        <v>476.9097972</v>
      </c>
      <c r="X64" s="165">
        <f t="shared" si="7"/>
        <v>0.001148787808</v>
      </c>
      <c r="Y64" s="191"/>
    </row>
    <row r="65">
      <c r="A65" s="44" t="s">
        <v>120</v>
      </c>
      <c r="B65" s="169">
        <v>158.0</v>
      </c>
      <c r="C65" s="170">
        <v>20.0</v>
      </c>
      <c r="D65" s="45" t="s">
        <v>186</v>
      </c>
      <c r="E65" s="48">
        <v>0.7</v>
      </c>
      <c r="F65" s="45">
        <v>676.0</v>
      </c>
      <c r="G65" s="193" t="s">
        <v>103</v>
      </c>
      <c r="H65" s="48">
        <v>-0.013</v>
      </c>
      <c r="I65" s="48" t="s">
        <v>101</v>
      </c>
      <c r="J65" s="48" t="s">
        <v>101</v>
      </c>
      <c r="K65" s="48" t="s">
        <v>101</v>
      </c>
      <c r="L65" s="48" t="s">
        <v>101</v>
      </c>
      <c r="M65" s="49"/>
      <c r="N65" s="48"/>
      <c r="O65" s="48"/>
      <c r="P65" s="48"/>
      <c r="Q65" s="48"/>
      <c r="R65" s="84">
        <f t="shared" si="1"/>
        <v>0.987</v>
      </c>
      <c r="S65" s="54">
        <f t="shared" si="2"/>
        <v>684.9037487</v>
      </c>
      <c r="T65" s="176">
        <f t="shared" si="3"/>
        <v>316</v>
      </c>
      <c r="U65" s="51">
        <f t="shared" si="4"/>
        <v>368.9037487</v>
      </c>
      <c r="V65" s="176">
        <f t="shared" si="5"/>
        <v>527.0053553</v>
      </c>
      <c r="W65" s="176">
        <f t="shared" si="6"/>
        <v>526.3157895</v>
      </c>
      <c r="X65" s="174">
        <f t="shared" si="7"/>
        <v>0.001308460821</v>
      </c>
      <c r="Y65" s="194"/>
    </row>
    <row r="66">
      <c r="A66" s="32" t="s">
        <v>120</v>
      </c>
      <c r="B66" s="160">
        <v>173.0</v>
      </c>
      <c r="C66" s="161">
        <v>20.0</v>
      </c>
      <c r="D66" s="33" t="s">
        <v>186</v>
      </c>
      <c r="E66" s="36">
        <v>0.7</v>
      </c>
      <c r="F66" s="33">
        <v>706.0</v>
      </c>
      <c r="G66" s="190" t="s">
        <v>103</v>
      </c>
      <c r="H66" s="36">
        <v>-0.013</v>
      </c>
      <c r="I66" s="36" t="s">
        <v>101</v>
      </c>
      <c r="J66" s="36" t="s">
        <v>101</v>
      </c>
      <c r="K66" s="36" t="s">
        <v>101</v>
      </c>
      <c r="L66" s="36" t="s">
        <v>101</v>
      </c>
      <c r="M66" s="37"/>
      <c r="N66" s="36"/>
      <c r="O66" s="36"/>
      <c r="P66" s="36"/>
      <c r="Q66" s="36"/>
      <c r="R66" s="78">
        <f t="shared" si="1"/>
        <v>0.987</v>
      </c>
      <c r="S66" s="42">
        <f t="shared" si="2"/>
        <v>715.2988855</v>
      </c>
      <c r="T66" s="167">
        <f t="shared" si="3"/>
        <v>346</v>
      </c>
      <c r="U66" s="39">
        <f t="shared" si="4"/>
        <v>369.2988855</v>
      </c>
      <c r="V66" s="167">
        <f t="shared" si="5"/>
        <v>527.5698364</v>
      </c>
      <c r="W66" s="167">
        <f t="shared" si="6"/>
        <v>526.3157895</v>
      </c>
      <c r="X66" s="165">
        <f t="shared" si="7"/>
        <v>0.002377025533</v>
      </c>
      <c r="Y66" s="191"/>
    </row>
    <row r="67">
      <c r="A67" s="44" t="s">
        <v>120</v>
      </c>
      <c r="B67" s="169">
        <v>167.0</v>
      </c>
      <c r="C67" s="170">
        <v>20.0</v>
      </c>
      <c r="D67" s="45" t="s">
        <v>186</v>
      </c>
      <c r="E67" s="48">
        <v>0.7</v>
      </c>
      <c r="F67" s="45">
        <v>657.0</v>
      </c>
      <c r="G67" s="193" t="s">
        <v>144</v>
      </c>
      <c r="H67" s="48">
        <v>-0.035</v>
      </c>
      <c r="I67" s="48">
        <v>-0.03</v>
      </c>
      <c r="J67" s="48" t="s">
        <v>101</v>
      </c>
      <c r="K67" s="48" t="s">
        <v>101</v>
      </c>
      <c r="L67" s="48" t="s">
        <v>101</v>
      </c>
      <c r="M67" s="49"/>
      <c r="N67" s="48"/>
      <c r="O67" s="48"/>
      <c r="P67" s="48"/>
      <c r="Q67" s="48"/>
      <c r="R67" s="84">
        <f t="shared" si="1"/>
        <v>0.935</v>
      </c>
      <c r="S67" s="54">
        <f t="shared" si="2"/>
        <v>702.6737968</v>
      </c>
      <c r="T67" s="176">
        <f t="shared" si="3"/>
        <v>334</v>
      </c>
      <c r="U67" s="51">
        <f t="shared" si="4"/>
        <v>368.6737968</v>
      </c>
      <c r="V67" s="176">
        <f t="shared" si="5"/>
        <v>526.6768526</v>
      </c>
      <c r="W67" s="176">
        <f t="shared" si="6"/>
        <v>526.3157895</v>
      </c>
      <c r="X67" s="174">
        <f t="shared" si="7"/>
        <v>0.0006855495619</v>
      </c>
      <c r="Y67" s="194"/>
    </row>
    <row r="68">
      <c r="A68" s="32" t="s">
        <v>120</v>
      </c>
      <c r="B68" s="160">
        <v>162.0</v>
      </c>
      <c r="C68" s="161">
        <v>20.0</v>
      </c>
      <c r="D68" s="33" t="s">
        <v>186</v>
      </c>
      <c r="E68" s="36">
        <v>0.7</v>
      </c>
      <c r="F68" s="33">
        <v>648.0</v>
      </c>
      <c r="G68" s="190" t="s">
        <v>152</v>
      </c>
      <c r="H68" s="36">
        <v>-0.035</v>
      </c>
      <c r="I68" s="36">
        <v>-0.03</v>
      </c>
      <c r="J68" s="36" t="s">
        <v>101</v>
      </c>
      <c r="K68" s="36" t="s">
        <v>101</v>
      </c>
      <c r="L68" s="36" t="s">
        <v>101</v>
      </c>
      <c r="M68" s="37"/>
      <c r="N68" s="36"/>
      <c r="O68" s="36"/>
      <c r="P68" s="36"/>
      <c r="Q68" s="36"/>
      <c r="R68" s="78">
        <f t="shared" si="1"/>
        <v>0.935</v>
      </c>
      <c r="S68" s="42">
        <f t="shared" si="2"/>
        <v>693.0481283</v>
      </c>
      <c r="T68" s="167">
        <f t="shared" si="3"/>
        <v>324</v>
      </c>
      <c r="U68" s="39">
        <f t="shared" si="4"/>
        <v>369.0481283</v>
      </c>
      <c r="V68" s="167">
        <f t="shared" si="5"/>
        <v>527.2116119</v>
      </c>
      <c r="W68" s="167">
        <f t="shared" si="6"/>
        <v>526.3157895</v>
      </c>
      <c r="X68" s="165">
        <f t="shared" si="7"/>
        <v>0.001699170549</v>
      </c>
      <c r="Y68" s="191"/>
    </row>
    <row r="69">
      <c r="A69" s="44" t="s">
        <v>120</v>
      </c>
      <c r="B69" s="169">
        <v>154.0</v>
      </c>
      <c r="C69" s="170">
        <v>20.0</v>
      </c>
      <c r="D69" s="45" t="s">
        <v>186</v>
      </c>
      <c r="E69" s="48">
        <v>0.7</v>
      </c>
      <c r="F69" s="45">
        <v>653.0</v>
      </c>
      <c r="G69" s="193" t="s">
        <v>164</v>
      </c>
      <c r="H69" s="48">
        <v>-0.035</v>
      </c>
      <c r="I69" s="48" t="s">
        <v>101</v>
      </c>
      <c r="J69" s="48" t="s">
        <v>101</v>
      </c>
      <c r="K69" s="48" t="s">
        <v>101</v>
      </c>
      <c r="L69" s="48" t="s">
        <v>101</v>
      </c>
      <c r="M69" s="49"/>
      <c r="N69" s="48"/>
      <c r="O69" s="48"/>
      <c r="P69" s="48"/>
      <c r="Q69" s="48"/>
      <c r="R69" s="84">
        <f t="shared" si="1"/>
        <v>0.965</v>
      </c>
      <c r="S69" s="54">
        <f t="shared" si="2"/>
        <v>676.6839378</v>
      </c>
      <c r="T69" s="176">
        <f t="shared" si="3"/>
        <v>308</v>
      </c>
      <c r="U69" s="51">
        <f t="shared" si="4"/>
        <v>368.6839378</v>
      </c>
      <c r="V69" s="176">
        <f t="shared" si="5"/>
        <v>526.6913397</v>
      </c>
      <c r="W69" s="176">
        <f t="shared" si="6"/>
        <v>526.3157895</v>
      </c>
      <c r="X69" s="174">
        <f t="shared" si="7"/>
        <v>0.0007130367377</v>
      </c>
      <c r="Y69" s="194"/>
    </row>
    <row r="70">
      <c r="A70" s="32" t="s">
        <v>120</v>
      </c>
      <c r="B70" s="160">
        <v>148.0</v>
      </c>
      <c r="C70" s="161">
        <v>20.0</v>
      </c>
      <c r="D70" s="33" t="s">
        <v>186</v>
      </c>
      <c r="E70" s="36">
        <v>0.7</v>
      </c>
      <c r="F70" s="33">
        <v>656.0</v>
      </c>
      <c r="G70" s="190" t="s">
        <v>103</v>
      </c>
      <c r="H70" s="36">
        <v>-0.013</v>
      </c>
      <c r="I70" s="36" t="s">
        <v>101</v>
      </c>
      <c r="J70" s="36" t="s">
        <v>101</v>
      </c>
      <c r="K70" s="36" t="s">
        <v>101</v>
      </c>
      <c r="L70" s="36" t="s">
        <v>101</v>
      </c>
      <c r="M70" s="37"/>
      <c r="N70" s="36"/>
      <c r="O70" s="36"/>
      <c r="P70" s="36"/>
      <c r="Q70" s="36"/>
      <c r="R70" s="78">
        <f t="shared" si="1"/>
        <v>0.987</v>
      </c>
      <c r="S70" s="42">
        <f t="shared" si="2"/>
        <v>664.6403242</v>
      </c>
      <c r="T70" s="167">
        <f t="shared" si="3"/>
        <v>296</v>
      </c>
      <c r="U70" s="39">
        <f t="shared" si="4"/>
        <v>368.6403242</v>
      </c>
      <c r="V70" s="167">
        <f t="shared" si="5"/>
        <v>526.6290346</v>
      </c>
      <c r="W70" s="167">
        <f t="shared" si="6"/>
        <v>526.3157895</v>
      </c>
      <c r="X70" s="165">
        <f t="shared" si="7"/>
        <v>0.0005948117143</v>
      </c>
      <c r="Y70" s="191"/>
    </row>
    <row r="71">
      <c r="A71" s="44" t="s">
        <v>120</v>
      </c>
      <c r="B71" s="169">
        <v>144.0</v>
      </c>
      <c r="C71" s="170">
        <v>20.0</v>
      </c>
      <c r="D71" s="45" t="s">
        <v>186</v>
      </c>
      <c r="E71" s="48">
        <v>0.7</v>
      </c>
      <c r="F71" s="45">
        <v>634.0</v>
      </c>
      <c r="G71" s="193" t="s">
        <v>140</v>
      </c>
      <c r="H71" s="48">
        <v>-0.035</v>
      </c>
      <c r="I71" s="48" t="s">
        <v>101</v>
      </c>
      <c r="J71" s="48" t="s">
        <v>101</v>
      </c>
      <c r="K71" s="48" t="s">
        <v>101</v>
      </c>
      <c r="L71" s="48" t="s">
        <v>101</v>
      </c>
      <c r="M71" s="49"/>
      <c r="N71" s="48"/>
      <c r="O71" s="48"/>
      <c r="P71" s="48"/>
      <c r="Q71" s="48"/>
      <c r="R71" s="84">
        <f t="shared" si="1"/>
        <v>0.965</v>
      </c>
      <c r="S71" s="54">
        <f t="shared" si="2"/>
        <v>656.9948187</v>
      </c>
      <c r="T71" s="176">
        <f t="shared" si="3"/>
        <v>288</v>
      </c>
      <c r="U71" s="51">
        <f t="shared" si="4"/>
        <v>368.9948187</v>
      </c>
      <c r="V71" s="176">
        <f t="shared" si="5"/>
        <v>527.1354552</v>
      </c>
      <c r="W71" s="176">
        <f t="shared" si="6"/>
        <v>526.3157895</v>
      </c>
      <c r="X71" s="174">
        <f t="shared" si="7"/>
        <v>0.001554943301</v>
      </c>
      <c r="Y71" s="194"/>
    </row>
    <row r="72">
      <c r="A72" s="32" t="s">
        <v>154</v>
      </c>
      <c r="B72" s="160">
        <v>143.0</v>
      </c>
      <c r="C72" s="161">
        <v>20.0</v>
      </c>
      <c r="D72" s="33" t="s">
        <v>190</v>
      </c>
      <c r="E72" s="36">
        <v>3.5</v>
      </c>
      <c r="F72" s="33">
        <v>1991.0</v>
      </c>
      <c r="G72" s="190" t="s">
        <v>144</v>
      </c>
      <c r="H72" s="36">
        <v>-0.035</v>
      </c>
      <c r="I72" s="36">
        <v>-0.03</v>
      </c>
      <c r="J72" s="36" t="s">
        <v>101</v>
      </c>
      <c r="K72" s="36" t="s">
        <v>101</v>
      </c>
      <c r="L72" s="36" t="s">
        <v>101</v>
      </c>
      <c r="M72" s="37"/>
      <c r="N72" s="36"/>
      <c r="O72" s="36"/>
      <c r="P72" s="36"/>
      <c r="Q72" s="36"/>
      <c r="R72" s="78">
        <f t="shared" si="1"/>
        <v>0.935</v>
      </c>
      <c r="S72" s="42">
        <f t="shared" si="2"/>
        <v>2129.411765</v>
      </c>
      <c r="T72" s="167">
        <f t="shared" si="3"/>
        <v>286</v>
      </c>
      <c r="U72" s="39">
        <f t="shared" si="4"/>
        <v>1843.411765</v>
      </c>
      <c r="V72" s="167">
        <f t="shared" si="5"/>
        <v>526.6890756</v>
      </c>
      <c r="W72" s="167">
        <f t="shared" si="6"/>
        <v>526.3157895</v>
      </c>
      <c r="X72" s="165">
        <f t="shared" si="7"/>
        <v>0.0007087410274</v>
      </c>
      <c r="Y72" s="191"/>
    </row>
    <row r="73">
      <c r="A73" s="44" t="s">
        <v>154</v>
      </c>
      <c r="B73" s="169">
        <v>165.0</v>
      </c>
      <c r="C73" s="170">
        <v>20.0</v>
      </c>
      <c r="D73" s="45" t="s">
        <v>190</v>
      </c>
      <c r="E73" s="48">
        <v>3.5</v>
      </c>
      <c r="F73" s="45">
        <v>2121.0</v>
      </c>
      <c r="G73" s="193" t="s">
        <v>191</v>
      </c>
      <c r="H73" s="48">
        <v>-0.024</v>
      </c>
      <c r="I73" s="48" t="s">
        <v>101</v>
      </c>
      <c r="J73" s="48" t="s">
        <v>101</v>
      </c>
      <c r="K73" s="48" t="s">
        <v>101</v>
      </c>
      <c r="L73" s="48" t="s">
        <v>101</v>
      </c>
      <c r="M73" s="49"/>
      <c r="N73" s="48"/>
      <c r="O73" s="48"/>
      <c r="P73" s="48"/>
      <c r="Q73" s="48"/>
      <c r="R73" s="84">
        <f t="shared" si="1"/>
        <v>0.976</v>
      </c>
      <c r="S73" s="54">
        <f t="shared" si="2"/>
        <v>2173.155738</v>
      </c>
      <c r="T73" s="176">
        <f t="shared" si="3"/>
        <v>330</v>
      </c>
      <c r="U73" s="51">
        <f t="shared" si="4"/>
        <v>1843.155738</v>
      </c>
      <c r="V73" s="176">
        <f t="shared" si="5"/>
        <v>526.6159251</v>
      </c>
      <c r="W73" s="176">
        <f t="shared" si="6"/>
        <v>526.3157895</v>
      </c>
      <c r="X73" s="174">
        <f t="shared" si="7"/>
        <v>0.0005699326028</v>
      </c>
      <c r="Y73" s="194"/>
    </row>
    <row r="74">
      <c r="A74" s="32" t="s">
        <v>120</v>
      </c>
      <c r="B74" s="160">
        <v>171.0</v>
      </c>
      <c r="C74" s="161">
        <f>1080/50</f>
        <v>21.6</v>
      </c>
      <c r="D74" s="33" t="s">
        <v>186</v>
      </c>
      <c r="E74" s="36">
        <v>0.7</v>
      </c>
      <c r="F74" s="33">
        <v>691.0</v>
      </c>
      <c r="G74" s="190" t="s">
        <v>104</v>
      </c>
      <c r="H74" s="36">
        <v>-0.058</v>
      </c>
      <c r="I74" s="36" t="s">
        <v>101</v>
      </c>
      <c r="J74" s="36" t="s">
        <v>101</v>
      </c>
      <c r="K74" s="36" t="s">
        <v>101</v>
      </c>
      <c r="L74" s="36" t="s">
        <v>101</v>
      </c>
      <c r="M74" s="37"/>
      <c r="N74" s="36"/>
      <c r="O74" s="36"/>
      <c r="P74" s="36"/>
      <c r="Q74" s="36"/>
      <c r="R74" s="78">
        <f t="shared" si="1"/>
        <v>0.942</v>
      </c>
      <c r="S74" s="42">
        <f t="shared" si="2"/>
        <v>733.5456476</v>
      </c>
      <c r="T74" s="167">
        <f t="shared" si="3"/>
        <v>342</v>
      </c>
      <c r="U74" s="39">
        <f t="shared" si="4"/>
        <v>391.5456476</v>
      </c>
      <c r="V74" s="167">
        <f t="shared" si="5"/>
        <v>559.3509251</v>
      </c>
      <c r="W74" s="167">
        <f t="shared" si="6"/>
        <v>559.0062112</v>
      </c>
      <c r="X74" s="165">
        <f t="shared" si="7"/>
        <v>0.0006162748425</v>
      </c>
      <c r="Y74" s="191"/>
    </row>
    <row r="75">
      <c r="A75" s="44" t="s">
        <v>158</v>
      </c>
      <c r="B75" s="169">
        <f>125+29.38</f>
        <v>154.38</v>
      </c>
      <c r="C75" s="170">
        <f>634/100+790/100+1000/100</f>
        <v>24.24</v>
      </c>
      <c r="D75" s="45" t="s">
        <v>192</v>
      </c>
      <c r="E75" s="48">
        <v>3.0</v>
      </c>
      <c r="F75" s="45">
        <v>1824.0</v>
      </c>
      <c r="G75" s="193" t="s">
        <v>75</v>
      </c>
      <c r="H75" s="48">
        <v>-0.038</v>
      </c>
      <c r="I75" s="48">
        <v>-0.01</v>
      </c>
      <c r="J75" s="48">
        <v>-0.1</v>
      </c>
      <c r="K75" s="48" t="s">
        <v>101</v>
      </c>
      <c r="L75" s="48" t="s">
        <v>101</v>
      </c>
      <c r="M75" s="49"/>
      <c r="N75" s="48"/>
      <c r="O75" s="48"/>
      <c r="P75" s="48"/>
      <c r="Q75" s="48"/>
      <c r="R75" s="84">
        <f t="shared" si="1"/>
        <v>0.852</v>
      </c>
      <c r="S75" s="54">
        <f t="shared" si="2"/>
        <v>2140.84507</v>
      </c>
      <c r="T75" s="176">
        <f t="shared" si="3"/>
        <v>308.76</v>
      </c>
      <c r="U75" s="51">
        <f t="shared" si="4"/>
        <v>1832.08507</v>
      </c>
      <c r="V75" s="176">
        <f t="shared" si="5"/>
        <v>610.6950235</v>
      </c>
      <c r="W75" s="176">
        <f t="shared" si="6"/>
        <v>610.6408706</v>
      </c>
      <c r="X75" s="174">
        <f t="shared" si="7"/>
        <v>0.00008867414243</v>
      </c>
      <c r="Y75" s="194"/>
    </row>
    <row r="76">
      <c r="A76" s="32" t="s">
        <v>120</v>
      </c>
      <c r="B76" s="160">
        <v>171.0</v>
      </c>
      <c r="C76" s="161">
        <f>1339/50</f>
        <v>26.78</v>
      </c>
      <c r="D76" s="33" t="s">
        <v>186</v>
      </c>
      <c r="E76" s="36">
        <v>0.7</v>
      </c>
      <c r="F76" s="33">
        <v>756.0</v>
      </c>
      <c r="G76" s="190" t="s">
        <v>104</v>
      </c>
      <c r="H76" s="36">
        <v>-0.058</v>
      </c>
      <c r="I76" s="36" t="s">
        <v>101</v>
      </c>
      <c r="J76" s="36" t="s">
        <v>101</v>
      </c>
      <c r="K76" s="36" t="s">
        <v>101</v>
      </c>
      <c r="L76" s="36" t="s">
        <v>101</v>
      </c>
      <c r="M76" s="37"/>
      <c r="N76" s="36"/>
      <c r="O76" s="36"/>
      <c r="P76" s="36"/>
      <c r="Q76" s="36"/>
      <c r="R76" s="78">
        <f t="shared" si="1"/>
        <v>0.942</v>
      </c>
      <c r="S76" s="42">
        <f t="shared" si="2"/>
        <v>802.5477707</v>
      </c>
      <c r="T76" s="167">
        <f t="shared" si="3"/>
        <v>342</v>
      </c>
      <c r="U76" s="39">
        <f t="shared" si="4"/>
        <v>460.5477707</v>
      </c>
      <c r="V76" s="167">
        <f t="shared" si="5"/>
        <v>657.9253867</v>
      </c>
      <c r="W76" s="167">
        <f t="shared" si="6"/>
        <v>657.7913146</v>
      </c>
      <c r="X76" s="165">
        <f t="shared" si="7"/>
        <v>0.0002037801212</v>
      </c>
      <c r="Y76" s="191"/>
    </row>
    <row r="77">
      <c r="A77" s="44" t="s">
        <v>120</v>
      </c>
      <c r="B77" s="169">
        <v>171.0</v>
      </c>
      <c r="C77" s="170">
        <f>1444/50</f>
        <v>28.88</v>
      </c>
      <c r="D77" s="45" t="s">
        <v>186</v>
      </c>
      <c r="E77" s="48">
        <v>0.7</v>
      </c>
      <c r="F77" s="45">
        <v>781.0</v>
      </c>
      <c r="G77" s="193" t="s">
        <v>92</v>
      </c>
      <c r="H77" s="48">
        <v>-0.058</v>
      </c>
      <c r="I77" s="48" t="s">
        <v>101</v>
      </c>
      <c r="J77" s="48" t="s">
        <v>101</v>
      </c>
      <c r="K77" s="48" t="s">
        <v>101</v>
      </c>
      <c r="L77" s="48" t="s">
        <v>101</v>
      </c>
      <c r="M77" s="49"/>
      <c r="N77" s="48"/>
      <c r="O77" s="48"/>
      <c r="P77" s="48"/>
      <c r="Q77" s="48"/>
      <c r="R77" s="84">
        <f t="shared" si="1"/>
        <v>0.942</v>
      </c>
      <c r="S77" s="54">
        <f t="shared" si="2"/>
        <v>829.0870488</v>
      </c>
      <c r="T77" s="176">
        <f t="shared" si="3"/>
        <v>342</v>
      </c>
      <c r="U77" s="51">
        <f t="shared" si="4"/>
        <v>487.0870488</v>
      </c>
      <c r="V77" s="176">
        <f t="shared" si="5"/>
        <v>695.8386412</v>
      </c>
      <c r="W77" s="176">
        <f t="shared" si="6"/>
        <v>695.0327301</v>
      </c>
      <c r="X77" s="174">
        <f t="shared" si="7"/>
        <v>0.001158186781</v>
      </c>
      <c r="Y77" s="194"/>
    </row>
    <row r="78">
      <c r="A78" s="32" t="s">
        <v>120</v>
      </c>
      <c r="B78" s="160">
        <v>171.0</v>
      </c>
      <c r="C78" s="161">
        <f>1536/50</f>
        <v>30.72</v>
      </c>
      <c r="D78" s="33" t="s">
        <v>186</v>
      </c>
      <c r="E78" s="36">
        <v>0.7</v>
      </c>
      <c r="F78" s="33">
        <v>802.0</v>
      </c>
      <c r="G78" s="190" t="s">
        <v>104</v>
      </c>
      <c r="H78" s="36">
        <v>-0.058</v>
      </c>
      <c r="I78" s="36" t="s">
        <v>101</v>
      </c>
      <c r="J78" s="36" t="s">
        <v>101</v>
      </c>
      <c r="K78" s="36" t="s">
        <v>101</v>
      </c>
      <c r="L78" s="36" t="s">
        <v>101</v>
      </c>
      <c r="M78" s="37"/>
      <c r="N78" s="36"/>
      <c r="O78" s="36"/>
      <c r="P78" s="36"/>
      <c r="Q78" s="36"/>
      <c r="R78" s="78">
        <f t="shared" si="1"/>
        <v>0.942</v>
      </c>
      <c r="S78" s="42">
        <f t="shared" si="2"/>
        <v>851.3800425</v>
      </c>
      <c r="T78" s="167">
        <f t="shared" si="3"/>
        <v>342</v>
      </c>
      <c r="U78" s="39">
        <f t="shared" si="4"/>
        <v>509.3800425</v>
      </c>
      <c r="V78" s="167">
        <f t="shared" si="5"/>
        <v>727.6857749</v>
      </c>
      <c r="W78" s="167">
        <f t="shared" si="6"/>
        <v>726.4472191</v>
      </c>
      <c r="X78" s="165">
        <f t="shared" si="7"/>
        <v>0.00170204767</v>
      </c>
      <c r="Y78" s="191"/>
    </row>
    <row r="79">
      <c r="A79" s="44" t="s">
        <v>120</v>
      </c>
      <c r="B79" s="169">
        <v>171.0</v>
      </c>
      <c r="C79" s="170">
        <f>1867/50</f>
        <v>37.34</v>
      </c>
      <c r="D79" s="45" t="s">
        <v>186</v>
      </c>
      <c r="E79" s="48">
        <v>0.7</v>
      </c>
      <c r="F79" s="45">
        <v>870.0</v>
      </c>
      <c r="G79" s="193" t="s">
        <v>92</v>
      </c>
      <c r="H79" s="48">
        <v>-0.058</v>
      </c>
      <c r="I79" s="48" t="s">
        <v>101</v>
      </c>
      <c r="J79" s="48" t="s">
        <v>101</v>
      </c>
      <c r="K79" s="48" t="s">
        <v>101</v>
      </c>
      <c r="L79" s="48" t="s">
        <v>101</v>
      </c>
      <c r="M79" s="49"/>
      <c r="N79" s="48"/>
      <c r="O79" s="48"/>
      <c r="P79" s="48"/>
      <c r="Q79" s="48"/>
      <c r="R79" s="84">
        <f t="shared" si="1"/>
        <v>0.942</v>
      </c>
      <c r="S79" s="54">
        <f t="shared" si="2"/>
        <v>923.566879</v>
      </c>
      <c r="T79" s="176">
        <f t="shared" si="3"/>
        <v>342</v>
      </c>
      <c r="U79" s="51">
        <f t="shared" si="4"/>
        <v>581.566879</v>
      </c>
      <c r="V79" s="176">
        <f t="shared" si="5"/>
        <v>830.8098271</v>
      </c>
      <c r="W79" s="176">
        <f t="shared" si="6"/>
        <v>830.959587</v>
      </c>
      <c r="X79" s="174">
        <f t="shared" si="7"/>
        <v>-0.0001802576807</v>
      </c>
      <c r="Y79" s="194"/>
    </row>
    <row r="80">
      <c r="A80" s="32" t="s">
        <v>120</v>
      </c>
      <c r="B80" s="160">
        <v>166.0</v>
      </c>
      <c r="C80" s="161">
        <f>1890/50</f>
        <v>37.8</v>
      </c>
      <c r="D80" s="33" t="s">
        <v>186</v>
      </c>
      <c r="E80" s="36">
        <v>0.7</v>
      </c>
      <c r="F80" s="33">
        <v>865.0</v>
      </c>
      <c r="G80" s="190" t="s">
        <v>104</v>
      </c>
      <c r="H80" s="36">
        <v>-0.058</v>
      </c>
      <c r="I80" s="36" t="s">
        <v>101</v>
      </c>
      <c r="J80" s="36" t="s">
        <v>101</v>
      </c>
      <c r="K80" s="36" t="s">
        <v>101</v>
      </c>
      <c r="L80" s="36" t="s">
        <v>101</v>
      </c>
      <c r="M80" s="37"/>
      <c r="N80" s="36"/>
      <c r="O80" s="36"/>
      <c r="P80" s="36"/>
      <c r="Q80" s="36"/>
      <c r="R80" s="78">
        <f t="shared" si="1"/>
        <v>0.942</v>
      </c>
      <c r="S80" s="42">
        <f t="shared" si="2"/>
        <v>918.2590234</v>
      </c>
      <c r="T80" s="167">
        <f t="shared" si="3"/>
        <v>332</v>
      </c>
      <c r="U80" s="39">
        <f t="shared" si="4"/>
        <v>586.2590234</v>
      </c>
      <c r="V80" s="167">
        <f t="shared" si="5"/>
        <v>837.5128905</v>
      </c>
      <c r="W80" s="167">
        <f t="shared" si="6"/>
        <v>837.7659574</v>
      </c>
      <c r="X80" s="165">
        <f t="shared" si="7"/>
        <v>-0.0003021648301</v>
      </c>
      <c r="Y80" s="191"/>
    </row>
    <row r="81">
      <c r="A81" s="44" t="s">
        <v>120</v>
      </c>
      <c r="B81" s="169">
        <v>144.0</v>
      </c>
      <c r="C81" s="170">
        <v>40.0</v>
      </c>
      <c r="D81" s="45" t="s">
        <v>186</v>
      </c>
      <c r="E81" s="48">
        <v>0.7</v>
      </c>
      <c r="F81" s="45">
        <v>839.0</v>
      </c>
      <c r="G81" s="193" t="s">
        <v>144</v>
      </c>
      <c r="H81" s="48">
        <v>-0.035</v>
      </c>
      <c r="I81" s="48">
        <v>-0.03</v>
      </c>
      <c r="J81" s="48" t="s">
        <v>101</v>
      </c>
      <c r="K81" s="48" t="s">
        <v>101</v>
      </c>
      <c r="L81" s="48" t="s">
        <v>101</v>
      </c>
      <c r="M81" s="49"/>
      <c r="N81" s="48"/>
      <c r="O81" s="48"/>
      <c r="P81" s="48"/>
      <c r="Q81" s="48"/>
      <c r="R81" s="84">
        <f t="shared" si="1"/>
        <v>0.935</v>
      </c>
      <c r="S81" s="54">
        <f t="shared" si="2"/>
        <v>897.3262032</v>
      </c>
      <c r="T81" s="176">
        <f t="shared" si="3"/>
        <v>288</v>
      </c>
      <c r="U81" s="51">
        <f t="shared" si="4"/>
        <v>609.3262032</v>
      </c>
      <c r="V81" s="176">
        <f t="shared" si="5"/>
        <v>870.4660046</v>
      </c>
      <c r="W81" s="176">
        <f t="shared" si="6"/>
        <v>869.5652174</v>
      </c>
      <c r="X81" s="174">
        <f t="shared" si="7"/>
        <v>0.001034833282</v>
      </c>
      <c r="Y81" s="194"/>
    </row>
    <row r="82">
      <c r="A82" s="32" t="s">
        <v>120</v>
      </c>
      <c r="B82" s="160">
        <v>166.0</v>
      </c>
      <c r="C82" s="161">
        <v>40.0</v>
      </c>
      <c r="D82" s="33" t="s">
        <v>186</v>
      </c>
      <c r="E82" s="36">
        <v>0.7</v>
      </c>
      <c r="F82" s="33">
        <v>908.0</v>
      </c>
      <c r="G82" s="190" t="s">
        <v>142</v>
      </c>
      <c r="H82" s="36">
        <v>-0.035</v>
      </c>
      <c r="I82" s="36" t="s">
        <v>101</v>
      </c>
      <c r="J82" s="36" t="s">
        <v>101</v>
      </c>
      <c r="K82" s="36" t="s">
        <v>101</v>
      </c>
      <c r="L82" s="36" t="s">
        <v>101</v>
      </c>
      <c r="M82" s="37"/>
      <c r="N82" s="36"/>
      <c r="O82" s="36"/>
      <c r="P82" s="36"/>
      <c r="Q82" s="36"/>
      <c r="R82" s="78">
        <f t="shared" si="1"/>
        <v>0.965</v>
      </c>
      <c r="S82" s="42">
        <f t="shared" si="2"/>
        <v>940.9326425</v>
      </c>
      <c r="T82" s="167">
        <f t="shared" si="3"/>
        <v>332</v>
      </c>
      <c r="U82" s="39">
        <f t="shared" si="4"/>
        <v>608.9326425</v>
      </c>
      <c r="V82" s="167">
        <f t="shared" si="5"/>
        <v>869.903775</v>
      </c>
      <c r="W82" s="167">
        <f t="shared" si="6"/>
        <v>869.5652174</v>
      </c>
      <c r="X82" s="165">
        <f t="shared" si="7"/>
        <v>0.0003891897011</v>
      </c>
      <c r="Y82" s="191"/>
    </row>
    <row r="83">
      <c r="A83" s="44" t="s">
        <v>120</v>
      </c>
      <c r="B83" s="169">
        <v>166.0</v>
      </c>
      <c r="C83" s="170">
        <f>2006/50</f>
        <v>40.12</v>
      </c>
      <c r="D83" s="45" t="s">
        <v>186</v>
      </c>
      <c r="E83" s="48">
        <v>0.7</v>
      </c>
      <c r="F83" s="45">
        <v>888.0</v>
      </c>
      <c r="G83" s="193" t="s">
        <v>104</v>
      </c>
      <c r="H83" s="48">
        <v>-0.058</v>
      </c>
      <c r="I83" s="48" t="s">
        <v>101</v>
      </c>
      <c r="J83" s="48" t="s">
        <v>101</v>
      </c>
      <c r="K83" s="48" t="s">
        <v>101</v>
      </c>
      <c r="L83" s="48" t="s">
        <v>101</v>
      </c>
      <c r="M83" s="49"/>
      <c r="N83" s="48"/>
      <c r="O83" s="48"/>
      <c r="P83" s="48"/>
      <c r="Q83" s="48"/>
      <c r="R83" s="84">
        <f t="shared" si="1"/>
        <v>0.942</v>
      </c>
      <c r="S83" s="54">
        <f t="shared" si="2"/>
        <v>942.6751592</v>
      </c>
      <c r="T83" s="176">
        <f t="shared" si="3"/>
        <v>332</v>
      </c>
      <c r="U83" s="51">
        <f t="shared" si="4"/>
        <v>610.6751592</v>
      </c>
      <c r="V83" s="176">
        <f t="shared" si="5"/>
        <v>872.3930846</v>
      </c>
      <c r="W83" s="176">
        <f t="shared" si="6"/>
        <v>871.2647672</v>
      </c>
      <c r="X83" s="174">
        <f t="shared" si="7"/>
        <v>0.001293358972</v>
      </c>
      <c r="Y83" s="194"/>
    </row>
    <row r="84">
      <c r="A84" s="32" t="s">
        <v>120</v>
      </c>
      <c r="B84" s="160">
        <v>166.0</v>
      </c>
      <c r="C84" s="161">
        <f>2145/50</f>
        <v>42.9</v>
      </c>
      <c r="D84" s="33" t="s">
        <v>186</v>
      </c>
      <c r="E84" s="36">
        <v>0.7</v>
      </c>
      <c r="F84" s="33">
        <v>913.0</v>
      </c>
      <c r="G84" s="190" t="s">
        <v>104</v>
      </c>
      <c r="H84" s="36">
        <v>-0.058</v>
      </c>
      <c r="I84" s="36" t="s">
        <v>101</v>
      </c>
      <c r="J84" s="36" t="s">
        <v>101</v>
      </c>
      <c r="K84" s="36" t="s">
        <v>101</v>
      </c>
      <c r="L84" s="36" t="s">
        <v>101</v>
      </c>
      <c r="M84" s="37"/>
      <c r="N84" s="36"/>
      <c r="O84" s="36"/>
      <c r="P84" s="36"/>
      <c r="Q84" s="36"/>
      <c r="R84" s="78">
        <f t="shared" si="1"/>
        <v>0.942</v>
      </c>
      <c r="S84" s="42">
        <f t="shared" si="2"/>
        <v>969.2144374</v>
      </c>
      <c r="T84" s="167">
        <f t="shared" si="3"/>
        <v>332</v>
      </c>
      <c r="U84" s="39">
        <f t="shared" si="4"/>
        <v>637.2144374</v>
      </c>
      <c r="V84" s="167">
        <f t="shared" si="5"/>
        <v>910.3063391</v>
      </c>
      <c r="W84" s="167">
        <f t="shared" si="6"/>
        <v>909.6692112</v>
      </c>
      <c r="X84" s="165">
        <f t="shared" si="7"/>
        <v>0.0006999049362</v>
      </c>
      <c r="Y84" s="191"/>
    </row>
    <row r="85">
      <c r="A85" s="44" t="s">
        <v>120</v>
      </c>
      <c r="B85" s="169">
        <v>166.0</v>
      </c>
      <c r="C85" s="170">
        <f>2226/50</f>
        <v>44.52</v>
      </c>
      <c r="D85" s="45" t="s">
        <v>186</v>
      </c>
      <c r="E85" s="48">
        <v>0.7</v>
      </c>
      <c r="F85" s="45">
        <v>927.0</v>
      </c>
      <c r="G85" s="193" t="s">
        <v>92</v>
      </c>
      <c r="H85" s="48">
        <v>-0.058</v>
      </c>
      <c r="I85" s="48" t="s">
        <v>101</v>
      </c>
      <c r="J85" s="48" t="s">
        <v>101</v>
      </c>
      <c r="K85" s="48" t="s">
        <v>101</v>
      </c>
      <c r="L85" s="48" t="s">
        <v>101</v>
      </c>
      <c r="M85" s="49"/>
      <c r="N85" s="48"/>
      <c r="O85" s="48"/>
      <c r="P85" s="48"/>
      <c r="Q85" s="48"/>
      <c r="R85" s="84">
        <f t="shared" si="1"/>
        <v>0.942</v>
      </c>
      <c r="S85" s="54">
        <f t="shared" si="2"/>
        <v>984.0764331</v>
      </c>
      <c r="T85" s="176">
        <f t="shared" si="3"/>
        <v>332</v>
      </c>
      <c r="U85" s="51">
        <f t="shared" si="4"/>
        <v>652.0764331</v>
      </c>
      <c r="V85" s="176">
        <f t="shared" si="5"/>
        <v>931.5377616</v>
      </c>
      <c r="W85" s="176">
        <f t="shared" si="6"/>
        <v>931.2248996</v>
      </c>
      <c r="X85" s="174">
        <f t="shared" si="7"/>
        <v>0.0003358554167</v>
      </c>
      <c r="Y85" s="194"/>
    </row>
    <row r="86">
      <c r="A86" s="32" t="s">
        <v>120</v>
      </c>
      <c r="B86" s="160">
        <v>166.0</v>
      </c>
      <c r="C86" s="161">
        <f>2374/50</f>
        <v>47.48</v>
      </c>
      <c r="D86" s="33" t="s">
        <v>186</v>
      </c>
      <c r="E86" s="36">
        <v>0.7</v>
      </c>
      <c r="F86" s="33">
        <v>952.0</v>
      </c>
      <c r="G86" s="190" t="s">
        <v>104</v>
      </c>
      <c r="H86" s="36">
        <v>-0.058</v>
      </c>
      <c r="I86" s="36" t="s">
        <v>101</v>
      </c>
      <c r="J86" s="36" t="s">
        <v>101</v>
      </c>
      <c r="K86" s="36" t="s">
        <v>101</v>
      </c>
      <c r="L86" s="36" t="s">
        <v>101</v>
      </c>
      <c r="M86" s="37"/>
      <c r="N86" s="36"/>
      <c r="O86" s="36"/>
      <c r="P86" s="36"/>
      <c r="Q86" s="36"/>
      <c r="R86" s="78">
        <f t="shared" si="1"/>
        <v>0.942</v>
      </c>
      <c r="S86" s="42">
        <f t="shared" si="2"/>
        <v>1010.615711</v>
      </c>
      <c r="T86" s="167">
        <f t="shared" si="3"/>
        <v>332</v>
      </c>
      <c r="U86" s="39">
        <f t="shared" si="4"/>
        <v>678.6157113</v>
      </c>
      <c r="V86" s="167">
        <f t="shared" si="5"/>
        <v>969.4510161</v>
      </c>
      <c r="W86" s="167">
        <f t="shared" si="6"/>
        <v>969.1378184</v>
      </c>
      <c r="X86" s="165">
        <f t="shared" si="7"/>
        <v>0.0003230670252</v>
      </c>
      <c r="Y86" s="191"/>
    </row>
    <row r="87">
      <c r="A87" s="44" t="s">
        <v>120</v>
      </c>
      <c r="B87" s="169">
        <v>166.0</v>
      </c>
      <c r="C87" s="170">
        <f>2685/50</f>
        <v>53.7</v>
      </c>
      <c r="D87" s="45" t="s">
        <v>186</v>
      </c>
      <c r="E87" s="48">
        <v>0.7</v>
      </c>
      <c r="F87" s="45">
        <v>1001.0</v>
      </c>
      <c r="G87" s="193" t="s">
        <v>92</v>
      </c>
      <c r="H87" s="48">
        <v>-0.058</v>
      </c>
      <c r="I87" s="48" t="s">
        <v>101</v>
      </c>
      <c r="J87" s="48" t="s">
        <v>101</v>
      </c>
      <c r="K87" s="48" t="s">
        <v>101</v>
      </c>
      <c r="L87" s="48" t="s">
        <v>101</v>
      </c>
      <c r="M87" s="49"/>
      <c r="N87" s="48"/>
      <c r="O87" s="48"/>
      <c r="P87" s="48"/>
      <c r="Q87" s="48"/>
      <c r="R87" s="84">
        <f t="shared" si="1"/>
        <v>0.942</v>
      </c>
      <c r="S87" s="54">
        <f t="shared" si="2"/>
        <v>1062.632696</v>
      </c>
      <c r="T87" s="176">
        <f t="shared" si="3"/>
        <v>332</v>
      </c>
      <c r="U87" s="51">
        <f t="shared" si="4"/>
        <v>730.6326964</v>
      </c>
      <c r="V87" s="176">
        <f t="shared" si="5"/>
        <v>1043.760995</v>
      </c>
      <c r="W87" s="176">
        <f t="shared" si="6"/>
        <v>1043.123543</v>
      </c>
      <c r="X87" s="174">
        <f t="shared" si="7"/>
        <v>0.0006107257537</v>
      </c>
      <c r="Y87" s="194"/>
    </row>
    <row r="88">
      <c r="A88" s="32" t="s">
        <v>120</v>
      </c>
      <c r="B88" s="160">
        <v>166.0</v>
      </c>
      <c r="C88" s="161">
        <f>2711/50</f>
        <v>54.22</v>
      </c>
      <c r="D88" s="33" t="s">
        <v>186</v>
      </c>
      <c r="E88" s="36">
        <v>0.7</v>
      </c>
      <c r="F88" s="33">
        <v>974.0</v>
      </c>
      <c r="G88" s="190" t="s">
        <v>87</v>
      </c>
      <c r="H88" s="36">
        <v>-0.087</v>
      </c>
      <c r="I88" s="36" t="s">
        <v>101</v>
      </c>
      <c r="J88" s="36" t="s">
        <v>101</v>
      </c>
      <c r="K88" s="36" t="s">
        <v>101</v>
      </c>
      <c r="L88" s="36" t="s">
        <v>101</v>
      </c>
      <c r="M88" s="37"/>
      <c r="N88" s="36"/>
      <c r="O88" s="36"/>
      <c r="P88" s="36"/>
      <c r="Q88" s="36"/>
      <c r="R88" s="78">
        <f t="shared" si="1"/>
        <v>0.913</v>
      </c>
      <c r="S88" s="42">
        <f t="shared" si="2"/>
        <v>1066.812705</v>
      </c>
      <c r="T88" s="167">
        <f t="shared" si="3"/>
        <v>332</v>
      </c>
      <c r="U88" s="39">
        <f t="shared" si="4"/>
        <v>734.8127054</v>
      </c>
      <c r="V88" s="167">
        <f t="shared" si="5"/>
        <v>1049.732436</v>
      </c>
      <c r="W88" s="167">
        <f t="shared" si="6"/>
        <v>1048.986225</v>
      </c>
      <c r="X88" s="165">
        <f t="shared" si="7"/>
        <v>0.0007108584723</v>
      </c>
      <c r="Y88" s="191"/>
    </row>
    <row r="89">
      <c r="A89" s="44" t="s">
        <v>120</v>
      </c>
      <c r="B89" s="169">
        <v>166.0</v>
      </c>
      <c r="C89" s="170">
        <f>2799/50</f>
        <v>55.98</v>
      </c>
      <c r="D89" s="45" t="s">
        <v>186</v>
      </c>
      <c r="E89" s="48">
        <v>0.7</v>
      </c>
      <c r="F89" s="45">
        <v>878.0</v>
      </c>
      <c r="G89" s="193" t="s">
        <v>83</v>
      </c>
      <c r="H89" s="48">
        <v>-0.087</v>
      </c>
      <c r="I89" s="48">
        <v>-0.1</v>
      </c>
      <c r="J89" s="48" t="s">
        <v>101</v>
      </c>
      <c r="K89" s="48" t="s">
        <v>101</v>
      </c>
      <c r="L89" s="48" t="s">
        <v>101</v>
      </c>
      <c r="M89" s="49"/>
      <c r="N89" s="48"/>
      <c r="O89" s="48"/>
      <c r="P89" s="48"/>
      <c r="Q89" s="48"/>
      <c r="R89" s="84">
        <f t="shared" si="1"/>
        <v>0.813</v>
      </c>
      <c r="S89" s="54">
        <f t="shared" si="2"/>
        <v>1079.9508</v>
      </c>
      <c r="T89" s="176">
        <f t="shared" si="3"/>
        <v>332</v>
      </c>
      <c r="U89" s="51">
        <f t="shared" si="4"/>
        <v>747.9507995</v>
      </c>
      <c r="V89" s="176">
        <f t="shared" si="5"/>
        <v>1068.501142</v>
      </c>
      <c r="W89" s="176">
        <f t="shared" si="6"/>
        <v>1068.483738</v>
      </c>
      <c r="X89" s="174">
        <f t="shared" si="7"/>
        <v>0.00001628840469</v>
      </c>
      <c r="Y89" s="194"/>
    </row>
    <row r="90">
      <c r="A90" s="32" t="s">
        <v>120</v>
      </c>
      <c r="B90" s="160">
        <v>166.0</v>
      </c>
      <c r="C90" s="161">
        <f>2937/50</f>
        <v>58.74</v>
      </c>
      <c r="D90" s="33" t="s">
        <v>186</v>
      </c>
      <c r="E90" s="36">
        <v>0.7</v>
      </c>
      <c r="F90" s="33">
        <v>895.0</v>
      </c>
      <c r="G90" s="190" t="s">
        <v>83</v>
      </c>
      <c r="H90" s="36">
        <v>-0.087</v>
      </c>
      <c r="I90" s="36">
        <v>-0.1</v>
      </c>
      <c r="J90" s="36" t="s">
        <v>101</v>
      </c>
      <c r="K90" s="36" t="s">
        <v>101</v>
      </c>
      <c r="L90" s="36" t="s">
        <v>101</v>
      </c>
      <c r="M90" s="37"/>
      <c r="N90" s="36"/>
      <c r="O90" s="36"/>
      <c r="P90" s="36"/>
      <c r="Q90" s="36"/>
      <c r="R90" s="78">
        <f t="shared" si="1"/>
        <v>0.813</v>
      </c>
      <c r="S90" s="42">
        <f t="shared" si="2"/>
        <v>1100.861009</v>
      </c>
      <c r="T90" s="167">
        <f t="shared" si="3"/>
        <v>332</v>
      </c>
      <c r="U90" s="39">
        <f t="shared" si="4"/>
        <v>768.8610086</v>
      </c>
      <c r="V90" s="167">
        <f t="shared" si="5"/>
        <v>1098.372869</v>
      </c>
      <c r="W90" s="167">
        <f t="shared" si="6"/>
        <v>1098.026021</v>
      </c>
      <c r="X90" s="165">
        <f t="shared" si="7"/>
        <v>0.0003157842073</v>
      </c>
      <c r="Y90" s="191"/>
    </row>
    <row r="91">
      <c r="A91" s="44" t="s">
        <v>120</v>
      </c>
      <c r="B91" s="169">
        <v>144.0</v>
      </c>
      <c r="C91" s="170">
        <v>60.0</v>
      </c>
      <c r="D91" s="45" t="s">
        <v>186</v>
      </c>
      <c r="E91" s="48">
        <v>0.7</v>
      </c>
      <c r="F91" s="45">
        <v>1029.0</v>
      </c>
      <c r="G91" s="193" t="s">
        <v>140</v>
      </c>
      <c r="H91" s="48">
        <v>-0.035</v>
      </c>
      <c r="I91" s="48" t="s">
        <v>101</v>
      </c>
      <c r="J91" s="48" t="s">
        <v>101</v>
      </c>
      <c r="K91" s="48" t="s">
        <v>101</v>
      </c>
      <c r="L91" s="48" t="s">
        <v>101</v>
      </c>
      <c r="M91" s="49"/>
      <c r="N91" s="48"/>
      <c r="O91" s="48"/>
      <c r="P91" s="48"/>
      <c r="Q91" s="48"/>
      <c r="R91" s="84">
        <f t="shared" si="1"/>
        <v>0.965</v>
      </c>
      <c r="S91" s="54">
        <f t="shared" si="2"/>
        <v>1066.321244</v>
      </c>
      <c r="T91" s="176">
        <f t="shared" si="3"/>
        <v>288</v>
      </c>
      <c r="U91" s="51">
        <f t="shared" si="4"/>
        <v>778.3212435</v>
      </c>
      <c r="V91" s="176">
        <f t="shared" si="5"/>
        <v>1111.887491</v>
      </c>
      <c r="W91" s="176">
        <f t="shared" si="6"/>
        <v>1111.111111</v>
      </c>
      <c r="X91" s="174">
        <f t="shared" si="7"/>
        <v>0.0006982537738</v>
      </c>
      <c r="Y91" s="194"/>
    </row>
    <row r="92">
      <c r="A92" s="32" t="s">
        <v>120</v>
      </c>
      <c r="B92" s="160">
        <v>162.4</v>
      </c>
      <c r="C92" s="161">
        <v>60.0</v>
      </c>
      <c r="D92" s="33" t="s">
        <v>186</v>
      </c>
      <c r="E92" s="36">
        <v>0.7</v>
      </c>
      <c r="F92" s="33">
        <v>1082.0</v>
      </c>
      <c r="G92" s="190" t="s">
        <v>163</v>
      </c>
      <c r="H92" s="36">
        <v>-0.018</v>
      </c>
      <c r="I92" s="36" t="s">
        <v>101</v>
      </c>
      <c r="J92" s="36" t="s">
        <v>101</v>
      </c>
      <c r="K92" s="36" t="s">
        <v>101</v>
      </c>
      <c r="L92" s="36" t="s">
        <v>101</v>
      </c>
      <c r="M92" s="37"/>
      <c r="N92" s="36"/>
      <c r="O92" s="36"/>
      <c r="P92" s="36"/>
      <c r="Q92" s="36"/>
      <c r="R92" s="78">
        <f t="shared" si="1"/>
        <v>0.982</v>
      </c>
      <c r="S92" s="42">
        <f t="shared" si="2"/>
        <v>1101.832994</v>
      </c>
      <c r="T92" s="167">
        <f t="shared" si="3"/>
        <v>324.8</v>
      </c>
      <c r="U92" s="39">
        <f t="shared" si="4"/>
        <v>777.0329939</v>
      </c>
      <c r="V92" s="167">
        <f t="shared" si="5"/>
        <v>1110.047134</v>
      </c>
      <c r="W92" s="167">
        <f t="shared" si="6"/>
        <v>1111.111111</v>
      </c>
      <c r="X92" s="165">
        <f t="shared" si="7"/>
        <v>-0.0009584971212</v>
      </c>
      <c r="Y92" s="191"/>
    </row>
    <row r="93">
      <c r="A93" s="44" t="s">
        <v>120</v>
      </c>
      <c r="B93" s="169">
        <v>166.0</v>
      </c>
      <c r="C93" s="170">
        <v>60.0</v>
      </c>
      <c r="D93" s="45" t="s">
        <v>186</v>
      </c>
      <c r="E93" s="48">
        <v>0.7</v>
      </c>
      <c r="F93" s="45">
        <v>1071.0</v>
      </c>
      <c r="G93" s="193" t="s">
        <v>142</v>
      </c>
      <c r="H93" s="48">
        <v>-0.035</v>
      </c>
      <c r="I93" s="48" t="s">
        <v>101</v>
      </c>
      <c r="J93" s="48" t="s">
        <v>101</v>
      </c>
      <c r="K93" s="48" t="s">
        <v>101</v>
      </c>
      <c r="L93" s="48" t="s">
        <v>101</v>
      </c>
      <c r="M93" s="49"/>
      <c r="N93" s="48"/>
      <c r="O93" s="48"/>
      <c r="P93" s="48"/>
      <c r="Q93" s="48"/>
      <c r="R93" s="84">
        <f t="shared" si="1"/>
        <v>0.965</v>
      </c>
      <c r="S93" s="54">
        <f t="shared" si="2"/>
        <v>1109.84456</v>
      </c>
      <c r="T93" s="176">
        <f t="shared" si="3"/>
        <v>332</v>
      </c>
      <c r="U93" s="51">
        <f t="shared" si="4"/>
        <v>777.8445596</v>
      </c>
      <c r="V93" s="176">
        <f t="shared" si="5"/>
        <v>1111.206514</v>
      </c>
      <c r="W93" s="176">
        <f t="shared" si="6"/>
        <v>1111.111111</v>
      </c>
      <c r="X93" s="174">
        <f t="shared" si="7"/>
        <v>0.0000858549525</v>
      </c>
      <c r="Y93" s="194"/>
    </row>
    <row r="94">
      <c r="A94" s="32" t="s">
        <v>120</v>
      </c>
      <c r="B94" s="160">
        <v>166.0</v>
      </c>
      <c r="C94" s="161">
        <f>3116/50</f>
        <v>62.32</v>
      </c>
      <c r="D94" s="33" t="s">
        <v>186</v>
      </c>
      <c r="E94" s="36">
        <v>0.7</v>
      </c>
      <c r="F94" s="33">
        <v>916.0</v>
      </c>
      <c r="G94" s="190" t="s">
        <v>83</v>
      </c>
      <c r="H94" s="36">
        <v>-0.087</v>
      </c>
      <c r="I94" s="36">
        <v>-0.1</v>
      </c>
      <c r="J94" s="36" t="s">
        <v>101</v>
      </c>
      <c r="K94" s="36" t="s">
        <v>101</v>
      </c>
      <c r="L94" s="36" t="s">
        <v>101</v>
      </c>
      <c r="M94" s="37"/>
      <c r="N94" s="36"/>
      <c r="O94" s="36"/>
      <c r="P94" s="36"/>
      <c r="Q94" s="36"/>
      <c r="R94" s="78">
        <f t="shared" si="1"/>
        <v>0.813</v>
      </c>
      <c r="S94" s="42">
        <f t="shared" si="2"/>
        <v>1126.691267</v>
      </c>
      <c r="T94" s="167">
        <f t="shared" si="3"/>
        <v>332</v>
      </c>
      <c r="U94" s="39">
        <f t="shared" si="4"/>
        <v>794.6912669</v>
      </c>
      <c r="V94" s="167">
        <f t="shared" si="5"/>
        <v>1135.273238</v>
      </c>
      <c r="W94" s="167">
        <f t="shared" si="6"/>
        <v>1134.576172</v>
      </c>
      <c r="X94" s="165">
        <f t="shared" si="7"/>
        <v>0.0006140072532</v>
      </c>
      <c r="Y94" s="191"/>
    </row>
    <row r="95">
      <c r="A95" s="44" t="s">
        <v>120</v>
      </c>
      <c r="B95" s="169">
        <v>166.0</v>
      </c>
      <c r="C95" s="170">
        <f>3212/50</f>
        <v>64.24</v>
      </c>
      <c r="D95" s="45" t="s">
        <v>186</v>
      </c>
      <c r="E95" s="48">
        <v>0.7</v>
      </c>
      <c r="F95" s="45">
        <v>1041.0</v>
      </c>
      <c r="G95" s="193" t="s">
        <v>87</v>
      </c>
      <c r="H95" s="48">
        <v>-0.087</v>
      </c>
      <c r="I95" s="48" t="s">
        <v>101</v>
      </c>
      <c r="J95" s="48" t="s">
        <v>101</v>
      </c>
      <c r="K95" s="48" t="s">
        <v>101</v>
      </c>
      <c r="L95" s="48" t="s">
        <v>101</v>
      </c>
      <c r="M95" s="49"/>
      <c r="N95" s="48"/>
      <c r="O95" s="48"/>
      <c r="P95" s="48"/>
      <c r="Q95" s="48"/>
      <c r="R95" s="84">
        <f t="shared" si="1"/>
        <v>0.913</v>
      </c>
      <c r="S95" s="54">
        <f t="shared" si="2"/>
        <v>1140.197152</v>
      </c>
      <c r="T95" s="176">
        <f t="shared" si="3"/>
        <v>332</v>
      </c>
      <c r="U95" s="51">
        <f t="shared" si="4"/>
        <v>808.1971522</v>
      </c>
      <c r="V95" s="176">
        <f t="shared" si="5"/>
        <v>1154.56736</v>
      </c>
      <c r="W95" s="176">
        <f t="shared" si="6"/>
        <v>1153.404194</v>
      </c>
      <c r="X95" s="174">
        <f t="shared" si="7"/>
        <v>0.001007447632</v>
      </c>
      <c r="Y95" s="194"/>
    </row>
    <row r="96">
      <c r="A96" s="32" t="s">
        <v>120</v>
      </c>
      <c r="B96" s="160">
        <v>166.0</v>
      </c>
      <c r="C96" s="161">
        <f>3401/50</f>
        <v>68.02</v>
      </c>
      <c r="D96" s="33" t="s">
        <v>186</v>
      </c>
      <c r="E96" s="36">
        <v>0.7</v>
      </c>
      <c r="F96" s="33">
        <v>1063.0</v>
      </c>
      <c r="G96" s="190" t="s">
        <v>86</v>
      </c>
      <c r="H96" s="36">
        <v>-0.087</v>
      </c>
      <c r="I96" s="36" t="s">
        <v>101</v>
      </c>
      <c r="J96" s="36" t="s">
        <v>101</v>
      </c>
      <c r="K96" s="36" t="s">
        <v>101</v>
      </c>
      <c r="L96" s="36" t="s">
        <v>101</v>
      </c>
      <c r="M96" s="37"/>
      <c r="N96" s="36"/>
      <c r="O96" s="36"/>
      <c r="P96" s="36"/>
      <c r="Q96" s="36"/>
      <c r="R96" s="78">
        <f t="shared" si="1"/>
        <v>0.913</v>
      </c>
      <c r="S96" s="42">
        <f t="shared" si="2"/>
        <v>1164.293538</v>
      </c>
      <c r="T96" s="167">
        <f t="shared" si="3"/>
        <v>332</v>
      </c>
      <c r="U96" s="39">
        <f t="shared" si="4"/>
        <v>832.2935378</v>
      </c>
      <c r="V96" s="167">
        <f t="shared" si="5"/>
        <v>1188.990768</v>
      </c>
      <c r="W96" s="167">
        <f t="shared" si="6"/>
        <v>1188.994546</v>
      </c>
      <c r="X96" s="165">
        <f t="shared" si="7"/>
        <v>-0.000003177442194</v>
      </c>
      <c r="Y96" s="191"/>
    </row>
    <row r="97">
      <c r="A97" s="44" t="s">
        <v>120</v>
      </c>
      <c r="B97" s="169">
        <v>166.0</v>
      </c>
      <c r="C97" s="170">
        <f>3600/50</f>
        <v>72</v>
      </c>
      <c r="D97" s="45" t="s">
        <v>186</v>
      </c>
      <c r="E97" s="48">
        <v>0.7</v>
      </c>
      <c r="F97" s="45">
        <v>1086.0</v>
      </c>
      <c r="G97" s="193" t="s">
        <v>87</v>
      </c>
      <c r="H97" s="48">
        <v>-0.087</v>
      </c>
      <c r="I97" s="48" t="s">
        <v>101</v>
      </c>
      <c r="J97" s="48" t="s">
        <v>101</v>
      </c>
      <c r="K97" s="48" t="s">
        <v>101</v>
      </c>
      <c r="L97" s="48" t="s">
        <v>101</v>
      </c>
      <c r="M97" s="49"/>
      <c r="N97" s="48"/>
      <c r="O97" s="48"/>
      <c r="P97" s="48"/>
      <c r="Q97" s="48"/>
      <c r="R97" s="84">
        <f t="shared" si="1"/>
        <v>0.913</v>
      </c>
      <c r="S97" s="54">
        <f t="shared" si="2"/>
        <v>1189.485214</v>
      </c>
      <c r="T97" s="176">
        <f t="shared" si="3"/>
        <v>332</v>
      </c>
      <c r="U97" s="51">
        <f t="shared" si="4"/>
        <v>857.4852136</v>
      </c>
      <c r="V97" s="176">
        <f t="shared" si="5"/>
        <v>1224.978877</v>
      </c>
      <c r="W97" s="176">
        <f t="shared" si="6"/>
        <v>1224.489796</v>
      </c>
      <c r="X97" s="174">
        <f t="shared" si="7"/>
        <v>0.0003992563759</v>
      </c>
      <c r="Y97" s="194"/>
    </row>
    <row r="98">
      <c r="A98" s="32" t="s">
        <v>193</v>
      </c>
      <c r="B98" s="160">
        <v>305.0</v>
      </c>
      <c r="C98" s="161">
        <f>337/50+1139/50+788/50</f>
        <v>45.28</v>
      </c>
      <c r="D98" s="33" t="s">
        <v>194</v>
      </c>
      <c r="E98" s="36">
        <v>1.3</v>
      </c>
      <c r="F98" s="33">
        <v>2506.0</v>
      </c>
      <c r="G98" s="190" t="s">
        <v>104</v>
      </c>
      <c r="H98" s="36">
        <v>-0.084</v>
      </c>
      <c r="I98" s="36"/>
      <c r="J98" s="36"/>
      <c r="K98" s="36"/>
      <c r="L98" s="36"/>
      <c r="M98" s="37">
        <v>0.1</v>
      </c>
      <c r="N98" s="36">
        <v>0.35</v>
      </c>
      <c r="O98" s="36"/>
      <c r="P98" s="36"/>
      <c r="Q98" s="36"/>
      <c r="R98" s="78">
        <f t="shared" si="1"/>
        <v>1.366</v>
      </c>
      <c r="S98" s="42">
        <f t="shared" si="2"/>
        <v>1834.553441</v>
      </c>
      <c r="T98" s="167">
        <f t="shared" si="3"/>
        <v>610</v>
      </c>
      <c r="U98" s="39">
        <f t="shared" si="4"/>
        <v>1224.553441</v>
      </c>
      <c r="V98" s="167">
        <f t="shared" si="5"/>
        <v>941.9641852</v>
      </c>
      <c r="W98" s="167">
        <f t="shared" si="6"/>
        <v>941.1373462</v>
      </c>
      <c r="X98" s="165">
        <f t="shared" si="7"/>
        <v>0.0008777817424</v>
      </c>
      <c r="Y98" s="191"/>
    </row>
    <row r="99">
      <c r="A99" s="44"/>
      <c r="B99" s="169"/>
      <c r="C99" s="170"/>
      <c r="D99" s="45"/>
      <c r="E99" s="48"/>
      <c r="F99" s="45"/>
      <c r="G99" s="193"/>
      <c r="H99" s="48"/>
      <c r="I99" s="48"/>
      <c r="J99" s="48"/>
      <c r="K99" s="48"/>
      <c r="L99" s="48"/>
      <c r="M99" s="49"/>
      <c r="N99" s="48"/>
      <c r="O99" s="48"/>
      <c r="P99" s="48"/>
      <c r="Q99" s="48"/>
      <c r="R99" s="84">
        <f t="shared" si="1"/>
        <v>1</v>
      </c>
      <c r="S99" s="54">
        <f t="shared" si="2"/>
        <v>0</v>
      </c>
      <c r="T99" s="176">
        <f t="shared" si="3"/>
        <v>0</v>
      </c>
      <c r="U99" s="51">
        <f t="shared" si="4"/>
        <v>0</v>
      </c>
      <c r="V99" s="176" t="str">
        <f t="shared" si="5"/>
        <v>#DIV/0!</v>
      </c>
      <c r="W99" s="176">
        <f t="shared" si="6"/>
        <v>0</v>
      </c>
      <c r="X99" s="174" t="str">
        <f t="shared" si="7"/>
        <v>#DIV/0!</v>
      </c>
      <c r="Y99" s="194"/>
    </row>
    <row r="100">
      <c r="A100" s="32"/>
      <c r="B100" s="160"/>
      <c r="C100" s="161"/>
      <c r="D100" s="33"/>
      <c r="E100" s="36"/>
      <c r="F100" s="33"/>
      <c r="G100" s="190"/>
      <c r="H100" s="36"/>
      <c r="I100" s="36"/>
      <c r="J100" s="36"/>
      <c r="K100" s="36"/>
      <c r="L100" s="36"/>
      <c r="M100" s="37"/>
      <c r="N100" s="36"/>
      <c r="O100" s="36"/>
      <c r="P100" s="36"/>
      <c r="Q100" s="36"/>
      <c r="R100" s="78">
        <f t="shared" si="1"/>
        <v>1</v>
      </c>
      <c r="S100" s="42">
        <f t="shared" si="2"/>
        <v>0</v>
      </c>
      <c r="T100" s="167">
        <f t="shared" si="3"/>
        <v>0</v>
      </c>
      <c r="U100" s="39">
        <f t="shared" si="4"/>
        <v>0</v>
      </c>
      <c r="V100" s="167" t="str">
        <f t="shared" si="5"/>
        <v>#DIV/0!</v>
      </c>
      <c r="W100" s="167">
        <f t="shared" si="6"/>
        <v>0</v>
      </c>
      <c r="X100" s="165" t="str">
        <f t="shared" si="7"/>
        <v>#DIV/0!</v>
      </c>
      <c r="Y100" s="191"/>
    </row>
    <row r="101">
      <c r="A101" s="44"/>
      <c r="B101" s="169"/>
      <c r="C101" s="170"/>
      <c r="D101" s="45"/>
      <c r="E101" s="48"/>
      <c r="F101" s="45"/>
      <c r="G101" s="193"/>
      <c r="H101" s="48"/>
      <c r="I101" s="48"/>
      <c r="J101" s="48"/>
      <c r="K101" s="48"/>
      <c r="L101" s="48"/>
      <c r="M101" s="49"/>
      <c r="N101" s="48"/>
      <c r="O101" s="48"/>
      <c r="P101" s="48"/>
      <c r="Q101" s="48"/>
      <c r="R101" s="84">
        <f t="shared" si="1"/>
        <v>1</v>
      </c>
      <c r="S101" s="54">
        <f t="shared" si="2"/>
        <v>0</v>
      </c>
      <c r="T101" s="176">
        <f t="shared" si="3"/>
        <v>0</v>
      </c>
      <c r="U101" s="51">
        <f t="shared" si="4"/>
        <v>0</v>
      </c>
      <c r="V101" s="176" t="str">
        <f t="shared" si="5"/>
        <v>#DIV/0!</v>
      </c>
      <c r="W101" s="176">
        <f t="shared" si="6"/>
        <v>0</v>
      </c>
      <c r="X101" s="174" t="str">
        <f t="shared" si="7"/>
        <v>#DIV/0!</v>
      </c>
      <c r="Y101" s="194"/>
    </row>
    <row r="102">
      <c r="A102" s="32"/>
      <c r="B102" s="160"/>
      <c r="C102" s="161"/>
      <c r="D102" s="33"/>
      <c r="E102" s="36"/>
      <c r="F102" s="33"/>
      <c r="G102" s="190"/>
      <c r="H102" s="36"/>
      <c r="I102" s="36"/>
      <c r="J102" s="36"/>
      <c r="K102" s="36"/>
      <c r="L102" s="36"/>
      <c r="M102" s="37"/>
      <c r="N102" s="36"/>
      <c r="O102" s="36"/>
      <c r="P102" s="36"/>
      <c r="Q102" s="36"/>
      <c r="R102" s="78">
        <f t="shared" si="1"/>
        <v>1</v>
      </c>
      <c r="S102" s="42">
        <f t="shared" si="2"/>
        <v>0</v>
      </c>
      <c r="T102" s="167">
        <f t="shared" si="3"/>
        <v>0</v>
      </c>
      <c r="U102" s="39">
        <f t="shared" si="4"/>
        <v>0</v>
      </c>
      <c r="V102" s="167" t="str">
        <f t="shared" si="5"/>
        <v>#DIV/0!</v>
      </c>
      <c r="W102" s="167">
        <f t="shared" si="6"/>
        <v>0</v>
      </c>
      <c r="X102" s="165" t="str">
        <f t="shared" si="7"/>
        <v>#DIV/0!</v>
      </c>
      <c r="Y102" s="191"/>
    </row>
    <row r="103">
      <c r="A103" s="44"/>
      <c r="B103" s="169"/>
      <c r="C103" s="170"/>
      <c r="D103" s="45"/>
      <c r="E103" s="48"/>
      <c r="F103" s="45"/>
      <c r="G103" s="193"/>
      <c r="H103" s="48"/>
      <c r="I103" s="48"/>
      <c r="J103" s="48"/>
      <c r="K103" s="48"/>
      <c r="L103" s="48"/>
      <c r="M103" s="49"/>
      <c r="N103" s="48"/>
      <c r="O103" s="48"/>
      <c r="P103" s="48"/>
      <c r="Q103" s="48"/>
      <c r="R103" s="84">
        <f t="shared" si="1"/>
        <v>1</v>
      </c>
      <c r="S103" s="54">
        <f t="shared" si="2"/>
        <v>0</v>
      </c>
      <c r="T103" s="176">
        <f t="shared" si="3"/>
        <v>0</v>
      </c>
      <c r="U103" s="51">
        <f t="shared" si="4"/>
        <v>0</v>
      </c>
      <c r="V103" s="176" t="str">
        <f t="shared" si="5"/>
        <v>#DIV/0!</v>
      </c>
      <c r="W103" s="176">
        <f t="shared" si="6"/>
        <v>0</v>
      </c>
      <c r="X103" s="174" t="str">
        <f t="shared" si="7"/>
        <v>#DIV/0!</v>
      </c>
      <c r="Y103" s="194"/>
    </row>
    <row r="104">
      <c r="A104" s="32"/>
      <c r="B104" s="160"/>
      <c r="C104" s="161"/>
      <c r="D104" s="33"/>
      <c r="E104" s="36"/>
      <c r="F104" s="33"/>
      <c r="G104" s="190"/>
      <c r="H104" s="36"/>
      <c r="I104" s="36"/>
      <c r="J104" s="36"/>
      <c r="K104" s="36"/>
      <c r="L104" s="36"/>
      <c r="M104" s="37"/>
      <c r="N104" s="36"/>
      <c r="O104" s="36"/>
      <c r="P104" s="36"/>
      <c r="Q104" s="36"/>
      <c r="R104" s="78">
        <f t="shared" si="1"/>
        <v>1</v>
      </c>
      <c r="S104" s="42">
        <f t="shared" si="2"/>
        <v>0</v>
      </c>
      <c r="T104" s="167">
        <f t="shared" si="3"/>
        <v>0</v>
      </c>
      <c r="U104" s="39">
        <f t="shared" si="4"/>
        <v>0</v>
      </c>
      <c r="V104" s="167" t="str">
        <f t="shared" si="5"/>
        <v>#DIV/0!</v>
      </c>
      <c r="W104" s="167">
        <f t="shared" si="6"/>
        <v>0</v>
      </c>
      <c r="X104" s="165" t="str">
        <f t="shared" si="7"/>
        <v>#DIV/0!</v>
      </c>
      <c r="Y104" s="191"/>
    </row>
    <row r="105">
      <c r="A105" s="44"/>
      <c r="B105" s="169"/>
      <c r="C105" s="170"/>
      <c r="D105" s="45"/>
      <c r="E105" s="48"/>
      <c r="F105" s="45"/>
      <c r="G105" s="193"/>
      <c r="H105" s="48"/>
      <c r="I105" s="48"/>
      <c r="J105" s="48"/>
      <c r="K105" s="48"/>
      <c r="L105" s="48"/>
      <c r="M105" s="49"/>
      <c r="N105" s="48"/>
      <c r="O105" s="48"/>
      <c r="P105" s="48"/>
      <c r="Q105" s="48"/>
      <c r="R105" s="84">
        <f t="shared" si="1"/>
        <v>1</v>
      </c>
      <c r="S105" s="54">
        <f t="shared" si="2"/>
        <v>0</v>
      </c>
      <c r="T105" s="176">
        <f t="shared" si="3"/>
        <v>0</v>
      </c>
      <c r="U105" s="51">
        <f t="shared" si="4"/>
        <v>0</v>
      </c>
      <c r="V105" s="176" t="str">
        <f t="shared" si="5"/>
        <v>#DIV/0!</v>
      </c>
      <c r="W105" s="176">
        <f t="shared" si="6"/>
        <v>0</v>
      </c>
      <c r="X105" s="174" t="str">
        <f t="shared" si="7"/>
        <v>#DIV/0!</v>
      </c>
      <c r="Y105" s="194"/>
    </row>
  </sheetData>
  <mergeCells count="2">
    <mergeCell ref="H1:L1"/>
    <mergeCell ref="M1:Q1"/>
  </mergeCells>
  <conditionalFormatting sqref="X2:X105">
    <cfRule type="colorScale" priority="1">
      <colorScale>
        <cfvo type="min"/>
        <cfvo type="formula" val="0"/>
        <cfvo type="max"/>
        <color rgb="FFCFE2F3"/>
        <color rgb="FFFFFFFF"/>
        <color rgb="FFF4CCCC"/>
      </colorScale>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6.13"/>
    <col customWidth="1" min="3" max="3" width="9.13"/>
    <col customWidth="1" min="4" max="4" width="17.38"/>
    <col customWidth="1" min="5" max="5" width="7.5"/>
  </cols>
  <sheetData>
    <row r="1">
      <c r="A1" s="203" t="str">
        <f>IFERROR(__xludf.DUMMYFUNCTION("QUERY('Physical (Commander)'!1:248,""SELECT C, avg(X), avg(Y) GROUP BY C PIVOT W"")"),"Total Command")</f>
        <v>Total Command</v>
      </c>
      <c r="B1" s="203" t="str">
        <f>IFERROR(__xludf.DUMMYFUNCTION("""COMPUTED_VALUE"""),"Normal avg Damage / Might / Attack Coefficient")</f>
        <v>Normal avg Damage / Might / Attack Coefficient</v>
      </c>
      <c r="C1" s="203" t="str">
        <f>IFERROR(__xludf.DUMMYFUNCTION("""COMPUTED_VALUE"""),"Skill avg Damage / Might / Attack Coefficient")</f>
        <v>Skill avg Damage / Might / Attack Coefficient</v>
      </c>
      <c r="D1" s="203" t="str">
        <f>IFERROR(__xludf.DUMMYFUNCTION("""COMPUTED_VALUE"""),"Normal avg Base Damage / Might / Attack Coefficient")</f>
        <v>Normal avg Base Damage / Might / Attack Coefficient</v>
      </c>
      <c r="E1" s="203" t="str">
        <f>IFERROR(__xludf.DUMMYFUNCTION("""COMPUTED_VALUE"""),"Skill avg Base Damage / Might / Attack Coefficient")</f>
        <v>Skill avg Base Damage / Might / Attack Coefficient</v>
      </c>
    </row>
    <row r="2">
      <c r="A2" s="204"/>
      <c r="B2" s="204"/>
      <c r="C2" s="204"/>
      <c r="D2" s="204"/>
      <c r="E2" s="204"/>
    </row>
    <row r="3">
      <c r="A3" s="204">
        <f>IFERROR(__xludf.DUMMYFUNCTION("""COMPUTED_VALUE"""),0.02)</f>
        <v>0.02</v>
      </c>
      <c r="B3" s="204">
        <f>IFERROR(__xludf.DUMMYFUNCTION("""COMPUTED_VALUE"""),6.429832762023476)</f>
        <v>6.429832762</v>
      </c>
      <c r="C3" s="204"/>
      <c r="D3" s="204">
        <f>IFERROR(__xludf.DUMMYFUNCTION("""COMPUTED_VALUE"""),4.00613686512032)</f>
        <v>4.006136865</v>
      </c>
      <c r="E3" s="204"/>
    </row>
    <row r="4">
      <c r="A4" s="204">
        <f>IFERROR(__xludf.DUMMYFUNCTION("""COMPUTED_VALUE"""),0.06)</f>
        <v>0.06</v>
      </c>
      <c r="B4" s="204">
        <f>IFERROR(__xludf.DUMMYFUNCTION("""COMPUTED_VALUE"""),7.25736643468024)</f>
        <v>7.257366435</v>
      </c>
      <c r="C4" s="204">
        <f>IFERROR(__xludf.DUMMYFUNCTION("""COMPUTED_VALUE"""),2.6372586360121417)</f>
        <v>2.637258636</v>
      </c>
      <c r="D4" s="204">
        <f>IFERROR(__xludf.DUMMYFUNCTION("""COMPUTED_VALUE"""),4.0185233473975455)</f>
        <v>4.018523347</v>
      </c>
      <c r="E4" s="204">
        <f>IFERROR(__xludf.DUMMYFUNCTION("""COMPUTED_VALUE"""),2.0193738281929132)</f>
        <v>2.019373828</v>
      </c>
    </row>
    <row r="5">
      <c r="A5" s="204">
        <f>IFERROR(__xludf.DUMMYFUNCTION("""COMPUTED_VALUE"""),0.1)</f>
        <v>0.1</v>
      </c>
      <c r="B5" s="204">
        <f>IFERROR(__xludf.DUMMYFUNCTION("""COMPUTED_VALUE"""),7.219279110834113)</f>
        <v>7.219279111</v>
      </c>
      <c r="C5" s="204">
        <f>IFERROR(__xludf.DUMMYFUNCTION("""COMPUTED_VALUE"""),3.639455389741044)</f>
        <v>3.63945539</v>
      </c>
      <c r="D5" s="204">
        <f>IFERROR(__xludf.DUMMYFUNCTION("""COMPUTED_VALUE"""),4.034100826145507)</f>
        <v>4.034100826</v>
      </c>
      <c r="E5" s="204">
        <f>IFERROR(__xludf.DUMMYFUNCTION("""COMPUTED_VALUE"""),2.0337113677237673)</f>
        <v>2.033711368</v>
      </c>
    </row>
    <row r="6">
      <c r="A6" s="204">
        <f>IFERROR(__xludf.DUMMYFUNCTION("""COMPUTED_VALUE"""),0.14)</f>
        <v>0.14</v>
      </c>
      <c r="B6" s="204">
        <f>IFERROR(__xludf.DUMMYFUNCTION("""COMPUTED_VALUE"""),5.460337245940237)</f>
        <v>5.460337246</v>
      </c>
      <c r="C6" s="204">
        <f>IFERROR(__xludf.DUMMYFUNCTION("""COMPUTED_VALUE"""),3.6967874136364074)</f>
        <v>3.696787414</v>
      </c>
      <c r="D6" s="204">
        <f>IFERROR(__xludf.DUMMYFUNCTION("""COMPUTED_VALUE"""),4.044694256252027)</f>
        <v>4.044694256</v>
      </c>
      <c r="E6" s="204">
        <f>IFERROR(__xludf.DUMMYFUNCTION("""COMPUTED_VALUE"""),1.9982634668304904)</f>
        <v>1.998263467</v>
      </c>
    </row>
    <row r="7">
      <c r="A7" s="204">
        <f>IFERROR(__xludf.DUMMYFUNCTION("""COMPUTED_VALUE"""),0.2)</f>
        <v>0.2</v>
      </c>
      <c r="B7" s="204">
        <f>IFERROR(__xludf.DUMMYFUNCTION("""COMPUTED_VALUE"""),7.520515217617119)</f>
        <v>7.520515218</v>
      </c>
      <c r="C7" s="204">
        <f>IFERROR(__xludf.DUMMYFUNCTION("""COMPUTED_VALUE"""),3.8221976001138773)</f>
        <v>3.8221976</v>
      </c>
      <c r="D7" s="204">
        <f>IFERROR(__xludf.DUMMYFUNCTION("""COMPUTED_VALUE"""),4.065143360874118)</f>
        <v>4.065143361</v>
      </c>
      <c r="E7" s="204">
        <f>IFERROR(__xludf.DUMMYFUNCTION("""COMPUTED_VALUE"""),2.066052756818312)</f>
        <v>2.066052757</v>
      </c>
    </row>
    <row r="8">
      <c r="A8" s="204">
        <f>IFERROR(__xludf.DUMMYFUNCTION("""COMPUTED_VALUE"""),0.24)</f>
        <v>0.24</v>
      </c>
      <c r="B8" s="204">
        <f>IFERROR(__xludf.DUMMYFUNCTION("""COMPUTED_VALUE"""),5.505349537758388)</f>
        <v>5.505349538</v>
      </c>
      <c r="C8" s="204">
        <f>IFERROR(__xludf.DUMMYFUNCTION("""COMPUTED_VALUE"""),3.7488548419974834)</f>
        <v>3.748854842</v>
      </c>
      <c r="D8" s="204">
        <f>IFERROR(__xludf.DUMMYFUNCTION("""COMPUTED_VALUE"""),4.078036694635842)</f>
        <v>4.078036695</v>
      </c>
      <c r="E8" s="204">
        <f>IFERROR(__xludf.DUMMYFUNCTION("""COMPUTED_VALUE"""),2.026408022701342)</f>
        <v>2.026408023</v>
      </c>
    </row>
    <row r="9">
      <c r="A9" s="204">
        <f>IFERROR(__xludf.DUMMYFUNCTION("""COMPUTED_VALUE"""),0.32)</f>
        <v>0.32</v>
      </c>
      <c r="B9" s="204">
        <f>IFERROR(__xludf.DUMMYFUNCTION("""COMPUTED_VALUE"""),7.563796267442263)</f>
        <v>7.563796267</v>
      </c>
      <c r="C9" s="204">
        <f>IFERROR(__xludf.DUMMYFUNCTION("""COMPUTED_VALUE"""),3.3339425222451577)</f>
        <v>3.333942522</v>
      </c>
      <c r="D9" s="204">
        <f>IFERROR(__xludf.DUMMYFUNCTION("""COMPUTED_VALUE"""),4.105217545828081)</f>
        <v>4.105217546</v>
      </c>
      <c r="E9" s="204">
        <f>IFERROR(__xludf.DUMMYFUNCTION("""COMPUTED_VALUE"""),2.0796676857208367)</f>
        <v>2.079667686</v>
      </c>
    </row>
    <row r="10">
      <c r="A10" s="204">
        <f>IFERROR(__xludf.DUMMYFUNCTION("""COMPUTED_VALUE"""),0.4)</f>
        <v>0.4</v>
      </c>
      <c r="B10" s="204">
        <f>IFERROR(__xludf.DUMMYFUNCTION("""COMPUTED_VALUE"""),7.582839929365327)</f>
        <v>7.582839929</v>
      </c>
      <c r="C10" s="204">
        <f>IFERROR(__xludf.DUMMYFUNCTION("""COMPUTED_VALUE"""),2.72644240122425)</f>
        <v>2.726442401</v>
      </c>
      <c r="D10" s="204">
        <f>IFERROR(__xludf.DUMMYFUNCTION("""COMPUTED_VALUE"""),4.132405059803949)</f>
        <v>4.13240506</v>
      </c>
      <c r="E10" s="204">
        <f>IFERROR(__xludf.DUMMYFUNCTION("""COMPUTED_VALUE"""),2.1307114283494863)</f>
        <v>2.130711428</v>
      </c>
    </row>
    <row r="11">
      <c r="A11" s="204">
        <f>IFERROR(__xludf.DUMMYFUNCTION("""COMPUTED_VALUE"""),0.46)</f>
        <v>0.46</v>
      </c>
      <c r="B11" s="204">
        <f>IFERROR(__xludf.DUMMYFUNCTION("""COMPUTED_VALUE"""),5.086388975450989)</f>
        <v>5.086388975</v>
      </c>
      <c r="C11" s="204">
        <f>IFERROR(__xludf.DUMMYFUNCTION("""COMPUTED_VALUE"""),3.618686271094793)</f>
        <v>3.618686271</v>
      </c>
      <c r="D11" s="204">
        <f>IFERROR(__xludf.DUMMYFUNCTION("""COMPUTED_VALUE"""),4.155147168797059)</f>
        <v>4.155147169</v>
      </c>
      <c r="E11" s="204">
        <f>IFERROR(__xludf.DUMMYFUNCTION("""COMPUTED_VALUE"""),2.0988627297376827)</f>
        <v>2.09886273</v>
      </c>
    </row>
    <row r="12">
      <c r="A12" s="204">
        <f>IFERROR(__xludf.DUMMYFUNCTION("""COMPUTED_VALUE"""),0.58)</f>
        <v>0.58</v>
      </c>
      <c r="B12" s="204">
        <f>IFERROR(__xludf.DUMMYFUNCTION("""COMPUTED_VALUE"""),7.229666562792147)</f>
        <v>7.229666563</v>
      </c>
      <c r="C12" s="204">
        <f>IFERROR(__xludf.DUMMYFUNCTION("""COMPUTED_VALUE"""),3.7807661678026276)</f>
        <v>3.780766168</v>
      </c>
      <c r="D12" s="204">
        <f>IFERROR(__xludf.DUMMYFUNCTION("""COMPUTED_VALUE"""),4.193255938842255)</f>
        <v>4.193255939</v>
      </c>
      <c r="E12" s="204">
        <f>IFERROR(__xludf.DUMMYFUNCTION("""COMPUTED_VALUE"""),2.1928701757981806)</f>
        <v>2.192870176</v>
      </c>
    </row>
    <row r="13">
      <c r="A13" s="204">
        <f>IFERROR(__xludf.DUMMYFUNCTION("""COMPUTED_VALUE"""),0.76)</f>
        <v>0.76</v>
      </c>
      <c r="B13" s="204">
        <f>IFERROR(__xludf.DUMMYFUNCTION("""COMPUTED_VALUE"""),7.295453758526366)</f>
        <v>7.295453759</v>
      </c>
      <c r="C13" s="204">
        <f>IFERROR(__xludf.DUMMYFUNCTION("""COMPUTED_VALUE"""),4.217288911501441)</f>
        <v>4.217288912</v>
      </c>
      <c r="D13" s="204">
        <f>IFERROR(__xludf.DUMMYFUNCTION("""COMPUTED_VALUE"""),4.231412961274248)</f>
        <v>4.231412961</v>
      </c>
      <c r="E13" s="204">
        <f>IFERROR(__xludf.DUMMYFUNCTION("""COMPUTED_VALUE"""),2.226657292239409)</f>
        <v>2.226657292</v>
      </c>
    </row>
    <row r="14">
      <c r="A14" s="204">
        <f>IFERROR(__xludf.DUMMYFUNCTION("""COMPUTED_VALUE"""),1.0)</f>
        <v>1</v>
      </c>
      <c r="B14" s="204">
        <f>IFERROR(__xludf.DUMMYFUNCTION("""COMPUTED_VALUE"""),8.195699594889373)</f>
        <v>8.195699595</v>
      </c>
      <c r="C14" s="204"/>
      <c r="D14" s="204">
        <f>IFERROR(__xludf.DUMMYFUNCTION("""COMPUTED_VALUE"""),4.327190915992277)</f>
        <v>4.327190916</v>
      </c>
      <c r="E14" s="204"/>
    </row>
    <row r="15">
      <c r="A15" s="204">
        <f>IFERROR(__xludf.DUMMYFUNCTION("""COMPUTED_VALUE"""),1.28)</f>
        <v>1.28</v>
      </c>
      <c r="B15" s="204">
        <f>IFERROR(__xludf.DUMMYFUNCTION("""COMPUTED_VALUE"""),6.1597590111145735)</f>
        <v>6.159759011</v>
      </c>
      <c r="C15" s="204"/>
      <c r="D15" s="204">
        <f>IFERROR(__xludf.DUMMYFUNCTION("""COMPUTED_VALUE"""),4.418765431215619)</f>
        <v>4.418765431</v>
      </c>
      <c r="E15" s="204"/>
    </row>
    <row r="16">
      <c r="A16" s="204">
        <f>IFERROR(__xludf.DUMMYFUNCTION("""COMPUTED_VALUE"""),1.48)</f>
        <v>1.48</v>
      </c>
      <c r="B16" s="204">
        <f>IFERROR(__xludf.DUMMYFUNCTION("""COMPUTED_VALUE"""),5.041376683632838)</f>
        <v>5.041376684</v>
      </c>
      <c r="C16" s="204">
        <f>IFERROR(__xludf.DUMMYFUNCTION("""COMPUTED_VALUE"""),4.035717445917924)</f>
        <v>4.035717446</v>
      </c>
      <c r="D16" s="204">
        <f>IFERROR(__xludf.DUMMYFUNCTION("""COMPUTED_VALUE"""),4.482123356447688)</f>
        <v>4.482123356</v>
      </c>
      <c r="E16" s="204">
        <f>IFERROR(__xludf.DUMMYFUNCTION("""COMPUTED_VALUE"""),2.4838635805165112)</f>
        <v>2.483863581</v>
      </c>
    </row>
    <row r="17">
      <c r="A17" s="204">
        <f>IFERROR(__xludf.DUMMYFUNCTION("""COMPUTED_VALUE"""),1.54)</f>
        <v>1.54</v>
      </c>
      <c r="B17" s="204">
        <f>IFERROR(__xludf.DUMMYFUNCTION("""COMPUTED_VALUE"""),7.316228662442436)</f>
        <v>7.316228662</v>
      </c>
      <c r="C17" s="204"/>
      <c r="D17" s="204">
        <f>IFERROR(__xludf.DUMMYFUNCTION("""COMPUTED_VALUE"""),4.502920277472116)</f>
        <v>4.502920277</v>
      </c>
      <c r="E17" s="204"/>
    </row>
    <row r="18">
      <c r="A18" s="204">
        <f>IFERROR(__xludf.DUMMYFUNCTION("""COMPUTED_VALUE"""),1.68)</f>
        <v>1.68</v>
      </c>
      <c r="B18" s="204">
        <f>IFERROR(__xludf.DUMMYFUNCTION("""COMPUTED_VALUE"""),5.114088847339081)</f>
        <v>5.114088847</v>
      </c>
      <c r="C18" s="204">
        <f>IFERROR(__xludf.DUMMYFUNCTION("""COMPUTED_VALUE"""),3.6960029534452303)</f>
        <v>3.696002953</v>
      </c>
      <c r="D18" s="204">
        <f>IFERROR(__xludf.DUMMYFUNCTION("""COMPUTED_VALUE"""),4.546769366396453)</f>
        <v>4.546769366</v>
      </c>
      <c r="E18" s="204">
        <f>IFERROR(__xludf.DUMMYFUNCTION("""COMPUTED_VALUE"""),2.5444195794895443)</f>
        <v>2.544419579</v>
      </c>
    </row>
    <row r="19">
      <c r="A19" s="204">
        <f>IFERROR(__xludf.DUMMYFUNCTION("""COMPUTED_VALUE"""),1.88)</f>
        <v>1.88</v>
      </c>
      <c r="B19" s="204">
        <f>IFERROR(__xludf.DUMMYFUNCTION("""COMPUTED_VALUE"""),7.492815345729026)</f>
        <v>7.492815346</v>
      </c>
      <c r="C19" s="204">
        <f>IFERROR(__xludf.DUMMYFUNCTION("""COMPUTED_VALUE"""),2.8637085598591887)</f>
        <v>2.86370856</v>
      </c>
      <c r="D19" s="204">
        <f>IFERROR(__xludf.DUMMYFUNCTION("""COMPUTED_VALUE"""),4.611604108116261)</f>
        <v>4.611604108</v>
      </c>
      <c r="E19" s="204">
        <f>IFERROR(__xludf.DUMMYFUNCTION("""COMPUTED_VALUE"""),2.546029750935954)</f>
        <v>2.546029751</v>
      </c>
    </row>
    <row r="20">
      <c r="A20" s="204">
        <f>IFERROR(__xludf.DUMMYFUNCTION("""COMPUTED_VALUE"""),2.1)</f>
        <v>2.1</v>
      </c>
      <c r="B20" s="204">
        <f>IFERROR(__xludf.DUMMYFUNCTION("""COMPUTED_VALUE"""),5.861985388317579)</f>
        <v>5.861985388</v>
      </c>
      <c r="C20" s="204">
        <f>IFERROR(__xludf.DUMMYFUNCTION("""COMPUTED_VALUE"""),3.7981091829096068)</f>
        <v>3.798109183</v>
      </c>
      <c r="D20" s="204">
        <f>IFERROR(__xludf.DUMMYFUNCTION("""COMPUTED_VALUE"""),4.678986794266517)</f>
        <v>4.678986794</v>
      </c>
      <c r="E20" s="204">
        <f>IFERROR(__xludf.DUMMYFUNCTION("""COMPUTED_VALUE"""),2.6469596655881715)</f>
        <v>2.646959666</v>
      </c>
    </row>
    <row r="21">
      <c r="A21" s="204">
        <f>IFERROR(__xludf.DUMMYFUNCTION("""COMPUTED_VALUE"""),2.32)</f>
        <v>2.32</v>
      </c>
      <c r="B21" s="204">
        <f>IFERROR(__xludf.DUMMYFUNCTION("""COMPUTED_VALUE"""),6.8903431321630135)</f>
        <v>6.890343132</v>
      </c>
      <c r="C21" s="204"/>
      <c r="D21" s="204">
        <f>IFERROR(__xludf.DUMMYFUNCTION("""COMPUTED_VALUE"""),4.7506286606016825)</f>
        <v>4.750628661</v>
      </c>
      <c r="E21" s="204"/>
    </row>
    <row r="22">
      <c r="A22" s="204">
        <f>IFERROR(__xludf.DUMMYFUNCTION("""COMPUTED_VALUE"""),2.42)</f>
        <v>2.42</v>
      </c>
      <c r="B22" s="204">
        <f>IFERROR(__xludf.DUMMYFUNCTION("""COMPUTED_VALUE"""),8.18531214293134)</f>
        <v>8.185312143</v>
      </c>
      <c r="C22" s="204">
        <f>IFERROR(__xludf.DUMMYFUNCTION("""COMPUTED_VALUE"""),3.567080630549792)</f>
        <v>3.567080631</v>
      </c>
      <c r="D22" s="204">
        <f>IFERROR(__xludf.DUMMYFUNCTION("""COMPUTED_VALUE"""),4.782798064741758)</f>
        <v>4.782798065</v>
      </c>
      <c r="E22" s="204">
        <f>IFERROR(__xludf.DUMMYFUNCTION("""COMPUTED_VALUE"""),2.7790018701064034)</f>
        <v>2.77900187</v>
      </c>
    </row>
    <row r="23">
      <c r="A23" s="204">
        <f>IFERROR(__xludf.DUMMYFUNCTION("""COMPUTED_VALUE"""),2.68)</f>
        <v>2.68</v>
      </c>
      <c r="B23" s="204">
        <f>IFERROR(__xludf.DUMMYFUNCTION("""COMPUTED_VALUE"""),7.053079879505558)</f>
        <v>7.05307988</v>
      </c>
      <c r="C23" s="204">
        <f>IFERROR(__xludf.DUMMYFUNCTION("""COMPUTED_VALUE"""),4.153057180999427)</f>
        <v>4.153057181</v>
      </c>
      <c r="D23" s="204">
        <f>IFERROR(__xludf.DUMMYFUNCTION("""COMPUTED_VALUE"""),4.862829438012879)</f>
        <v>4.862829438</v>
      </c>
      <c r="E23" s="204">
        <f>IFERROR(__xludf.DUMMYFUNCTION("""COMPUTED_VALUE"""),2.863374449536302)</f>
        <v>2.86337445</v>
      </c>
    </row>
    <row r="24">
      <c r="A24" s="204">
        <f>IFERROR(__xludf.DUMMYFUNCTION("""COMPUTED_VALUE"""),2.98)</f>
        <v>2.98</v>
      </c>
      <c r="B24" s="204">
        <f>IFERROR(__xludf.DUMMYFUNCTION("""COMPUTED_VALUE"""),5.785810740625324)</f>
        <v>5.785810741</v>
      </c>
      <c r="C24" s="204"/>
      <c r="D24" s="204">
        <f>IFERROR(__xludf.DUMMYFUNCTION("""COMPUTED_VALUE"""),4.95545752662217)</f>
        <v>4.955457527</v>
      </c>
      <c r="E24" s="204"/>
    </row>
    <row r="25">
      <c r="A25" s="204">
        <f>IFERROR(__xludf.DUMMYFUNCTION("""COMPUTED_VALUE"""),3.26)</f>
        <v>3.26</v>
      </c>
      <c r="B25" s="204">
        <f>IFERROR(__xludf.DUMMYFUNCTION("""COMPUTED_VALUE"""),6.1078217513244)</f>
        <v>6.107821751</v>
      </c>
      <c r="C25" s="204">
        <f>IFERROR(__xludf.DUMMYFUNCTION("""COMPUTED_VALUE"""),3.5726317966124173)</f>
        <v>3.572631797</v>
      </c>
      <c r="D25" s="204">
        <f>IFERROR(__xludf.DUMMYFUNCTION("""COMPUTED_VALUE"""),5.041925464635792)</f>
        <v>5.041925465</v>
      </c>
      <c r="E25" s="204">
        <f>IFERROR(__xludf.DUMMYFUNCTION("""COMPUTED_VALUE"""),3.0213204270238414)</f>
        <v>3.021320427</v>
      </c>
    </row>
    <row r="26">
      <c r="A26" s="204">
        <f>IFERROR(__xludf.DUMMYFUNCTION("""COMPUTED_VALUE"""),3.72)</f>
        <v>3.72</v>
      </c>
      <c r="B26" s="204">
        <f>IFERROR(__xludf.DUMMYFUNCTION("""COMPUTED_VALUE"""),6.048959523562203)</f>
        <v>6.048959524</v>
      </c>
      <c r="C26" s="204">
        <f>IFERROR(__xludf.DUMMYFUNCTION("""COMPUTED_VALUE"""),5.1807091219270776)</f>
        <v>5.180709122</v>
      </c>
      <c r="D26" s="204">
        <f>IFERROR(__xludf.DUMMYFUNCTION("""COMPUTED_VALUE"""),5.18084039437997)</f>
        <v>5.180840394</v>
      </c>
      <c r="E26" s="204">
        <f>IFERROR(__xludf.DUMMYFUNCTION("""COMPUTED_VALUE"""),3.1067539520158665)</f>
        <v>3.106753952</v>
      </c>
    </row>
    <row r="27">
      <c r="A27" s="204">
        <f>IFERROR(__xludf.DUMMYFUNCTION("""COMPUTED_VALUE"""),4.08)</f>
        <v>4.08</v>
      </c>
      <c r="B27" s="204">
        <f>IFERROR(__xludf.DUMMYFUNCTION("""COMPUTED_VALUE"""),5.027526747688792)</f>
        <v>5.027526748</v>
      </c>
      <c r="C27" s="204">
        <f>IFERROR(__xludf.DUMMYFUNCTION("""COMPUTED_VALUE"""),5.486113515613879)</f>
        <v>5.486113516</v>
      </c>
      <c r="D27" s="204">
        <f>IFERROR(__xludf.DUMMYFUNCTION("""COMPUTED_VALUE"""),5.28986939123429)</f>
        <v>5.289869391</v>
      </c>
      <c r="E27" s="204">
        <f>IFERROR(__xludf.DUMMYFUNCTION("""COMPUTED_VALUE"""),3.2898980515434126)</f>
        <v>3.289898052</v>
      </c>
    </row>
    <row r="28">
      <c r="A28" s="204">
        <f>IFERROR(__xludf.DUMMYFUNCTION("""COMPUTED_VALUE"""),4.42)</f>
        <v>4.42</v>
      </c>
      <c r="B28" s="204">
        <f>IFERROR(__xludf.DUMMYFUNCTION("""COMPUTED_VALUE"""),10.00311623558741)</f>
        <v>10.00311624</v>
      </c>
      <c r="C28" s="204"/>
      <c r="D28" s="204">
        <f>IFERROR(__xludf.DUMMYFUNCTION("""COMPUTED_VALUE"""),5.390280251300987)</f>
        <v>5.390280251</v>
      </c>
      <c r="E28" s="204"/>
    </row>
    <row r="29">
      <c r="A29" s="204">
        <f>IFERROR(__xludf.DUMMYFUNCTION("""COMPUTED_VALUE"""),4.82)</f>
        <v>4.82</v>
      </c>
      <c r="B29" s="204">
        <f>IFERROR(__xludf.DUMMYFUNCTION("""COMPUTED_VALUE"""),11.66164606488695)</f>
        <v>11.66164606</v>
      </c>
      <c r="C29" s="204">
        <f>IFERROR(__xludf.DUMMYFUNCTION("""COMPUTED_VALUE"""),4.7161143771734295)</f>
        <v>4.716114377</v>
      </c>
      <c r="D29" s="204">
        <f>IFERROR(__xludf.DUMMYFUNCTION("""COMPUTED_VALUE"""),5.5091721361846915)</f>
        <v>5.509172136</v>
      </c>
      <c r="E29" s="204">
        <f>IFERROR(__xludf.DUMMYFUNCTION("""COMPUTED_VALUE"""),3.4785524484116075)</f>
        <v>3.478552448</v>
      </c>
    </row>
    <row r="30">
      <c r="A30" s="204">
        <f>IFERROR(__xludf.DUMMYFUNCTION("""COMPUTED_VALUE"""),5.18)</f>
        <v>5.18</v>
      </c>
      <c r="B30" s="204">
        <f>IFERROR(__xludf.DUMMYFUNCTION("""COMPUTED_VALUE"""),10.24549011460822)</f>
        <v>10.24549011</v>
      </c>
      <c r="C30" s="204">
        <f>IFERROR(__xludf.DUMMYFUNCTION("""COMPUTED_VALUE"""),4.673051695406585)</f>
        <v>4.673051695</v>
      </c>
      <c r="D30" s="204">
        <f>IFERROR(__xludf.DUMMYFUNCTION("""COMPUTED_VALUE"""),5.613967186086695)</f>
        <v>5.613967186</v>
      </c>
      <c r="E30" s="204">
        <f>IFERROR(__xludf.DUMMYFUNCTION("""COMPUTED_VALUE"""),3.5268314682313844)</f>
        <v>3.526831468</v>
      </c>
    </row>
    <row r="31">
      <c r="A31" s="204">
        <f>IFERROR(__xludf.DUMMYFUNCTION("""COMPUTED_VALUE"""),5.94)</f>
        <v>5.94</v>
      </c>
      <c r="B31" s="204">
        <f>IFERROR(__xludf.DUMMYFUNCTION("""COMPUTED_VALUE"""),10.647138256985562)</f>
        <v>10.64713826</v>
      </c>
      <c r="C31" s="204">
        <f>IFERROR(__xludf.DUMMYFUNCTION("""COMPUTED_VALUE"""),6.915957414281754)</f>
        <v>6.915957414</v>
      </c>
      <c r="D31" s="204">
        <f>IFERROR(__xludf.DUMMYFUNCTION("""COMPUTED_VALUE"""),5.834048359992088)</f>
        <v>5.83404836</v>
      </c>
      <c r="E31" s="204">
        <f>IFERROR(__xludf.DUMMYFUNCTION("""COMPUTED_VALUE"""),3.789565706455755)</f>
        <v>3.789565706</v>
      </c>
    </row>
    <row r="32">
      <c r="A32" s="204">
        <f>IFERROR(__xludf.DUMMYFUNCTION("""COMPUTED_VALUE"""),6.32)</f>
        <v>6.32</v>
      </c>
      <c r="B32" s="204">
        <f>IFERROR(__xludf.DUMMYFUNCTION("""COMPUTED_VALUE"""),10.602125965167412)</f>
        <v>10.60212597</v>
      </c>
      <c r="C32" s="204">
        <f>IFERROR(__xludf.DUMMYFUNCTION("""COMPUTED_VALUE"""),5.9673928931444795)</f>
        <v>5.967392893</v>
      </c>
      <c r="D32" s="204">
        <f>IFERROR(__xludf.DUMMYFUNCTION("""COMPUTED_VALUE"""),5.945836486254939)</f>
        <v>5.945836486</v>
      </c>
      <c r="E32" s="204">
        <f>IFERROR(__xludf.DUMMYFUNCTION("""COMPUTED_VALUE"""),3.8997091421499075)</f>
        <v>3.899709142</v>
      </c>
    </row>
    <row r="33">
      <c r="A33" s="204">
        <f>IFERROR(__xludf.DUMMYFUNCTION("""COMPUTED_VALUE"""),6.94)</f>
        <v>6.94</v>
      </c>
      <c r="B33" s="204">
        <f>IFERROR(__xludf.DUMMYFUNCTION("""COMPUTED_VALUE"""),10.802950036356082)</f>
        <v>10.80295004</v>
      </c>
      <c r="C33" s="204">
        <f>IFERROR(__xludf.DUMMYFUNCTION("""COMPUTED_VALUE"""),6.6507127671523465)</f>
        <v>6.650712767</v>
      </c>
      <c r="D33" s="204">
        <f>IFERROR(__xludf.DUMMYFUNCTION("""COMPUTED_VALUE"""),6.117260511642905)</f>
        <v>6.117260512</v>
      </c>
      <c r="E33" s="204">
        <f>IFERROR(__xludf.DUMMYFUNCTION("""COMPUTED_VALUE"""),4.113901020635267)</f>
        <v>4.113901021</v>
      </c>
    </row>
    <row r="34">
      <c r="A34" s="204">
        <f>IFERROR(__xludf.DUMMYFUNCTION("""COMPUTED_VALUE"""),7.84)</f>
        <v>7.84</v>
      </c>
      <c r="B34" s="204">
        <f>IFERROR(__xludf.DUMMYFUNCTION("""COMPUTED_VALUE"""),8.057200235448912)</f>
        <v>8.057200235</v>
      </c>
      <c r="C34" s="204"/>
      <c r="D34" s="204">
        <f>IFERROR(__xludf.DUMMYFUNCTION("""COMPUTED_VALUE"""),6.364405684615072)</f>
        <v>6.364405685</v>
      </c>
      <c r="E34" s="204"/>
    </row>
    <row r="35">
      <c r="A35" s="204">
        <f>IFERROR(__xludf.DUMMYFUNCTION("""COMPUTED_VALUE"""),9.1)</f>
        <v>9.1</v>
      </c>
      <c r="B35" s="204">
        <f>IFERROR(__xludf.DUMMYFUNCTION("""COMPUTED_VALUE"""),11.838232748173539)</f>
        <v>11.83823275</v>
      </c>
      <c r="C35" s="204">
        <f>IFERROR(__xludf.DUMMYFUNCTION("""COMPUTED_VALUE"""),8.208769965725459)</f>
        <v>8.208769966</v>
      </c>
      <c r="D35" s="204">
        <f>IFERROR(__xludf.DUMMYFUNCTION("""COMPUTED_VALUE"""),6.703497977342016)</f>
        <v>6.703497977</v>
      </c>
      <c r="E35" s="204">
        <f>IFERROR(__xludf.DUMMYFUNCTION("""COMPUTED_VALUE"""),4.6482844215236785)</f>
        <v>4.648284422</v>
      </c>
    </row>
    <row r="36">
      <c r="A36" s="204">
        <f>IFERROR(__xludf.DUMMYFUNCTION("""COMPUTED_VALUE"""),9.36)</f>
        <v>9.36</v>
      </c>
      <c r="B36" s="204">
        <f>IFERROR(__xludf.DUMMYFUNCTION("""COMPUTED_VALUE"""),11.467746961670302)</f>
        <v>11.46774696</v>
      </c>
      <c r="C36" s="204">
        <f>IFERROR(__xludf.DUMMYFUNCTION("""COMPUTED_VALUE"""),7.888215396703038)</f>
        <v>7.888215397</v>
      </c>
      <c r="D36" s="204">
        <f>IFERROR(__xludf.DUMMYFUNCTION("""COMPUTED_VALUE"""),6.777157003003377)</f>
        <v>6.777157003</v>
      </c>
      <c r="E36" s="204">
        <f>IFERROR(__xludf.DUMMYFUNCTION("""COMPUTED_VALUE"""),4.661741700060893)</f>
        <v>4.6617417</v>
      </c>
    </row>
    <row r="37">
      <c r="A37" s="204">
        <f>IFERROR(__xludf.DUMMYFUNCTION("""COMPUTED_VALUE"""),9.48)</f>
        <v>9.48</v>
      </c>
      <c r="B37" s="204">
        <f>IFERROR(__xludf.DUMMYFUNCTION("""COMPUTED_VALUE"""),9.64994286901423)</f>
        <v>9.649942869</v>
      </c>
      <c r="C37" s="204">
        <f>IFERROR(__xludf.DUMMYFUNCTION("""COMPUTED_VALUE"""),5.636578128611843)</f>
        <v>5.636578129</v>
      </c>
      <c r="D37" s="204">
        <f>IFERROR(__xludf.DUMMYFUNCTION("""COMPUTED_VALUE"""),6.807544135817606)</f>
        <v>6.807544136</v>
      </c>
      <c r="E37" s="204">
        <f>IFERROR(__xludf.DUMMYFUNCTION("""COMPUTED_VALUE"""),4.799875353753258)</f>
        <v>4.799875354</v>
      </c>
    </row>
    <row r="38">
      <c r="A38" s="204">
        <f>IFERROR(__xludf.DUMMYFUNCTION("""COMPUTED_VALUE"""),9.8)</f>
        <v>9.8</v>
      </c>
      <c r="B38" s="204">
        <f>IFERROR(__xludf.DUMMYFUNCTION("""COMPUTED_VALUE"""),11.66164606488695)</f>
        <v>11.66164606</v>
      </c>
      <c r="C38" s="204">
        <f>IFERROR(__xludf.DUMMYFUNCTION("""COMPUTED_VALUE"""),5.68836654844757)</f>
        <v>5.688366548</v>
      </c>
      <c r="D38" s="204">
        <f>IFERROR(__xludf.DUMMYFUNCTION("""COMPUTED_VALUE"""),6.89174661416527)</f>
        <v>6.891746614</v>
      </c>
      <c r="E38" s="204">
        <f>IFERROR(__xludf.DUMMYFUNCTION("""COMPUTED_VALUE"""),4.771648639278037)</f>
        <v>4.771648639</v>
      </c>
    </row>
    <row r="39">
      <c r="A39" s="204">
        <f>IFERROR(__xludf.DUMMYFUNCTION("""COMPUTED_VALUE"""),10.16)</f>
        <v>10.16</v>
      </c>
      <c r="B39" s="204">
        <f>IFERROR(__xludf.DUMMYFUNCTION("""COMPUTED_VALUE"""),11.568158997264637)</f>
        <v>11.568159</v>
      </c>
      <c r="C39" s="204">
        <f>IFERROR(__xludf.DUMMYFUNCTION("""COMPUTED_VALUE"""),8.256100704423131)</f>
        <v>8.256100704</v>
      </c>
      <c r="D39" s="204">
        <f>IFERROR(__xludf.DUMMYFUNCTION("""COMPUTED_VALUE"""),6.983340482461942)</f>
        <v>6.983340482</v>
      </c>
      <c r="E39" s="204">
        <f>IFERROR(__xludf.DUMMYFUNCTION("""COMPUTED_VALUE"""),4.983953132915404)</f>
        <v>4.983953133</v>
      </c>
    </row>
    <row r="40">
      <c r="A40" s="204">
        <f>IFERROR(__xludf.DUMMYFUNCTION("""COMPUTED_VALUE"""),10.5)</f>
        <v>10.5</v>
      </c>
      <c r="B40" s="204">
        <f>IFERROR(__xludf.DUMMYFUNCTION("""COMPUTED_VALUE"""),9.040545687476195)</f>
        <v>9.040545687</v>
      </c>
      <c r="C40" s="204">
        <f>IFERROR(__xludf.DUMMYFUNCTION("""COMPUTED_VALUE"""),6.326192545870753)</f>
        <v>6.326192546</v>
      </c>
      <c r="D40" s="204">
        <f>IFERROR(__xludf.DUMMYFUNCTION("""COMPUTED_VALUE"""),7.072624902532952)</f>
        <v>7.072624903</v>
      </c>
      <c r="E40" s="204">
        <f>IFERROR(__xludf.DUMMYFUNCTION("""COMPUTED_VALUE"""),4.949124586597211)</f>
        <v>4.949124587</v>
      </c>
    </row>
    <row r="41">
      <c r="A41" s="204">
        <f>IFERROR(__xludf.DUMMYFUNCTION("""COMPUTED_VALUE"""),11.44)</f>
        <v>11.44</v>
      </c>
      <c r="B41" s="204">
        <f>IFERROR(__xludf.DUMMYFUNCTION("""COMPUTED_VALUE"""),9.345244278245213)</f>
        <v>9.345244278</v>
      </c>
      <c r="C41" s="204">
        <f>IFERROR(__xludf.DUMMYFUNCTION("""COMPUTED_VALUE"""),9.443259209541539)</f>
        <v>9.44325921</v>
      </c>
      <c r="D41" s="204">
        <f>IFERROR(__xludf.DUMMYFUNCTION("""COMPUTED_VALUE"""),7.310997553403461)</f>
        <v>7.310997553</v>
      </c>
      <c r="E41" s="204">
        <f>IFERROR(__xludf.DUMMYFUNCTION("""COMPUTED_VALUE"""),5.310438386892237)</f>
        <v>5.310438387</v>
      </c>
    </row>
    <row r="42">
      <c r="A42" s="204">
        <f>IFERROR(__xludf.DUMMYFUNCTION("""COMPUTED_VALUE"""),13.7)</f>
        <v>13.7</v>
      </c>
      <c r="B42" s="204">
        <f>IFERROR(__xludf.DUMMYFUNCTION("""COMPUTED_VALUE"""),12.10484401509643)</f>
        <v>12.10484402</v>
      </c>
      <c r="C42" s="204">
        <f>IFERROR(__xludf.DUMMYFUNCTION("""COMPUTED_VALUE"""),10.41353620249077)</f>
        <v>10.4135362</v>
      </c>
      <c r="D42" s="204">
        <f>IFERROR(__xludf.DUMMYFUNCTION("""COMPUTED_VALUE"""),7.864145045062466)</f>
        <v>7.864145045</v>
      </c>
      <c r="E42" s="204">
        <f>IFERROR(__xludf.DUMMYFUNCTION("""COMPUTED_VALUE"""),5.856075870195643)</f>
        <v>5.85607587</v>
      </c>
    </row>
    <row r="43">
      <c r="A43" s="204">
        <f>IFERROR(__xludf.DUMMYFUNCTION("""COMPUTED_VALUE"""),14.76)</f>
        <v>14.76</v>
      </c>
      <c r="B43" s="204">
        <f>IFERROR(__xludf.DUMMYFUNCTION("""COMPUTED_VALUE"""),10.373602022090648)</f>
        <v>10.37360202</v>
      </c>
      <c r="C43" s="204">
        <f>IFERROR(__xludf.DUMMYFUNCTION("""COMPUTED_VALUE"""),10.621755385659537)</f>
        <v>10.62175539</v>
      </c>
      <c r="D43" s="204">
        <f>IFERROR(__xludf.DUMMYFUNCTION("""COMPUTED_VALUE"""),8.11550525009143)</f>
        <v>8.11550525</v>
      </c>
      <c r="E43" s="204">
        <f>IFERROR(__xludf.DUMMYFUNCTION("""COMPUTED_VALUE"""),5.973168403467368)</f>
        <v>5.973168403</v>
      </c>
    </row>
    <row r="44">
      <c r="A44" s="204">
        <f>IFERROR(__xludf.DUMMYFUNCTION("""COMPUTED_VALUE"""),17.28)</f>
        <v>17.28</v>
      </c>
      <c r="B44" s="204">
        <f>IFERROR(__xludf.DUMMYFUNCTION("""COMPUTED_VALUE"""),11.100723659153076)</f>
        <v>11.10072366</v>
      </c>
      <c r="C44" s="204">
        <f>IFERROR(__xludf.DUMMYFUNCTION("""COMPUTED_VALUE"""),11.33163650518998)</f>
        <v>11.33163651</v>
      </c>
      <c r="D44" s="204">
        <f>IFERROR(__xludf.DUMMYFUNCTION("""COMPUTED_VALUE"""),8.684349076032419)</f>
        <v>8.684349076</v>
      </c>
      <c r="E44" s="204">
        <f>IFERROR(__xludf.DUMMYFUNCTION("""COMPUTED_VALUE"""),6.6759974178016)</f>
        <v>6.675997418</v>
      </c>
    </row>
    <row r="45">
      <c r="A45" s="204">
        <f>IFERROR(__xludf.DUMMYFUNCTION("""COMPUTED_VALUE"""),17.48)</f>
        <v>17.48</v>
      </c>
      <c r="B45" s="204">
        <f>IFERROR(__xludf.DUMMYFUNCTION("""COMPUTED_VALUE"""),9.743429936636543)</f>
        <v>9.743429937</v>
      </c>
      <c r="C45" s="204">
        <f>IFERROR(__xludf.DUMMYFUNCTION("""COMPUTED_VALUE"""),10.621755385659537)</f>
        <v>10.62175539</v>
      </c>
      <c r="D45" s="204">
        <f>IFERROR(__xludf.DUMMYFUNCTION("""COMPUTED_VALUE"""),8.72833581666004)</f>
        <v>8.728335817</v>
      </c>
      <c r="E45" s="204">
        <f>IFERROR(__xludf.DUMMYFUNCTION("""COMPUTED_VALUE"""),6.571653727819568)</f>
        <v>6.571653728</v>
      </c>
    </row>
    <row r="46">
      <c r="A46" s="204">
        <f>IFERROR(__xludf.DUMMYFUNCTION("""COMPUTED_VALUE"""),18.18)</f>
        <v>18.18</v>
      </c>
      <c r="B46" s="204">
        <f>IFERROR(__xludf.DUMMYFUNCTION("""COMPUTED_VALUE"""),9.91309165195111)</f>
        <v>9.913091652</v>
      </c>
      <c r="C46" s="204">
        <f>IFERROR(__xludf.DUMMYFUNCTION("""COMPUTED_VALUE"""),9.308805088766054)</f>
        <v>9.308805089</v>
      </c>
      <c r="D46" s="204">
        <f>IFERROR(__xludf.DUMMYFUNCTION("""COMPUTED_VALUE"""),8.88032176371631)</f>
        <v>8.880321764</v>
      </c>
      <c r="E46" s="204">
        <f>IFERROR(__xludf.DUMMYFUNCTION("""COMPUTED_VALUE"""),6.7982175040809505)</f>
        <v>6.798217504</v>
      </c>
    </row>
    <row r="47">
      <c r="A47" s="204">
        <f>IFERROR(__xludf.DUMMYFUNCTION("""COMPUTED_VALUE"""),19.34)</f>
        <v>19.34</v>
      </c>
      <c r="B47" s="204">
        <f>IFERROR(__xludf.DUMMYFUNCTION("""COMPUTED_VALUE"""),10.190090370832035)</f>
        <v>10.19009037</v>
      </c>
      <c r="C47" s="204">
        <f>IFERROR(__xludf.DUMMYFUNCTION("""COMPUTED_VALUE"""),8.381306701928818)</f>
        <v>8.381306702</v>
      </c>
      <c r="D47" s="204">
        <f>IFERROR(__xludf.DUMMYFUNCTION("""COMPUTED_VALUE"""),9.128462085440832)</f>
        <v>9.128462085</v>
      </c>
      <c r="E47" s="204">
        <f>IFERROR(__xludf.DUMMYFUNCTION("""COMPUTED_VALUE"""),7.034699948923916)</f>
        <v>7.034699949</v>
      </c>
    </row>
    <row r="48">
      <c r="A48" s="204">
        <f>IFERROR(__xludf.DUMMYFUNCTION("""COMPUTED_VALUE"""),20.0)</f>
        <v>20</v>
      </c>
      <c r="B48" s="204">
        <f>IFERROR(__xludf.DUMMYFUNCTION("""COMPUTED_VALUE"""),9.752191210053796)</f>
        <v>9.75219121</v>
      </c>
      <c r="C48" s="204">
        <f>IFERROR(__xludf.DUMMYFUNCTION("""COMPUTED_VALUE"""),6.700083654909456)</f>
        <v>6.700083655</v>
      </c>
      <c r="D48" s="204">
        <f>IFERROR(__xludf.DUMMYFUNCTION("""COMPUTED_VALUE"""),9.274302078692484)</f>
        <v>9.274302079</v>
      </c>
      <c r="E48" s="204">
        <f>IFERROR(__xludf.DUMMYFUNCTION("""COMPUTED_VALUE"""),7.201410862948309)</f>
        <v>7.201410863</v>
      </c>
    </row>
    <row r="49">
      <c r="A49" s="204">
        <f>IFERROR(__xludf.DUMMYFUNCTION("""COMPUTED_VALUE"""),20.22)</f>
        <v>20.22</v>
      </c>
      <c r="B49" s="204">
        <f>IFERROR(__xludf.DUMMYFUNCTION("""COMPUTED_VALUE"""),16.429486513624873)</f>
        <v>16.42948651</v>
      </c>
      <c r="C49" s="204">
        <f>IFERROR(__xludf.DUMMYFUNCTION("""COMPUTED_VALUE"""),9.033698820646713)</f>
        <v>9.033698821</v>
      </c>
      <c r="D49" s="204">
        <f>IFERROR(__xludf.DUMMYFUNCTION("""COMPUTED_VALUE"""),9.308490942563667)</f>
        <v>9.308490943</v>
      </c>
      <c r="E49" s="204">
        <f>IFERROR(__xludf.DUMMYFUNCTION("""COMPUTED_VALUE"""),7.141263889839298)</f>
        <v>7.14126389</v>
      </c>
    </row>
    <row r="50">
      <c r="A50" s="204">
        <f>IFERROR(__xludf.DUMMYFUNCTION("""COMPUTED_VALUE"""),21.32)</f>
        <v>21.32</v>
      </c>
      <c r="B50" s="204">
        <f>IFERROR(__xludf.DUMMYFUNCTION("""COMPUTED_VALUE"""),16.824209688030194)</f>
        <v>16.82420969</v>
      </c>
      <c r="C50" s="204">
        <f>IFERROR(__xludf.DUMMYFUNCTION("""COMPUTED_VALUE"""),13.295938506284408)</f>
        <v>13.29593851</v>
      </c>
      <c r="D50" s="204">
        <f>IFERROR(__xludf.DUMMYFUNCTION("""COMPUTED_VALUE"""),9.5321301348613)</f>
        <v>9.532130135</v>
      </c>
      <c r="E50" s="204">
        <f>IFERROR(__xludf.DUMMYFUNCTION("""COMPUTED_VALUE"""),7.533109635288616)</f>
        <v>7.533109635</v>
      </c>
    </row>
    <row r="51">
      <c r="A51" s="204">
        <f>IFERROR(__xludf.DUMMYFUNCTION("""COMPUTED_VALUE"""),21.82)</f>
        <v>21.82</v>
      </c>
      <c r="B51" s="204"/>
      <c r="C51" s="204">
        <f>IFERROR(__xludf.DUMMYFUNCTION("""COMPUTED_VALUE"""),8.132999141004994)</f>
        <v>8.132999141</v>
      </c>
      <c r="D51" s="204"/>
      <c r="E51" s="205">
        <f>IFERROR(__xludf.DUMMYFUNCTION("""COMPUTED_VALUE"""),7.618171153573993)</f>
        <v>7.618171154</v>
      </c>
    </row>
    <row r="52">
      <c r="A52" s="204">
        <f>IFERROR(__xludf.DUMMYFUNCTION("""COMPUTED_VALUE"""),21.96)</f>
        <v>21.96</v>
      </c>
      <c r="B52" s="204">
        <f>IFERROR(__xludf.DUMMYFUNCTION("""COMPUTED_VALUE"""),15.148367438800596)</f>
        <v>15.14836744</v>
      </c>
      <c r="C52" s="204">
        <f>IFERROR(__xludf.DUMMYFUNCTION("""COMPUTED_VALUE"""),12.013487706850125)</f>
        <v>12.01348771</v>
      </c>
      <c r="D52" s="204">
        <f>IFERROR(__xludf.DUMMYFUNCTION("""COMPUTED_VALUE"""),9.663543558192698)</f>
        <v>9.663543558</v>
      </c>
      <c r="E52" s="204">
        <f>IFERROR(__xludf.DUMMYFUNCTION("""COMPUTED_VALUE"""),7.663721005578577)</f>
        <v>7.663721006</v>
      </c>
    </row>
    <row r="53">
      <c r="A53" s="204">
        <f>IFERROR(__xludf.DUMMYFUNCTION("""COMPUTED_VALUE"""),22.32)</f>
        <v>22.32</v>
      </c>
      <c r="B53" s="204">
        <f>IFERROR(__xludf.DUMMYFUNCTION("""COMPUTED_VALUE"""),15.259166926352966)</f>
        <v>15.25916693</v>
      </c>
      <c r="C53" s="204"/>
      <c r="D53" s="204">
        <f>IFERROR(__xludf.DUMMYFUNCTION("""COMPUTED_VALUE"""),9.734225476789764)</f>
        <v>9.734225477</v>
      </c>
      <c r="E53" s="204"/>
    </row>
    <row r="54">
      <c r="A54" s="204">
        <f>IFERROR(__xludf.DUMMYFUNCTION("""COMPUTED_VALUE"""),23.0)</f>
        <v>23</v>
      </c>
      <c r="B54" s="204">
        <f>IFERROR(__xludf.DUMMYFUNCTION("""COMPUTED_VALUE"""),9.303694470413074)</f>
        <v>9.30369447</v>
      </c>
      <c r="C54" s="204">
        <f>IFERROR(__xludf.DUMMYFUNCTION("""COMPUTED_VALUE"""),10.919662234059468)</f>
        <v>10.91966223</v>
      </c>
      <c r="D54" s="204">
        <f>IFERROR(__xludf.DUMMYFUNCTION("""COMPUTED_VALUE"""),9.868764395818598)</f>
        <v>9.868764396</v>
      </c>
      <c r="E54" s="204">
        <f>IFERROR(__xludf.DUMMYFUNCTION("""COMPUTED_VALUE"""),7.799666571155602)</f>
        <v>7.799666571</v>
      </c>
    </row>
    <row r="55">
      <c r="A55" s="204">
        <f>IFERROR(__xludf.DUMMYFUNCTION("""COMPUTED_VALUE"""),24.38)</f>
        <v>24.38</v>
      </c>
      <c r="B55" s="204">
        <f>IFERROR(__xludf.DUMMYFUNCTION("""COMPUTED_VALUE"""),15.88587652782106)</f>
        <v>15.88587653</v>
      </c>
      <c r="C55" s="204">
        <f>IFERROR(__xludf.DUMMYFUNCTION("""COMPUTED_VALUE"""),8.486990822855413)</f>
        <v>8.486990823</v>
      </c>
      <c r="D55" s="204">
        <f>IFERROR(__xludf.DUMMYFUNCTION("""COMPUTED_VALUE"""),10.134020078854421)</f>
        <v>10.13402008</v>
      </c>
      <c r="E55" s="204">
        <f>IFERROR(__xludf.DUMMYFUNCTION("""COMPUTED_VALUE"""),7.949754764062948)</f>
        <v>7.949754764</v>
      </c>
    </row>
    <row r="56">
      <c r="A56" s="204">
        <f>IFERROR(__xludf.DUMMYFUNCTION("""COMPUTED_VALUE"""),25.74)</f>
        <v>25.74</v>
      </c>
      <c r="B56" s="204">
        <f>IFERROR(__xludf.DUMMYFUNCTION("""COMPUTED_VALUE"""),9.795367196426717)</f>
        <v>9.795367196</v>
      </c>
      <c r="C56" s="204">
        <f>IFERROR(__xludf.DUMMYFUNCTION("""COMPUTED_VALUE"""),11.961009746842356)</f>
        <v>11.96100975</v>
      </c>
      <c r="D56" s="204">
        <f>IFERROR(__xludf.DUMMYFUNCTION("""COMPUTED_VALUE"""),10.390299395523192)</f>
        <v>10.3902994</v>
      </c>
      <c r="E56" s="204">
        <f>IFERROR(__xludf.DUMMYFUNCTION("""COMPUTED_VALUE"""),8.290472784874066)</f>
        <v>8.290472785</v>
      </c>
    </row>
    <row r="57">
      <c r="A57" s="204">
        <f>IFERROR(__xludf.DUMMYFUNCTION("""COMPUTED_VALUE"""),26.0)</f>
        <v>26</v>
      </c>
      <c r="B57" s="204">
        <f>IFERROR(__xludf.DUMMYFUNCTION("""COMPUTED_VALUE"""),5.918478260869565)</f>
        <v>5.918478261</v>
      </c>
      <c r="C57" s="204">
        <f>IFERROR(__xludf.DUMMYFUNCTION("""COMPUTED_VALUE"""),7.202331183309443)</f>
        <v>7.202331183</v>
      </c>
      <c r="D57" s="204">
        <f>IFERROR(__xludf.DUMMYFUNCTION("""COMPUTED_VALUE"""),10.5315342253299)</f>
        <v>10.53153423</v>
      </c>
      <c r="E57" s="204">
        <f>IFERROR(__xludf.DUMMYFUNCTION("""COMPUTED_VALUE"""),8.472555265374694)</f>
        <v>8.472555265</v>
      </c>
    </row>
    <row r="58">
      <c r="A58" s="204">
        <f>IFERROR(__xludf.DUMMYFUNCTION("""COMPUTED_VALUE"""),27.52)</f>
        <v>27.52</v>
      </c>
      <c r="B58" s="204">
        <f>IFERROR(__xludf.DUMMYFUNCTION("""COMPUTED_VALUE"""),20.189744122433435)</f>
        <v>20.18974412</v>
      </c>
      <c r="C58" s="204">
        <f>IFERROR(__xludf.DUMMYFUNCTION("""COMPUTED_VALUE"""),11.226876481247524)</f>
        <v>11.22687648</v>
      </c>
      <c r="D58" s="204">
        <f>IFERROR(__xludf.DUMMYFUNCTION("""COMPUTED_VALUE"""),10.711318685299682)</f>
        <v>10.71131869</v>
      </c>
      <c r="E58" s="204">
        <f>IFERROR(__xludf.DUMMYFUNCTION("""COMPUTED_VALUE"""),8.700480257284335)</f>
        <v>8.700480257</v>
      </c>
    </row>
    <row r="59">
      <c r="A59" s="204">
        <f>IFERROR(__xludf.DUMMYFUNCTION("""COMPUTED_VALUE"""),29.36)</f>
        <v>29.36</v>
      </c>
      <c r="B59" s="204">
        <f>IFERROR(__xludf.DUMMYFUNCTION("""COMPUTED_VALUE"""),12.399155153907413)</f>
        <v>12.39915515</v>
      </c>
      <c r="C59" s="204"/>
      <c r="D59" s="204">
        <f>IFERROR(__xludf.DUMMYFUNCTION("""COMPUTED_VALUE"""),11.032277101781016)</f>
        <v>11.0322771</v>
      </c>
      <c r="E59" s="204"/>
    </row>
    <row r="60">
      <c r="A60" s="204">
        <f>IFERROR(__xludf.DUMMYFUNCTION("""COMPUTED_VALUE"""),31.84)</f>
        <v>31.84</v>
      </c>
      <c r="B60" s="204">
        <f>IFERROR(__xludf.DUMMYFUNCTION("""COMPUTED_VALUE"""),12.870052976004986)</f>
        <v>12.87005298</v>
      </c>
      <c r="C60" s="204">
        <f>IFERROR(__xludf.DUMMYFUNCTION("""COMPUTED_VALUE"""),12.86046678391673)</f>
        <v>12.86046678</v>
      </c>
      <c r="D60" s="204">
        <f>IFERROR(__xludf.DUMMYFUNCTION("""COMPUTED_VALUE"""),11.451263330723272)</f>
        <v>11.45126333</v>
      </c>
      <c r="E60" s="204">
        <f>IFERROR(__xludf.DUMMYFUNCTION("""COMPUTED_VALUE"""),9.34058438486716)</f>
        <v>9.340584385</v>
      </c>
    </row>
    <row r="61">
      <c r="A61" s="204">
        <f>IFERROR(__xludf.DUMMYFUNCTION("""COMPUTED_VALUE"""),32.32)</f>
        <v>32.32</v>
      </c>
      <c r="B61" s="204">
        <f>IFERROR(__xludf.DUMMYFUNCTION("""COMPUTED_VALUE"""),14.31737128215782)</f>
        <v>14.31737128</v>
      </c>
      <c r="C61" s="204"/>
      <c r="D61" s="204">
        <f>IFERROR(__xludf.DUMMYFUNCTION("""COMPUTED_VALUE"""),11.531728069258492)</f>
        <v>11.53172807</v>
      </c>
      <c r="E61" s="204"/>
    </row>
    <row r="62">
      <c r="A62" s="204">
        <f>IFERROR(__xludf.DUMMYFUNCTION("""COMPUTED_VALUE"""),32.88)</f>
        <v>32.88</v>
      </c>
      <c r="B62" s="204">
        <f>IFERROR(__xludf.DUMMYFUNCTION("""COMPUTED_VALUE"""),17.46130674145632)</f>
        <v>17.46130674</v>
      </c>
      <c r="C62" s="204">
        <f>IFERROR(__xludf.DUMMYFUNCTION("""COMPUTED_VALUE"""),15.009241201820714)</f>
        <v>15.0092412</v>
      </c>
      <c r="D62" s="204">
        <f>IFERROR(__xludf.DUMMYFUNCTION("""COMPUTED_VALUE"""),11.621011779338584)</f>
        <v>11.62101178</v>
      </c>
      <c r="E62" s="204">
        <f>IFERROR(__xludf.DUMMYFUNCTION("""COMPUTED_VALUE"""),9.53828421975178)</f>
        <v>9.53828422</v>
      </c>
    </row>
    <row r="63">
      <c r="A63" s="204">
        <f>IFERROR(__xludf.DUMMYFUNCTION("""COMPUTED_VALUE"""),34.68)</f>
        <v>34.68</v>
      </c>
      <c r="B63" s="204">
        <f>IFERROR(__xludf.DUMMYFUNCTION("""COMPUTED_VALUE"""),14.78480662026938)</f>
        <v>14.78480662</v>
      </c>
      <c r="C63" s="204"/>
      <c r="D63" s="204">
        <f>IFERROR(__xludf.DUMMYFUNCTION("""COMPUTED_VALUE"""),11.90821737744468)</f>
        <v>11.90821738</v>
      </c>
      <c r="E63" s="204"/>
    </row>
    <row r="64">
      <c r="A64" s="204">
        <f>IFERROR(__xludf.DUMMYFUNCTION("""COMPUTED_VALUE"""),36.12)</f>
        <v>36.12</v>
      </c>
      <c r="B64" s="204">
        <f>IFERROR(__xludf.DUMMYFUNCTION("""COMPUTED_VALUE"""),21.121152314670546)</f>
        <v>21.12115231</v>
      </c>
      <c r="C64" s="204">
        <f>IFERROR(__xludf.DUMMYFUNCTION("""COMPUTED_VALUE"""),14.963672699864222)</f>
        <v>14.9636727</v>
      </c>
      <c r="D64" s="204">
        <f>IFERROR(__xludf.DUMMYFUNCTION("""COMPUTED_VALUE"""),12.127696616619428)</f>
        <v>12.12769662</v>
      </c>
      <c r="E64" s="204">
        <f>IFERROR(__xludf.DUMMYFUNCTION("""COMPUTED_VALUE"""),10.01281674780905)</f>
        <v>10.01281675</v>
      </c>
    </row>
    <row r="65">
      <c r="A65" s="204">
        <f>IFERROR(__xludf.DUMMYFUNCTION("""COMPUTED_VALUE"""),37.9)</f>
        <v>37.9</v>
      </c>
      <c r="B65" s="204">
        <f>IFERROR(__xludf.DUMMYFUNCTION("""COMPUTED_VALUE"""),13.2336137945362)</f>
        <v>13.23361379</v>
      </c>
      <c r="C65" s="204"/>
      <c r="D65" s="204">
        <f>IFERROR(__xludf.DUMMYFUNCTION("""COMPUTED_VALUE"""),12.395911166248657)</f>
        <v>12.39591117</v>
      </c>
      <c r="E65" s="204"/>
    </row>
    <row r="66">
      <c r="A66" s="204">
        <f>IFERROR(__xludf.DUMMYFUNCTION("""COMPUTED_VALUE"""),38.28)</f>
        <v>38.28</v>
      </c>
      <c r="B66" s="204"/>
      <c r="C66" s="204">
        <f>IFERROR(__xludf.DUMMYFUNCTION("""COMPUTED_VALUE"""),11.430932078912868)</f>
        <v>11.43093208</v>
      </c>
      <c r="D66" s="204"/>
      <c r="E66" s="204">
        <f>IFERROR(__xludf.DUMMYFUNCTION("""COMPUTED_VALUE"""),10.432406778186952)</f>
        <v>10.43240678</v>
      </c>
    </row>
    <row r="67">
      <c r="A67" s="204">
        <f>IFERROR(__xludf.DUMMYFUNCTION("""COMPUTED_VALUE"""),39.3)</f>
        <v>39.3</v>
      </c>
      <c r="B67" s="204">
        <f>IFERROR(__xludf.DUMMYFUNCTION("""COMPUTED_VALUE"""),20.452892905370312)</f>
        <v>20.45289291</v>
      </c>
      <c r="C67" s="204">
        <f>IFERROR(__xludf.DUMMYFUNCTION("""COMPUTED_VALUE"""),19.972761792643375)</f>
        <v>19.97276179</v>
      </c>
      <c r="D67" s="204">
        <f>IFERROR(__xludf.DUMMYFUNCTION("""COMPUTED_VALUE"""),12.594936247384366)</f>
        <v>12.59493625</v>
      </c>
      <c r="E67" s="204">
        <f>IFERROR(__xludf.DUMMYFUNCTION("""COMPUTED_VALUE"""),10.596202472366716)</f>
        <v>10.59620247</v>
      </c>
    </row>
    <row r="68">
      <c r="A68" s="204">
        <f>IFERROR(__xludf.DUMMYFUNCTION("""COMPUTED_VALUE"""),39.75)</f>
        <v>39.75</v>
      </c>
      <c r="B68" s="204">
        <f>IFERROR(__xludf.DUMMYFUNCTION("""COMPUTED_VALUE"""),3.259259259259259)</f>
        <v>3.259259259</v>
      </c>
      <c r="C68" s="204"/>
      <c r="D68" s="204">
        <f>IFERROR(__xludf.DUMMYFUNCTION("""COMPUTED_VALUE"""),12.660020306648464)</f>
        <v>12.66002031</v>
      </c>
      <c r="E68" s="204"/>
    </row>
    <row r="69">
      <c r="A69" s="204">
        <f>IFERROR(__xludf.DUMMYFUNCTION("""COMPUTED_VALUE"""),41.1)</f>
        <v>41.1</v>
      </c>
      <c r="B69" s="204">
        <f>IFERROR(__xludf.DUMMYFUNCTION("""COMPUTED_VALUE"""),12.115231467054464)</f>
        <v>12.11523147</v>
      </c>
      <c r="C69" s="204">
        <f>IFERROR(__xludf.DUMMYFUNCTION("""COMPUTED_VALUE"""),15.65575451521229)</f>
        <v>15.65575452</v>
      </c>
      <c r="D69" s="204">
        <f>IFERROR(__xludf.DUMMYFUNCTION("""COMPUTED_VALUE"""),12.851063126523734)</f>
        <v>12.85106313</v>
      </c>
      <c r="E69" s="204">
        <f>IFERROR(__xludf.DUMMYFUNCTION("""COMPUTED_VALUE"""),10.851392105027054)</f>
        <v>10.85139211</v>
      </c>
    </row>
    <row r="70">
      <c r="A70" s="204">
        <f>IFERROR(__xludf.DUMMYFUNCTION("""COMPUTED_VALUE"""),43.06)</f>
        <v>43.06</v>
      </c>
      <c r="B70" s="204">
        <f>IFERROR(__xludf.DUMMYFUNCTION("""COMPUTED_VALUE"""),20.567154876908695)</f>
        <v>20.56715488</v>
      </c>
      <c r="C70" s="204">
        <f>IFERROR(__xludf.DUMMYFUNCTION("""COMPUTED_VALUE"""),15.006888276251303)</f>
        <v>15.00688828</v>
      </c>
      <c r="D70" s="204">
        <f>IFERROR(__xludf.DUMMYFUNCTION("""COMPUTED_VALUE"""),13.120331139580486)</f>
        <v>13.12033114</v>
      </c>
      <c r="E70" s="204">
        <f>IFERROR(__xludf.DUMMYFUNCTION("""COMPUTED_VALUE"""),11.046051035239984)</f>
        <v>11.04605104</v>
      </c>
    </row>
    <row r="71">
      <c r="A71" s="204">
        <f>IFERROR(__xludf.DUMMYFUNCTION("""COMPUTED_VALUE"""),45.52)</f>
        <v>45.52</v>
      </c>
      <c r="B71" s="204">
        <f>IFERROR(__xludf.DUMMYFUNCTION("""COMPUTED_VALUE"""),19.396835289636787)</f>
        <v>19.39683529</v>
      </c>
      <c r="C71" s="204">
        <f>IFERROR(__xludf.DUMMYFUNCTION("""COMPUTED_VALUE"""),16.127885934843338)</f>
        <v>16.12788593</v>
      </c>
      <c r="D71" s="204">
        <f>IFERROR(__xludf.DUMMYFUNCTION("""COMPUTED_VALUE"""),13.444428061257236)</f>
        <v>13.44442806</v>
      </c>
      <c r="E71" s="204">
        <f>IFERROR(__xludf.DUMMYFUNCTION("""COMPUTED_VALUE"""),11.178638112528091)</f>
        <v>11.17863811</v>
      </c>
    </row>
    <row r="72">
      <c r="A72" s="204">
        <f>IFERROR(__xludf.DUMMYFUNCTION("""COMPUTED_VALUE"""),48.14)</f>
        <v>48.14</v>
      </c>
      <c r="B72" s="204">
        <f>IFERROR(__xludf.DUMMYFUNCTION("""COMPUTED_VALUE"""),19.874658079706382)</f>
        <v>19.87465808</v>
      </c>
      <c r="C72" s="204">
        <f>IFERROR(__xludf.DUMMYFUNCTION("""COMPUTED_VALUE"""),10.972075167895039)</f>
        <v>10.97207517</v>
      </c>
      <c r="D72" s="204">
        <f>IFERROR(__xludf.DUMMYFUNCTION("""COMPUTED_VALUE"""),13.775618898896203)</f>
        <v>13.7756189</v>
      </c>
      <c r="E72" s="204">
        <f>IFERROR(__xludf.DUMMYFUNCTION("""COMPUTED_VALUE"""),11.638475995693392)</f>
        <v>11.638476</v>
      </c>
    </row>
    <row r="73">
      <c r="A73" s="204">
        <f>IFERROR(__xludf.DUMMYFUNCTION("""COMPUTED_VALUE"""),48.54)</f>
        <v>48.54</v>
      </c>
      <c r="B73" s="204">
        <f>IFERROR(__xludf.DUMMYFUNCTION("""COMPUTED_VALUE"""),13.032789723347529)</f>
        <v>13.03278972</v>
      </c>
      <c r="C73" s="204">
        <f>IFERROR(__xludf.DUMMYFUNCTION("""COMPUTED_VALUE"""),10.895109384555186)</f>
        <v>10.89510938</v>
      </c>
      <c r="D73" s="204">
        <f>IFERROR(__xludf.DUMMYFUNCTION("""COMPUTED_VALUE"""),13.82435027385977)</f>
        <v>13.82435027</v>
      </c>
      <c r="E73" s="204">
        <f>IFERROR(__xludf.DUMMYFUNCTION("""COMPUTED_VALUE"""),11.55683561243101)</f>
        <v>11.55683561</v>
      </c>
    </row>
    <row r="74">
      <c r="A74" s="204">
        <f>IFERROR(__xludf.DUMMYFUNCTION("""COMPUTED_VALUE"""),48.92)</f>
        <v>48.92</v>
      </c>
      <c r="B74" s="204">
        <f>IFERROR(__xludf.DUMMYFUNCTION("""COMPUTED_VALUE"""),16.696097780547763)</f>
        <v>16.69609778</v>
      </c>
      <c r="C74" s="204">
        <f>IFERROR(__xludf.DUMMYFUNCTION("""COMPUTED_VALUE"""),18.169936873027883)</f>
        <v>18.16993687</v>
      </c>
      <c r="D74" s="204">
        <f>IFERROR(__xludf.DUMMYFUNCTION("""COMPUTED_VALUE"""),13.870167945159297)</f>
        <v>13.87016795</v>
      </c>
      <c r="E74" s="204">
        <f>IFERROR(__xludf.DUMMYFUNCTION("""COMPUTED_VALUE"""),11.850596012984958)</f>
        <v>11.85059601</v>
      </c>
    </row>
    <row r="75">
      <c r="A75" s="204">
        <f>IFERROR(__xludf.DUMMYFUNCTION("""COMPUTED_VALUE"""),50.02)</f>
        <v>50.02</v>
      </c>
      <c r="B75" s="204">
        <f>IFERROR(__xludf.DUMMYFUNCTION("""COMPUTED_VALUE"""),20.20359405837748)</f>
        <v>20.20359406</v>
      </c>
      <c r="C75" s="204">
        <f>IFERROR(__xludf.DUMMYFUNCTION("""COMPUTED_VALUE"""),11.051311669638414)</f>
        <v>11.05131167</v>
      </c>
      <c r="D75" s="204">
        <f>IFERROR(__xludf.DUMMYFUNCTION("""COMPUTED_VALUE"""),14.003612591473752)</f>
        <v>14.00361259</v>
      </c>
      <c r="E75" s="204">
        <f>IFERROR(__xludf.DUMMYFUNCTION("""COMPUTED_VALUE"""),11.722525011892387)</f>
        <v>11.72252501</v>
      </c>
    </row>
    <row r="76">
      <c r="A76" s="204">
        <f>IFERROR(__xludf.DUMMYFUNCTION("""COMPUTED_VALUE"""),51.12)</f>
        <v>51.12</v>
      </c>
      <c r="B76" s="204">
        <f>IFERROR(__xludf.DUMMYFUNCTION("""COMPUTED_VALUE"""),1.4188034188034189)</f>
        <v>1.418803419</v>
      </c>
      <c r="C76" s="204"/>
      <c r="D76" s="204">
        <f>IFERROR(__xludf.DUMMYFUNCTION("""COMPUTED_VALUE"""),14.188034188034187)</f>
        <v>14.18803419</v>
      </c>
      <c r="E76" s="204"/>
    </row>
    <row r="77">
      <c r="A77" s="204">
        <f>IFERROR(__xludf.DUMMYFUNCTION("""COMPUTED_VALUE"""),51.38)</f>
        <v>51.38</v>
      </c>
      <c r="B77" s="204">
        <f>IFERROR(__xludf.DUMMYFUNCTION("""COMPUTED_VALUE"""),13.38942557390672)</f>
        <v>13.38942557</v>
      </c>
      <c r="C77" s="204">
        <f>IFERROR(__xludf.DUMMYFUNCTION("""COMPUTED_VALUE"""),19.0716281398737)</f>
        <v>19.07162814</v>
      </c>
      <c r="D77" s="204">
        <f>IFERROR(__xludf.DUMMYFUNCTION("""COMPUTED_VALUE"""),14.202646787730002)</f>
        <v>14.20264679</v>
      </c>
      <c r="E77" s="204">
        <f>IFERROR(__xludf.DUMMYFUNCTION("""COMPUTED_VALUE"""),12.166295146978252)</f>
        <v>12.16629515</v>
      </c>
    </row>
    <row r="78">
      <c r="A78" s="204">
        <f>IFERROR(__xludf.DUMMYFUNCTION("""COMPUTED_VALUE"""),53.44)</f>
        <v>53.44</v>
      </c>
      <c r="B78" s="204">
        <f>IFERROR(__xludf.DUMMYFUNCTION("""COMPUTED_VALUE"""),20.7783664000554)</f>
        <v>20.7783664</v>
      </c>
      <c r="C78" s="204">
        <f>IFERROR(__xludf.DUMMYFUNCTION("""COMPUTED_VALUE"""),17.02920810975572)</f>
        <v>17.02920811</v>
      </c>
      <c r="D78" s="204">
        <f>IFERROR(__xludf.DUMMYFUNCTION("""COMPUTED_VALUE"""),14.402001570082946)</f>
        <v>14.40200157</v>
      </c>
      <c r="E78" s="204">
        <f>IFERROR(__xludf.DUMMYFUNCTION("""COMPUTED_VALUE"""),12.394182275771815)</f>
        <v>12.39418228</v>
      </c>
    </row>
    <row r="79">
      <c r="A79" s="204">
        <f>IFERROR(__xludf.DUMMYFUNCTION("""COMPUTED_VALUE"""),54.0)</f>
        <v>54</v>
      </c>
      <c r="B79" s="204">
        <f>IFERROR(__xludf.DUMMYFUNCTION("""COMPUTED_VALUE"""),10.984790874524714)</f>
        <v>10.98479087</v>
      </c>
      <c r="C79" s="204">
        <f>IFERROR(__xludf.DUMMYFUNCTION("""COMPUTED_VALUE"""),9.467680608365018)</f>
        <v>9.467680608</v>
      </c>
      <c r="D79" s="204">
        <f>IFERROR(__xludf.DUMMYFUNCTION("""COMPUTED_VALUE"""),14.503162462737928)</f>
        <v>14.50316246</v>
      </c>
      <c r="E79" s="204">
        <f>IFERROR(__xludf.DUMMYFUNCTION("""COMPUTED_VALUE"""),12.500129640781392)</f>
        <v>12.50012964</v>
      </c>
    </row>
    <row r="80">
      <c r="A80" s="204">
        <f>IFERROR(__xludf.DUMMYFUNCTION("""COMPUTED_VALUE"""),55.62)</f>
        <v>55.62</v>
      </c>
      <c r="B80" s="204">
        <f>IFERROR(__xludf.DUMMYFUNCTION("""COMPUTED_VALUE"""),13.80838613621412)</f>
        <v>13.80838614</v>
      </c>
      <c r="C80" s="204"/>
      <c r="D80" s="204">
        <f>IFERROR(__xludf.DUMMYFUNCTION("""COMPUTED_VALUE"""),14.647053371985324)</f>
        <v>14.64705337</v>
      </c>
      <c r="E80" s="204"/>
    </row>
    <row r="81">
      <c r="A81" s="204">
        <f>IFERROR(__xludf.DUMMYFUNCTION("""COMPUTED_VALUE"""),56.31999999999999)</f>
        <v>56.32</v>
      </c>
      <c r="B81" s="204">
        <f>IFERROR(__xludf.DUMMYFUNCTION("""COMPUTED_VALUE"""),1.4691358024691359)</f>
        <v>1.469135802</v>
      </c>
      <c r="C81" s="204"/>
      <c r="D81" s="204">
        <f>IFERROR(__xludf.DUMMYFUNCTION("""COMPUTED_VALUE"""),14.691358024691358)</f>
        <v>14.69135802</v>
      </c>
      <c r="E81" s="204"/>
    </row>
    <row r="82">
      <c r="A82" s="204">
        <f>IFERROR(__xludf.DUMMYFUNCTION("""COMPUTED_VALUE"""),58.1)</f>
        <v>58.1</v>
      </c>
      <c r="B82" s="204">
        <f>IFERROR(__xludf.DUMMYFUNCTION("""COMPUTED_VALUE"""),14.061147467192963)</f>
        <v>14.06114747</v>
      </c>
      <c r="C82" s="204">
        <f>IFERROR(__xludf.DUMMYFUNCTION("""COMPUTED_VALUE"""),14.513578708031808)</f>
        <v>14.51357871</v>
      </c>
      <c r="D82" s="204">
        <f>IFERROR(__xludf.DUMMYFUNCTION("""COMPUTED_VALUE"""),14.915166435213742)</f>
        <v>14.91516644</v>
      </c>
      <c r="E82" s="204">
        <f>IFERROR(__xludf.DUMMYFUNCTION("""COMPUTED_VALUE"""),12.913607423894282)</f>
        <v>12.91360742</v>
      </c>
    </row>
    <row r="83">
      <c r="A83" s="204">
        <f>IFERROR(__xludf.DUMMYFUNCTION("""COMPUTED_VALUE"""),58.5)</f>
        <v>58.5</v>
      </c>
      <c r="B83" s="204">
        <f>IFERROR(__xludf.DUMMYFUNCTION("""COMPUTED_VALUE"""),18.004916727260138)</f>
        <v>18.00491673</v>
      </c>
      <c r="C83" s="204">
        <f>IFERROR(__xludf.DUMMYFUNCTION("""COMPUTED_VALUE"""),18.675106204664615)</f>
        <v>18.6751062</v>
      </c>
      <c r="D83" s="204">
        <f>IFERROR(__xludf.DUMMYFUNCTION("""COMPUTED_VALUE"""),14.957460247786885)</f>
        <v>14.95746025</v>
      </c>
      <c r="E83" s="204">
        <f>IFERROR(__xludf.DUMMYFUNCTION("""COMPUTED_VALUE"""),12.944179715703177)</f>
        <v>12.94417972</v>
      </c>
    </row>
    <row r="84">
      <c r="A84" s="204">
        <f>IFERROR(__xludf.DUMMYFUNCTION("""COMPUTED_VALUE"""),58.98)</f>
        <v>58.98</v>
      </c>
      <c r="B84" s="204">
        <f>IFERROR(__xludf.DUMMYFUNCTION("""COMPUTED_VALUE"""),23.527578684948583)</f>
        <v>23.52757868</v>
      </c>
      <c r="C84" s="204">
        <f>IFERROR(__xludf.DUMMYFUNCTION("""COMPUTED_VALUE"""),12.913264602592314)</f>
        <v>12.9132646</v>
      </c>
      <c r="D84" s="204">
        <f>IFERROR(__xludf.DUMMYFUNCTION("""COMPUTED_VALUE"""),15.008863652095858)</f>
        <v>15.00886365</v>
      </c>
      <c r="E84" s="204">
        <f>IFERROR(__xludf.DUMMYFUNCTION("""COMPUTED_VALUE"""),12.856372325281178)</f>
        <v>12.85637233</v>
      </c>
    </row>
    <row r="85">
      <c r="A85" s="204">
        <f>IFERROR(__xludf.DUMMYFUNCTION("""COMPUTED_VALUE"""),60.18)</f>
        <v>60.18</v>
      </c>
      <c r="B85" s="204">
        <f>IFERROR(__xludf.DUMMYFUNCTION("""COMPUTED_VALUE"""),17.004258855302794)</f>
        <v>17.00425886</v>
      </c>
      <c r="C85" s="204">
        <f>IFERROR(__xludf.DUMMYFUNCTION("""COMPUTED_VALUE"""),22.794379176921694)</f>
        <v>22.79437918</v>
      </c>
      <c r="D85" s="204">
        <f>IFERROR(__xludf.DUMMYFUNCTION("""COMPUTED_VALUE"""),15.129715958348665)</f>
        <v>15.12971596</v>
      </c>
      <c r="E85" s="204">
        <f>IFERROR(__xludf.DUMMYFUNCTION("""COMPUTED_VALUE"""),12.981670638795674)</f>
        <v>12.98167064</v>
      </c>
    </row>
    <row r="86">
      <c r="A86" s="204">
        <f>IFERROR(__xludf.DUMMYFUNCTION("""COMPUTED_VALUE"""),60.52)</f>
        <v>60.52</v>
      </c>
      <c r="B86" s="204">
        <f>IFERROR(__xludf.DUMMYFUNCTION("""COMPUTED_VALUE"""),11.226277372262773)</f>
        <v>11.22627737</v>
      </c>
      <c r="C86" s="204"/>
      <c r="D86" s="204">
        <f>IFERROR(__xludf.DUMMYFUNCTION("""COMPUTED_VALUE"""),15.236984973132882)</f>
        <v>15.23698497</v>
      </c>
      <c r="E86" s="204"/>
    </row>
    <row r="87">
      <c r="A87" s="204">
        <f>IFERROR(__xludf.DUMMYFUNCTION("""COMPUTED_VALUE"""),62.06)</f>
        <v>62.06</v>
      </c>
      <c r="B87" s="204">
        <f>IFERROR(__xludf.DUMMYFUNCTION("""COMPUTED_VALUE"""),22.10449776669783)</f>
        <v>22.10449777</v>
      </c>
      <c r="C87" s="204">
        <f>IFERROR(__xludf.DUMMYFUNCTION("""COMPUTED_VALUE"""),14.282974324905759)</f>
        <v>14.28297432</v>
      </c>
      <c r="D87" s="204">
        <f>IFERROR(__xludf.DUMMYFUNCTION("""COMPUTED_VALUE"""),15.321176141211385)</f>
        <v>15.32117614</v>
      </c>
      <c r="E87" s="204">
        <f>IFERROR(__xludf.DUMMYFUNCTION("""COMPUTED_VALUE"""),13.233101995668711)</f>
        <v>13.233102</v>
      </c>
    </row>
    <row r="88">
      <c r="A88" s="204">
        <f>IFERROR(__xludf.DUMMYFUNCTION("""COMPUTED_VALUE"""),62.14)</f>
        <v>62.14</v>
      </c>
      <c r="B88" s="204">
        <f>IFERROR(__xludf.DUMMYFUNCTION("""COMPUTED_VALUE"""),1.5384615384615385)</f>
        <v>1.538461538</v>
      </c>
      <c r="C88" s="204"/>
      <c r="D88" s="204">
        <f>IFERROR(__xludf.DUMMYFUNCTION("""COMPUTED_VALUE"""),15.384615384615385)</f>
        <v>15.38461538</v>
      </c>
      <c r="E88" s="204"/>
    </row>
    <row r="89">
      <c r="A89" s="204">
        <f>IFERROR(__xludf.DUMMYFUNCTION("""COMPUTED_VALUE"""),64.04)</f>
        <v>64.04</v>
      </c>
      <c r="B89" s="204"/>
      <c r="C89" s="204">
        <f>IFERROR(__xludf.DUMMYFUNCTION("""COMPUTED_VALUE"""),9.238251297241654)</f>
        <v>9.238251297</v>
      </c>
      <c r="D89" s="204"/>
      <c r="E89" s="204">
        <f>IFERROR(__xludf.DUMMYFUNCTION("""COMPUTED_VALUE"""),13.330417385147566)</f>
        <v>13.33041739</v>
      </c>
    </row>
    <row r="90">
      <c r="A90" s="204">
        <f>IFERROR(__xludf.DUMMYFUNCTION("""COMPUTED_VALUE"""),64.2)</f>
        <v>64.2</v>
      </c>
      <c r="B90" s="204">
        <f>IFERROR(__xludf.DUMMYFUNCTION("""COMPUTED_VALUE"""),14.642844776842907)</f>
        <v>14.64284478</v>
      </c>
      <c r="C90" s="204">
        <f>IFERROR(__xludf.DUMMYFUNCTION("""COMPUTED_VALUE"""),12.470149092477739)</f>
        <v>12.47014909</v>
      </c>
      <c r="D90" s="204">
        <f>IFERROR(__xludf.DUMMYFUNCTION("""COMPUTED_VALUE"""),15.532193758807908)</f>
        <v>15.53219376</v>
      </c>
      <c r="E90" s="204">
        <f>IFERROR(__xludf.DUMMYFUNCTION("""COMPUTED_VALUE"""),13.22753705699989)</f>
        <v>13.22753706</v>
      </c>
    </row>
    <row r="91">
      <c r="A91" s="204">
        <f>IFERROR(__xludf.DUMMYFUNCTION("""COMPUTED_VALUE"""),65.7)</f>
        <v>65.7</v>
      </c>
      <c r="B91" s="204">
        <f>IFERROR(__xludf.DUMMYFUNCTION("""COMPUTED_VALUE"""),11.0)</f>
        <v>11</v>
      </c>
      <c r="C91" s="204"/>
      <c r="D91" s="204">
        <f>IFERROR(__xludf.DUMMYFUNCTION("""COMPUTED_VALUE"""),15.748009435918123)</f>
        <v>15.74800944</v>
      </c>
      <c r="E91" s="204"/>
    </row>
    <row r="92">
      <c r="A92" s="204">
        <f>IFERROR(__xludf.DUMMYFUNCTION("""COMPUTED_VALUE"""),66.12)</f>
        <v>66.12</v>
      </c>
      <c r="B92" s="204">
        <f>IFERROR(__xludf.DUMMYFUNCTION("""COMPUTED_VALUE"""),9.697080291970803)</f>
        <v>9.697080292</v>
      </c>
      <c r="C92" s="204"/>
      <c r="D92" s="204">
        <f>IFERROR(__xludf.DUMMYFUNCTION("""COMPUTED_VALUE"""),15.781297354847284)</f>
        <v>15.78129735</v>
      </c>
      <c r="E92" s="204"/>
    </row>
    <row r="93">
      <c r="A93" s="204">
        <f>IFERROR(__xludf.DUMMYFUNCTION("""COMPUTED_VALUE"""),66.18)</f>
        <v>66.18</v>
      </c>
      <c r="B93" s="204">
        <f>IFERROR(__xludf.DUMMYFUNCTION("""COMPUTED_VALUE"""),16.786122364184067)</f>
        <v>16.78612236</v>
      </c>
      <c r="C93" s="204">
        <f>IFERROR(__xludf.DUMMYFUNCTION("""COMPUTED_VALUE"""),14.650154465257819)</f>
        <v>14.65015447</v>
      </c>
      <c r="D93" s="204">
        <f>IFERROR(__xludf.DUMMYFUNCTION("""COMPUTED_VALUE"""),15.723541950280874)</f>
        <v>15.72354195</v>
      </c>
      <c r="E93" s="204">
        <f>IFERROR(__xludf.DUMMYFUNCTION("""COMPUTED_VALUE"""),13.722783220267132)</f>
        <v>13.72278322</v>
      </c>
    </row>
    <row r="94">
      <c r="A94" s="204">
        <f>IFERROR(__xludf.DUMMYFUNCTION("""COMPUTED_VALUE"""),67.02)</f>
        <v>67.02</v>
      </c>
      <c r="B94" s="204">
        <f>IFERROR(__xludf.DUMMYFUNCTION("""COMPUTED_VALUE"""),22.79353207991413)</f>
        <v>22.79353208</v>
      </c>
      <c r="C94" s="204"/>
      <c r="D94" s="204">
        <f>IFERROR(__xludf.DUMMYFUNCTION("""COMPUTED_VALUE"""),15.798762928821201)</f>
        <v>15.79876293</v>
      </c>
      <c r="E94" s="204"/>
    </row>
    <row r="95">
      <c r="A95" s="204">
        <f>IFERROR(__xludf.DUMMYFUNCTION("""COMPUTED_VALUE"""),67.9)</f>
        <v>67.9</v>
      </c>
      <c r="B95" s="204">
        <f>IFERROR(__xludf.DUMMYFUNCTION("""COMPUTED_VALUE"""),9.799270072992702)</f>
        <v>9.799270073</v>
      </c>
      <c r="C95" s="204"/>
      <c r="D95" s="204">
        <f>IFERROR(__xludf.DUMMYFUNCTION("""COMPUTED_VALUE"""),15.947603838074883)</f>
        <v>15.94760384</v>
      </c>
      <c r="E95" s="204"/>
    </row>
    <row r="96">
      <c r="A96" s="204">
        <f>IFERROR(__xludf.DUMMYFUNCTION("""COMPUTED_VALUE"""),68.4)</f>
        <v>68.4</v>
      </c>
      <c r="B96" s="204">
        <f>IFERROR(__xludf.DUMMYFUNCTION("""COMPUTED_VALUE"""),25.861292891520378)</f>
        <v>25.86129289</v>
      </c>
      <c r="C96" s="204">
        <f>IFERROR(__xludf.DUMMYFUNCTION("""COMPUTED_VALUE"""),22.612683877875526)</f>
        <v>22.61268388</v>
      </c>
      <c r="D96" s="204">
        <f>IFERROR(__xludf.DUMMYFUNCTION("""COMPUTED_VALUE"""),15.92544080442083)</f>
        <v>15.9254408</v>
      </c>
      <c r="E96" s="204">
        <f>IFERROR(__xludf.DUMMYFUNCTION("""COMPUTED_VALUE"""),13.924940258662248)</f>
        <v>13.92494026</v>
      </c>
    </row>
    <row r="97">
      <c r="A97" s="204">
        <f>IFERROR(__xludf.DUMMYFUNCTION("""COMPUTED_VALUE"""),69.88)</f>
        <v>69.88</v>
      </c>
      <c r="B97" s="204">
        <f>IFERROR(__xludf.DUMMYFUNCTION("""COMPUTED_VALUE"""),25.1791835462761)</f>
        <v>25.17918355</v>
      </c>
      <c r="C97" s="204">
        <f>IFERROR(__xludf.DUMMYFUNCTION("""COMPUTED_VALUE"""),16.896866190999916)</f>
        <v>16.89686619</v>
      </c>
      <c r="D97" s="204">
        <f>IFERROR(__xludf.DUMMYFUNCTION("""COMPUTED_VALUE"""),16.06246600118338)</f>
        <v>16.062466</v>
      </c>
      <c r="E97" s="204">
        <f>IFERROR(__xludf.DUMMYFUNCTION("""COMPUTED_VALUE"""),13.938510814067008)</f>
        <v>13.93851081</v>
      </c>
    </row>
    <row r="98">
      <c r="A98" s="204">
        <f>IFERROR(__xludf.DUMMYFUNCTION("""COMPUTED_VALUE"""),72.0)</f>
        <v>72</v>
      </c>
      <c r="B98" s="204">
        <f>IFERROR(__xludf.DUMMYFUNCTION("""COMPUTED_VALUE"""),23.441016585298293)</f>
        <v>23.44101659</v>
      </c>
      <c r="C98" s="204"/>
      <c r="D98" s="204">
        <f>IFERROR(__xludf.DUMMYFUNCTION("""COMPUTED_VALUE"""),16.247550513158064)</f>
        <v>16.24755051</v>
      </c>
      <c r="E98" s="204"/>
    </row>
    <row r="99">
      <c r="A99" s="204">
        <f>IFERROR(__xludf.DUMMYFUNCTION("""COMPUTED_VALUE"""),74.62)</f>
        <v>74.62</v>
      </c>
      <c r="B99" s="204">
        <f>IFERROR(__xludf.DUMMYFUNCTION("""COMPUTED_VALUE"""),26.744226307953326)</f>
        <v>26.74422631</v>
      </c>
      <c r="C99" s="204">
        <f>IFERROR(__xludf.DUMMYFUNCTION("""COMPUTED_VALUE"""),15.45037298646938)</f>
        <v>15.45037299</v>
      </c>
      <c r="D99" s="204">
        <f>IFERROR(__xludf.DUMMYFUNCTION("""COMPUTED_VALUE"""),16.46915313607531)</f>
        <v>16.46915314</v>
      </c>
      <c r="E99" s="204">
        <f>IFERROR(__xludf.DUMMYFUNCTION("""COMPUTED_VALUE"""),14.472347009609456)</f>
        <v>14.47234701</v>
      </c>
    </row>
    <row r="100">
      <c r="A100" s="204"/>
      <c r="B100" s="204"/>
      <c r="C100" s="204"/>
      <c r="D100" s="204"/>
      <c r="E100" s="204"/>
    </row>
    <row r="101">
      <c r="A101" s="204"/>
      <c r="B101" s="204"/>
      <c r="C101" s="204"/>
      <c r="D101" s="204"/>
      <c r="E101" s="204"/>
    </row>
    <row r="102">
      <c r="A102" s="204"/>
      <c r="B102" s="204"/>
      <c r="C102" s="204"/>
      <c r="D102" s="204"/>
      <c r="E102" s="204"/>
    </row>
    <row r="103">
      <c r="A103" s="204"/>
      <c r="B103" s="204"/>
      <c r="C103" s="204"/>
      <c r="D103" s="204"/>
      <c r="E103" s="204"/>
    </row>
    <row r="104">
      <c r="A104" s="204"/>
      <c r="B104" s="204"/>
      <c r="C104" s="204"/>
      <c r="D104" s="204"/>
      <c r="E104" s="204"/>
    </row>
    <row r="105">
      <c r="A105" s="204"/>
      <c r="B105" s="204"/>
      <c r="C105" s="204"/>
      <c r="D105" s="204"/>
      <c r="E105" s="204"/>
    </row>
    <row r="106">
      <c r="A106" s="204"/>
      <c r="B106" s="204"/>
      <c r="C106" s="204"/>
      <c r="D106" s="204"/>
      <c r="E106" s="204"/>
    </row>
    <row r="107">
      <c r="A107" s="204"/>
      <c r="B107" s="204"/>
      <c r="C107" s="204"/>
      <c r="D107" s="204"/>
      <c r="E107" s="204"/>
    </row>
    <row r="108">
      <c r="A108" s="204"/>
      <c r="B108" s="204"/>
      <c r="C108" s="204"/>
      <c r="D108" s="204"/>
      <c r="E108" s="204"/>
    </row>
    <row r="109">
      <c r="A109" s="204"/>
      <c r="B109" s="204"/>
      <c r="C109" s="204"/>
      <c r="D109" s="204"/>
      <c r="E109" s="204"/>
    </row>
    <row r="110">
      <c r="A110" s="204"/>
      <c r="B110" s="204"/>
      <c r="C110" s="204"/>
      <c r="D110" s="204"/>
      <c r="E110" s="204"/>
    </row>
    <row r="111">
      <c r="A111" s="204"/>
      <c r="B111" s="204"/>
      <c r="C111" s="204"/>
      <c r="D111" s="204"/>
      <c r="E111" s="204"/>
    </row>
    <row r="112">
      <c r="A112" s="204"/>
      <c r="B112" s="204"/>
      <c r="C112" s="204"/>
      <c r="D112" s="204"/>
      <c r="E112" s="204"/>
    </row>
    <row r="113">
      <c r="A113" s="204"/>
      <c r="B113" s="204"/>
      <c r="C113" s="204"/>
      <c r="D113" s="204"/>
      <c r="E113" s="204"/>
    </row>
    <row r="114">
      <c r="A114" s="204"/>
      <c r="B114" s="204"/>
      <c r="C114" s="204"/>
      <c r="D114" s="204"/>
      <c r="E114" s="204"/>
    </row>
    <row r="115">
      <c r="A115" s="204"/>
      <c r="B115" s="204"/>
      <c r="C115" s="204"/>
      <c r="D115" s="204"/>
      <c r="E115" s="204"/>
    </row>
    <row r="116">
      <c r="A116" s="204"/>
      <c r="B116" s="204"/>
      <c r="C116" s="204"/>
      <c r="D116" s="204"/>
      <c r="E116" s="204"/>
    </row>
    <row r="117">
      <c r="A117" s="204"/>
      <c r="B117" s="204"/>
      <c r="C117" s="204"/>
      <c r="D117" s="204"/>
      <c r="E117" s="204"/>
    </row>
    <row r="118">
      <c r="A118" s="204"/>
      <c r="B118" s="204"/>
      <c r="C118" s="204"/>
      <c r="D118" s="204"/>
      <c r="E118" s="204"/>
    </row>
    <row r="119">
      <c r="A119" s="204"/>
      <c r="B119" s="204"/>
      <c r="C119" s="204"/>
      <c r="D119" s="204"/>
      <c r="E119" s="204"/>
    </row>
    <row r="120">
      <c r="A120" s="204"/>
      <c r="B120" s="204"/>
      <c r="C120" s="204"/>
      <c r="D120" s="204"/>
      <c r="E120" s="204"/>
    </row>
    <row r="121">
      <c r="A121" s="204"/>
      <c r="B121" s="204"/>
      <c r="C121" s="204"/>
      <c r="D121" s="204"/>
      <c r="E121" s="204"/>
    </row>
    <row r="122">
      <c r="A122" s="204"/>
      <c r="B122" s="204"/>
      <c r="C122" s="204"/>
      <c r="D122" s="204"/>
      <c r="E122" s="204"/>
    </row>
    <row r="123">
      <c r="A123" s="204"/>
      <c r="B123" s="204"/>
      <c r="C123" s="204"/>
      <c r="D123" s="204"/>
      <c r="E123" s="204"/>
    </row>
    <row r="124">
      <c r="A124" s="204"/>
      <c r="B124" s="204"/>
      <c r="C124" s="204"/>
      <c r="D124" s="204"/>
      <c r="E124" s="204"/>
    </row>
    <row r="125">
      <c r="A125" s="204"/>
      <c r="B125" s="204"/>
      <c r="C125" s="204"/>
      <c r="D125" s="204"/>
      <c r="E125" s="204"/>
    </row>
    <row r="126">
      <c r="A126" s="204"/>
      <c r="B126" s="204"/>
      <c r="C126" s="204"/>
      <c r="D126" s="204"/>
      <c r="E126" s="204"/>
    </row>
    <row r="127">
      <c r="A127" s="204"/>
      <c r="B127" s="204"/>
      <c r="C127" s="204"/>
      <c r="D127" s="204"/>
      <c r="E127" s="204"/>
    </row>
    <row r="128">
      <c r="A128" s="204"/>
      <c r="B128" s="204"/>
      <c r="C128" s="204"/>
      <c r="D128" s="204"/>
      <c r="E128" s="204"/>
    </row>
    <row r="129">
      <c r="A129" s="204"/>
      <c r="B129" s="204"/>
      <c r="C129" s="204"/>
      <c r="D129" s="204"/>
      <c r="E129" s="204"/>
    </row>
    <row r="130">
      <c r="A130" s="204"/>
      <c r="B130" s="204"/>
      <c r="C130" s="204"/>
      <c r="D130" s="204"/>
      <c r="E130" s="204"/>
    </row>
    <row r="131">
      <c r="A131" s="204"/>
      <c r="B131" s="204"/>
      <c r="C131" s="204"/>
      <c r="D131" s="204"/>
      <c r="E131" s="204"/>
    </row>
    <row r="132">
      <c r="A132" s="204"/>
      <c r="B132" s="204"/>
      <c r="C132" s="204"/>
      <c r="D132" s="204"/>
      <c r="E132" s="204"/>
    </row>
    <row r="133">
      <c r="A133" s="204"/>
      <c r="B133" s="204"/>
      <c r="C133" s="204"/>
      <c r="D133" s="204"/>
      <c r="E133" s="204"/>
    </row>
    <row r="134">
      <c r="A134" s="204"/>
      <c r="B134" s="204"/>
      <c r="C134" s="204"/>
      <c r="D134" s="204"/>
      <c r="E134" s="204"/>
    </row>
    <row r="135">
      <c r="A135" s="204"/>
      <c r="B135" s="204"/>
      <c r="C135" s="204"/>
      <c r="D135" s="204"/>
      <c r="E135" s="204"/>
    </row>
    <row r="136">
      <c r="A136" s="204"/>
      <c r="B136" s="204"/>
      <c r="C136" s="204"/>
      <c r="D136" s="204"/>
      <c r="E136" s="204"/>
    </row>
    <row r="137">
      <c r="A137" s="204"/>
      <c r="B137" s="204"/>
      <c r="C137" s="204"/>
      <c r="D137" s="204"/>
      <c r="E137" s="204"/>
    </row>
    <row r="138">
      <c r="A138" s="204"/>
      <c r="B138" s="204"/>
      <c r="C138" s="204"/>
      <c r="D138" s="204"/>
      <c r="E138" s="204"/>
    </row>
    <row r="139">
      <c r="A139" s="204"/>
      <c r="B139" s="204"/>
      <c r="C139" s="204"/>
      <c r="D139" s="204"/>
      <c r="E139" s="204"/>
    </row>
    <row r="140">
      <c r="A140" s="204"/>
      <c r="B140" s="204"/>
      <c r="C140" s="204"/>
      <c r="D140" s="204"/>
      <c r="E140" s="204"/>
    </row>
    <row r="141">
      <c r="A141" s="204"/>
      <c r="B141" s="204"/>
      <c r="C141" s="204"/>
      <c r="D141" s="204"/>
      <c r="E141" s="204"/>
    </row>
    <row r="142">
      <c r="A142" s="204"/>
      <c r="B142" s="204"/>
      <c r="C142" s="204"/>
      <c r="D142" s="204"/>
      <c r="E142" s="204"/>
    </row>
    <row r="143">
      <c r="A143" s="204"/>
      <c r="B143" s="204"/>
      <c r="C143" s="204"/>
      <c r="D143" s="204"/>
      <c r="E143" s="204"/>
    </row>
    <row r="144">
      <c r="A144" s="204"/>
      <c r="B144" s="204"/>
      <c r="C144" s="204"/>
      <c r="D144" s="204"/>
      <c r="E144" s="204"/>
    </row>
    <row r="145">
      <c r="A145" s="204"/>
      <c r="B145" s="204"/>
      <c r="C145" s="204"/>
      <c r="D145" s="204"/>
      <c r="E145" s="204"/>
    </row>
    <row r="146">
      <c r="A146" s="204"/>
      <c r="B146" s="204"/>
      <c r="C146" s="204"/>
      <c r="D146" s="204"/>
      <c r="E146" s="204"/>
    </row>
    <row r="147">
      <c r="A147" s="204"/>
      <c r="B147" s="204"/>
      <c r="C147" s="204"/>
      <c r="D147" s="204"/>
      <c r="E147" s="204"/>
    </row>
    <row r="148">
      <c r="A148" s="204"/>
      <c r="B148" s="204"/>
      <c r="C148" s="204"/>
      <c r="D148" s="204"/>
      <c r="E148" s="204"/>
    </row>
    <row r="149">
      <c r="A149" s="204"/>
      <c r="B149" s="204"/>
      <c r="C149" s="204"/>
      <c r="D149" s="204"/>
      <c r="E149" s="204"/>
    </row>
    <row r="150">
      <c r="A150" s="204"/>
      <c r="B150" s="204"/>
      <c r="C150" s="204"/>
      <c r="D150" s="204"/>
      <c r="E150" s="204"/>
    </row>
    <row r="151">
      <c r="A151" s="204"/>
      <c r="B151" s="204"/>
      <c r="C151" s="204"/>
      <c r="D151" s="204"/>
      <c r="E151" s="204"/>
    </row>
    <row r="152">
      <c r="A152" s="204"/>
      <c r="B152" s="204"/>
      <c r="C152" s="204"/>
      <c r="D152" s="204"/>
      <c r="E152" s="204"/>
    </row>
    <row r="153">
      <c r="A153" s="204"/>
      <c r="B153" s="204"/>
      <c r="C153" s="204"/>
      <c r="D153" s="204"/>
      <c r="E153" s="204"/>
    </row>
    <row r="154">
      <c r="A154" s="204"/>
      <c r="B154" s="204"/>
      <c r="C154" s="204"/>
      <c r="D154" s="204"/>
      <c r="E154" s="204"/>
    </row>
    <row r="155">
      <c r="A155" s="204"/>
      <c r="B155" s="204"/>
      <c r="C155" s="204"/>
      <c r="D155" s="204"/>
      <c r="E155" s="204"/>
    </row>
    <row r="156">
      <c r="A156" s="204"/>
      <c r="B156" s="204"/>
      <c r="C156" s="204"/>
      <c r="D156" s="204"/>
      <c r="E156" s="204"/>
    </row>
    <row r="157">
      <c r="A157" s="204"/>
      <c r="B157" s="204"/>
      <c r="C157" s="204"/>
      <c r="D157" s="204"/>
      <c r="E157" s="204"/>
    </row>
    <row r="158">
      <c r="A158" s="204"/>
      <c r="B158" s="204"/>
      <c r="C158" s="204"/>
      <c r="D158" s="204"/>
      <c r="E158" s="204"/>
    </row>
    <row r="159">
      <c r="A159" s="204"/>
      <c r="B159" s="204"/>
      <c r="C159" s="204"/>
      <c r="D159" s="204"/>
      <c r="E159" s="204"/>
    </row>
    <row r="160">
      <c r="A160" s="204"/>
      <c r="B160" s="204"/>
      <c r="C160" s="204"/>
      <c r="D160" s="204"/>
      <c r="E160" s="204"/>
    </row>
    <row r="161">
      <c r="A161" s="204"/>
      <c r="B161" s="204"/>
      <c r="C161" s="204"/>
      <c r="D161" s="204"/>
      <c r="E161" s="204"/>
    </row>
    <row r="162">
      <c r="A162" s="204"/>
      <c r="B162" s="204"/>
      <c r="C162" s="204"/>
      <c r="D162" s="204"/>
      <c r="E162" s="204"/>
    </row>
    <row r="163">
      <c r="A163" s="204"/>
      <c r="B163" s="204"/>
      <c r="C163" s="204"/>
      <c r="D163" s="204"/>
      <c r="E163" s="204"/>
    </row>
    <row r="164">
      <c r="A164" s="204"/>
      <c r="B164" s="204"/>
      <c r="C164" s="204"/>
      <c r="D164" s="204"/>
      <c r="E164" s="204"/>
    </row>
    <row r="165">
      <c r="A165" s="204"/>
      <c r="B165" s="204"/>
      <c r="C165" s="204"/>
      <c r="D165" s="204"/>
      <c r="E165" s="204"/>
    </row>
    <row r="166">
      <c r="A166" s="204"/>
      <c r="B166" s="204"/>
      <c r="C166" s="204"/>
      <c r="D166" s="204"/>
      <c r="E166" s="204"/>
    </row>
    <row r="167">
      <c r="A167" s="204"/>
      <c r="B167" s="204"/>
      <c r="C167" s="204"/>
      <c r="D167" s="204"/>
      <c r="E167" s="204"/>
    </row>
    <row r="168">
      <c r="A168" s="204"/>
      <c r="B168" s="204"/>
      <c r="C168" s="204"/>
      <c r="D168" s="204"/>
      <c r="E168" s="204"/>
    </row>
    <row r="169">
      <c r="A169" s="204"/>
      <c r="B169" s="204"/>
      <c r="C169" s="204"/>
      <c r="D169" s="204"/>
      <c r="E169" s="204"/>
    </row>
    <row r="170">
      <c r="A170" s="204"/>
      <c r="B170" s="204"/>
      <c r="C170" s="204"/>
      <c r="D170" s="204"/>
      <c r="E170" s="204"/>
    </row>
    <row r="171">
      <c r="A171" s="204"/>
      <c r="B171" s="204"/>
      <c r="C171" s="204"/>
      <c r="D171" s="204"/>
      <c r="E171" s="204"/>
    </row>
    <row r="172">
      <c r="A172" s="204"/>
      <c r="B172" s="204"/>
      <c r="C172" s="204"/>
      <c r="D172" s="204"/>
      <c r="E172" s="204"/>
    </row>
    <row r="173">
      <c r="A173" s="204"/>
      <c r="B173" s="204"/>
      <c r="C173" s="204"/>
      <c r="D173" s="204"/>
      <c r="E173" s="204"/>
    </row>
    <row r="174">
      <c r="A174" s="204"/>
      <c r="B174" s="204"/>
      <c r="C174" s="204"/>
      <c r="D174" s="204"/>
      <c r="E174" s="204"/>
    </row>
    <row r="175">
      <c r="A175" s="204"/>
      <c r="B175" s="204"/>
      <c r="C175" s="204"/>
      <c r="D175" s="204"/>
      <c r="E175" s="204"/>
    </row>
    <row r="176">
      <c r="A176" s="204"/>
      <c r="B176" s="204"/>
      <c r="C176" s="204"/>
      <c r="D176" s="204"/>
      <c r="E176" s="204"/>
    </row>
    <row r="177">
      <c r="A177" s="204"/>
      <c r="B177" s="204"/>
      <c r="C177" s="204"/>
      <c r="D177" s="204"/>
      <c r="E177" s="204"/>
    </row>
    <row r="178">
      <c r="A178" s="204"/>
      <c r="B178" s="204"/>
      <c r="C178" s="204"/>
      <c r="D178" s="204"/>
      <c r="E178" s="204"/>
    </row>
    <row r="179">
      <c r="A179" s="204"/>
      <c r="B179" s="204"/>
      <c r="C179" s="204"/>
      <c r="D179" s="204"/>
      <c r="E179" s="204"/>
    </row>
    <row r="180">
      <c r="A180" s="204"/>
      <c r="B180" s="204"/>
      <c r="C180" s="204"/>
      <c r="D180" s="204"/>
      <c r="E180" s="204"/>
    </row>
    <row r="181">
      <c r="A181" s="204"/>
      <c r="B181" s="204"/>
      <c r="C181" s="204"/>
      <c r="D181" s="204"/>
      <c r="E181" s="204"/>
    </row>
    <row r="182">
      <c r="A182" s="204"/>
      <c r="B182" s="204"/>
      <c r="C182" s="204"/>
      <c r="D182" s="204"/>
      <c r="E182" s="204"/>
    </row>
    <row r="183">
      <c r="A183" s="204"/>
      <c r="B183" s="204"/>
      <c r="C183" s="204"/>
      <c r="D183" s="204"/>
      <c r="E183" s="204"/>
    </row>
    <row r="184">
      <c r="A184" s="204"/>
      <c r="B184" s="204"/>
      <c r="C184" s="204"/>
      <c r="D184" s="204"/>
      <c r="E184" s="204"/>
    </row>
    <row r="185">
      <c r="A185" s="204"/>
      <c r="B185" s="204"/>
      <c r="C185" s="204"/>
      <c r="D185" s="204"/>
      <c r="E185" s="204"/>
    </row>
    <row r="186">
      <c r="A186" s="204"/>
      <c r="B186" s="204"/>
      <c r="C186" s="204"/>
      <c r="D186" s="204"/>
      <c r="E186" s="204"/>
    </row>
    <row r="187">
      <c r="A187" s="204"/>
      <c r="B187" s="204"/>
      <c r="C187" s="204"/>
      <c r="D187" s="204"/>
      <c r="E187" s="204"/>
    </row>
    <row r="188">
      <c r="A188" s="204"/>
      <c r="B188" s="204"/>
      <c r="C188" s="204"/>
      <c r="D188" s="204"/>
      <c r="E188" s="204"/>
    </row>
    <row r="189">
      <c r="A189" s="204"/>
      <c r="B189" s="204"/>
      <c r="C189" s="204"/>
      <c r="D189" s="204"/>
      <c r="E189" s="204"/>
    </row>
    <row r="190">
      <c r="A190" s="204"/>
      <c r="B190" s="204"/>
      <c r="C190" s="204"/>
      <c r="D190" s="204"/>
      <c r="E190" s="204"/>
    </row>
    <row r="191">
      <c r="A191" s="204"/>
      <c r="B191" s="204"/>
      <c r="C191" s="204"/>
      <c r="D191" s="204"/>
      <c r="E191" s="204"/>
    </row>
    <row r="192">
      <c r="A192" s="204"/>
      <c r="B192" s="204"/>
      <c r="C192" s="204"/>
      <c r="D192" s="204"/>
      <c r="E192" s="204"/>
    </row>
    <row r="193">
      <c r="A193" s="204"/>
      <c r="B193" s="204"/>
      <c r="C193" s="204"/>
      <c r="D193" s="204"/>
      <c r="E193" s="204"/>
    </row>
    <row r="194">
      <c r="A194" s="204"/>
      <c r="B194" s="204"/>
      <c r="C194" s="204"/>
      <c r="D194" s="204"/>
      <c r="E194" s="204"/>
    </row>
    <row r="195">
      <c r="A195" s="204"/>
      <c r="B195" s="204"/>
      <c r="C195" s="204"/>
      <c r="D195" s="204"/>
      <c r="E195" s="204"/>
    </row>
    <row r="196">
      <c r="A196" s="204"/>
      <c r="B196" s="204"/>
      <c r="C196" s="204"/>
      <c r="D196" s="204"/>
      <c r="E196" s="204"/>
    </row>
    <row r="197">
      <c r="A197" s="204"/>
      <c r="B197" s="204"/>
      <c r="C197" s="204"/>
      <c r="D197" s="204"/>
      <c r="E197" s="204"/>
    </row>
    <row r="198">
      <c r="A198" s="204"/>
      <c r="B198" s="204"/>
      <c r="C198" s="204"/>
      <c r="D198" s="204"/>
      <c r="E198" s="204"/>
    </row>
    <row r="199">
      <c r="A199" s="204"/>
      <c r="B199" s="204"/>
      <c r="C199" s="204"/>
      <c r="D199" s="204"/>
      <c r="E199" s="204"/>
    </row>
    <row r="200">
      <c r="A200" s="204"/>
      <c r="B200" s="204"/>
      <c r="C200" s="204"/>
      <c r="D200" s="204"/>
      <c r="E200" s="204"/>
    </row>
    <row r="201">
      <c r="A201" s="204"/>
      <c r="B201" s="204"/>
      <c r="C201" s="204"/>
      <c r="D201" s="204"/>
      <c r="E201" s="204"/>
    </row>
    <row r="202">
      <c r="A202" s="204"/>
      <c r="B202" s="204"/>
      <c r="C202" s="204"/>
      <c r="D202" s="204"/>
      <c r="E202" s="204"/>
    </row>
    <row r="203">
      <c r="A203" s="204"/>
      <c r="B203" s="204"/>
      <c r="C203" s="204"/>
      <c r="D203" s="204"/>
      <c r="E203" s="204"/>
    </row>
    <row r="204">
      <c r="A204" s="204"/>
      <c r="B204" s="204"/>
      <c r="C204" s="204"/>
      <c r="D204" s="204"/>
      <c r="E204" s="204"/>
    </row>
    <row r="205">
      <c r="A205" s="204"/>
      <c r="B205" s="204"/>
      <c r="C205" s="204"/>
      <c r="D205" s="204"/>
      <c r="E205" s="204"/>
    </row>
    <row r="206">
      <c r="A206" s="204"/>
      <c r="B206" s="204"/>
      <c r="C206" s="204"/>
      <c r="D206" s="204"/>
      <c r="E206" s="204"/>
    </row>
    <row r="207">
      <c r="A207" s="204"/>
      <c r="B207" s="204"/>
      <c r="C207" s="204"/>
      <c r="D207" s="204"/>
      <c r="E207" s="204"/>
    </row>
    <row r="208">
      <c r="A208" s="204"/>
      <c r="B208" s="204"/>
      <c r="C208" s="204"/>
      <c r="D208" s="204"/>
      <c r="E208" s="204"/>
    </row>
    <row r="209">
      <c r="A209" s="204"/>
      <c r="B209" s="204"/>
      <c r="C209" s="204"/>
      <c r="D209" s="204"/>
      <c r="E209" s="204"/>
    </row>
    <row r="210">
      <c r="A210" s="204"/>
      <c r="B210" s="204"/>
      <c r="C210" s="204"/>
      <c r="D210" s="204"/>
      <c r="E210" s="204"/>
    </row>
    <row r="211">
      <c r="A211" s="204"/>
      <c r="B211" s="204"/>
      <c r="C211" s="204"/>
      <c r="D211" s="204"/>
      <c r="E211" s="204"/>
    </row>
    <row r="212">
      <c r="A212" s="204"/>
      <c r="B212" s="204"/>
      <c r="C212" s="204"/>
      <c r="D212" s="204"/>
      <c r="E212" s="204"/>
    </row>
    <row r="213">
      <c r="A213" s="204"/>
      <c r="B213" s="204"/>
      <c r="C213" s="204"/>
      <c r="D213" s="204"/>
      <c r="E213" s="204"/>
    </row>
    <row r="214">
      <c r="A214" s="204"/>
      <c r="B214" s="204"/>
      <c r="C214" s="204"/>
      <c r="D214" s="204"/>
      <c r="E214" s="204"/>
    </row>
    <row r="215">
      <c r="A215" s="204"/>
      <c r="B215" s="204"/>
      <c r="C215" s="204"/>
      <c r="D215" s="204"/>
      <c r="E215" s="204"/>
    </row>
    <row r="216">
      <c r="A216" s="204"/>
      <c r="B216" s="204"/>
      <c r="C216" s="204"/>
      <c r="D216" s="204"/>
      <c r="E216" s="204"/>
    </row>
    <row r="217">
      <c r="A217" s="204"/>
      <c r="B217" s="204"/>
      <c r="C217" s="204"/>
      <c r="D217" s="204"/>
      <c r="E217" s="204"/>
    </row>
    <row r="218">
      <c r="A218" s="204"/>
      <c r="B218" s="204"/>
      <c r="C218" s="204"/>
      <c r="D218" s="204"/>
      <c r="E218" s="204"/>
    </row>
    <row r="219">
      <c r="A219" s="204"/>
      <c r="B219" s="204"/>
      <c r="C219" s="204"/>
      <c r="D219" s="204"/>
      <c r="E219" s="204"/>
    </row>
    <row r="220">
      <c r="A220" s="204"/>
      <c r="B220" s="204"/>
      <c r="C220" s="204"/>
      <c r="D220" s="204"/>
      <c r="E220" s="204"/>
    </row>
    <row r="221">
      <c r="A221" s="204"/>
      <c r="B221" s="204"/>
      <c r="C221" s="204"/>
      <c r="D221" s="204"/>
      <c r="E221" s="204"/>
    </row>
    <row r="222">
      <c r="A222" s="204"/>
      <c r="B222" s="204"/>
      <c r="C222" s="204"/>
      <c r="D222" s="204"/>
      <c r="E222" s="204"/>
    </row>
    <row r="223">
      <c r="A223" s="204"/>
      <c r="B223" s="204"/>
      <c r="C223" s="204"/>
      <c r="D223" s="204"/>
      <c r="E223" s="204"/>
    </row>
    <row r="224">
      <c r="A224" s="204"/>
      <c r="B224" s="204"/>
      <c r="C224" s="204"/>
      <c r="D224" s="204"/>
      <c r="E224" s="204"/>
    </row>
    <row r="225">
      <c r="A225" s="204"/>
      <c r="B225" s="204"/>
      <c r="C225" s="204"/>
      <c r="D225" s="204"/>
      <c r="E225" s="204"/>
    </row>
    <row r="226">
      <c r="A226" s="204"/>
      <c r="B226" s="204"/>
      <c r="C226" s="204"/>
      <c r="D226" s="204"/>
      <c r="E226" s="204"/>
    </row>
    <row r="227">
      <c r="A227" s="204"/>
      <c r="B227" s="204"/>
      <c r="C227" s="204"/>
      <c r="D227" s="204"/>
      <c r="E227" s="204"/>
    </row>
    <row r="228">
      <c r="A228" s="204"/>
      <c r="B228" s="204"/>
      <c r="C228" s="204"/>
      <c r="D228" s="204"/>
      <c r="E228" s="204"/>
    </row>
    <row r="229">
      <c r="A229" s="204"/>
      <c r="B229" s="204"/>
      <c r="C229" s="204"/>
      <c r="D229" s="204"/>
      <c r="E229" s="204"/>
    </row>
    <row r="230">
      <c r="A230" s="204"/>
      <c r="B230" s="204"/>
      <c r="C230" s="204"/>
      <c r="D230" s="204"/>
      <c r="E230" s="204"/>
    </row>
    <row r="231">
      <c r="A231" s="204"/>
      <c r="B231" s="204"/>
      <c r="C231" s="204"/>
      <c r="D231" s="204"/>
      <c r="E231" s="204"/>
    </row>
    <row r="232">
      <c r="A232" s="204"/>
      <c r="B232" s="204"/>
      <c r="C232" s="204"/>
      <c r="D232" s="204"/>
      <c r="E232" s="204"/>
    </row>
    <row r="233">
      <c r="A233" s="204"/>
      <c r="B233" s="204"/>
      <c r="C233" s="204"/>
      <c r="D233" s="204"/>
      <c r="E233" s="204"/>
    </row>
    <row r="234">
      <c r="A234" s="204"/>
      <c r="B234" s="204"/>
      <c r="C234" s="204"/>
      <c r="D234" s="204"/>
      <c r="E234" s="204"/>
    </row>
    <row r="235">
      <c r="A235" s="204"/>
      <c r="B235" s="204"/>
      <c r="C235" s="204"/>
      <c r="D235" s="204"/>
      <c r="E235" s="204"/>
    </row>
    <row r="236">
      <c r="A236" s="204"/>
      <c r="B236" s="204"/>
      <c r="C236" s="204"/>
      <c r="D236" s="204"/>
      <c r="E236" s="204"/>
    </row>
    <row r="237">
      <c r="A237" s="204"/>
      <c r="B237" s="204"/>
      <c r="C237" s="204"/>
      <c r="D237" s="204"/>
      <c r="E237" s="204"/>
    </row>
    <row r="238">
      <c r="A238" s="204"/>
      <c r="B238" s="204"/>
      <c r="C238" s="204"/>
      <c r="D238" s="204"/>
      <c r="E238" s="204"/>
    </row>
    <row r="239">
      <c r="A239" s="204"/>
      <c r="B239" s="204"/>
      <c r="C239" s="204"/>
      <c r="D239" s="204"/>
      <c r="E239" s="204"/>
    </row>
    <row r="240">
      <c r="A240" s="204"/>
      <c r="B240" s="204"/>
      <c r="C240" s="204"/>
      <c r="D240" s="204"/>
      <c r="E240" s="204"/>
    </row>
    <row r="241">
      <c r="A241" s="204"/>
      <c r="B241" s="204"/>
      <c r="C241" s="204"/>
      <c r="D241" s="204"/>
      <c r="E241" s="204"/>
    </row>
    <row r="242">
      <c r="A242" s="204"/>
      <c r="B242" s="204"/>
      <c r="C242" s="204"/>
      <c r="D242" s="204"/>
      <c r="E242" s="204"/>
    </row>
    <row r="243">
      <c r="A243" s="204"/>
      <c r="B243" s="204"/>
      <c r="C243" s="204"/>
      <c r="D243" s="204"/>
      <c r="E243" s="204"/>
    </row>
    <row r="244">
      <c r="A244" s="204"/>
      <c r="B244" s="204"/>
      <c r="C244" s="204"/>
      <c r="D244" s="204"/>
      <c r="E244" s="204"/>
    </row>
    <row r="245">
      <c r="A245" s="204"/>
      <c r="B245" s="204"/>
      <c r="C245" s="204"/>
      <c r="D245" s="204"/>
      <c r="E245" s="204"/>
    </row>
    <row r="246">
      <c r="A246" s="204"/>
      <c r="B246" s="204"/>
      <c r="C246" s="204"/>
      <c r="D246" s="204"/>
      <c r="E246" s="204"/>
    </row>
    <row r="247">
      <c r="A247" s="204"/>
      <c r="B247" s="204"/>
      <c r="C247" s="204"/>
      <c r="D247" s="204"/>
      <c r="E247" s="204"/>
    </row>
    <row r="248">
      <c r="A248" s="204"/>
      <c r="B248" s="204"/>
      <c r="C248" s="204"/>
      <c r="D248" s="204"/>
      <c r="E248" s="204"/>
    </row>
    <row r="249">
      <c r="A249" s="204"/>
      <c r="B249" s="204"/>
      <c r="C249" s="204"/>
      <c r="D249" s="204"/>
      <c r="E249" s="204"/>
    </row>
    <row r="250">
      <c r="A250" s="204"/>
      <c r="B250" s="204"/>
      <c r="C250" s="204"/>
      <c r="D250" s="204"/>
      <c r="E250" s="204"/>
    </row>
    <row r="251">
      <c r="A251" s="204"/>
      <c r="B251" s="204"/>
      <c r="C251" s="204"/>
      <c r="D251" s="204"/>
      <c r="E251" s="204"/>
    </row>
    <row r="252">
      <c r="A252" s="204"/>
      <c r="B252" s="204"/>
      <c r="C252" s="204"/>
      <c r="D252" s="204"/>
      <c r="E252" s="204"/>
    </row>
    <row r="253">
      <c r="A253" s="204"/>
      <c r="B253" s="204"/>
      <c r="C253" s="204"/>
      <c r="D253" s="204"/>
      <c r="E253" s="204"/>
    </row>
    <row r="254">
      <c r="A254" s="204"/>
      <c r="B254" s="204"/>
      <c r="C254" s="204"/>
      <c r="D254" s="204"/>
      <c r="E254" s="204"/>
    </row>
    <row r="255">
      <c r="A255" s="204"/>
      <c r="B255" s="204"/>
      <c r="C255" s="204"/>
      <c r="D255" s="204"/>
      <c r="E255" s="204"/>
    </row>
    <row r="256">
      <c r="A256" s="204"/>
      <c r="B256" s="204"/>
      <c r="C256" s="204"/>
      <c r="D256" s="204"/>
      <c r="E256" s="204"/>
    </row>
    <row r="257">
      <c r="A257" s="204"/>
      <c r="B257" s="204"/>
      <c r="C257" s="204"/>
      <c r="D257" s="204"/>
      <c r="E257" s="204"/>
    </row>
    <row r="258">
      <c r="A258" s="204"/>
      <c r="B258" s="204"/>
      <c r="C258" s="204"/>
      <c r="D258" s="204"/>
      <c r="E258" s="204"/>
    </row>
    <row r="259">
      <c r="A259" s="204"/>
      <c r="B259" s="204"/>
      <c r="C259" s="204"/>
      <c r="D259" s="204"/>
      <c r="E259" s="204"/>
    </row>
    <row r="260">
      <c r="A260" s="204"/>
      <c r="B260" s="204"/>
      <c r="C260" s="204"/>
      <c r="D260" s="204"/>
      <c r="E260" s="204"/>
    </row>
    <row r="261">
      <c r="A261" s="204"/>
      <c r="B261" s="204"/>
      <c r="C261" s="204"/>
      <c r="D261" s="204"/>
      <c r="E261" s="204"/>
    </row>
    <row r="262">
      <c r="A262" s="204"/>
      <c r="B262" s="204"/>
      <c r="C262" s="204"/>
      <c r="D262" s="204"/>
      <c r="E262" s="204"/>
    </row>
    <row r="263">
      <c r="A263" s="204"/>
      <c r="B263" s="204"/>
      <c r="C263" s="204"/>
      <c r="D263" s="204"/>
      <c r="E263" s="204"/>
    </row>
    <row r="264">
      <c r="A264" s="204"/>
      <c r="B264" s="204"/>
      <c r="C264" s="204"/>
      <c r="D264" s="204"/>
      <c r="E264" s="204"/>
    </row>
    <row r="265">
      <c r="A265" s="204"/>
      <c r="B265" s="204"/>
      <c r="C265" s="204"/>
      <c r="D265" s="204"/>
      <c r="E265" s="204"/>
    </row>
    <row r="266">
      <c r="A266" s="204"/>
      <c r="B266" s="204"/>
      <c r="C266" s="204"/>
      <c r="D266" s="204"/>
      <c r="E266" s="204"/>
    </row>
    <row r="267">
      <c r="A267" s="204"/>
      <c r="B267" s="204"/>
      <c r="C267" s="204"/>
      <c r="D267" s="204"/>
      <c r="E267" s="204"/>
    </row>
    <row r="268">
      <c r="A268" s="204"/>
      <c r="B268" s="204"/>
      <c r="C268" s="204"/>
      <c r="D268" s="204"/>
      <c r="E268" s="204"/>
    </row>
    <row r="269">
      <c r="A269" s="204"/>
      <c r="B269" s="204"/>
      <c r="C269" s="204"/>
      <c r="D269" s="204"/>
      <c r="E269" s="204"/>
    </row>
    <row r="270">
      <c r="A270" s="204"/>
      <c r="B270" s="204"/>
      <c r="C270" s="204"/>
      <c r="D270" s="204"/>
      <c r="E270" s="204"/>
    </row>
    <row r="271">
      <c r="A271" s="204"/>
      <c r="B271" s="204"/>
      <c r="C271" s="204"/>
      <c r="D271" s="204"/>
      <c r="E271" s="204"/>
    </row>
    <row r="272">
      <c r="A272" s="204"/>
      <c r="B272" s="204"/>
      <c r="C272" s="204"/>
      <c r="D272" s="204"/>
      <c r="E272" s="204"/>
    </row>
    <row r="273">
      <c r="A273" s="204"/>
      <c r="B273" s="204"/>
      <c r="C273" s="204"/>
      <c r="D273" s="204"/>
      <c r="E273" s="204"/>
    </row>
    <row r="274">
      <c r="A274" s="204"/>
      <c r="B274" s="204"/>
      <c r="C274" s="204"/>
      <c r="D274" s="204"/>
      <c r="E274" s="204"/>
    </row>
    <row r="275">
      <c r="A275" s="204"/>
      <c r="B275" s="204"/>
      <c r="C275" s="204"/>
      <c r="D275" s="204"/>
      <c r="E275" s="204"/>
    </row>
    <row r="276">
      <c r="A276" s="204"/>
      <c r="B276" s="204"/>
      <c r="C276" s="204"/>
      <c r="D276" s="204"/>
      <c r="E276" s="204"/>
    </row>
    <row r="277">
      <c r="A277" s="204"/>
      <c r="B277" s="204"/>
      <c r="C277" s="204"/>
      <c r="D277" s="204"/>
      <c r="E277" s="204"/>
    </row>
    <row r="278">
      <c r="A278" s="204"/>
      <c r="B278" s="204"/>
      <c r="C278" s="204"/>
      <c r="D278" s="204"/>
      <c r="E278" s="204"/>
    </row>
    <row r="279">
      <c r="A279" s="204"/>
      <c r="B279" s="204"/>
      <c r="C279" s="204"/>
      <c r="D279" s="204"/>
      <c r="E279" s="204"/>
    </row>
    <row r="280">
      <c r="A280" s="204"/>
      <c r="B280" s="204"/>
      <c r="C280" s="204"/>
      <c r="D280" s="204"/>
      <c r="E280" s="204"/>
    </row>
    <row r="281">
      <c r="A281" s="204"/>
      <c r="B281" s="204"/>
      <c r="C281" s="204"/>
      <c r="D281" s="204"/>
      <c r="E281" s="204"/>
    </row>
    <row r="282">
      <c r="A282" s="204"/>
      <c r="B282" s="204"/>
      <c r="C282" s="204"/>
      <c r="D282" s="204"/>
      <c r="E282" s="204"/>
    </row>
    <row r="283">
      <c r="A283" s="204"/>
      <c r="B283" s="204"/>
      <c r="C283" s="204"/>
      <c r="D283" s="204"/>
      <c r="E283" s="204"/>
    </row>
    <row r="284">
      <c r="A284" s="204"/>
      <c r="B284" s="204"/>
      <c r="C284" s="204"/>
      <c r="D284" s="204"/>
      <c r="E284" s="204"/>
    </row>
    <row r="285">
      <c r="A285" s="204"/>
      <c r="B285" s="204"/>
      <c r="C285" s="204"/>
      <c r="D285" s="204"/>
      <c r="E285" s="204"/>
    </row>
    <row r="286">
      <c r="A286" s="204"/>
      <c r="B286" s="204"/>
      <c r="C286" s="204"/>
      <c r="D286" s="204"/>
      <c r="E286" s="204"/>
    </row>
    <row r="287">
      <c r="A287" s="204"/>
      <c r="B287" s="204"/>
      <c r="C287" s="204"/>
      <c r="D287" s="204"/>
      <c r="E287" s="204"/>
    </row>
    <row r="288">
      <c r="A288" s="204"/>
      <c r="B288" s="204"/>
      <c r="C288" s="204"/>
      <c r="D288" s="204"/>
      <c r="E288" s="204"/>
    </row>
    <row r="289">
      <c r="A289" s="204"/>
      <c r="B289" s="204"/>
      <c r="C289" s="204"/>
      <c r="D289" s="204"/>
      <c r="E289" s="204"/>
    </row>
    <row r="290">
      <c r="A290" s="204"/>
      <c r="B290" s="204"/>
      <c r="C290" s="204"/>
      <c r="D290" s="204"/>
      <c r="E290" s="204"/>
    </row>
    <row r="291">
      <c r="A291" s="204"/>
      <c r="B291" s="204"/>
      <c r="C291" s="204"/>
      <c r="D291" s="204"/>
      <c r="E291" s="204"/>
    </row>
    <row r="292">
      <c r="A292" s="204"/>
      <c r="B292" s="204"/>
      <c r="C292" s="204"/>
      <c r="D292" s="204"/>
      <c r="E292" s="204"/>
    </row>
    <row r="293">
      <c r="A293" s="204"/>
      <c r="B293" s="204"/>
      <c r="C293" s="204"/>
      <c r="D293" s="204"/>
      <c r="E293" s="204"/>
    </row>
    <row r="294">
      <c r="A294" s="204"/>
      <c r="B294" s="204"/>
      <c r="C294" s="204"/>
      <c r="D294" s="204"/>
      <c r="E294" s="204"/>
    </row>
    <row r="295">
      <c r="A295" s="204"/>
      <c r="B295" s="204"/>
      <c r="C295" s="204"/>
      <c r="D295" s="204"/>
      <c r="E295" s="204"/>
    </row>
    <row r="296">
      <c r="A296" s="204"/>
      <c r="B296" s="204"/>
      <c r="C296" s="204"/>
      <c r="D296" s="204"/>
      <c r="E296" s="204"/>
    </row>
    <row r="297">
      <c r="A297" s="204"/>
      <c r="B297" s="204"/>
      <c r="C297" s="204"/>
      <c r="D297" s="204"/>
      <c r="E297" s="204"/>
    </row>
    <row r="298">
      <c r="A298" s="204"/>
      <c r="B298" s="204"/>
      <c r="C298" s="204"/>
      <c r="D298" s="204"/>
      <c r="E298" s="204"/>
    </row>
    <row r="299">
      <c r="A299" s="204"/>
      <c r="B299" s="204"/>
      <c r="C299" s="204"/>
      <c r="D299" s="204"/>
      <c r="E299" s="204"/>
    </row>
    <row r="300">
      <c r="A300" s="204"/>
      <c r="B300" s="204"/>
      <c r="C300" s="204"/>
      <c r="D300" s="204"/>
      <c r="E300" s="204"/>
    </row>
    <row r="301">
      <c r="A301" s="204"/>
      <c r="B301" s="204"/>
      <c r="C301" s="204"/>
      <c r="D301" s="204"/>
      <c r="E301" s="204"/>
    </row>
    <row r="302">
      <c r="A302" s="204"/>
      <c r="B302" s="204"/>
      <c r="C302" s="204"/>
      <c r="D302" s="204"/>
      <c r="E302" s="204"/>
    </row>
    <row r="303">
      <c r="A303" s="204"/>
      <c r="B303" s="204"/>
      <c r="C303" s="204"/>
      <c r="D303" s="204"/>
      <c r="E303" s="204"/>
    </row>
    <row r="304">
      <c r="A304" s="204"/>
      <c r="B304" s="204"/>
      <c r="C304" s="204"/>
      <c r="D304" s="204"/>
      <c r="E304" s="204"/>
    </row>
    <row r="305">
      <c r="A305" s="204"/>
      <c r="B305" s="204"/>
      <c r="C305" s="204"/>
      <c r="D305" s="204"/>
      <c r="E305" s="204"/>
    </row>
    <row r="306">
      <c r="A306" s="204"/>
      <c r="B306" s="204"/>
      <c r="C306" s="204"/>
      <c r="D306" s="204"/>
      <c r="E306" s="204"/>
    </row>
    <row r="307">
      <c r="A307" s="204"/>
      <c r="B307" s="204"/>
      <c r="C307" s="204"/>
      <c r="D307" s="204"/>
      <c r="E307" s="204"/>
    </row>
    <row r="308">
      <c r="A308" s="204"/>
      <c r="B308" s="204"/>
      <c r="C308" s="204"/>
      <c r="D308" s="204"/>
      <c r="E308" s="204"/>
    </row>
    <row r="309">
      <c r="A309" s="204"/>
      <c r="B309" s="204"/>
      <c r="C309" s="204"/>
      <c r="D309" s="204"/>
      <c r="E309" s="204"/>
    </row>
    <row r="310">
      <c r="A310" s="204"/>
      <c r="B310" s="204"/>
      <c r="C310" s="204"/>
      <c r="D310" s="204"/>
      <c r="E310" s="204"/>
    </row>
    <row r="311">
      <c r="A311" s="204"/>
      <c r="B311" s="204"/>
      <c r="C311" s="204"/>
      <c r="D311" s="204"/>
      <c r="E311" s="204"/>
    </row>
    <row r="312">
      <c r="A312" s="204"/>
      <c r="B312" s="204"/>
      <c r="C312" s="204"/>
      <c r="D312" s="204"/>
      <c r="E312" s="204"/>
    </row>
    <row r="313">
      <c r="A313" s="204"/>
      <c r="B313" s="204"/>
      <c r="C313" s="204"/>
      <c r="D313" s="204"/>
      <c r="E313" s="204"/>
    </row>
    <row r="314">
      <c r="A314" s="204"/>
      <c r="B314" s="204"/>
      <c r="C314" s="204"/>
      <c r="D314" s="204"/>
      <c r="E314" s="204"/>
    </row>
    <row r="315">
      <c r="A315" s="204"/>
      <c r="B315" s="204"/>
      <c r="C315" s="204"/>
      <c r="D315" s="204"/>
      <c r="E315" s="204"/>
    </row>
    <row r="316">
      <c r="A316" s="204"/>
      <c r="B316" s="204"/>
      <c r="C316" s="204"/>
      <c r="D316" s="204"/>
      <c r="E316" s="204"/>
    </row>
    <row r="317">
      <c r="A317" s="204"/>
      <c r="B317" s="204"/>
      <c r="C317" s="204"/>
      <c r="D317" s="204"/>
      <c r="E317" s="204"/>
    </row>
    <row r="318">
      <c r="A318" s="204"/>
      <c r="B318" s="204"/>
      <c r="C318" s="204"/>
      <c r="D318" s="204"/>
      <c r="E318" s="204"/>
    </row>
    <row r="319">
      <c r="A319" s="204"/>
      <c r="B319" s="204"/>
      <c r="C319" s="204"/>
      <c r="D319" s="204"/>
      <c r="E319" s="204"/>
    </row>
    <row r="320">
      <c r="A320" s="204"/>
      <c r="B320" s="204"/>
      <c r="C320" s="204"/>
      <c r="D320" s="204"/>
      <c r="E320" s="204"/>
    </row>
    <row r="321">
      <c r="A321" s="204"/>
      <c r="B321" s="204"/>
      <c r="C321" s="204"/>
      <c r="D321" s="204"/>
      <c r="E321" s="204"/>
    </row>
    <row r="322">
      <c r="A322" s="204"/>
      <c r="B322" s="204"/>
      <c r="C322" s="204"/>
      <c r="D322" s="204"/>
      <c r="E322" s="204"/>
    </row>
    <row r="323">
      <c r="A323" s="204"/>
      <c r="B323" s="204"/>
      <c r="C323" s="204"/>
      <c r="D323" s="204"/>
      <c r="E323" s="204"/>
    </row>
    <row r="324">
      <c r="A324" s="204"/>
      <c r="B324" s="204"/>
      <c r="C324" s="204"/>
      <c r="D324" s="204"/>
      <c r="E324" s="204"/>
    </row>
    <row r="325">
      <c r="A325" s="204"/>
      <c r="B325" s="204"/>
      <c r="C325" s="204"/>
      <c r="D325" s="204"/>
      <c r="E325" s="204"/>
    </row>
    <row r="326">
      <c r="A326" s="204"/>
      <c r="B326" s="204"/>
      <c r="C326" s="204"/>
      <c r="D326" s="204"/>
      <c r="E326" s="204"/>
    </row>
    <row r="327">
      <c r="A327" s="204"/>
      <c r="B327" s="204"/>
      <c r="C327" s="204"/>
      <c r="D327" s="204"/>
      <c r="E327" s="204"/>
    </row>
    <row r="328">
      <c r="A328" s="204"/>
      <c r="B328" s="204"/>
      <c r="C328" s="204"/>
      <c r="D328" s="204"/>
      <c r="E328" s="204"/>
    </row>
    <row r="329">
      <c r="A329" s="204"/>
      <c r="B329" s="204"/>
      <c r="C329" s="204"/>
      <c r="D329" s="204"/>
      <c r="E329" s="204"/>
    </row>
    <row r="330">
      <c r="A330" s="204"/>
      <c r="B330" s="204"/>
      <c r="C330" s="204"/>
      <c r="D330" s="204"/>
      <c r="E330" s="204"/>
    </row>
    <row r="331">
      <c r="A331" s="204"/>
      <c r="B331" s="204"/>
      <c r="C331" s="204"/>
      <c r="D331" s="204"/>
      <c r="E331" s="204"/>
    </row>
    <row r="332">
      <c r="A332" s="204"/>
      <c r="B332" s="204"/>
      <c r="C332" s="204"/>
      <c r="D332" s="204"/>
      <c r="E332" s="204"/>
    </row>
    <row r="333">
      <c r="A333" s="204"/>
      <c r="B333" s="204"/>
      <c r="C333" s="204"/>
      <c r="D333" s="204"/>
      <c r="E333" s="204"/>
    </row>
    <row r="334">
      <c r="A334" s="204"/>
      <c r="B334" s="204"/>
      <c r="C334" s="204"/>
      <c r="D334" s="204"/>
      <c r="E334" s="204"/>
    </row>
    <row r="335">
      <c r="A335" s="204"/>
      <c r="B335" s="204"/>
      <c r="C335" s="204"/>
      <c r="D335" s="204"/>
      <c r="E335" s="204"/>
    </row>
    <row r="336">
      <c r="A336" s="204"/>
      <c r="B336" s="204"/>
      <c r="C336" s="204"/>
      <c r="D336" s="204"/>
      <c r="E336" s="204"/>
    </row>
    <row r="337">
      <c r="A337" s="204"/>
      <c r="B337" s="204"/>
      <c r="C337" s="204"/>
      <c r="D337" s="204"/>
      <c r="E337" s="204"/>
    </row>
    <row r="338">
      <c r="A338" s="204"/>
      <c r="B338" s="204"/>
      <c r="C338" s="204"/>
      <c r="D338" s="204"/>
      <c r="E338" s="204"/>
    </row>
    <row r="339">
      <c r="A339" s="204"/>
      <c r="B339" s="204"/>
      <c r="C339" s="204"/>
      <c r="D339" s="204"/>
      <c r="E339" s="204"/>
    </row>
    <row r="340">
      <c r="A340" s="204"/>
      <c r="B340" s="204"/>
      <c r="C340" s="204"/>
      <c r="D340" s="204"/>
      <c r="E340" s="204"/>
    </row>
    <row r="341">
      <c r="A341" s="204"/>
      <c r="B341" s="204"/>
      <c r="C341" s="204"/>
      <c r="D341" s="204"/>
      <c r="E341" s="204"/>
    </row>
    <row r="342">
      <c r="A342" s="204"/>
      <c r="B342" s="204"/>
      <c r="C342" s="204"/>
      <c r="D342" s="204"/>
      <c r="E342" s="204"/>
    </row>
    <row r="343">
      <c r="A343" s="204"/>
      <c r="B343" s="204"/>
      <c r="C343" s="204"/>
      <c r="D343" s="204"/>
      <c r="E343" s="204"/>
    </row>
    <row r="344">
      <c r="A344" s="204"/>
      <c r="B344" s="204"/>
      <c r="C344" s="204"/>
      <c r="D344" s="204"/>
      <c r="E344" s="204"/>
    </row>
    <row r="345">
      <c r="A345" s="204"/>
      <c r="B345" s="204"/>
      <c r="C345" s="204"/>
      <c r="D345" s="204"/>
      <c r="E345" s="204"/>
    </row>
    <row r="346">
      <c r="A346" s="204"/>
      <c r="B346" s="204"/>
      <c r="C346" s="204"/>
      <c r="D346" s="204"/>
      <c r="E346" s="204"/>
    </row>
    <row r="347">
      <c r="A347" s="204"/>
      <c r="B347" s="204"/>
      <c r="C347" s="204"/>
      <c r="D347" s="204"/>
      <c r="E347" s="204"/>
    </row>
    <row r="348">
      <c r="A348" s="204"/>
      <c r="B348" s="204"/>
      <c r="C348" s="204"/>
      <c r="D348" s="204"/>
      <c r="E348" s="204"/>
    </row>
    <row r="349">
      <c r="A349" s="204"/>
      <c r="B349" s="204"/>
      <c r="C349" s="204"/>
      <c r="D349" s="204"/>
      <c r="E349" s="204"/>
    </row>
    <row r="350">
      <c r="A350" s="204"/>
      <c r="B350" s="204"/>
      <c r="C350" s="204"/>
      <c r="D350" s="204"/>
      <c r="E350" s="204"/>
    </row>
    <row r="351">
      <c r="A351" s="204"/>
      <c r="B351" s="204"/>
      <c r="C351" s="204"/>
      <c r="D351" s="204"/>
      <c r="E351" s="204"/>
    </row>
    <row r="352">
      <c r="A352" s="204"/>
      <c r="B352" s="204"/>
      <c r="C352" s="204"/>
      <c r="D352" s="204"/>
      <c r="E352" s="204"/>
    </row>
    <row r="353">
      <c r="A353" s="204"/>
      <c r="B353" s="204"/>
      <c r="C353" s="204"/>
      <c r="D353" s="204"/>
      <c r="E353" s="204"/>
    </row>
    <row r="354">
      <c r="A354" s="204"/>
      <c r="B354" s="204"/>
      <c r="C354" s="204"/>
      <c r="D354" s="204"/>
      <c r="E354" s="204"/>
    </row>
    <row r="355">
      <c r="A355" s="204"/>
      <c r="B355" s="204"/>
      <c r="C355" s="204"/>
      <c r="D355" s="204"/>
      <c r="E355" s="204"/>
    </row>
    <row r="356">
      <c r="A356" s="204"/>
      <c r="B356" s="204"/>
      <c r="C356" s="204"/>
      <c r="D356" s="204"/>
      <c r="E356" s="204"/>
    </row>
    <row r="357">
      <c r="A357" s="204"/>
      <c r="B357" s="204"/>
      <c r="C357" s="204"/>
      <c r="D357" s="204"/>
      <c r="E357" s="204"/>
    </row>
    <row r="358">
      <c r="A358" s="204"/>
      <c r="B358" s="204"/>
      <c r="C358" s="204"/>
      <c r="D358" s="204"/>
      <c r="E358" s="204"/>
    </row>
    <row r="359">
      <c r="A359" s="204"/>
      <c r="B359" s="204"/>
      <c r="C359" s="204"/>
      <c r="D359" s="204"/>
      <c r="E359" s="204"/>
    </row>
    <row r="360">
      <c r="A360" s="204"/>
      <c r="B360" s="204"/>
      <c r="C360" s="204"/>
      <c r="D360" s="204"/>
      <c r="E360" s="204"/>
    </row>
    <row r="361">
      <c r="A361" s="204"/>
      <c r="B361" s="204"/>
      <c r="C361" s="204"/>
      <c r="D361" s="204"/>
      <c r="E361" s="204"/>
    </row>
    <row r="362">
      <c r="A362" s="204"/>
      <c r="B362" s="204"/>
      <c r="C362" s="204"/>
      <c r="D362" s="204"/>
      <c r="E362" s="204"/>
    </row>
    <row r="363">
      <c r="A363" s="204"/>
      <c r="B363" s="204"/>
      <c r="C363" s="204"/>
      <c r="D363" s="204"/>
      <c r="E363" s="204"/>
    </row>
    <row r="364">
      <c r="A364" s="204"/>
      <c r="B364" s="204"/>
      <c r="C364" s="204"/>
      <c r="D364" s="204"/>
      <c r="E364" s="204"/>
    </row>
    <row r="365">
      <c r="A365" s="204"/>
      <c r="B365" s="204"/>
      <c r="C365" s="204"/>
      <c r="D365" s="204"/>
      <c r="E365" s="204"/>
    </row>
    <row r="366">
      <c r="A366" s="204"/>
      <c r="B366" s="204"/>
      <c r="C366" s="204"/>
      <c r="D366" s="204"/>
      <c r="E366" s="204"/>
    </row>
    <row r="367">
      <c r="A367" s="204"/>
      <c r="B367" s="204"/>
      <c r="C367" s="204"/>
      <c r="D367" s="204"/>
      <c r="E367" s="204"/>
    </row>
    <row r="368">
      <c r="A368" s="204"/>
      <c r="B368" s="204"/>
      <c r="C368" s="204"/>
      <c r="D368" s="204"/>
      <c r="E368" s="204"/>
    </row>
    <row r="369">
      <c r="A369" s="204"/>
      <c r="B369" s="204"/>
      <c r="C369" s="204"/>
      <c r="D369" s="204"/>
      <c r="E369" s="204"/>
    </row>
    <row r="370">
      <c r="A370" s="204"/>
      <c r="B370" s="204"/>
      <c r="C370" s="204"/>
      <c r="D370" s="204"/>
      <c r="E370" s="204"/>
    </row>
    <row r="371">
      <c r="A371" s="204"/>
      <c r="B371" s="204"/>
      <c r="C371" s="204"/>
      <c r="D371" s="204"/>
      <c r="E371" s="204"/>
    </row>
    <row r="372">
      <c r="A372" s="204"/>
      <c r="B372" s="204"/>
      <c r="C372" s="204"/>
      <c r="D372" s="204"/>
      <c r="E372" s="204"/>
    </row>
    <row r="373">
      <c r="A373" s="204"/>
      <c r="B373" s="204"/>
      <c r="C373" s="204"/>
      <c r="D373" s="204"/>
      <c r="E373" s="204"/>
    </row>
    <row r="374">
      <c r="A374" s="204"/>
      <c r="B374" s="204"/>
      <c r="C374" s="204"/>
      <c r="D374" s="204"/>
      <c r="E374" s="204"/>
    </row>
    <row r="375">
      <c r="A375" s="204"/>
      <c r="B375" s="204"/>
      <c r="C375" s="204"/>
      <c r="D375" s="204"/>
      <c r="E375" s="204"/>
    </row>
    <row r="376">
      <c r="A376" s="204"/>
      <c r="B376" s="204"/>
      <c r="C376" s="204"/>
      <c r="D376" s="204"/>
      <c r="E376" s="204"/>
    </row>
    <row r="377">
      <c r="A377" s="204"/>
      <c r="B377" s="204"/>
      <c r="C377" s="204"/>
      <c r="D377" s="204"/>
      <c r="E377" s="204"/>
    </row>
    <row r="378">
      <c r="A378" s="204"/>
      <c r="B378" s="204"/>
      <c r="C378" s="204"/>
      <c r="D378" s="204"/>
      <c r="E378" s="204"/>
    </row>
    <row r="379">
      <c r="A379" s="204"/>
      <c r="B379" s="204"/>
      <c r="C379" s="204"/>
      <c r="D379" s="204"/>
      <c r="E379" s="204"/>
    </row>
    <row r="380">
      <c r="A380" s="204"/>
      <c r="B380" s="204"/>
      <c r="C380" s="204"/>
      <c r="D380" s="204"/>
      <c r="E380" s="204"/>
    </row>
    <row r="381">
      <c r="A381" s="204"/>
      <c r="B381" s="204"/>
      <c r="C381" s="204"/>
      <c r="D381" s="204"/>
      <c r="E381" s="204"/>
    </row>
    <row r="382">
      <c r="A382" s="204"/>
      <c r="B382" s="204"/>
      <c r="C382" s="204"/>
      <c r="D382" s="204"/>
      <c r="E382" s="204"/>
    </row>
    <row r="383">
      <c r="A383" s="204"/>
      <c r="B383" s="204"/>
      <c r="C383" s="204"/>
      <c r="D383" s="204"/>
      <c r="E383" s="204"/>
    </row>
    <row r="384">
      <c r="A384" s="204"/>
      <c r="B384" s="204"/>
      <c r="C384" s="204"/>
      <c r="D384" s="204"/>
      <c r="E384" s="204"/>
    </row>
    <row r="385">
      <c r="A385" s="204"/>
      <c r="B385" s="204"/>
      <c r="C385" s="204"/>
      <c r="D385" s="204"/>
      <c r="E385" s="204"/>
    </row>
    <row r="386">
      <c r="A386" s="204"/>
      <c r="B386" s="204"/>
      <c r="C386" s="204"/>
      <c r="D386" s="204"/>
      <c r="E386" s="204"/>
    </row>
    <row r="387">
      <c r="A387" s="204"/>
      <c r="B387" s="204"/>
      <c r="C387" s="204"/>
      <c r="D387" s="204"/>
      <c r="E387" s="204"/>
    </row>
    <row r="388">
      <c r="A388" s="204"/>
      <c r="B388" s="204"/>
      <c r="C388" s="204"/>
      <c r="D388" s="204"/>
      <c r="E388" s="204"/>
    </row>
    <row r="389">
      <c r="A389" s="204"/>
      <c r="B389" s="204"/>
      <c r="C389" s="204"/>
      <c r="D389" s="204"/>
      <c r="E389" s="204"/>
    </row>
    <row r="390">
      <c r="A390" s="204"/>
      <c r="B390" s="204"/>
      <c r="C390" s="204"/>
      <c r="D390" s="204"/>
      <c r="E390" s="204"/>
    </row>
    <row r="391">
      <c r="A391" s="204"/>
      <c r="B391" s="204"/>
      <c r="C391" s="204"/>
      <c r="D391" s="204"/>
      <c r="E391" s="204"/>
    </row>
    <row r="392">
      <c r="A392" s="204"/>
      <c r="B392" s="204"/>
      <c r="C392" s="204"/>
      <c r="D392" s="204"/>
      <c r="E392" s="204"/>
    </row>
    <row r="393">
      <c r="A393" s="204"/>
      <c r="B393" s="204"/>
      <c r="C393" s="204"/>
      <c r="D393" s="204"/>
      <c r="E393" s="204"/>
    </row>
    <row r="394">
      <c r="A394" s="204"/>
      <c r="B394" s="204"/>
      <c r="C394" s="204"/>
      <c r="D394" s="204"/>
      <c r="E394" s="204"/>
    </row>
    <row r="395">
      <c r="A395" s="204"/>
      <c r="B395" s="204"/>
      <c r="C395" s="204"/>
      <c r="D395" s="204"/>
      <c r="E395" s="204"/>
    </row>
    <row r="396">
      <c r="A396" s="204"/>
      <c r="B396" s="204"/>
      <c r="C396" s="204"/>
      <c r="D396" s="204"/>
      <c r="E396" s="204"/>
    </row>
    <row r="397">
      <c r="A397" s="204"/>
      <c r="B397" s="204"/>
      <c r="C397" s="204"/>
      <c r="D397" s="204"/>
      <c r="E397" s="204"/>
    </row>
    <row r="398">
      <c r="A398" s="204"/>
      <c r="B398" s="204"/>
      <c r="C398" s="204"/>
      <c r="D398" s="204"/>
      <c r="E398" s="204"/>
    </row>
    <row r="399">
      <c r="A399" s="204"/>
      <c r="B399" s="204"/>
      <c r="C399" s="204"/>
      <c r="D399" s="204"/>
      <c r="E399" s="204"/>
    </row>
    <row r="400">
      <c r="A400" s="204"/>
      <c r="B400" s="204"/>
      <c r="C400" s="204"/>
      <c r="D400" s="204"/>
      <c r="E400" s="204"/>
    </row>
    <row r="401">
      <c r="A401" s="204"/>
      <c r="B401" s="204"/>
      <c r="C401" s="204"/>
      <c r="D401" s="204"/>
      <c r="E401" s="204"/>
    </row>
    <row r="402">
      <c r="A402" s="204"/>
      <c r="B402" s="204"/>
      <c r="C402" s="204"/>
      <c r="D402" s="204"/>
      <c r="E402" s="204"/>
    </row>
    <row r="403">
      <c r="A403" s="204"/>
      <c r="B403" s="204"/>
      <c r="C403" s="204"/>
      <c r="D403" s="204"/>
      <c r="E403" s="204"/>
    </row>
    <row r="404">
      <c r="A404" s="204"/>
      <c r="B404" s="204"/>
      <c r="C404" s="204"/>
      <c r="D404" s="204"/>
      <c r="E404" s="204"/>
    </row>
    <row r="405">
      <c r="A405" s="204"/>
      <c r="B405" s="204"/>
      <c r="C405" s="204"/>
      <c r="D405" s="204"/>
      <c r="E405" s="204"/>
    </row>
    <row r="406">
      <c r="A406" s="204"/>
      <c r="B406" s="204"/>
      <c r="C406" s="204"/>
      <c r="D406" s="204"/>
      <c r="E406" s="204"/>
    </row>
    <row r="407">
      <c r="A407" s="204"/>
      <c r="B407" s="204"/>
      <c r="C407" s="204"/>
      <c r="D407" s="204"/>
      <c r="E407" s="204"/>
    </row>
    <row r="408">
      <c r="A408" s="204"/>
      <c r="B408" s="204"/>
      <c r="C408" s="204"/>
      <c r="D408" s="204"/>
      <c r="E408" s="204"/>
    </row>
    <row r="409">
      <c r="A409" s="204"/>
      <c r="B409" s="204"/>
      <c r="C409" s="204"/>
      <c r="D409" s="204"/>
      <c r="E409" s="204"/>
    </row>
    <row r="410">
      <c r="A410" s="204"/>
      <c r="B410" s="204"/>
      <c r="C410" s="204"/>
      <c r="D410" s="204"/>
      <c r="E410" s="204"/>
    </row>
    <row r="411">
      <c r="A411" s="204"/>
      <c r="B411" s="204"/>
      <c r="C411" s="204"/>
      <c r="D411" s="204"/>
      <c r="E411" s="204"/>
    </row>
    <row r="412">
      <c r="A412" s="204"/>
      <c r="B412" s="204"/>
      <c r="C412" s="204"/>
      <c r="D412" s="204"/>
      <c r="E412" s="204"/>
    </row>
    <row r="413">
      <c r="A413" s="204"/>
      <c r="B413" s="204"/>
      <c r="C413" s="204"/>
      <c r="D413" s="204"/>
      <c r="E413" s="204"/>
    </row>
    <row r="414">
      <c r="A414" s="204"/>
      <c r="B414" s="204"/>
      <c r="C414" s="204"/>
      <c r="D414" s="204"/>
      <c r="E414" s="204"/>
    </row>
    <row r="415">
      <c r="A415" s="204"/>
      <c r="B415" s="204"/>
      <c r="C415" s="204"/>
      <c r="D415" s="204"/>
      <c r="E415" s="204"/>
    </row>
    <row r="416">
      <c r="A416" s="204"/>
      <c r="B416" s="204"/>
      <c r="C416" s="204"/>
      <c r="D416" s="204"/>
      <c r="E416" s="204"/>
    </row>
    <row r="417">
      <c r="A417" s="204"/>
      <c r="B417" s="204"/>
      <c r="C417" s="204"/>
      <c r="D417" s="204"/>
      <c r="E417" s="204"/>
    </row>
    <row r="418">
      <c r="A418" s="204"/>
      <c r="B418" s="204"/>
      <c r="C418" s="204"/>
      <c r="D418" s="204"/>
      <c r="E418" s="204"/>
    </row>
    <row r="419">
      <c r="A419" s="204"/>
      <c r="B419" s="204"/>
      <c r="C419" s="204"/>
      <c r="D419" s="204"/>
      <c r="E419" s="204"/>
    </row>
    <row r="420">
      <c r="A420" s="204"/>
      <c r="B420" s="204"/>
      <c r="C420" s="204"/>
      <c r="D420" s="204"/>
      <c r="E420" s="204"/>
    </row>
    <row r="421">
      <c r="A421" s="204"/>
      <c r="B421" s="204"/>
      <c r="C421" s="204"/>
      <c r="D421" s="204"/>
      <c r="E421" s="204"/>
    </row>
    <row r="422">
      <c r="A422" s="204"/>
      <c r="B422" s="204"/>
      <c r="C422" s="204"/>
      <c r="D422" s="204"/>
      <c r="E422" s="204"/>
    </row>
    <row r="423">
      <c r="A423" s="204"/>
      <c r="B423" s="204"/>
      <c r="C423" s="204"/>
      <c r="D423" s="204"/>
      <c r="E423" s="204"/>
    </row>
    <row r="424">
      <c r="A424" s="204"/>
      <c r="B424" s="204"/>
      <c r="C424" s="204"/>
      <c r="D424" s="204"/>
      <c r="E424" s="204"/>
    </row>
    <row r="425">
      <c r="A425" s="204"/>
      <c r="B425" s="204"/>
      <c r="C425" s="204"/>
      <c r="D425" s="204"/>
      <c r="E425" s="204"/>
    </row>
    <row r="426">
      <c r="A426" s="204"/>
      <c r="B426" s="204"/>
      <c r="C426" s="204"/>
      <c r="D426" s="204"/>
      <c r="E426" s="204"/>
    </row>
    <row r="427">
      <c r="A427" s="204"/>
      <c r="B427" s="204"/>
      <c r="C427" s="204"/>
      <c r="D427" s="204"/>
      <c r="E427" s="204"/>
    </row>
    <row r="428">
      <c r="A428" s="204"/>
      <c r="B428" s="204"/>
      <c r="C428" s="204"/>
      <c r="D428" s="204"/>
      <c r="E428" s="204"/>
    </row>
    <row r="429">
      <c r="A429" s="204"/>
      <c r="B429" s="204"/>
      <c r="C429" s="204"/>
      <c r="D429" s="204"/>
      <c r="E429" s="204"/>
    </row>
    <row r="430">
      <c r="A430" s="204"/>
      <c r="B430" s="204"/>
      <c r="C430" s="204"/>
      <c r="D430" s="204"/>
      <c r="E430" s="204"/>
    </row>
    <row r="431">
      <c r="A431" s="204"/>
      <c r="B431" s="204"/>
      <c r="C431" s="204"/>
      <c r="D431" s="204"/>
      <c r="E431" s="204"/>
    </row>
    <row r="432">
      <c r="A432" s="204"/>
      <c r="B432" s="204"/>
      <c r="C432" s="204"/>
      <c r="D432" s="204"/>
      <c r="E432" s="204"/>
    </row>
    <row r="433">
      <c r="A433" s="204"/>
      <c r="B433" s="204"/>
      <c r="C433" s="204"/>
      <c r="D433" s="204"/>
      <c r="E433" s="204"/>
    </row>
    <row r="434">
      <c r="A434" s="204"/>
      <c r="B434" s="204"/>
      <c r="C434" s="204"/>
      <c r="D434" s="204"/>
      <c r="E434" s="204"/>
    </row>
    <row r="435">
      <c r="A435" s="204"/>
      <c r="B435" s="204"/>
      <c r="C435" s="204"/>
      <c r="D435" s="204"/>
      <c r="E435" s="204"/>
    </row>
    <row r="436">
      <c r="A436" s="204"/>
      <c r="B436" s="204"/>
      <c r="C436" s="204"/>
      <c r="D436" s="204"/>
      <c r="E436" s="204"/>
    </row>
    <row r="437">
      <c r="A437" s="204"/>
      <c r="B437" s="204"/>
      <c r="C437" s="204"/>
      <c r="D437" s="204"/>
      <c r="E437" s="204"/>
    </row>
    <row r="438">
      <c r="A438" s="204"/>
      <c r="B438" s="204"/>
      <c r="C438" s="204"/>
      <c r="D438" s="204"/>
      <c r="E438" s="204"/>
    </row>
    <row r="439">
      <c r="A439" s="204"/>
      <c r="B439" s="204"/>
      <c r="C439" s="204"/>
      <c r="D439" s="204"/>
      <c r="E439" s="204"/>
    </row>
    <row r="440">
      <c r="A440" s="204"/>
      <c r="B440" s="204"/>
      <c r="C440" s="204"/>
      <c r="D440" s="204"/>
      <c r="E440" s="204"/>
    </row>
    <row r="441">
      <c r="A441" s="204"/>
      <c r="B441" s="204"/>
      <c r="C441" s="204"/>
      <c r="D441" s="204"/>
      <c r="E441" s="204"/>
    </row>
    <row r="442">
      <c r="A442" s="204"/>
      <c r="B442" s="204"/>
      <c r="C442" s="204"/>
      <c r="D442" s="204"/>
      <c r="E442" s="204"/>
    </row>
    <row r="443">
      <c r="A443" s="204"/>
      <c r="B443" s="204"/>
      <c r="C443" s="204"/>
      <c r="D443" s="204"/>
      <c r="E443" s="204"/>
    </row>
    <row r="444">
      <c r="A444" s="204"/>
      <c r="B444" s="204"/>
      <c r="C444" s="204"/>
      <c r="D444" s="204"/>
      <c r="E444" s="204"/>
    </row>
    <row r="445">
      <c r="A445" s="204"/>
      <c r="B445" s="204"/>
      <c r="C445" s="204"/>
      <c r="D445" s="204"/>
      <c r="E445" s="204"/>
    </row>
    <row r="446">
      <c r="A446" s="204"/>
      <c r="B446" s="204"/>
      <c r="C446" s="204"/>
      <c r="D446" s="204"/>
      <c r="E446" s="204"/>
    </row>
    <row r="447">
      <c r="A447" s="204"/>
      <c r="B447" s="204"/>
      <c r="C447" s="204"/>
      <c r="D447" s="204"/>
      <c r="E447" s="204"/>
    </row>
    <row r="448">
      <c r="A448" s="204"/>
      <c r="B448" s="204"/>
      <c r="C448" s="204"/>
      <c r="D448" s="204"/>
      <c r="E448" s="204"/>
    </row>
    <row r="449">
      <c r="A449" s="204"/>
      <c r="B449" s="204"/>
      <c r="C449" s="204"/>
      <c r="D449" s="204"/>
      <c r="E449" s="204"/>
    </row>
    <row r="450">
      <c r="A450" s="204"/>
      <c r="B450" s="204"/>
      <c r="C450" s="204"/>
      <c r="D450" s="204"/>
      <c r="E450" s="204"/>
    </row>
    <row r="451">
      <c r="A451" s="204"/>
      <c r="B451" s="204"/>
      <c r="C451" s="204"/>
      <c r="D451" s="204"/>
      <c r="E451" s="204"/>
    </row>
    <row r="452">
      <c r="A452" s="204"/>
      <c r="B452" s="204"/>
      <c r="C452" s="204"/>
      <c r="D452" s="204"/>
      <c r="E452" s="204"/>
    </row>
    <row r="453">
      <c r="A453" s="204"/>
      <c r="B453" s="204"/>
      <c r="C453" s="204"/>
      <c r="D453" s="204"/>
      <c r="E453" s="204"/>
    </row>
    <row r="454">
      <c r="A454" s="204"/>
      <c r="B454" s="204"/>
      <c r="C454" s="204"/>
      <c r="D454" s="204"/>
      <c r="E454" s="204"/>
    </row>
    <row r="455">
      <c r="A455" s="204"/>
      <c r="B455" s="204"/>
      <c r="C455" s="204"/>
      <c r="D455" s="204"/>
      <c r="E455" s="204"/>
    </row>
    <row r="456">
      <c r="A456" s="204"/>
      <c r="B456" s="204"/>
      <c r="C456" s="204"/>
      <c r="D456" s="204"/>
      <c r="E456" s="204"/>
    </row>
    <row r="457">
      <c r="A457" s="204"/>
      <c r="B457" s="204"/>
      <c r="C457" s="204"/>
      <c r="D457" s="204"/>
      <c r="E457" s="204"/>
    </row>
    <row r="458">
      <c r="A458" s="204"/>
      <c r="B458" s="204"/>
      <c r="C458" s="204"/>
      <c r="D458" s="204"/>
      <c r="E458" s="204"/>
    </row>
    <row r="459">
      <c r="A459" s="204"/>
      <c r="B459" s="204"/>
      <c r="C459" s="204"/>
      <c r="D459" s="204"/>
      <c r="E459" s="204"/>
    </row>
    <row r="460">
      <c r="A460" s="204"/>
      <c r="B460" s="204"/>
      <c r="C460" s="204"/>
      <c r="D460" s="204"/>
      <c r="E460" s="204"/>
    </row>
    <row r="461">
      <c r="A461" s="204"/>
      <c r="B461" s="204"/>
      <c r="C461" s="204"/>
      <c r="D461" s="204"/>
      <c r="E461" s="204"/>
    </row>
    <row r="462">
      <c r="A462" s="204"/>
      <c r="B462" s="204"/>
      <c r="C462" s="204"/>
      <c r="D462" s="204"/>
      <c r="E462" s="204"/>
    </row>
    <row r="463">
      <c r="A463" s="204"/>
      <c r="B463" s="204"/>
      <c r="C463" s="204"/>
      <c r="D463" s="204"/>
      <c r="E463" s="204"/>
    </row>
    <row r="464">
      <c r="A464" s="204"/>
      <c r="B464" s="204"/>
      <c r="C464" s="204"/>
      <c r="D464" s="204"/>
      <c r="E464" s="204"/>
    </row>
    <row r="465">
      <c r="A465" s="204"/>
      <c r="B465" s="204"/>
      <c r="C465" s="204"/>
      <c r="D465" s="204"/>
      <c r="E465" s="204"/>
    </row>
    <row r="466">
      <c r="A466" s="204"/>
      <c r="B466" s="204"/>
      <c r="C466" s="204"/>
      <c r="D466" s="204"/>
      <c r="E466" s="204"/>
    </row>
    <row r="467">
      <c r="A467" s="204"/>
      <c r="B467" s="204"/>
      <c r="C467" s="204"/>
      <c r="D467" s="204"/>
      <c r="E467" s="204"/>
    </row>
    <row r="468">
      <c r="A468" s="204"/>
      <c r="B468" s="204"/>
      <c r="C468" s="204"/>
      <c r="D468" s="204"/>
      <c r="E468" s="204"/>
    </row>
    <row r="469">
      <c r="A469" s="204"/>
      <c r="B469" s="204"/>
      <c r="C469" s="204"/>
      <c r="D469" s="204"/>
      <c r="E469" s="204"/>
    </row>
    <row r="470">
      <c r="A470" s="204"/>
      <c r="B470" s="204"/>
      <c r="C470" s="204"/>
      <c r="D470" s="204"/>
      <c r="E470" s="204"/>
    </row>
    <row r="471">
      <c r="A471" s="204"/>
      <c r="B471" s="204"/>
      <c r="C471" s="204"/>
      <c r="D471" s="204"/>
      <c r="E471" s="204"/>
    </row>
    <row r="472">
      <c r="A472" s="204"/>
      <c r="B472" s="204"/>
      <c r="C472" s="204"/>
      <c r="D472" s="204"/>
      <c r="E472" s="204"/>
    </row>
    <row r="473">
      <c r="A473" s="204"/>
      <c r="B473" s="204"/>
      <c r="C473" s="204"/>
      <c r="D473" s="204"/>
      <c r="E473" s="204"/>
    </row>
    <row r="474">
      <c r="A474" s="204"/>
      <c r="B474" s="204"/>
      <c r="C474" s="204"/>
      <c r="D474" s="204"/>
      <c r="E474" s="204"/>
    </row>
    <row r="475">
      <c r="A475" s="204"/>
      <c r="B475" s="204"/>
      <c r="C475" s="204"/>
      <c r="D475" s="204"/>
      <c r="E475" s="204"/>
    </row>
    <row r="476">
      <c r="A476" s="204"/>
      <c r="B476" s="204"/>
      <c r="C476" s="204"/>
      <c r="D476" s="204"/>
      <c r="E476" s="204"/>
    </row>
    <row r="477">
      <c r="A477" s="204"/>
      <c r="B477" s="204"/>
      <c r="C477" s="204"/>
      <c r="D477" s="204"/>
      <c r="E477" s="204"/>
    </row>
    <row r="478">
      <c r="A478" s="204"/>
      <c r="B478" s="204"/>
      <c r="C478" s="204"/>
      <c r="D478" s="204"/>
      <c r="E478" s="204"/>
    </row>
    <row r="479">
      <c r="A479" s="204"/>
      <c r="B479" s="204"/>
      <c r="C479" s="204"/>
      <c r="D479" s="204"/>
      <c r="E479" s="204"/>
    </row>
    <row r="480">
      <c r="A480" s="204"/>
      <c r="B480" s="204"/>
      <c r="C480" s="204"/>
      <c r="D480" s="204"/>
      <c r="E480" s="204"/>
    </row>
    <row r="481">
      <c r="A481" s="204"/>
      <c r="B481" s="204"/>
      <c r="C481" s="204"/>
      <c r="D481" s="204"/>
      <c r="E481" s="204"/>
    </row>
    <row r="482">
      <c r="A482" s="204"/>
      <c r="B482" s="204"/>
      <c r="C482" s="204"/>
      <c r="D482" s="204"/>
      <c r="E482" s="204"/>
    </row>
    <row r="483">
      <c r="A483" s="204"/>
      <c r="B483" s="204"/>
      <c r="C483" s="204"/>
      <c r="D483" s="204"/>
      <c r="E483" s="204"/>
    </row>
    <row r="484">
      <c r="A484" s="204"/>
      <c r="B484" s="204"/>
      <c r="C484" s="204"/>
      <c r="D484" s="204"/>
      <c r="E484" s="204"/>
    </row>
    <row r="485">
      <c r="A485" s="204"/>
      <c r="B485" s="204"/>
      <c r="C485" s="204"/>
      <c r="D485" s="204"/>
      <c r="E485" s="204"/>
    </row>
    <row r="486">
      <c r="A486" s="204"/>
      <c r="B486" s="204"/>
      <c r="C486" s="204"/>
      <c r="D486" s="204"/>
      <c r="E486" s="204"/>
    </row>
    <row r="487">
      <c r="A487" s="204"/>
      <c r="B487" s="204"/>
      <c r="C487" s="204"/>
      <c r="D487" s="204"/>
      <c r="E487" s="204"/>
    </row>
    <row r="488">
      <c r="A488" s="204"/>
      <c r="B488" s="204"/>
      <c r="C488" s="204"/>
      <c r="D488" s="204"/>
      <c r="E488" s="204"/>
    </row>
    <row r="489">
      <c r="A489" s="204"/>
      <c r="B489" s="204"/>
      <c r="C489" s="204"/>
      <c r="D489" s="204"/>
      <c r="E489" s="204"/>
    </row>
    <row r="490">
      <c r="A490" s="204"/>
      <c r="B490" s="204"/>
      <c r="C490" s="204"/>
      <c r="D490" s="204"/>
      <c r="E490" s="204"/>
    </row>
    <row r="491">
      <c r="A491" s="204"/>
      <c r="B491" s="204"/>
      <c r="C491" s="204"/>
      <c r="D491" s="204"/>
      <c r="E491" s="204"/>
    </row>
    <row r="492">
      <c r="A492" s="204"/>
      <c r="B492" s="204"/>
      <c r="C492" s="204"/>
      <c r="D492" s="204"/>
      <c r="E492" s="204"/>
    </row>
    <row r="493">
      <c r="A493" s="204"/>
      <c r="B493" s="204"/>
      <c r="C493" s="204"/>
      <c r="D493" s="204"/>
      <c r="E493" s="204"/>
    </row>
    <row r="494">
      <c r="A494" s="204"/>
      <c r="B494" s="204"/>
      <c r="C494" s="204"/>
      <c r="D494" s="204"/>
      <c r="E494" s="204"/>
    </row>
    <row r="495">
      <c r="A495" s="204"/>
      <c r="B495" s="204"/>
      <c r="C495" s="204"/>
      <c r="D495" s="204"/>
      <c r="E495" s="204"/>
    </row>
    <row r="496">
      <c r="A496" s="204"/>
      <c r="B496" s="204"/>
      <c r="C496" s="204"/>
      <c r="D496" s="204"/>
      <c r="E496" s="204"/>
    </row>
    <row r="497">
      <c r="A497" s="204"/>
      <c r="B497" s="204"/>
      <c r="C497" s="204"/>
      <c r="D497" s="204"/>
      <c r="E497" s="204"/>
    </row>
    <row r="498">
      <c r="A498" s="204"/>
      <c r="B498" s="204"/>
      <c r="C498" s="204"/>
      <c r="D498" s="204"/>
      <c r="E498" s="204"/>
    </row>
    <row r="499">
      <c r="A499" s="204"/>
      <c r="B499" s="204"/>
      <c r="C499" s="204"/>
      <c r="D499" s="204"/>
      <c r="E499" s="204"/>
    </row>
    <row r="500">
      <c r="A500" s="204"/>
      <c r="B500" s="204"/>
      <c r="C500" s="204"/>
      <c r="D500" s="204"/>
      <c r="E500" s="204"/>
    </row>
    <row r="501">
      <c r="A501" s="204"/>
      <c r="B501" s="204"/>
      <c r="C501" s="204"/>
      <c r="D501" s="204"/>
      <c r="E501" s="204"/>
    </row>
    <row r="502">
      <c r="A502" s="204"/>
      <c r="B502" s="204"/>
      <c r="C502" s="204"/>
      <c r="D502" s="204"/>
      <c r="E502" s="204"/>
    </row>
    <row r="503">
      <c r="A503" s="204"/>
      <c r="B503" s="204"/>
      <c r="C503" s="204"/>
      <c r="D503" s="204"/>
      <c r="E503" s="204"/>
    </row>
    <row r="504">
      <c r="A504" s="204"/>
      <c r="B504" s="204"/>
      <c r="C504" s="204"/>
      <c r="D504" s="204"/>
      <c r="E504" s="204"/>
    </row>
    <row r="505">
      <c r="A505" s="204"/>
      <c r="B505" s="204"/>
      <c r="C505" s="204"/>
      <c r="D505" s="204"/>
      <c r="E505" s="204"/>
    </row>
    <row r="506">
      <c r="A506" s="204"/>
      <c r="B506" s="204"/>
      <c r="C506" s="204"/>
      <c r="D506" s="204"/>
      <c r="E506" s="204"/>
    </row>
    <row r="507">
      <c r="A507" s="204"/>
      <c r="B507" s="204"/>
      <c r="C507" s="204"/>
      <c r="D507" s="204"/>
      <c r="E507" s="204"/>
    </row>
    <row r="508">
      <c r="A508" s="204"/>
      <c r="B508" s="204"/>
      <c r="C508" s="204"/>
      <c r="D508" s="204"/>
      <c r="E508" s="204"/>
    </row>
    <row r="509">
      <c r="A509" s="204"/>
      <c r="B509" s="204"/>
      <c r="C509" s="204"/>
      <c r="D509" s="204"/>
      <c r="E509" s="204"/>
    </row>
    <row r="510">
      <c r="A510" s="204"/>
      <c r="B510" s="204"/>
      <c r="C510" s="204"/>
      <c r="D510" s="204"/>
      <c r="E510" s="204"/>
    </row>
    <row r="511">
      <c r="A511" s="204"/>
      <c r="B511" s="204"/>
      <c r="C511" s="204"/>
      <c r="D511" s="204"/>
      <c r="E511" s="204"/>
    </row>
    <row r="512">
      <c r="A512" s="204"/>
      <c r="B512" s="204"/>
      <c r="C512" s="204"/>
      <c r="D512" s="204"/>
      <c r="E512" s="204"/>
    </row>
    <row r="513">
      <c r="A513" s="204"/>
      <c r="B513" s="204"/>
      <c r="C513" s="204"/>
      <c r="D513" s="204"/>
      <c r="E513" s="204"/>
    </row>
    <row r="514">
      <c r="A514" s="204"/>
      <c r="B514" s="204"/>
      <c r="C514" s="204"/>
      <c r="D514" s="204"/>
      <c r="E514" s="204"/>
    </row>
    <row r="515">
      <c r="A515" s="204"/>
      <c r="B515" s="204"/>
      <c r="C515" s="204"/>
      <c r="D515" s="204"/>
      <c r="E515" s="204"/>
    </row>
    <row r="516">
      <c r="A516" s="204"/>
      <c r="B516" s="204"/>
      <c r="C516" s="204"/>
      <c r="D516" s="204"/>
      <c r="E516" s="204"/>
    </row>
    <row r="517">
      <c r="A517" s="204"/>
      <c r="B517" s="204"/>
      <c r="C517" s="204"/>
      <c r="D517" s="204"/>
      <c r="E517" s="204"/>
    </row>
    <row r="518">
      <c r="A518" s="204"/>
      <c r="B518" s="204"/>
      <c r="C518" s="204"/>
      <c r="D518" s="204"/>
      <c r="E518" s="204"/>
    </row>
    <row r="519">
      <c r="A519" s="204"/>
      <c r="B519" s="204"/>
      <c r="C519" s="204"/>
      <c r="D519" s="204"/>
      <c r="E519" s="204"/>
    </row>
    <row r="520">
      <c r="A520" s="204"/>
      <c r="B520" s="204"/>
      <c r="C520" s="204"/>
      <c r="D520" s="204"/>
      <c r="E520" s="204"/>
    </row>
    <row r="521">
      <c r="A521" s="204"/>
      <c r="B521" s="204"/>
      <c r="C521" s="204"/>
      <c r="D521" s="204"/>
      <c r="E521" s="204"/>
    </row>
    <row r="522">
      <c r="A522" s="204"/>
      <c r="B522" s="204"/>
      <c r="C522" s="204"/>
      <c r="D522" s="204"/>
      <c r="E522" s="204"/>
    </row>
    <row r="523">
      <c r="A523" s="204"/>
      <c r="B523" s="204"/>
      <c r="C523" s="204"/>
      <c r="D523" s="204"/>
      <c r="E523" s="204"/>
    </row>
    <row r="524">
      <c r="A524" s="204"/>
      <c r="B524" s="204"/>
      <c r="C524" s="204"/>
      <c r="D524" s="204"/>
      <c r="E524" s="204"/>
    </row>
    <row r="525">
      <c r="A525" s="204"/>
      <c r="B525" s="204"/>
      <c r="C525" s="204"/>
      <c r="D525" s="204"/>
      <c r="E525" s="204"/>
    </row>
    <row r="526">
      <c r="A526" s="204"/>
      <c r="B526" s="204"/>
      <c r="C526" s="204"/>
      <c r="D526" s="204"/>
      <c r="E526" s="204"/>
    </row>
    <row r="527">
      <c r="A527" s="204"/>
      <c r="B527" s="204"/>
      <c r="C527" s="204"/>
      <c r="D527" s="204"/>
      <c r="E527" s="204"/>
    </row>
    <row r="528">
      <c r="A528" s="204"/>
      <c r="B528" s="204"/>
      <c r="C528" s="204"/>
      <c r="D528" s="204"/>
      <c r="E528" s="204"/>
    </row>
    <row r="529">
      <c r="A529" s="204"/>
      <c r="B529" s="204"/>
      <c r="C529" s="204"/>
      <c r="D529" s="204"/>
      <c r="E529" s="204"/>
    </row>
    <row r="530">
      <c r="A530" s="204"/>
      <c r="B530" s="204"/>
      <c r="C530" s="204"/>
      <c r="D530" s="204"/>
      <c r="E530" s="204"/>
    </row>
    <row r="531">
      <c r="A531" s="204"/>
      <c r="B531" s="204"/>
      <c r="C531" s="204"/>
      <c r="D531" s="204"/>
      <c r="E531" s="204"/>
    </row>
    <row r="532">
      <c r="A532" s="204"/>
      <c r="B532" s="204"/>
      <c r="C532" s="204"/>
      <c r="D532" s="204"/>
      <c r="E532" s="204"/>
    </row>
    <row r="533">
      <c r="A533" s="204"/>
      <c r="B533" s="204"/>
      <c r="C533" s="204"/>
      <c r="D533" s="204"/>
      <c r="E533" s="204"/>
    </row>
    <row r="534">
      <c r="A534" s="204"/>
      <c r="B534" s="204"/>
      <c r="C534" s="204"/>
      <c r="D534" s="204"/>
      <c r="E534" s="204"/>
    </row>
    <row r="535">
      <c r="A535" s="204"/>
      <c r="B535" s="204"/>
      <c r="C535" s="204"/>
      <c r="D535" s="204"/>
      <c r="E535" s="204"/>
    </row>
    <row r="536">
      <c r="A536" s="204"/>
      <c r="B536" s="204"/>
      <c r="C536" s="204"/>
      <c r="D536" s="204"/>
      <c r="E536" s="204"/>
    </row>
    <row r="537">
      <c r="A537" s="204"/>
      <c r="B537" s="204"/>
      <c r="C537" s="204"/>
      <c r="D537" s="204"/>
      <c r="E537" s="204"/>
    </row>
    <row r="538">
      <c r="A538" s="204"/>
      <c r="B538" s="204"/>
      <c r="C538" s="204"/>
      <c r="D538" s="204"/>
      <c r="E538" s="204"/>
    </row>
    <row r="539">
      <c r="A539" s="204"/>
      <c r="B539" s="204"/>
      <c r="C539" s="204"/>
      <c r="D539" s="204"/>
      <c r="E539" s="204"/>
    </row>
    <row r="540">
      <c r="A540" s="204"/>
      <c r="B540" s="204"/>
      <c r="C540" s="204"/>
      <c r="D540" s="204"/>
      <c r="E540" s="204"/>
    </row>
    <row r="541">
      <c r="A541" s="204"/>
      <c r="B541" s="204"/>
      <c r="C541" s="204"/>
      <c r="D541" s="204"/>
      <c r="E541" s="204"/>
    </row>
    <row r="542">
      <c r="A542" s="204"/>
      <c r="B542" s="204"/>
      <c r="C542" s="204"/>
      <c r="D542" s="204"/>
      <c r="E542" s="204"/>
    </row>
    <row r="543">
      <c r="A543" s="204"/>
      <c r="B543" s="204"/>
      <c r="C543" s="204"/>
      <c r="D543" s="204"/>
      <c r="E543" s="204"/>
    </row>
    <row r="544">
      <c r="A544" s="204"/>
      <c r="B544" s="204"/>
      <c r="C544" s="204"/>
      <c r="D544" s="204"/>
      <c r="E544" s="204"/>
    </row>
    <row r="545">
      <c r="A545" s="204"/>
      <c r="B545" s="204"/>
      <c r="C545" s="204"/>
      <c r="D545" s="204"/>
      <c r="E545" s="204"/>
    </row>
    <row r="546">
      <c r="A546" s="204"/>
      <c r="B546" s="204"/>
      <c r="C546" s="204"/>
      <c r="D546" s="204"/>
      <c r="E546" s="204"/>
    </row>
    <row r="547">
      <c r="A547" s="204"/>
      <c r="B547" s="204"/>
      <c r="C547" s="204"/>
      <c r="D547" s="204"/>
      <c r="E547" s="204"/>
    </row>
    <row r="548">
      <c r="A548" s="204"/>
      <c r="B548" s="204"/>
      <c r="C548" s="204"/>
      <c r="D548" s="204"/>
      <c r="E548" s="204"/>
    </row>
    <row r="549">
      <c r="A549" s="204"/>
      <c r="B549" s="204"/>
      <c r="C549" s="204"/>
      <c r="D549" s="204"/>
      <c r="E549" s="204"/>
    </row>
    <row r="550">
      <c r="A550" s="204"/>
      <c r="B550" s="204"/>
      <c r="C550" s="204"/>
      <c r="D550" s="204"/>
      <c r="E550" s="204"/>
    </row>
    <row r="551">
      <c r="A551" s="204"/>
      <c r="B551" s="204"/>
      <c r="C551" s="204"/>
      <c r="D551" s="204"/>
      <c r="E551" s="204"/>
    </row>
    <row r="552">
      <c r="A552" s="204"/>
      <c r="B552" s="204"/>
      <c r="C552" s="204"/>
      <c r="D552" s="204"/>
      <c r="E552" s="204"/>
    </row>
    <row r="553">
      <c r="A553" s="204"/>
      <c r="B553" s="204"/>
      <c r="C553" s="204"/>
      <c r="D553" s="204"/>
      <c r="E553" s="204"/>
    </row>
    <row r="554">
      <c r="A554" s="204"/>
      <c r="B554" s="204"/>
      <c r="C554" s="204"/>
      <c r="D554" s="204"/>
      <c r="E554" s="204"/>
    </row>
    <row r="555">
      <c r="A555" s="204"/>
      <c r="B555" s="204"/>
      <c r="C555" s="204"/>
      <c r="D555" s="204"/>
      <c r="E555" s="204"/>
    </row>
    <row r="556">
      <c r="A556" s="204"/>
      <c r="B556" s="204"/>
      <c r="C556" s="204"/>
      <c r="D556" s="204"/>
      <c r="E556" s="204"/>
    </row>
    <row r="557">
      <c r="A557" s="204"/>
      <c r="B557" s="204"/>
      <c r="C557" s="204"/>
      <c r="D557" s="204"/>
      <c r="E557" s="204"/>
    </row>
    <row r="558">
      <c r="A558" s="204"/>
      <c r="B558" s="204"/>
      <c r="C558" s="204"/>
      <c r="D558" s="204"/>
      <c r="E558" s="204"/>
    </row>
    <row r="559">
      <c r="A559" s="204"/>
      <c r="B559" s="204"/>
      <c r="C559" s="204"/>
      <c r="D559" s="204"/>
      <c r="E559" s="204"/>
    </row>
    <row r="560">
      <c r="A560" s="204"/>
      <c r="B560" s="204"/>
      <c r="C560" s="204"/>
      <c r="D560" s="204"/>
      <c r="E560" s="204"/>
    </row>
    <row r="561">
      <c r="A561" s="204"/>
      <c r="B561" s="204"/>
      <c r="C561" s="204"/>
      <c r="D561" s="204"/>
      <c r="E561" s="204"/>
    </row>
    <row r="562">
      <c r="A562" s="204"/>
      <c r="B562" s="204"/>
      <c r="C562" s="204"/>
      <c r="D562" s="204"/>
      <c r="E562" s="204"/>
    </row>
    <row r="563">
      <c r="A563" s="204"/>
      <c r="B563" s="204"/>
      <c r="C563" s="204"/>
      <c r="D563" s="204"/>
      <c r="E563" s="204"/>
    </row>
    <row r="564">
      <c r="A564" s="204"/>
      <c r="B564" s="204"/>
      <c r="C564" s="204"/>
      <c r="D564" s="204"/>
      <c r="E564" s="204"/>
    </row>
    <row r="565">
      <c r="A565" s="204"/>
      <c r="B565" s="204"/>
      <c r="C565" s="204"/>
      <c r="D565" s="204"/>
      <c r="E565" s="204"/>
    </row>
    <row r="566">
      <c r="A566" s="204"/>
      <c r="B566" s="204"/>
      <c r="C566" s="204"/>
      <c r="D566" s="204"/>
      <c r="E566" s="204"/>
    </row>
    <row r="567">
      <c r="A567" s="204"/>
      <c r="B567" s="204"/>
      <c r="C567" s="204"/>
      <c r="D567" s="204"/>
      <c r="E567" s="204"/>
    </row>
    <row r="568">
      <c r="A568" s="204"/>
      <c r="B568" s="204"/>
      <c r="C568" s="204"/>
      <c r="D568" s="204"/>
      <c r="E568" s="204"/>
    </row>
    <row r="569">
      <c r="A569" s="204"/>
      <c r="B569" s="204"/>
      <c r="C569" s="204"/>
      <c r="D569" s="204"/>
      <c r="E569" s="204"/>
    </row>
    <row r="570">
      <c r="A570" s="204"/>
      <c r="B570" s="204"/>
      <c r="C570" s="204"/>
      <c r="D570" s="204"/>
      <c r="E570" s="204"/>
    </row>
    <row r="571">
      <c r="A571" s="204"/>
      <c r="B571" s="204"/>
      <c r="C571" s="204"/>
      <c r="D571" s="204"/>
      <c r="E571" s="204"/>
    </row>
    <row r="572">
      <c r="A572" s="204"/>
      <c r="B572" s="204"/>
      <c r="C572" s="204"/>
      <c r="D572" s="204"/>
      <c r="E572" s="204"/>
    </row>
    <row r="573">
      <c r="A573" s="204"/>
      <c r="B573" s="204"/>
      <c r="C573" s="204"/>
      <c r="D573" s="204"/>
      <c r="E573" s="204"/>
    </row>
    <row r="574">
      <c r="A574" s="204"/>
      <c r="B574" s="204"/>
      <c r="C574" s="204"/>
      <c r="D574" s="204"/>
      <c r="E574" s="204"/>
    </row>
    <row r="575">
      <c r="A575" s="204"/>
      <c r="B575" s="204"/>
      <c r="C575" s="204"/>
      <c r="D575" s="204"/>
      <c r="E575" s="204"/>
    </row>
    <row r="576">
      <c r="A576" s="204"/>
      <c r="B576" s="204"/>
      <c r="C576" s="204"/>
      <c r="D576" s="204"/>
      <c r="E576" s="204"/>
    </row>
    <row r="577">
      <c r="A577" s="204"/>
      <c r="B577" s="204"/>
      <c r="C577" s="204"/>
      <c r="D577" s="204"/>
      <c r="E577" s="204"/>
    </row>
    <row r="578">
      <c r="A578" s="204"/>
      <c r="B578" s="204"/>
      <c r="C578" s="204"/>
      <c r="D578" s="204"/>
      <c r="E578" s="204"/>
    </row>
    <row r="579">
      <c r="A579" s="204"/>
      <c r="B579" s="204"/>
      <c r="C579" s="204"/>
      <c r="D579" s="204"/>
      <c r="E579" s="204"/>
    </row>
    <row r="580">
      <c r="A580" s="204"/>
      <c r="B580" s="204"/>
      <c r="C580" s="204"/>
      <c r="D580" s="204"/>
      <c r="E580" s="204"/>
    </row>
    <row r="581">
      <c r="A581" s="204"/>
      <c r="B581" s="204"/>
      <c r="C581" s="204"/>
      <c r="D581" s="204"/>
      <c r="E581" s="204"/>
    </row>
    <row r="582">
      <c r="A582" s="204"/>
      <c r="B582" s="204"/>
      <c r="C582" s="204"/>
      <c r="D582" s="204"/>
      <c r="E582" s="204"/>
    </row>
    <row r="583">
      <c r="A583" s="204"/>
      <c r="B583" s="204"/>
      <c r="C583" s="204"/>
      <c r="D583" s="204"/>
      <c r="E583" s="204"/>
    </row>
    <row r="584">
      <c r="A584" s="204"/>
      <c r="B584" s="204"/>
      <c r="C584" s="204"/>
      <c r="D584" s="204"/>
      <c r="E584" s="204"/>
    </row>
    <row r="585">
      <c r="A585" s="204"/>
      <c r="B585" s="204"/>
      <c r="C585" s="204"/>
      <c r="D585" s="204"/>
      <c r="E585" s="204"/>
    </row>
    <row r="586">
      <c r="A586" s="204"/>
      <c r="B586" s="204"/>
      <c r="C586" s="204"/>
      <c r="D586" s="204"/>
      <c r="E586" s="204"/>
    </row>
    <row r="587">
      <c r="A587" s="204"/>
      <c r="B587" s="204"/>
      <c r="C587" s="204"/>
      <c r="D587" s="204"/>
      <c r="E587" s="204"/>
    </row>
    <row r="588">
      <c r="A588" s="204"/>
      <c r="B588" s="204"/>
      <c r="C588" s="204"/>
      <c r="D588" s="204"/>
      <c r="E588" s="204"/>
    </row>
    <row r="589">
      <c r="A589" s="204"/>
      <c r="B589" s="204"/>
      <c r="C589" s="204"/>
      <c r="D589" s="204"/>
      <c r="E589" s="204"/>
    </row>
    <row r="590">
      <c r="A590" s="204"/>
      <c r="B590" s="204"/>
      <c r="C590" s="204"/>
      <c r="D590" s="204"/>
      <c r="E590" s="204"/>
    </row>
    <row r="591">
      <c r="A591" s="204"/>
      <c r="B591" s="204"/>
      <c r="C591" s="204"/>
      <c r="D591" s="204"/>
      <c r="E591" s="204"/>
    </row>
    <row r="592">
      <c r="A592" s="204"/>
      <c r="B592" s="204"/>
      <c r="C592" s="204"/>
      <c r="D592" s="204"/>
      <c r="E592" s="204"/>
    </row>
    <row r="593">
      <c r="A593" s="204"/>
      <c r="B593" s="204"/>
      <c r="C593" s="204"/>
      <c r="D593" s="204"/>
      <c r="E593" s="204"/>
    </row>
    <row r="594">
      <c r="A594" s="204"/>
      <c r="B594" s="204"/>
      <c r="C594" s="204"/>
      <c r="D594" s="204"/>
      <c r="E594" s="204"/>
    </row>
    <row r="595">
      <c r="A595" s="204"/>
      <c r="B595" s="204"/>
      <c r="C595" s="204"/>
      <c r="D595" s="204"/>
      <c r="E595" s="204"/>
    </row>
    <row r="596">
      <c r="A596" s="204"/>
      <c r="B596" s="204"/>
      <c r="C596" s="204"/>
      <c r="D596" s="204"/>
      <c r="E596" s="204"/>
    </row>
  </sheetData>
  <drawing r:id="rId1"/>
  <tableParts count="1">
    <tablePart r:id="rId3"/>
  </tableParts>
</worksheet>
</file>