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B9" i="1" l="1"/>
  <c r="AA83" i="1" l="1"/>
  <c r="Z83" i="1"/>
  <c r="Y83" i="1"/>
  <c r="X83" i="1"/>
  <c r="AB83" i="1" s="1"/>
  <c r="AA82" i="1"/>
  <c r="Z82" i="1"/>
  <c r="Y82" i="1"/>
  <c r="X82" i="1"/>
  <c r="AB82" i="1" s="1"/>
  <c r="AA81" i="1"/>
  <c r="Z81" i="1"/>
  <c r="Y81" i="1"/>
  <c r="X81" i="1"/>
  <c r="AB81" i="1" s="1"/>
  <c r="AA80" i="1"/>
  <c r="Z80" i="1"/>
  <c r="Y80" i="1"/>
  <c r="X80" i="1"/>
  <c r="AB80" i="1" s="1"/>
  <c r="AA79" i="1"/>
  <c r="Z79" i="1"/>
  <c r="Y79" i="1"/>
  <c r="X79" i="1"/>
  <c r="AB79" i="1" s="1"/>
  <c r="AA78" i="1"/>
  <c r="Z78" i="1"/>
  <c r="Y78" i="1"/>
  <c r="X78" i="1"/>
  <c r="AB78" i="1" s="1"/>
  <c r="AA77" i="1"/>
  <c r="Z77" i="1"/>
  <c r="Y77" i="1"/>
  <c r="X77" i="1"/>
  <c r="AB77" i="1" s="1"/>
  <c r="AA76" i="1"/>
  <c r="Z76" i="1"/>
  <c r="Y76" i="1"/>
  <c r="X76" i="1"/>
  <c r="AB76" i="1" s="1"/>
  <c r="AA75" i="1"/>
  <c r="Z75" i="1"/>
  <c r="Y75" i="1"/>
  <c r="X75" i="1"/>
  <c r="AB75" i="1" s="1"/>
  <c r="T83" i="1" l="1"/>
  <c r="J83" i="1"/>
  <c r="T82" i="1"/>
  <c r="J82" i="1"/>
  <c r="T81" i="1"/>
  <c r="J81" i="1"/>
  <c r="T80" i="1"/>
  <c r="J80" i="1"/>
  <c r="T79" i="1"/>
  <c r="J79" i="1"/>
  <c r="T78" i="1"/>
  <c r="J78" i="1"/>
  <c r="T77" i="1"/>
  <c r="J77" i="1"/>
  <c r="T76" i="1"/>
  <c r="J76" i="1"/>
  <c r="T75" i="1"/>
  <c r="J75" i="1"/>
  <c r="AA72" i="1" l="1"/>
  <c r="Z72" i="1"/>
  <c r="Y72" i="1"/>
  <c r="X72" i="1"/>
  <c r="AB72" i="1" s="1"/>
  <c r="AA71" i="1"/>
  <c r="Z71" i="1"/>
  <c r="Y71" i="1"/>
  <c r="X71" i="1"/>
  <c r="AB71" i="1" s="1"/>
  <c r="AA70" i="1"/>
  <c r="Z70" i="1"/>
  <c r="Y70" i="1"/>
  <c r="X70" i="1"/>
  <c r="AB70" i="1" s="1"/>
  <c r="AA69" i="1"/>
  <c r="Z69" i="1"/>
  <c r="Y69" i="1"/>
  <c r="X69" i="1"/>
  <c r="AB69" i="1" s="1"/>
  <c r="AA68" i="1"/>
  <c r="Z68" i="1"/>
  <c r="Y68" i="1"/>
  <c r="X68" i="1"/>
  <c r="AB68" i="1" s="1"/>
  <c r="AA67" i="1"/>
  <c r="Z67" i="1"/>
  <c r="Y67" i="1"/>
  <c r="X67" i="1"/>
  <c r="AB67" i="1" s="1"/>
  <c r="AA66" i="1"/>
  <c r="Z66" i="1"/>
  <c r="Y66" i="1"/>
  <c r="X66" i="1"/>
  <c r="AB66" i="1" s="1"/>
  <c r="AA65" i="1"/>
  <c r="Z65" i="1"/>
  <c r="Y65" i="1"/>
  <c r="X65" i="1"/>
  <c r="AB65" i="1" s="1"/>
  <c r="AA64" i="1"/>
  <c r="Z64" i="1"/>
  <c r="Y64" i="1"/>
  <c r="X64" i="1"/>
  <c r="AB64" i="1" s="1"/>
  <c r="T72" i="1" l="1"/>
  <c r="J72" i="1"/>
  <c r="T71" i="1"/>
  <c r="J71" i="1"/>
  <c r="T70" i="1"/>
  <c r="J70" i="1"/>
  <c r="T69" i="1"/>
  <c r="J69" i="1"/>
  <c r="T68" i="1"/>
  <c r="J68" i="1"/>
  <c r="T67" i="1"/>
  <c r="J67" i="1"/>
  <c r="T66" i="1"/>
  <c r="J66" i="1"/>
  <c r="T65" i="1"/>
  <c r="J65" i="1"/>
  <c r="T64" i="1"/>
  <c r="J64" i="1"/>
  <c r="AA61" i="1" l="1"/>
  <c r="Z61" i="1"/>
  <c r="Y61" i="1"/>
  <c r="X61" i="1"/>
  <c r="AB61" i="1" s="1"/>
  <c r="AA60" i="1"/>
  <c r="Z60" i="1"/>
  <c r="Y60" i="1"/>
  <c r="X60" i="1"/>
  <c r="AB60" i="1" s="1"/>
  <c r="AA59" i="1"/>
  <c r="Z59" i="1"/>
  <c r="Y59" i="1"/>
  <c r="X59" i="1"/>
  <c r="AB59" i="1" s="1"/>
  <c r="AA58" i="1"/>
  <c r="Z58" i="1"/>
  <c r="Y58" i="1"/>
  <c r="X58" i="1"/>
  <c r="AB58" i="1" s="1"/>
  <c r="AA57" i="1" l="1"/>
  <c r="Z57" i="1"/>
  <c r="Y57" i="1"/>
  <c r="X57" i="1"/>
  <c r="AB57" i="1" s="1"/>
  <c r="AA56" i="1"/>
  <c r="Z56" i="1"/>
  <c r="Y56" i="1"/>
  <c r="X56" i="1"/>
  <c r="AB56" i="1" s="1"/>
  <c r="AA55" i="1"/>
  <c r="Z55" i="1"/>
  <c r="Y55" i="1"/>
  <c r="X55" i="1"/>
  <c r="AB55" i="1" s="1"/>
  <c r="AA54" i="1"/>
  <c r="Z54" i="1"/>
  <c r="Y54" i="1"/>
  <c r="X54" i="1"/>
  <c r="AB54" i="1" s="1"/>
  <c r="AA53" i="1" l="1"/>
  <c r="Z53" i="1"/>
  <c r="Y53" i="1"/>
  <c r="X53" i="1"/>
  <c r="AB53" i="1" s="1"/>
  <c r="T61" i="1" l="1"/>
  <c r="J61" i="1"/>
  <c r="T60" i="1"/>
  <c r="J60" i="1"/>
  <c r="T59" i="1"/>
  <c r="J59" i="1"/>
  <c r="T58" i="1"/>
  <c r="J58" i="1"/>
  <c r="T57" i="1"/>
  <c r="J57" i="1"/>
  <c r="T56" i="1"/>
  <c r="J56" i="1"/>
  <c r="T55" i="1"/>
  <c r="J55" i="1"/>
  <c r="T54" i="1"/>
  <c r="J54" i="1"/>
  <c r="T53" i="1"/>
  <c r="J53" i="1"/>
  <c r="AA50" i="1" l="1"/>
  <c r="Z50" i="1"/>
  <c r="Y50" i="1"/>
  <c r="X50" i="1"/>
  <c r="AB50" i="1" s="1"/>
  <c r="AA49" i="1" l="1"/>
  <c r="Z49" i="1"/>
  <c r="Y49" i="1"/>
  <c r="X49" i="1"/>
  <c r="AB49" i="1" s="1"/>
  <c r="AA48" i="1" l="1"/>
  <c r="Z48" i="1"/>
  <c r="Y48" i="1"/>
  <c r="X48" i="1"/>
  <c r="AB48" i="1" s="1"/>
  <c r="AA47" i="1" l="1"/>
  <c r="Z47" i="1"/>
  <c r="Y47" i="1"/>
  <c r="X47" i="1"/>
  <c r="AB47" i="1" s="1"/>
  <c r="AA46" i="1"/>
  <c r="Z46" i="1"/>
  <c r="Y46" i="1"/>
  <c r="X46" i="1"/>
  <c r="AB46" i="1" s="1"/>
  <c r="AA45" i="1"/>
  <c r="Z45" i="1"/>
  <c r="Y45" i="1"/>
  <c r="X45" i="1"/>
  <c r="AB45" i="1" s="1"/>
  <c r="AA44" i="1"/>
  <c r="Z44" i="1"/>
  <c r="Y44" i="1"/>
  <c r="X44" i="1"/>
  <c r="AB44" i="1" s="1"/>
  <c r="AA43" i="1"/>
  <c r="Z43" i="1"/>
  <c r="Y43" i="1"/>
  <c r="X43" i="1"/>
  <c r="AB43" i="1" s="1"/>
  <c r="AA42" i="1"/>
  <c r="Z42" i="1"/>
  <c r="Y42" i="1"/>
  <c r="X42" i="1"/>
  <c r="AB42" i="1" s="1"/>
  <c r="T50" i="1" l="1"/>
  <c r="J50" i="1"/>
  <c r="T49" i="1"/>
  <c r="J49" i="1"/>
  <c r="T48" i="1"/>
  <c r="J48" i="1"/>
  <c r="T47" i="1"/>
  <c r="J47" i="1"/>
  <c r="T46" i="1"/>
  <c r="J46" i="1"/>
  <c r="T45" i="1"/>
  <c r="J45" i="1"/>
  <c r="T44" i="1"/>
  <c r="J44" i="1"/>
  <c r="T43" i="1"/>
  <c r="J43" i="1"/>
  <c r="T42" i="1"/>
  <c r="J42" i="1"/>
  <c r="AA39" i="1" l="1"/>
  <c r="Z39" i="1"/>
  <c r="Y39" i="1"/>
  <c r="X39" i="1"/>
  <c r="AB39" i="1" s="1"/>
  <c r="AA38" i="1"/>
  <c r="Z38" i="1"/>
  <c r="Y38" i="1"/>
  <c r="X38" i="1"/>
  <c r="AB38" i="1" s="1"/>
  <c r="AA37" i="1"/>
  <c r="Z37" i="1"/>
  <c r="Y37" i="1"/>
  <c r="X37" i="1"/>
  <c r="AB37" i="1" s="1"/>
  <c r="AA35" i="1" l="1"/>
  <c r="Z35" i="1"/>
  <c r="Y35" i="1"/>
  <c r="X35" i="1"/>
  <c r="AB35" i="1" s="1"/>
  <c r="AA36" i="1" l="1"/>
  <c r="Z36" i="1"/>
  <c r="Y36" i="1"/>
  <c r="X36" i="1"/>
  <c r="AB36" i="1" s="1"/>
  <c r="AA34" i="1" l="1"/>
  <c r="Z34" i="1"/>
  <c r="Y34" i="1"/>
  <c r="X34" i="1"/>
  <c r="AB34" i="1" s="1"/>
  <c r="AA33" i="1" l="1"/>
  <c r="Z33" i="1"/>
  <c r="Y33" i="1"/>
  <c r="X33" i="1"/>
  <c r="AB33" i="1" s="1"/>
  <c r="AA32" i="1"/>
  <c r="Z32" i="1"/>
  <c r="Y32" i="1"/>
  <c r="X32" i="1"/>
  <c r="AB32" i="1" s="1"/>
  <c r="AA31" i="1" l="1"/>
  <c r="Z31" i="1"/>
  <c r="Y31" i="1"/>
  <c r="X31" i="1"/>
  <c r="AB31" i="1" s="1"/>
  <c r="T39" i="1" l="1"/>
  <c r="J39" i="1"/>
  <c r="T38" i="1"/>
  <c r="J38" i="1"/>
  <c r="T37" i="1"/>
  <c r="J37" i="1"/>
  <c r="T36" i="1"/>
  <c r="J36" i="1"/>
  <c r="T35" i="1"/>
  <c r="J35" i="1"/>
  <c r="T34" i="1"/>
  <c r="J34" i="1"/>
  <c r="T33" i="1"/>
  <c r="J33" i="1"/>
  <c r="T32" i="1"/>
  <c r="J32" i="1"/>
  <c r="T31" i="1"/>
  <c r="J31" i="1"/>
  <c r="AA24" i="1" l="1"/>
  <c r="Z24" i="1"/>
  <c r="Y24" i="1"/>
  <c r="X24" i="1"/>
  <c r="AB24" i="1" s="1"/>
  <c r="AA28" i="1" l="1"/>
  <c r="Y28" i="1"/>
  <c r="X28" i="1"/>
  <c r="AB28" i="1" s="1"/>
  <c r="AA27" i="1" l="1"/>
  <c r="Z27" i="1"/>
  <c r="Y27" i="1"/>
  <c r="X27" i="1"/>
  <c r="AB27" i="1" s="1"/>
  <c r="AA26" i="1" l="1"/>
  <c r="Z26" i="1"/>
  <c r="Y26" i="1"/>
  <c r="X26" i="1"/>
  <c r="AB26" i="1" s="1"/>
  <c r="AA25" i="1" l="1"/>
  <c r="Z25" i="1"/>
  <c r="Y25" i="1"/>
  <c r="X25" i="1"/>
  <c r="AB25" i="1" s="1"/>
  <c r="AA23" i="1" l="1"/>
  <c r="Z23" i="1"/>
  <c r="Y23" i="1"/>
  <c r="X23" i="1"/>
  <c r="AB23" i="1" s="1"/>
  <c r="AA22" i="1" l="1"/>
  <c r="Z22" i="1"/>
  <c r="Y22" i="1"/>
  <c r="X22" i="1"/>
  <c r="AB22" i="1" s="1"/>
  <c r="AA21" i="1" l="1"/>
  <c r="Z21" i="1"/>
  <c r="Y21" i="1"/>
  <c r="X21" i="1"/>
  <c r="AB21" i="1" s="1"/>
  <c r="AA20" i="1" l="1"/>
  <c r="Z20" i="1"/>
  <c r="Y20" i="1"/>
  <c r="X20" i="1"/>
  <c r="AB20" i="1" s="1"/>
  <c r="T28" i="1" l="1"/>
  <c r="T27" i="1"/>
  <c r="T26" i="1"/>
  <c r="T25" i="1"/>
  <c r="T24" i="1"/>
  <c r="T23" i="1"/>
  <c r="T22" i="1"/>
  <c r="T21" i="1"/>
  <c r="T20" i="1"/>
  <c r="J28" i="1"/>
  <c r="J27" i="1"/>
  <c r="J26" i="1"/>
  <c r="J25" i="1"/>
  <c r="J24" i="1"/>
  <c r="J23" i="1"/>
  <c r="J22" i="1"/>
  <c r="J21" i="1"/>
  <c r="J20" i="1"/>
  <c r="T17" i="1" l="1"/>
  <c r="J17" i="1"/>
  <c r="T16" i="1"/>
  <c r="J16" i="1"/>
  <c r="T15" i="1"/>
  <c r="J15" i="1"/>
  <c r="T14" i="1"/>
  <c r="J14" i="1"/>
  <c r="T13" i="1"/>
  <c r="J13" i="1"/>
  <c r="T12" i="1"/>
  <c r="J12" i="1"/>
  <c r="T11" i="1"/>
  <c r="J11" i="1"/>
  <c r="T10" i="1"/>
  <c r="J10" i="1"/>
  <c r="T9" i="1"/>
  <c r="J9" i="1"/>
  <c r="AA17" i="1" l="1"/>
  <c r="Z17" i="1"/>
  <c r="Y17" i="1"/>
  <c r="X17" i="1"/>
  <c r="AB17" i="1" s="1"/>
  <c r="AA16" i="1"/>
  <c r="Z16" i="1"/>
  <c r="Y16" i="1"/>
  <c r="X16" i="1"/>
  <c r="AB16" i="1" s="1"/>
  <c r="AA15" i="1"/>
  <c r="Z15" i="1"/>
  <c r="Y15" i="1"/>
  <c r="X15" i="1"/>
  <c r="AB15" i="1" s="1"/>
  <c r="AA14" i="1"/>
  <c r="Z14" i="1"/>
  <c r="Y14" i="1"/>
  <c r="X14" i="1"/>
  <c r="AB14" i="1" s="1"/>
  <c r="Z11" i="1" l="1"/>
  <c r="Y11" i="1"/>
  <c r="X11" i="1"/>
  <c r="AA11" i="1" l="1"/>
  <c r="AA13" i="1"/>
  <c r="Z13" i="1"/>
  <c r="Y13" i="1"/>
  <c r="X13" i="1"/>
  <c r="AB13" i="1" s="1"/>
  <c r="AA7" i="1"/>
  <c r="AA12" i="1"/>
  <c r="Z12" i="1"/>
  <c r="Y12" i="1"/>
  <c r="X12" i="1"/>
  <c r="AB12" i="1" s="1"/>
  <c r="Z10" i="1"/>
  <c r="Z9" i="1"/>
  <c r="Y10" i="1"/>
  <c r="Y9" i="1"/>
  <c r="AB11" i="1"/>
  <c r="AA10" i="1"/>
  <c r="X10" i="1"/>
  <c r="AB10" i="1" s="1"/>
  <c r="X9" i="1"/>
  <c r="Y7" i="1" l="1"/>
  <c r="Z7" i="1"/>
  <c r="X7" i="1"/>
  <c r="AB7" i="1" l="1"/>
</calcChain>
</file>

<file path=xl/sharedStrings.xml><?xml version="1.0" encoding="utf-8"?>
<sst xmlns="http://schemas.openxmlformats.org/spreadsheetml/2006/main" count="321" uniqueCount="93">
  <si>
    <t>Results</t>
  </si>
  <si>
    <t>Prediction</t>
  </si>
  <si>
    <t>HT</t>
  </si>
  <si>
    <t xml:space="preserve">AT </t>
  </si>
  <si>
    <t>Ratio</t>
  </si>
  <si>
    <t>NM</t>
  </si>
  <si>
    <t>ADL</t>
  </si>
  <si>
    <t>Average ppg (2016)</t>
  </si>
  <si>
    <t>Home</t>
  </si>
  <si>
    <t>Away</t>
  </si>
  <si>
    <t>PA</t>
  </si>
  <si>
    <t>SKD</t>
  </si>
  <si>
    <t>ESS</t>
  </si>
  <si>
    <t>GGS</t>
  </si>
  <si>
    <t>AR</t>
  </si>
  <si>
    <t>INV Ratio</t>
  </si>
  <si>
    <t>P1=R&gt;1.25</t>
  </si>
  <si>
    <t>p2=R&gt;1.15</t>
  </si>
  <si>
    <t>p3=R&lt;1.15</t>
  </si>
  <si>
    <t>RICHM</t>
  </si>
  <si>
    <t>CARL</t>
  </si>
  <si>
    <t>WB</t>
  </si>
  <si>
    <t>FRE</t>
  </si>
  <si>
    <t>MLB</t>
  </si>
  <si>
    <t>GWS</t>
  </si>
  <si>
    <t>SYD</t>
  </si>
  <si>
    <t>COLL</t>
  </si>
  <si>
    <t>WCE</t>
  </si>
  <si>
    <t>BRIS</t>
  </si>
  <si>
    <t>GEL</t>
  </si>
  <si>
    <t>HAW</t>
  </si>
  <si>
    <t>Past 6</t>
  </si>
  <si>
    <t>WLLWWL-3 w</t>
  </si>
  <si>
    <t>WWWLWL-5 w</t>
  </si>
  <si>
    <t>WLWWWW-5 w</t>
  </si>
  <si>
    <t>LLLDLL-o w</t>
  </si>
  <si>
    <t>DWLWLL-2 w</t>
  </si>
  <si>
    <t>LLLLLW-1 w</t>
  </si>
  <si>
    <t>LWWWWL-4 w</t>
  </si>
  <si>
    <t>LLLWLL-1 w</t>
  </si>
  <si>
    <t>WWLWLL-3 w</t>
  </si>
  <si>
    <t>LLWLWL-2 w</t>
  </si>
  <si>
    <t>WLLLLW-2 w</t>
  </si>
  <si>
    <t>LWLLWL-2 w</t>
  </si>
  <si>
    <t>WWWWLL-4 w</t>
  </si>
  <si>
    <t>WLWWWL-4 w</t>
  </si>
  <si>
    <t>LLWLLW-2 w</t>
  </si>
  <si>
    <t>WWLDLW-3 w</t>
  </si>
  <si>
    <t>WWLWWW-5 w</t>
  </si>
  <si>
    <t>P6-1</t>
  </si>
  <si>
    <t>AVG</t>
  </si>
  <si>
    <t>P4- big 4</t>
  </si>
  <si>
    <t>2,1</t>
  </si>
  <si>
    <t>4,0</t>
  </si>
  <si>
    <t>3,0</t>
  </si>
  <si>
    <t>2,2</t>
  </si>
  <si>
    <t>0,2</t>
  </si>
  <si>
    <t>1,1</t>
  </si>
  <si>
    <t>0,3</t>
  </si>
  <si>
    <t>RD1</t>
  </si>
  <si>
    <t>RD2</t>
  </si>
  <si>
    <t>Comments</t>
  </si>
  <si>
    <t>unc. Home adv</t>
  </si>
  <si>
    <t>0,4</t>
  </si>
  <si>
    <t>1,2</t>
  </si>
  <si>
    <t>negative 40+</t>
  </si>
  <si>
    <t xml:space="preserve">no idea </t>
  </si>
  <si>
    <t>sever difference in big 4 factors overules ratio prediction. No HG advantage</t>
  </si>
  <si>
    <t>uncertainty indicates close win for away team</t>
  </si>
  <si>
    <t>HG technically but still shouldn’t make that much difference</t>
  </si>
  <si>
    <t>last minute goal.uncertainty favours home team</t>
  </si>
  <si>
    <t>HG??</t>
  </si>
  <si>
    <t>CW</t>
  </si>
  <si>
    <t>-CW'</t>
  </si>
  <si>
    <t>BW</t>
  </si>
  <si>
    <t>DB</t>
  </si>
  <si>
    <t>-BW'</t>
  </si>
  <si>
    <t>sever diff in 3 factors +team tendency</t>
  </si>
  <si>
    <t>SBO</t>
  </si>
  <si>
    <t>sev diff in 1 fac, but Certainty not strong enough to back away team</t>
  </si>
  <si>
    <t>HG??? Sev diff  2 fac</t>
  </si>
  <si>
    <t>Sev dif in 1 factor but not 0,4 therefore home team prevails. (prediction&lt;10 points)</t>
  </si>
  <si>
    <t>RD3</t>
  </si>
  <si>
    <t>-CW</t>
  </si>
  <si>
    <t>2,0</t>
  </si>
  <si>
    <t>not sig diff in all 4 therefore no big win</t>
  </si>
  <si>
    <t>close-back home team</t>
  </si>
  <si>
    <t>as above</t>
  </si>
  <si>
    <t>?</t>
  </si>
  <si>
    <t>RD 4</t>
  </si>
  <si>
    <t>RD 5</t>
  </si>
  <si>
    <t>-BW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</si>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</sst>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 Narrow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5" borderId="0" applyNumberFormat="0" applyBorder="0" applyAlignment="0" applyProtection="0"/>
  </cellStyleXfs>
  <cellXfs count="28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2" fillId="3" borderId="0" xfId="1"/>
    <xf numFmtId="0" fontId="0" fillId="0" borderId="0" xfId="0" applyFont="1"/>
    <xf numFmtId="0" fontId="0" fillId="4" borderId="0" xfId="0" applyFill="1"/>
    <xf numFmtId="0" fontId="3" fillId="5" borderId="0" xfId="2"/>
    <xf numFmtId="0" fontId="5" fillId="7" borderId="0" xfId="0" applyFont="1" applyFill="1"/>
    <xf numFmtId="0" fontId="5" fillId="6" borderId="0" xfId="0" applyFont="1" applyFill="1"/>
    <xf numFmtId="0" fontId="0" fillId="8" borderId="0" xfId="0" applyFill="1"/>
    <xf numFmtId="0" fontId="0" fillId="8" borderId="0" xfId="0" applyFont="1" applyFill="1"/>
    <xf numFmtId="16" fontId="0" fillId="0" borderId="0" xfId="0" applyNumberFormat="1"/>
    <xf numFmtId="0" fontId="5" fillId="9" borderId="0" xfId="0" applyFont="1" applyFill="1"/>
    <xf numFmtId="16" fontId="4" fillId="0" borderId="0" xfId="0" applyNumberFormat="1" applyFont="1"/>
    <xf numFmtId="0" fontId="4" fillId="0" borderId="0" xfId="0" applyFont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quotePrefix="1"/>
    <xf numFmtId="0" fontId="4" fillId="0" borderId="0" xfId="0" quotePrefix="1" applyFont="1"/>
    <xf numFmtId="0" fontId="0" fillId="12" borderId="0" xfId="0" applyFill="1"/>
    <xf numFmtId="0" fontId="4" fillId="2" borderId="0" xfId="0" applyFont="1" applyFill="1"/>
    <xf numFmtId="0" fontId="6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3"/>
  <sheetViews>
    <sheetView tabSelected="1" topLeftCell="A65" workbookViewId="0">
      <selection activeCell="A65" sqref="A65"/>
    </sheetView>
  </sheetViews>
  <sheetFormatPr defaultRowHeight="15" x14ac:dyDescent="0.25"/>
  <cols>
    <col min="2" max="2" width="10.125" customWidth="1"/>
    <col min="3" max="3" width="4.125" style="3" customWidth="1"/>
    <col min="4" max="4" width="3.625" style="3" customWidth="1"/>
    <col min="5" max="5" width="3.25" style="3" customWidth="1"/>
    <col min="6" max="7" width="3.125" style="3" customWidth="1"/>
    <col min="8" max="8" width="3.25" style="3" customWidth="1"/>
    <col min="9" max="9" width="3" style="3" customWidth="1"/>
    <col min="10" max="10" width="4.375" style="3" customWidth="1"/>
    <col min="11" max="11" width="6.25" style="3" customWidth="1"/>
    <col min="12" max="12" width="7.125" customWidth="1"/>
    <col min="13" max="13" width="4.375" style="3" customWidth="1"/>
    <col min="14" max="15" width="3.25" style="3" customWidth="1"/>
    <col min="16" max="16" width="3.75" style="3" customWidth="1"/>
    <col min="17" max="17" width="3.875" style="3" customWidth="1"/>
    <col min="18" max="18" width="3.375" style="3" customWidth="1"/>
    <col min="19" max="19" width="3.625" style="3" customWidth="1"/>
    <col min="20" max="20" width="4.75" style="3" customWidth="1"/>
    <col min="21" max="21" width="5.375" style="3" customWidth="1"/>
    <col min="24" max="24" width="6.25" customWidth="1"/>
    <col min="25" max="25" width="8.75" customWidth="1"/>
    <col min="26" max="26" width="8" customWidth="1"/>
    <col min="27" max="27" width="7.125" customWidth="1"/>
    <col min="28" max="28" width="8" customWidth="1"/>
    <col min="29" max="29" width="5.875" customWidth="1"/>
    <col min="30" max="32" width="6" style="3" customWidth="1"/>
    <col min="34" max="34" width="66.75" customWidth="1"/>
  </cols>
  <sheetData>
    <row r="2" spans="1:34" x14ac:dyDescent="0.25">
      <c r="B2" t="s">
        <v>7</v>
      </c>
    </row>
    <row r="3" spans="1:34" x14ac:dyDescent="0.25">
      <c r="B3">
        <v>172</v>
      </c>
    </row>
    <row r="4" spans="1:34" ht="31.5" x14ac:dyDescent="0.5">
      <c r="V4" s="26" t="s">
        <v>0</v>
      </c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</row>
    <row r="5" spans="1:34" x14ac:dyDescent="0.25">
      <c r="V5" s="27" t="s">
        <v>1</v>
      </c>
      <c r="W5" s="27"/>
      <c r="X5" s="27"/>
      <c r="Y5" s="27"/>
      <c r="Z5" s="27"/>
      <c r="AA5" s="27"/>
      <c r="AB5" s="27"/>
      <c r="AC5" s="27"/>
      <c r="AD5" s="18"/>
      <c r="AE5" s="25"/>
      <c r="AF5" s="18"/>
      <c r="AG5" s="3" t="s">
        <v>14</v>
      </c>
      <c r="AH5" t="s">
        <v>61</v>
      </c>
    </row>
    <row r="6" spans="1:34" x14ac:dyDescent="0.25">
      <c r="B6" t="s">
        <v>8</v>
      </c>
      <c r="D6" s="3" t="s">
        <v>31</v>
      </c>
      <c r="J6" s="3" t="s">
        <v>49</v>
      </c>
      <c r="K6" s="3" t="s">
        <v>50</v>
      </c>
      <c r="L6" t="s">
        <v>9</v>
      </c>
      <c r="N6" s="3" t="s">
        <v>31</v>
      </c>
      <c r="T6" s="3" t="s">
        <v>49</v>
      </c>
      <c r="U6" s="3" t="s">
        <v>50</v>
      </c>
      <c r="V6" t="s">
        <v>2</v>
      </c>
      <c r="W6" t="s">
        <v>3</v>
      </c>
      <c r="X6" t="s">
        <v>4</v>
      </c>
      <c r="Y6" s="3" t="s">
        <v>15</v>
      </c>
      <c r="Z6" s="3" t="s">
        <v>16</v>
      </c>
      <c r="AA6" s="3" t="s">
        <v>17</v>
      </c>
      <c r="AB6" s="3" t="s">
        <v>18</v>
      </c>
      <c r="AC6" s="3" t="s">
        <v>51</v>
      </c>
      <c r="AF6" s="3" t="s">
        <v>78</v>
      </c>
    </row>
    <row r="7" spans="1:34" x14ac:dyDescent="0.25">
      <c r="B7" s="1" t="s">
        <v>21</v>
      </c>
      <c r="L7" s="1" t="s">
        <v>22</v>
      </c>
      <c r="V7" s="5">
        <v>277.92272727272729</v>
      </c>
      <c r="W7">
        <v>293.30454545454546</v>
      </c>
      <c r="X7">
        <f>V7/W7</f>
        <v>0.9475568366730206</v>
      </c>
      <c r="Y7">
        <f>W7/V7</f>
        <v>1.0553456650802218</v>
      </c>
      <c r="Z7" s="3">
        <f>((V7)^1.5/(W7)^1.5)*(172/2)-((W7)^1.5/(V7)^1.5)*(172/2)</f>
        <v>-13.913164769098714</v>
      </c>
      <c r="AA7">
        <f>(V7/W7)*(172/2)-(W7/V7)*(172/2)</f>
        <v>-9.2698392430193053</v>
      </c>
      <c r="AB7" s="6">
        <f>-2*(172/(X7+1))+172</f>
        <v>-4.6315588445929734</v>
      </c>
      <c r="AC7" s="6"/>
      <c r="AD7" s="6"/>
      <c r="AE7" s="6"/>
      <c r="AF7" s="6"/>
    </row>
    <row r="8" spans="1:34" x14ac:dyDescent="0.25">
      <c r="A8" t="s">
        <v>59</v>
      </c>
      <c r="AE8" s="3" t="s">
        <v>92</v>
      </c>
    </row>
    <row r="9" spans="1:34" x14ac:dyDescent="0.25">
      <c r="B9" t="s">
        <v>5</v>
      </c>
      <c r="D9" s="13" t="s">
        <v>32</v>
      </c>
      <c r="E9" s="13"/>
      <c r="F9" s="13"/>
      <c r="G9" s="13"/>
      <c r="H9" s="13"/>
      <c r="I9" s="13"/>
      <c r="J9" s="9">
        <f>-6+5+4-3-2+1</f>
        <v>-1</v>
      </c>
      <c r="K9" s="8">
        <v>194.75</v>
      </c>
      <c r="L9" t="s">
        <v>6</v>
      </c>
      <c r="N9" s="13" t="s">
        <v>33</v>
      </c>
      <c r="O9" s="13"/>
      <c r="P9" s="13"/>
      <c r="Q9" s="13"/>
      <c r="R9" s="13"/>
      <c r="S9" s="13"/>
      <c r="T9" s="9">
        <f>-6+5-4+3+2+1</f>
        <v>1</v>
      </c>
      <c r="U9" s="8">
        <v>174.27826086956523</v>
      </c>
      <c r="V9" s="10">
        <v>300.404</v>
      </c>
      <c r="W9" s="10">
        <v>264.58800000000002</v>
      </c>
      <c r="X9">
        <f t="shared" ref="X9:X17" si="0">V9/W9</f>
        <v>1.1353651715119355</v>
      </c>
      <c r="Y9">
        <f t="shared" ref="Y9:Y17" si="1">W9/V9</f>
        <v>0.88077389115990479</v>
      </c>
      <c r="Z9" s="3">
        <f t="shared" ref="Z9:Z17" si="2">((V9)^1.5/(W9)^1.5)*(172/2)-((W9)^1.5/(V9)^1.5)*(172/2)</f>
        <v>32.952545365864822</v>
      </c>
      <c r="AA9">
        <v>21.894850110274646</v>
      </c>
      <c r="AB9" s="2">
        <f>-2*(B3/(X9+1))+172</f>
        <v>10.903432260987756</v>
      </c>
      <c r="AC9" s="12" t="s">
        <v>52</v>
      </c>
      <c r="AD9" s="12" t="s">
        <v>72</v>
      </c>
      <c r="AE9" s="3">
        <v>10.903432260987756</v>
      </c>
      <c r="AF9" s="12"/>
      <c r="AG9" s="4">
        <v>10</v>
      </c>
    </row>
    <row r="10" spans="1:34" x14ac:dyDescent="0.25">
      <c r="B10" s="1" t="s">
        <v>10</v>
      </c>
      <c r="D10" s="13" t="s">
        <v>34</v>
      </c>
      <c r="E10" s="13"/>
      <c r="F10" s="13"/>
      <c r="G10" s="13"/>
      <c r="H10" s="13"/>
      <c r="I10" s="13"/>
      <c r="J10" s="9">
        <f>6+5+4+3-2+1</f>
        <v>17</v>
      </c>
      <c r="K10" s="8">
        <v>204.08863636363643</v>
      </c>
      <c r="L10" s="1" t="s">
        <v>11</v>
      </c>
      <c r="N10" s="13" t="s">
        <v>35</v>
      </c>
      <c r="O10" s="13"/>
      <c r="P10" s="13"/>
      <c r="Q10" s="13"/>
      <c r="R10" s="13"/>
      <c r="S10" s="13"/>
      <c r="T10" s="9">
        <f>-6-5-3-2-1</f>
        <v>-17</v>
      </c>
      <c r="U10" s="8">
        <v>157.38</v>
      </c>
      <c r="V10" s="11">
        <v>308.02</v>
      </c>
      <c r="W10" s="10">
        <v>236.75200000000001</v>
      </c>
      <c r="X10" s="1">
        <f t="shared" si="0"/>
        <v>1.3010238561870648</v>
      </c>
      <c r="Y10">
        <f t="shared" si="1"/>
        <v>0.76862541393416017</v>
      </c>
      <c r="Z10" s="2">
        <f t="shared" si="2"/>
        <v>69.669949071283341</v>
      </c>
      <c r="AA10" s="1">
        <f>(V10/W10)*(172/2)-(W10/V10)*(172/2)</f>
        <v>45.786266033749811</v>
      </c>
      <c r="AB10" s="6">
        <f t="shared" ref="AB10:AB17" si="3">-2*(172/(X10+1))+172</f>
        <v>22.501332667611422</v>
      </c>
      <c r="AC10" s="3" t="s">
        <v>53</v>
      </c>
      <c r="AD10" s="3" t="s">
        <v>74</v>
      </c>
      <c r="AE10" s="3">
        <v>69.669949071283341</v>
      </c>
      <c r="AG10" s="7">
        <v>33</v>
      </c>
    </row>
    <row r="11" spans="1:34" x14ac:dyDescent="0.25">
      <c r="B11" s="1" t="s">
        <v>13</v>
      </c>
      <c r="D11" s="13" t="s">
        <v>36</v>
      </c>
      <c r="E11" s="13"/>
      <c r="F11" s="13"/>
      <c r="G11" s="13"/>
      <c r="H11" s="13"/>
      <c r="I11" s="13"/>
      <c r="J11" s="9">
        <f>-6-5+4-3+2</f>
        <v>-8</v>
      </c>
      <c r="K11" s="8">
        <v>180.70000000000002</v>
      </c>
      <c r="L11" s="1" t="s">
        <v>12</v>
      </c>
      <c r="N11" s="13" t="s">
        <v>37</v>
      </c>
      <c r="O11" s="13"/>
      <c r="P11" s="13"/>
      <c r="Q11" s="13"/>
      <c r="R11" s="13"/>
      <c r="S11" s="13"/>
      <c r="T11" s="9">
        <f>6-5-4-3-2-1</f>
        <v>-9</v>
      </c>
      <c r="U11" s="8">
        <v>161.23818181818183</v>
      </c>
      <c r="V11" s="10">
        <v>255.88636363636363</v>
      </c>
      <c r="W11" s="11">
        <v>200.54090909090908</v>
      </c>
      <c r="X11" s="1">
        <f t="shared" si="0"/>
        <v>1.275980869919989</v>
      </c>
      <c r="Y11">
        <f t="shared" si="1"/>
        <v>0.78371080913047342</v>
      </c>
      <c r="Z11" s="2">
        <f t="shared" si="2"/>
        <v>64.288458772700778</v>
      </c>
      <c r="AA11" s="1">
        <f>(X11)*(172/2)-(Y11)*(172/2)</f>
        <v>42.335225227898334</v>
      </c>
      <c r="AB11" s="6">
        <f t="shared" si="3"/>
        <v>20.856374609118234</v>
      </c>
      <c r="AC11" s="3" t="s">
        <v>54</v>
      </c>
      <c r="AD11" s="3" t="s">
        <v>74</v>
      </c>
      <c r="AE11" s="3">
        <v>64.288458772700778</v>
      </c>
      <c r="AG11" s="4">
        <v>61</v>
      </c>
    </row>
    <row r="12" spans="1:34" x14ac:dyDescent="0.25">
      <c r="B12" s="3" t="s">
        <v>19</v>
      </c>
      <c r="D12" s="13" t="s">
        <v>38</v>
      </c>
      <c r="E12" s="13"/>
      <c r="F12" s="13"/>
      <c r="G12" s="13"/>
      <c r="H12" s="13"/>
      <c r="I12" s="13"/>
      <c r="J12" s="9">
        <f>-6+5+4+3+2-1</f>
        <v>7</v>
      </c>
      <c r="K12" s="8">
        <v>174.60222222222222</v>
      </c>
      <c r="L12" s="3" t="s">
        <v>20</v>
      </c>
      <c r="N12" s="13" t="s">
        <v>39</v>
      </c>
      <c r="O12" s="13"/>
      <c r="P12" s="13"/>
      <c r="Q12" s="13"/>
      <c r="R12" s="13"/>
      <c r="S12" s="13"/>
      <c r="T12" s="9">
        <f>-6-5+4-3-2-1</f>
        <v>-13</v>
      </c>
      <c r="U12" s="8">
        <v>134.03695652173914</v>
      </c>
      <c r="V12" s="10">
        <v>234.00454545454548</v>
      </c>
      <c r="W12" s="10">
        <v>215.40454545454548</v>
      </c>
      <c r="X12" s="3">
        <f t="shared" si="0"/>
        <v>1.0863491527569689</v>
      </c>
      <c r="Y12" s="3">
        <f t="shared" si="1"/>
        <v>0.92051436452283375</v>
      </c>
      <c r="Z12" s="3">
        <f t="shared" si="2"/>
        <v>21.423258723737746</v>
      </c>
      <c r="AA12" s="3">
        <f t="shared" ref="AA12:AA17" si="4">(V12/W12)*(172/2)-(W12/V12)*(172/2)</f>
        <v>14.261791788135625</v>
      </c>
      <c r="AB12" s="2">
        <f t="shared" si="3"/>
        <v>7.1186810963892242</v>
      </c>
      <c r="AC12" s="3" t="s">
        <v>53</v>
      </c>
      <c r="AD12" s="3" t="s">
        <v>72</v>
      </c>
      <c r="AE12" s="3">
        <v>7.1186810963892242</v>
      </c>
      <c r="AG12" s="4">
        <v>9</v>
      </c>
    </row>
    <row r="13" spans="1:34" x14ac:dyDescent="0.25">
      <c r="B13" s="3" t="s">
        <v>21</v>
      </c>
      <c r="D13" s="13" t="s">
        <v>40</v>
      </c>
      <c r="E13" s="13"/>
      <c r="F13" s="13"/>
      <c r="G13" s="13"/>
      <c r="H13" s="13"/>
      <c r="I13" s="13"/>
      <c r="J13" s="9">
        <f>-6-5+4-3+2+1</f>
        <v>-7</v>
      </c>
      <c r="K13" s="8">
        <v>191.17954545454543</v>
      </c>
      <c r="L13" s="3" t="s">
        <v>22</v>
      </c>
      <c r="N13" s="13" t="s">
        <v>41</v>
      </c>
      <c r="O13" s="13"/>
      <c r="P13" s="13"/>
      <c r="Q13" s="13"/>
      <c r="R13" s="13"/>
      <c r="S13" s="13"/>
      <c r="T13" s="9">
        <f>-6+5-4+3-2-1</f>
        <v>-5</v>
      </c>
      <c r="U13" s="8">
        <v>184.39111111111109</v>
      </c>
      <c r="V13" s="11">
        <v>277.92272727272729</v>
      </c>
      <c r="W13" s="10">
        <v>293.30454545454546</v>
      </c>
      <c r="X13" s="3">
        <f t="shared" si="0"/>
        <v>0.9475568366730206</v>
      </c>
      <c r="Y13" s="3">
        <f t="shared" si="1"/>
        <v>1.0553456650802218</v>
      </c>
      <c r="Z13" s="3">
        <f t="shared" si="2"/>
        <v>-13.913164769098714</v>
      </c>
      <c r="AA13" s="3">
        <f t="shared" si="4"/>
        <v>-9.2698392430193053</v>
      </c>
      <c r="AB13" s="2">
        <f t="shared" si="3"/>
        <v>-4.6315588445929734</v>
      </c>
      <c r="AC13" s="14" t="s">
        <v>57</v>
      </c>
      <c r="AD13" s="14" t="s">
        <v>72</v>
      </c>
      <c r="AE13" s="15">
        <v>-4.6315588445929734</v>
      </c>
      <c r="AF13" s="14"/>
      <c r="AG13" s="7">
        <v>65</v>
      </c>
      <c r="AH13" t="s">
        <v>62</v>
      </c>
    </row>
    <row r="14" spans="1:34" x14ac:dyDescent="0.25">
      <c r="B14" t="s">
        <v>23</v>
      </c>
      <c r="D14" s="13" t="s">
        <v>42</v>
      </c>
      <c r="E14" s="13"/>
      <c r="F14" s="13"/>
      <c r="G14" s="13"/>
      <c r="H14" s="13"/>
      <c r="I14" s="13"/>
      <c r="J14" s="9">
        <f>6-5-4-3-2+1</f>
        <v>-7</v>
      </c>
      <c r="K14" s="8">
        <v>154.95555555555555</v>
      </c>
      <c r="L14" t="s">
        <v>24</v>
      </c>
      <c r="N14" s="13" t="s">
        <v>43</v>
      </c>
      <c r="O14" s="13"/>
      <c r="P14" s="13"/>
      <c r="Q14" s="13"/>
      <c r="R14" s="13"/>
      <c r="S14" s="13"/>
      <c r="T14" s="9">
        <f>-6+5-4-3+2-1</f>
        <v>-7</v>
      </c>
      <c r="U14" s="8">
        <v>180.69318181818181</v>
      </c>
      <c r="V14" s="10">
        <v>212.35</v>
      </c>
      <c r="W14" s="10">
        <v>263.85909090909087</v>
      </c>
      <c r="X14" s="3">
        <f t="shared" si="0"/>
        <v>0.80478561215524824</v>
      </c>
      <c r="Y14" s="3">
        <f t="shared" si="1"/>
        <v>1.2425669456514759</v>
      </c>
      <c r="Z14" s="3">
        <f t="shared" si="2"/>
        <v>-57.028621607178096</v>
      </c>
      <c r="AA14" s="2">
        <f t="shared" si="4"/>
        <v>-37.649194680675578</v>
      </c>
      <c r="AB14" s="6">
        <f t="shared" si="3"/>
        <v>-18.604356375159881</v>
      </c>
      <c r="AC14" t="s">
        <v>56</v>
      </c>
      <c r="AD14" s="3" t="s">
        <v>72</v>
      </c>
      <c r="AE14" s="3">
        <v>-37.649194680675578</v>
      </c>
      <c r="AG14" s="4">
        <v>2</v>
      </c>
      <c r="AH14" t="s">
        <v>71</v>
      </c>
    </row>
    <row r="15" spans="1:34" x14ac:dyDescent="0.25">
      <c r="B15" t="s">
        <v>25</v>
      </c>
      <c r="D15" s="13" t="s">
        <v>44</v>
      </c>
      <c r="E15" s="13"/>
      <c r="F15" s="13"/>
      <c r="G15" s="13"/>
      <c r="H15" s="13"/>
      <c r="I15" s="13"/>
      <c r="J15" s="9">
        <f>-6-5+4+3+2+1</f>
        <v>-1</v>
      </c>
      <c r="K15" s="8">
        <v>168.0413043478261</v>
      </c>
      <c r="L15" t="s">
        <v>26</v>
      </c>
      <c r="N15" s="13" t="s">
        <v>43</v>
      </c>
      <c r="O15" s="13"/>
      <c r="P15" s="13"/>
      <c r="Q15" s="13"/>
      <c r="R15" s="13"/>
      <c r="S15" s="13"/>
      <c r="T15" s="9">
        <f>-6+5-4-3+2-1</f>
        <v>-7</v>
      </c>
      <c r="U15" s="8">
        <v>195.81086956521742</v>
      </c>
      <c r="V15" s="10">
        <v>222.696</v>
      </c>
      <c r="W15" s="10">
        <v>260.48399999999998</v>
      </c>
      <c r="X15" s="3">
        <f t="shared" si="0"/>
        <v>0.85493158888837706</v>
      </c>
      <c r="Y15" s="3">
        <f t="shared" si="1"/>
        <v>1.1696842332147861</v>
      </c>
      <c r="Z15" s="3">
        <f t="shared" si="2"/>
        <v>-40.810869072986904</v>
      </c>
      <c r="AA15" s="3">
        <f t="shared" si="4"/>
        <v>-27.068727412071183</v>
      </c>
      <c r="AB15" s="6">
        <f t="shared" si="3"/>
        <v>-13.45158326089657</v>
      </c>
      <c r="AC15" s="15" t="s">
        <v>55</v>
      </c>
      <c r="AD15" s="15" t="s">
        <v>75</v>
      </c>
      <c r="AE15" s="15"/>
      <c r="AF15" s="15"/>
      <c r="AG15" s="3">
        <v>80</v>
      </c>
      <c r="AH15" t="s">
        <v>62</v>
      </c>
    </row>
    <row r="16" spans="1:34" x14ac:dyDescent="0.25">
      <c r="B16" t="s">
        <v>27</v>
      </c>
      <c r="D16" s="13" t="s">
        <v>45</v>
      </c>
      <c r="E16" s="13"/>
      <c r="F16" s="13"/>
      <c r="G16" s="13"/>
      <c r="H16" s="13"/>
      <c r="I16" s="13"/>
      <c r="J16" s="9">
        <f>-6+5+4+3-2+1</f>
        <v>5</v>
      </c>
      <c r="K16" s="8">
        <v>204.50444444444443</v>
      </c>
      <c r="L16" t="s">
        <v>28</v>
      </c>
      <c r="N16" s="13" t="s">
        <v>46</v>
      </c>
      <c r="O16" s="13"/>
      <c r="P16" s="13"/>
      <c r="Q16" s="13"/>
      <c r="R16" s="13"/>
      <c r="S16" s="13"/>
      <c r="T16" s="9">
        <f>6-5-4+3-2-1</f>
        <v>-3</v>
      </c>
      <c r="U16" s="8">
        <v>157.13191489361697</v>
      </c>
      <c r="V16" s="10">
        <v>298.85200000000003</v>
      </c>
      <c r="W16" s="10">
        <v>232.82799999999995</v>
      </c>
      <c r="X16" s="3">
        <f t="shared" si="0"/>
        <v>1.2835741405672862</v>
      </c>
      <c r="Y16" s="3">
        <f t="shared" si="1"/>
        <v>0.77907459210579122</v>
      </c>
      <c r="Z16" s="2">
        <f t="shared" si="2"/>
        <v>65.925249936206114</v>
      </c>
      <c r="AA16" s="3">
        <f t="shared" si="4"/>
        <v>43.386961167688582</v>
      </c>
      <c r="AB16" s="6">
        <f t="shared" si="3"/>
        <v>21.358952753536016</v>
      </c>
      <c r="AC16" t="s">
        <v>53</v>
      </c>
      <c r="AD16" s="3" t="s">
        <v>74</v>
      </c>
      <c r="AE16" s="3">
        <v>65.925249936206114</v>
      </c>
      <c r="AG16" s="4">
        <v>64</v>
      </c>
    </row>
    <row r="17" spans="1:34" x14ac:dyDescent="0.25">
      <c r="B17" t="s">
        <v>29</v>
      </c>
      <c r="D17" s="13" t="s">
        <v>47</v>
      </c>
      <c r="E17" s="13"/>
      <c r="F17" s="13"/>
      <c r="G17" s="13"/>
      <c r="H17" s="13"/>
      <c r="I17" s="13"/>
      <c r="J17" s="9">
        <f>6-5-3+2+1</f>
        <v>1</v>
      </c>
      <c r="K17" s="8">
        <v>179.09333333333333</v>
      </c>
      <c r="L17" t="s">
        <v>30</v>
      </c>
      <c r="N17" s="13" t="s">
        <v>48</v>
      </c>
      <c r="O17" s="13"/>
      <c r="P17" s="13"/>
      <c r="Q17" s="13"/>
      <c r="R17" s="13"/>
      <c r="S17" s="13"/>
      <c r="T17" s="9">
        <f>6+5+4-3+2+1</f>
        <v>15</v>
      </c>
      <c r="U17" s="8">
        <v>197.69777777777782</v>
      </c>
      <c r="V17" s="10">
        <v>285.584</v>
      </c>
      <c r="W17" s="10">
        <v>294.11200000000002</v>
      </c>
      <c r="X17" s="3">
        <f t="shared" si="0"/>
        <v>0.97100424328147095</v>
      </c>
      <c r="Y17" s="3">
        <f t="shared" si="1"/>
        <v>1.0298616168973052</v>
      </c>
      <c r="Z17" s="3">
        <f t="shared" si="2"/>
        <v>-7.5939707033224977</v>
      </c>
      <c r="AA17" s="3">
        <f t="shared" si="4"/>
        <v>-5.0617341309617387</v>
      </c>
      <c r="AB17" s="2">
        <f t="shared" si="3"/>
        <v>-2.5303193397919017</v>
      </c>
      <c r="AC17" t="s">
        <v>58</v>
      </c>
      <c r="AD17" s="3" t="s">
        <v>72</v>
      </c>
      <c r="AE17" s="3">
        <v>-2.5303193397919017</v>
      </c>
      <c r="AG17" s="4">
        <v>30</v>
      </c>
      <c r="AH17" t="s">
        <v>62</v>
      </c>
    </row>
    <row r="19" spans="1:34" x14ac:dyDescent="0.25">
      <c r="A19" t="s">
        <v>60</v>
      </c>
    </row>
    <row r="20" spans="1:34" ht="15" customHeight="1" x14ac:dyDescent="0.25">
      <c r="B20" s="3" t="s">
        <v>26</v>
      </c>
      <c r="C20" s="16">
        <v>2</v>
      </c>
      <c r="D20" s="13">
        <v>1</v>
      </c>
      <c r="E20" s="13">
        <v>-1</v>
      </c>
      <c r="F20" s="13">
        <v>-1</v>
      </c>
      <c r="G20" s="13">
        <v>1</v>
      </c>
      <c r="H20" s="13">
        <v>-1</v>
      </c>
      <c r="I20" s="13">
        <v>-1</v>
      </c>
      <c r="J20" s="9">
        <f t="shared" ref="J20:J28" si="5">6*I20+5*H20+4*G20+3*F20+2*E20+D20</f>
        <v>-11</v>
      </c>
      <c r="K20" s="8">
        <v>196.50000000000003</v>
      </c>
      <c r="L20" s="3" t="s">
        <v>19</v>
      </c>
      <c r="M20" s="16">
        <v>5</v>
      </c>
      <c r="N20" s="13">
        <v>1</v>
      </c>
      <c r="O20" s="13">
        <v>1</v>
      </c>
      <c r="P20" s="13">
        <v>1</v>
      </c>
      <c r="Q20" s="13">
        <v>1</v>
      </c>
      <c r="R20" s="13">
        <v>-1</v>
      </c>
      <c r="S20" s="13">
        <v>1</v>
      </c>
      <c r="T20" s="9">
        <f t="shared" ref="T20:T28" si="6">6*S20+5*R20+4*Q20+3*P20+2*O20+N20</f>
        <v>11</v>
      </c>
      <c r="U20" s="8">
        <v>175.08666666666667</v>
      </c>
      <c r="V20" s="10">
        <v>241.30399999999997</v>
      </c>
      <c r="W20" s="10">
        <v>220.61200000000005</v>
      </c>
      <c r="X20" s="3">
        <f t="shared" ref="X20:X28" si="7">V20/W20</f>
        <v>1.0937936286330749</v>
      </c>
      <c r="Y20" s="3">
        <f t="shared" ref="Y20:Y28" si="8">W20/V20</f>
        <v>0.91424924576467892</v>
      </c>
      <c r="Z20" s="3">
        <f t="shared" ref="Z20:Z27" si="9">((V20)^1.5/(W20)^1.5)*(172/2)-((W20)^1.5/(V20)^1.5)*(172/2)</f>
        <v>23.200007035665607</v>
      </c>
      <c r="AA20" s="3">
        <f t="shared" ref="AA20:AA28" si="10">(V20/W20)*(172/2)-(W20/V20)*(172/2)</f>
        <v>15.440816926682061</v>
      </c>
      <c r="AB20" s="2">
        <f t="shared" ref="AB20:AB28" si="11">-2*(172/(X20+1))+172</f>
        <v>7.7049160453415766</v>
      </c>
      <c r="AC20" s="15" t="s">
        <v>55</v>
      </c>
      <c r="AD20" s="19" t="s">
        <v>72</v>
      </c>
      <c r="AE20" s="19">
        <v>7.7049160453415766</v>
      </c>
      <c r="AF20" s="19"/>
      <c r="AG20" s="4">
        <v>1</v>
      </c>
      <c r="AH20" t="s">
        <v>70</v>
      </c>
    </row>
    <row r="21" spans="1:34" ht="15" customHeight="1" x14ac:dyDescent="0.25">
      <c r="B21" s="3" t="s">
        <v>6</v>
      </c>
      <c r="C21" s="16">
        <v>3</v>
      </c>
      <c r="D21" s="13">
        <v>1</v>
      </c>
      <c r="E21" s="13">
        <v>1</v>
      </c>
      <c r="F21" s="13">
        <v>-1</v>
      </c>
      <c r="G21" s="13">
        <v>1</v>
      </c>
      <c r="H21" s="13">
        <v>-1</v>
      </c>
      <c r="I21" s="13">
        <v>-1</v>
      </c>
      <c r="J21" s="9">
        <f t="shared" si="5"/>
        <v>-7</v>
      </c>
      <c r="K21" s="8">
        <v>174.81521739130432</v>
      </c>
      <c r="L21" s="3" t="s">
        <v>10</v>
      </c>
      <c r="M21" s="16">
        <v>5</v>
      </c>
      <c r="N21" s="13">
        <v>-1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9">
        <f t="shared" si="6"/>
        <v>19</v>
      </c>
      <c r="U21" s="8">
        <v>205.44318181818181</v>
      </c>
      <c r="V21" s="10">
        <v>260.63600000000002</v>
      </c>
      <c r="W21" s="10">
        <v>297.02</v>
      </c>
      <c r="X21" s="3">
        <f t="shared" si="7"/>
        <v>0.87750319843781577</v>
      </c>
      <c r="Y21" s="3">
        <f t="shared" si="8"/>
        <v>1.1395969858346504</v>
      </c>
      <c r="Z21" s="3">
        <f t="shared" si="9"/>
        <v>-33.930368617108726</v>
      </c>
      <c r="AA21" s="2">
        <f t="shared" si="10"/>
        <v>-22.540065716127785</v>
      </c>
      <c r="AB21" s="2">
        <f t="shared" si="11"/>
        <v>-11.222058042951176</v>
      </c>
      <c r="AC21" t="s">
        <v>63</v>
      </c>
      <c r="AD21" s="20" t="s">
        <v>73</v>
      </c>
      <c r="AE21" s="20">
        <v>-11.222058042951176</v>
      </c>
      <c r="AF21" s="20"/>
      <c r="AG21" s="7">
        <v>58</v>
      </c>
      <c r="AH21" t="s">
        <v>66</v>
      </c>
    </row>
    <row r="22" spans="1:34" ht="15" customHeight="1" x14ac:dyDescent="0.25">
      <c r="B22" s="3" t="s">
        <v>12</v>
      </c>
      <c r="C22" s="16">
        <v>1</v>
      </c>
      <c r="D22" s="13">
        <v>-1</v>
      </c>
      <c r="E22" s="13">
        <v>-1</v>
      </c>
      <c r="F22" s="13">
        <v>-1</v>
      </c>
      <c r="G22" s="13">
        <v>-1</v>
      </c>
      <c r="H22" s="13">
        <v>1</v>
      </c>
      <c r="I22" s="13">
        <v>-1</v>
      </c>
      <c r="J22" s="9">
        <f t="shared" si="5"/>
        <v>-11</v>
      </c>
      <c r="K22" s="8">
        <v>160.02727272727273</v>
      </c>
      <c r="L22" s="3" t="s">
        <v>23</v>
      </c>
      <c r="M22" s="16">
        <v>2</v>
      </c>
      <c r="N22" s="13">
        <v>-1</v>
      </c>
      <c r="O22" s="13">
        <v>-1</v>
      </c>
      <c r="P22" s="13">
        <v>-1</v>
      </c>
      <c r="Q22" s="13">
        <v>-1</v>
      </c>
      <c r="R22" s="13">
        <v>1</v>
      </c>
      <c r="S22" s="13">
        <v>1</v>
      </c>
      <c r="T22" s="9">
        <f t="shared" si="6"/>
        <v>1</v>
      </c>
      <c r="U22" s="8">
        <v>156.09777777777776</v>
      </c>
      <c r="V22" s="10">
        <v>179.30400000000006</v>
      </c>
      <c r="W22" s="10">
        <v>225.43999999999997</v>
      </c>
      <c r="X22" s="3">
        <f t="shared" si="7"/>
        <v>0.79535131298793504</v>
      </c>
      <c r="Y22" s="3">
        <f t="shared" si="8"/>
        <v>1.2573060277517507</v>
      </c>
      <c r="Z22" s="2">
        <f t="shared" si="9"/>
        <v>-60.242913932356593</v>
      </c>
      <c r="AA22" s="3">
        <f t="shared" si="10"/>
        <v>-39.728105469688145</v>
      </c>
      <c r="AB22" s="6">
        <f t="shared" si="11"/>
        <v>-19.605953392761819</v>
      </c>
      <c r="AC22" s="3" t="s">
        <v>58</v>
      </c>
      <c r="AD22" s="20" t="s">
        <v>73</v>
      </c>
      <c r="AE22" s="20"/>
      <c r="AF22" s="20"/>
      <c r="AG22" s="7">
        <v>13</v>
      </c>
      <c r="AH22" t="s">
        <v>69</v>
      </c>
    </row>
    <row r="23" spans="1:34" x14ac:dyDescent="0.25">
      <c r="B23" s="3" t="s">
        <v>28</v>
      </c>
      <c r="C23" s="16">
        <v>2</v>
      </c>
      <c r="D23" s="13">
        <v>-1</v>
      </c>
      <c r="E23" s="13">
        <v>1</v>
      </c>
      <c r="F23" s="13">
        <v>-1</v>
      </c>
      <c r="G23" s="13">
        <v>-1</v>
      </c>
      <c r="H23" s="13">
        <v>1</v>
      </c>
      <c r="I23" s="13">
        <v>-1</v>
      </c>
      <c r="J23" s="9">
        <f t="shared" si="5"/>
        <v>-7</v>
      </c>
      <c r="K23" s="8">
        <v>157.79361702127659</v>
      </c>
      <c r="L23" s="3" t="s">
        <v>5</v>
      </c>
      <c r="M23" s="16">
        <v>3</v>
      </c>
      <c r="N23" s="13">
        <v>-1</v>
      </c>
      <c r="O23" s="13">
        <v>-1</v>
      </c>
      <c r="P23" s="13">
        <v>1</v>
      </c>
      <c r="Q23" s="13">
        <v>1</v>
      </c>
      <c r="R23" s="13">
        <v>-1</v>
      </c>
      <c r="S23" s="13">
        <v>1</v>
      </c>
      <c r="T23" s="9">
        <f t="shared" si="6"/>
        <v>5</v>
      </c>
      <c r="U23" s="8">
        <v>194.66590909090911</v>
      </c>
      <c r="V23" s="10">
        <v>234.56</v>
      </c>
      <c r="W23" s="10">
        <v>305.27999999999997</v>
      </c>
      <c r="X23" s="3">
        <f t="shared" si="7"/>
        <v>0.76834381551362696</v>
      </c>
      <c r="Y23" s="3">
        <f t="shared" si="8"/>
        <v>1.30150068212824</v>
      </c>
      <c r="Z23" s="2">
        <f t="shared" si="9"/>
        <v>-69.771960650711804</v>
      </c>
      <c r="AA23" s="3">
        <f t="shared" si="10"/>
        <v>-45.851490528856729</v>
      </c>
      <c r="AB23" s="6">
        <f t="shared" si="11"/>
        <v>-22.532305868405416</v>
      </c>
      <c r="AC23" t="s">
        <v>63</v>
      </c>
      <c r="AD23" s="20" t="s">
        <v>73</v>
      </c>
      <c r="AE23" s="20"/>
      <c r="AF23" s="20"/>
      <c r="AG23" s="4">
        <v>-34</v>
      </c>
      <c r="AH23" t="s">
        <v>80</v>
      </c>
    </row>
    <row r="24" spans="1:34" x14ac:dyDescent="0.25">
      <c r="B24" s="3" t="s">
        <v>11</v>
      </c>
      <c r="C24" s="16">
        <v>0</v>
      </c>
      <c r="D24" s="13">
        <v>-1</v>
      </c>
      <c r="E24" s="13">
        <v>-1</v>
      </c>
      <c r="F24" s="13">
        <v>0</v>
      </c>
      <c r="G24" s="13">
        <v>-1</v>
      </c>
      <c r="H24" s="13">
        <v>-1</v>
      </c>
      <c r="I24" s="13">
        <v>-1</v>
      </c>
      <c r="J24" s="9">
        <f t="shared" si="5"/>
        <v>-18</v>
      </c>
      <c r="K24" s="8">
        <v>162.94090909090909</v>
      </c>
      <c r="L24" s="3" t="s">
        <v>21</v>
      </c>
      <c r="M24" s="16">
        <v>3</v>
      </c>
      <c r="N24" s="13">
        <v>1</v>
      </c>
      <c r="O24" s="13">
        <v>-1</v>
      </c>
      <c r="P24" s="13">
        <v>1</v>
      </c>
      <c r="Q24" s="13">
        <v>-1</v>
      </c>
      <c r="R24" s="13">
        <v>-1</v>
      </c>
      <c r="S24" s="13">
        <v>1</v>
      </c>
      <c r="T24" s="9">
        <f t="shared" si="6"/>
        <v>-1</v>
      </c>
      <c r="U24" s="8">
        <v>192.64545454545458</v>
      </c>
      <c r="V24" s="10">
        <v>226.89999999999998</v>
      </c>
      <c r="W24" s="10">
        <v>268.76800000000009</v>
      </c>
      <c r="X24" s="3">
        <f t="shared" si="7"/>
        <v>0.84422252649124863</v>
      </c>
      <c r="Y24" s="3">
        <f t="shared" si="8"/>
        <v>1.1845218157778763</v>
      </c>
      <c r="Z24" s="2">
        <f t="shared" si="9"/>
        <v>-44.160832801469738</v>
      </c>
      <c r="AA24" s="6">
        <f t="shared" si="10"/>
        <v>-29.265738878649969</v>
      </c>
      <c r="AB24" s="6">
        <f t="shared" si="11"/>
        <v>-14.528466634925024</v>
      </c>
      <c r="AC24" t="s">
        <v>63</v>
      </c>
      <c r="AD24" s="20" t="s">
        <v>76</v>
      </c>
      <c r="AE24" s="20"/>
      <c r="AF24" s="20"/>
      <c r="AG24" s="4">
        <v>-57</v>
      </c>
      <c r="AH24" t="s">
        <v>67</v>
      </c>
    </row>
    <row r="25" spans="1:34" x14ac:dyDescent="0.25">
      <c r="B25" s="3" t="s">
        <v>22</v>
      </c>
      <c r="C25" s="16">
        <v>2</v>
      </c>
      <c r="D25" s="13">
        <v>-1</v>
      </c>
      <c r="E25" s="13">
        <v>1</v>
      </c>
      <c r="F25" s="13">
        <v>-1</v>
      </c>
      <c r="G25" s="13">
        <v>1</v>
      </c>
      <c r="H25" s="13">
        <v>-1</v>
      </c>
      <c r="I25" s="13">
        <v>-1</v>
      </c>
      <c r="J25" s="9">
        <f t="shared" si="5"/>
        <v>-9</v>
      </c>
      <c r="K25" s="8">
        <v>182.23111111111109</v>
      </c>
      <c r="L25" s="3" t="s">
        <v>13</v>
      </c>
      <c r="M25" s="16">
        <v>3</v>
      </c>
      <c r="N25" s="13">
        <v>1</v>
      </c>
      <c r="O25" s="13">
        <v>-1</v>
      </c>
      <c r="P25" s="13">
        <v>1</v>
      </c>
      <c r="Q25" s="13">
        <v>-1</v>
      </c>
      <c r="R25" s="13">
        <v>-1</v>
      </c>
      <c r="S25" s="13">
        <v>1</v>
      </c>
      <c r="T25" s="9">
        <f t="shared" si="6"/>
        <v>-1</v>
      </c>
      <c r="U25" s="8">
        <v>181.61111111111111</v>
      </c>
      <c r="V25" s="10">
        <v>276.47199999999998</v>
      </c>
      <c r="W25" s="10">
        <v>250.24399999999997</v>
      </c>
      <c r="X25" s="3">
        <f t="shared" si="7"/>
        <v>1.1048097057272104</v>
      </c>
      <c r="Y25" s="3">
        <f t="shared" si="8"/>
        <v>0.90513325038340231</v>
      </c>
      <c r="Z25" s="6">
        <f t="shared" si="9"/>
        <v>25.811573324877131</v>
      </c>
      <c r="AA25" s="3">
        <f t="shared" si="10"/>
        <v>17.172175159567502</v>
      </c>
      <c r="AB25" s="2">
        <f t="shared" si="11"/>
        <v>8.564797727807786</v>
      </c>
      <c r="AC25" s="15" t="s">
        <v>64</v>
      </c>
      <c r="AD25" s="21" t="s">
        <v>73</v>
      </c>
      <c r="AE25" s="21"/>
      <c r="AF25" s="21"/>
      <c r="AG25" s="4">
        <v>-26</v>
      </c>
      <c r="AH25" t="s">
        <v>68</v>
      </c>
    </row>
    <row r="26" spans="1:34" x14ac:dyDescent="0.25">
      <c r="B26" s="3" t="s">
        <v>24</v>
      </c>
      <c r="C26" s="16">
        <v>2</v>
      </c>
      <c r="D26" s="13">
        <v>1</v>
      </c>
      <c r="E26" s="13">
        <v>-1</v>
      </c>
      <c r="F26" s="13">
        <v>-1</v>
      </c>
      <c r="G26" s="13">
        <v>1</v>
      </c>
      <c r="H26" s="13">
        <v>-1</v>
      </c>
      <c r="I26" s="13">
        <v>-1</v>
      </c>
      <c r="J26" s="9">
        <f t="shared" si="5"/>
        <v>-11</v>
      </c>
      <c r="K26" s="8">
        <v>180.49772727272727</v>
      </c>
      <c r="L26" s="3" t="s">
        <v>29</v>
      </c>
      <c r="M26" s="16">
        <v>3</v>
      </c>
      <c r="N26" s="13">
        <v>1</v>
      </c>
      <c r="O26" s="13">
        <v>-1</v>
      </c>
      <c r="P26" s="13">
        <v>0</v>
      </c>
      <c r="Q26" s="13">
        <v>-1</v>
      </c>
      <c r="R26" s="13">
        <v>1</v>
      </c>
      <c r="S26" s="13">
        <v>1</v>
      </c>
      <c r="T26" s="9">
        <f t="shared" si="6"/>
        <v>6</v>
      </c>
      <c r="U26" s="8">
        <v>179.42000000000002</v>
      </c>
      <c r="V26" s="10">
        <v>265.28000000000003</v>
      </c>
      <c r="W26" s="10">
        <v>296.20399999999995</v>
      </c>
      <c r="X26" s="3">
        <f t="shared" si="7"/>
        <v>0.89559897908198427</v>
      </c>
      <c r="Y26" s="3">
        <f t="shared" si="8"/>
        <v>1.1165711700844387</v>
      </c>
      <c r="Z26" s="6">
        <f t="shared" si="9"/>
        <v>-28.577609809939744</v>
      </c>
      <c r="AA26" s="3">
        <f t="shared" si="10"/>
        <v>-19.003608426211088</v>
      </c>
      <c r="AB26" s="2">
        <f t="shared" si="11"/>
        <v>-9.472982311161104</v>
      </c>
      <c r="AC26" t="s">
        <v>58</v>
      </c>
      <c r="AD26" s="20" t="s">
        <v>72</v>
      </c>
      <c r="AE26" s="20"/>
      <c r="AF26" s="20">
        <v>2.2000000000000002</v>
      </c>
      <c r="AG26" s="4">
        <v>13</v>
      </c>
      <c r="AH26" t="s">
        <v>81</v>
      </c>
    </row>
    <row r="27" spans="1:34" x14ac:dyDescent="0.25">
      <c r="B27" s="3" t="s">
        <v>30</v>
      </c>
      <c r="C27" s="16">
        <v>4</v>
      </c>
      <c r="D27" s="13">
        <v>1</v>
      </c>
      <c r="E27" s="13">
        <v>-1</v>
      </c>
      <c r="F27" s="13">
        <v>1</v>
      </c>
      <c r="G27" s="13">
        <v>1</v>
      </c>
      <c r="H27" s="13">
        <v>1</v>
      </c>
      <c r="I27" s="13">
        <v>-1</v>
      </c>
      <c r="J27" s="9">
        <f t="shared" si="5"/>
        <v>5</v>
      </c>
      <c r="K27" s="8">
        <v>197.60666666666668</v>
      </c>
      <c r="L27" s="3" t="s">
        <v>27</v>
      </c>
      <c r="M27" s="16">
        <v>4</v>
      </c>
      <c r="N27" s="13">
        <v>-1</v>
      </c>
      <c r="O27" s="13">
        <v>1</v>
      </c>
      <c r="P27" s="13">
        <v>1</v>
      </c>
      <c r="Q27" s="13">
        <v>1</v>
      </c>
      <c r="R27" s="13">
        <v>-1</v>
      </c>
      <c r="S27" s="13">
        <v>1</v>
      </c>
      <c r="T27" s="9">
        <f t="shared" si="6"/>
        <v>9</v>
      </c>
      <c r="U27" s="8">
        <v>206.26888888888882</v>
      </c>
      <c r="V27" s="10">
        <v>276.16800000000001</v>
      </c>
      <c r="W27" s="10">
        <v>307.7879999999999</v>
      </c>
      <c r="X27" s="3">
        <f t="shared" si="7"/>
        <v>0.89726694997855694</v>
      </c>
      <c r="Y27" s="3">
        <f t="shared" si="8"/>
        <v>1.1144955244633696</v>
      </c>
      <c r="Z27" s="6">
        <f t="shared" si="9"/>
        <v>-28.091085102827705</v>
      </c>
      <c r="AA27" s="3">
        <f t="shared" si="10"/>
        <v>-18.681657405693883</v>
      </c>
      <c r="AB27" s="2">
        <f t="shared" si="11"/>
        <v>-9.3134414236689054</v>
      </c>
      <c r="AC27" t="s">
        <v>56</v>
      </c>
      <c r="AD27" s="3" t="s">
        <v>72</v>
      </c>
      <c r="AF27" s="3">
        <v>2.7</v>
      </c>
      <c r="AG27" s="7">
        <v>46</v>
      </c>
      <c r="AH27" t="s">
        <v>79</v>
      </c>
    </row>
    <row r="28" spans="1:34" x14ac:dyDescent="0.25">
      <c r="B28" s="3" t="s">
        <v>20</v>
      </c>
      <c r="C28" s="16">
        <v>1</v>
      </c>
      <c r="D28" s="13">
        <v>-1</v>
      </c>
      <c r="E28" s="13">
        <v>-1</v>
      </c>
      <c r="F28" s="13">
        <v>1</v>
      </c>
      <c r="G28" s="13">
        <v>-1</v>
      </c>
      <c r="H28" s="13">
        <v>-1</v>
      </c>
      <c r="I28" s="13">
        <v>-1</v>
      </c>
      <c r="J28" s="9">
        <f t="shared" si="5"/>
        <v>-15</v>
      </c>
      <c r="K28" s="8">
        <v>135.07608695652175</v>
      </c>
      <c r="L28" s="3" t="s">
        <v>25</v>
      </c>
      <c r="M28" s="16">
        <v>4</v>
      </c>
      <c r="N28" s="13">
        <v>1</v>
      </c>
      <c r="O28" s="13">
        <v>1</v>
      </c>
      <c r="P28" s="13">
        <v>1</v>
      </c>
      <c r="Q28" s="13">
        <v>-1</v>
      </c>
      <c r="R28" s="13">
        <v>-1</v>
      </c>
      <c r="S28" s="13">
        <v>1</v>
      </c>
      <c r="T28" s="9">
        <f t="shared" si="6"/>
        <v>3</v>
      </c>
      <c r="U28" s="8">
        <v>170.85</v>
      </c>
      <c r="V28" s="10">
        <v>209.06399999999994</v>
      </c>
      <c r="W28" s="10">
        <v>240.64399999999998</v>
      </c>
      <c r="X28" s="3">
        <f t="shared" si="7"/>
        <v>0.8687688037100445</v>
      </c>
      <c r="Y28" s="3">
        <f t="shared" si="8"/>
        <v>1.151054222630391</v>
      </c>
      <c r="Z28" s="17" t="s">
        <v>65</v>
      </c>
      <c r="AA28" s="6">
        <f t="shared" si="10"/>
        <v>-24.276546027149806</v>
      </c>
      <c r="AB28" s="6">
        <f t="shared" si="11"/>
        <v>-12.07841532727906</v>
      </c>
      <c r="AC28" t="s">
        <v>63</v>
      </c>
      <c r="AD28" s="20" t="s">
        <v>76</v>
      </c>
      <c r="AE28" s="20"/>
      <c r="AF28" s="20">
        <v>2.35</v>
      </c>
      <c r="AG28" s="4">
        <v>-60</v>
      </c>
      <c r="AH28" t="s">
        <v>77</v>
      </c>
    </row>
    <row r="30" spans="1:34" x14ac:dyDescent="0.25">
      <c r="A30" t="s">
        <v>82</v>
      </c>
    </row>
    <row r="31" spans="1:34" x14ac:dyDescent="0.25">
      <c r="B31" s="3" t="s">
        <v>10</v>
      </c>
      <c r="C31" s="16">
        <v>5</v>
      </c>
      <c r="D31" s="13">
        <v>1</v>
      </c>
      <c r="E31" s="13">
        <v>1</v>
      </c>
      <c r="F31" s="13">
        <v>1</v>
      </c>
      <c r="G31" s="13">
        <v>1</v>
      </c>
      <c r="H31" s="13">
        <v>1</v>
      </c>
      <c r="I31" s="13">
        <v>-1</v>
      </c>
      <c r="J31" s="9">
        <f t="shared" ref="J31:J39" si="12">6*I31+5*H31+4*G31+3*F31+2*E31+D31</f>
        <v>9</v>
      </c>
      <c r="K31" s="8">
        <v>205.79545454545459</v>
      </c>
      <c r="L31" s="3" t="s">
        <v>12</v>
      </c>
      <c r="M31" s="16">
        <v>2</v>
      </c>
      <c r="N31" s="13">
        <v>-1</v>
      </c>
      <c r="O31" s="13">
        <v>-1</v>
      </c>
      <c r="P31" s="13">
        <v>-1</v>
      </c>
      <c r="Q31" s="13">
        <v>1</v>
      </c>
      <c r="R31" s="13">
        <v>-1</v>
      </c>
      <c r="S31" s="13">
        <v>1</v>
      </c>
      <c r="T31" s="9">
        <f t="shared" ref="T31:T37" si="13">6*S31+5*R31+4*Q31+3*P31+2*O31+N31</f>
        <v>-1</v>
      </c>
      <c r="U31" s="8">
        <v>160.01454545454544</v>
      </c>
      <c r="V31" s="10">
        <v>270.2772727272727</v>
      </c>
      <c r="W31" s="10">
        <v>183.45909090909089</v>
      </c>
      <c r="X31" s="3">
        <f t="shared" ref="X31" si="14">V31/W31</f>
        <v>1.4732291073065584</v>
      </c>
      <c r="Y31" s="6">
        <f t="shared" ref="Y31" si="15">W31/V31</f>
        <v>0.67878104976371068</v>
      </c>
      <c r="Z31" s="2">
        <f t="shared" ref="Z31" si="16">((V31)^1.5/(W31)^1.5)*(172/2)-((W31)^1.5/(V31)^1.5)*(172/2)</f>
        <v>105.68719300331442</v>
      </c>
      <c r="AA31" s="3">
        <f t="shared" ref="AA31" si="17">(V31/W31)*(172/2)-(W31/V31)*(172/2)</f>
        <v>68.322532948684909</v>
      </c>
      <c r="AB31" s="6">
        <f t="shared" ref="AB31" si="18">-2*(172/(X31+1))+172</f>
        <v>32.910580833884296</v>
      </c>
      <c r="AC31" t="s">
        <v>53</v>
      </c>
      <c r="AD31" s="3" t="s">
        <v>74</v>
      </c>
      <c r="AG31" s="4">
        <v>61</v>
      </c>
    </row>
    <row r="32" spans="1:34" x14ac:dyDescent="0.25">
      <c r="B32" s="3" t="s">
        <v>11</v>
      </c>
      <c r="C32" s="16">
        <v>0</v>
      </c>
      <c r="D32" s="13">
        <v>-1</v>
      </c>
      <c r="E32" s="13">
        <v>0</v>
      </c>
      <c r="F32" s="13">
        <v>-1</v>
      </c>
      <c r="G32" s="13">
        <v>-1</v>
      </c>
      <c r="H32" s="13">
        <v>-1</v>
      </c>
      <c r="I32" s="13">
        <v>-1</v>
      </c>
      <c r="J32" s="9">
        <f t="shared" si="12"/>
        <v>-19</v>
      </c>
      <c r="K32" s="8">
        <v>162.87272727272727</v>
      </c>
      <c r="L32" s="3" t="s">
        <v>26</v>
      </c>
      <c r="M32" s="16">
        <v>2</v>
      </c>
      <c r="N32" s="13">
        <v>-1</v>
      </c>
      <c r="O32" s="13">
        <v>-1</v>
      </c>
      <c r="P32" s="13">
        <v>1</v>
      </c>
      <c r="Q32" s="13">
        <v>-1</v>
      </c>
      <c r="R32" s="13">
        <v>-1</v>
      </c>
      <c r="S32" s="13">
        <v>1</v>
      </c>
      <c r="T32" s="9">
        <f t="shared" si="13"/>
        <v>-3</v>
      </c>
      <c r="U32" s="8">
        <v>197.43043478260876</v>
      </c>
      <c r="V32" s="10">
        <v>256.2</v>
      </c>
      <c r="W32" s="10">
        <v>259.91818181818178</v>
      </c>
      <c r="X32" s="3">
        <f t="shared" ref="X32:X33" si="19">V32/W32</f>
        <v>0.98569479906264224</v>
      </c>
      <c r="Y32" s="6">
        <f t="shared" ref="Y32:Y33" si="20">W32/V32</f>
        <v>1.0145128095947766</v>
      </c>
      <c r="Z32" s="6">
        <f t="shared" ref="Z32:Z33" si="21">((V32)^1.5/(W32)^1.5)*(172/2)-((W32)^1.5/(V32)^1.5)*(172/2)</f>
        <v>-3.7176841453149052</v>
      </c>
      <c r="AA32" s="3">
        <f t="shared" ref="AA32:AA33" si="22">(V32/W32)*(172/2)-(W32/V32)*(172/2)</f>
        <v>-2.4783489057635677</v>
      </c>
      <c r="AB32" s="2">
        <f t="shared" ref="AB32:AB33" si="23">-2*(172/(X32+1))+172</f>
        <v>-1.239110140383616</v>
      </c>
      <c r="AC32" t="s">
        <v>58</v>
      </c>
      <c r="AD32" s="20" t="s">
        <v>72</v>
      </c>
      <c r="AE32" s="20"/>
      <c r="AG32" s="4">
        <v>29</v>
      </c>
    </row>
    <row r="33" spans="1:34" x14ac:dyDescent="0.25">
      <c r="B33" s="3" t="s">
        <v>19</v>
      </c>
      <c r="C33" s="16">
        <v>4</v>
      </c>
      <c r="D33" s="13">
        <v>1</v>
      </c>
      <c r="E33" s="13">
        <v>1</v>
      </c>
      <c r="F33" s="13">
        <v>1</v>
      </c>
      <c r="G33" s="13">
        <v>-1</v>
      </c>
      <c r="H33" s="13">
        <v>1</v>
      </c>
      <c r="I33" s="13">
        <v>-1</v>
      </c>
      <c r="J33" s="9">
        <f t="shared" si="12"/>
        <v>1</v>
      </c>
      <c r="K33" s="8">
        <v>179.10227272727272</v>
      </c>
      <c r="L33" s="3" t="s">
        <v>6</v>
      </c>
      <c r="M33" s="16">
        <v>3</v>
      </c>
      <c r="N33" s="13">
        <v>1</v>
      </c>
      <c r="O33" s="13">
        <v>-1</v>
      </c>
      <c r="P33" s="13">
        <v>1</v>
      </c>
      <c r="Q33" s="13">
        <v>-1</v>
      </c>
      <c r="R33" s="13">
        <v>-1</v>
      </c>
      <c r="S33" s="13">
        <v>1</v>
      </c>
      <c r="T33" s="9">
        <f t="shared" si="13"/>
        <v>-1</v>
      </c>
      <c r="U33" s="8">
        <v>175.83695652173913</v>
      </c>
      <c r="V33" s="10">
        <v>243.45909090909092</v>
      </c>
      <c r="W33" s="10">
        <v>275.51363636363635</v>
      </c>
      <c r="X33" s="3">
        <f t="shared" si="19"/>
        <v>0.88365532146569226</v>
      </c>
      <c r="Y33" s="6">
        <f t="shared" si="20"/>
        <v>1.1316629637236049</v>
      </c>
      <c r="Z33" s="6">
        <f t="shared" si="21"/>
        <v>-32.094948855053005</v>
      </c>
      <c r="AA33" s="3">
        <f t="shared" si="22"/>
        <v>-21.328657234180483</v>
      </c>
      <c r="AB33" s="2">
        <f t="shared" si="23"/>
        <v>-10.623644612608814</v>
      </c>
      <c r="AC33" s="15" t="s">
        <v>52</v>
      </c>
      <c r="AD33" s="20" t="s">
        <v>73</v>
      </c>
      <c r="AE33" s="20"/>
      <c r="AG33" s="4">
        <v>-36</v>
      </c>
    </row>
    <row r="34" spans="1:34" x14ac:dyDescent="0.25">
      <c r="B34" s="3" t="s">
        <v>25</v>
      </c>
      <c r="C34" s="16">
        <v>4</v>
      </c>
      <c r="D34" s="13">
        <v>1</v>
      </c>
      <c r="E34" s="13">
        <v>1</v>
      </c>
      <c r="F34" s="13">
        <v>-1</v>
      </c>
      <c r="G34" s="13">
        <v>-1</v>
      </c>
      <c r="H34" s="13">
        <v>1</v>
      </c>
      <c r="I34" s="13">
        <v>1</v>
      </c>
      <c r="J34" s="9">
        <f t="shared" si="12"/>
        <v>7</v>
      </c>
      <c r="K34" s="8">
        <v>172.18260869565219</v>
      </c>
      <c r="L34" s="3" t="s">
        <v>24</v>
      </c>
      <c r="M34" s="16">
        <v>2</v>
      </c>
      <c r="N34" s="13">
        <v>-1</v>
      </c>
      <c r="O34" s="13">
        <v>-1</v>
      </c>
      <c r="P34" s="13">
        <v>1</v>
      </c>
      <c r="Q34" s="13">
        <v>-1</v>
      </c>
      <c r="R34" s="13">
        <v>-1</v>
      </c>
      <c r="S34" s="13">
        <v>1</v>
      </c>
      <c r="T34" s="9">
        <f t="shared" si="13"/>
        <v>-3</v>
      </c>
      <c r="U34" s="8">
        <v>179.75909090909093</v>
      </c>
      <c r="V34" s="10">
        <v>277.88636363636363</v>
      </c>
      <c r="W34" s="10">
        <v>299.13181818181823</v>
      </c>
      <c r="X34" s="3">
        <f t="shared" ref="X34" si="24">V34/W34</f>
        <v>0.9289762798401433</v>
      </c>
      <c r="Y34" s="6">
        <f t="shared" ref="Y34" si="25">W34/V34</f>
        <v>1.0764537498977675</v>
      </c>
      <c r="Z34" s="6">
        <f t="shared" ref="Z34" si="26">((V34)^1.5/(W34)^1.5)*(172/2)-((W34)^1.5/(V34)^1.5)*(172/2)</f>
        <v>-19.046105110216885</v>
      </c>
      <c r="AA34" s="3">
        <f t="shared" ref="AA34" si="27">(V34/W34)*(172/2)-(W34/V34)*(172/2)</f>
        <v>-12.683062424955679</v>
      </c>
      <c r="AB34" s="2">
        <f t="shared" ref="AB34" si="28">-2*(172/(X34+1))+172</f>
        <v>-6.3329342072094903</v>
      </c>
      <c r="AC34" s="15" t="s">
        <v>52</v>
      </c>
      <c r="AD34" s="3" t="s">
        <v>72</v>
      </c>
      <c r="AG34" s="4">
        <v>25</v>
      </c>
    </row>
    <row r="35" spans="1:34" x14ac:dyDescent="0.25">
      <c r="B35" s="3" t="s">
        <v>13</v>
      </c>
      <c r="C35" s="16">
        <v>3</v>
      </c>
      <c r="D35" s="13">
        <v>-1</v>
      </c>
      <c r="E35" s="13">
        <v>1</v>
      </c>
      <c r="F35" s="13">
        <v>-1</v>
      </c>
      <c r="G35" s="13">
        <v>-1</v>
      </c>
      <c r="H35" s="13">
        <v>1</v>
      </c>
      <c r="I35" s="13">
        <v>1</v>
      </c>
      <c r="J35" s="9">
        <f t="shared" si="12"/>
        <v>5</v>
      </c>
      <c r="K35" s="8">
        <v>182.20444444444445</v>
      </c>
      <c r="L35" s="3" t="s">
        <v>20</v>
      </c>
      <c r="M35" s="16">
        <v>1</v>
      </c>
      <c r="N35" s="13">
        <v>-1</v>
      </c>
      <c r="O35" s="13">
        <v>1</v>
      </c>
      <c r="P35" s="13">
        <v>-1</v>
      </c>
      <c r="Q35" s="13">
        <v>-1</v>
      </c>
      <c r="R35" s="13">
        <v>-1</v>
      </c>
      <c r="S35" s="13">
        <v>-1</v>
      </c>
      <c r="T35" s="9">
        <f t="shared" si="13"/>
        <v>-17</v>
      </c>
      <c r="U35" s="8">
        <v>135.99782608695651</v>
      </c>
      <c r="V35" s="10">
        <v>280.9909090909091</v>
      </c>
      <c r="W35" s="10">
        <v>205.04090909090911</v>
      </c>
      <c r="X35" s="3">
        <f t="shared" ref="X35" si="29">V35/W35</f>
        <v>1.3704138863641402</v>
      </c>
      <c r="Y35" s="6">
        <f t="shared" ref="Y35" si="30">W35/V35</f>
        <v>0.72970655796046469</v>
      </c>
      <c r="Z35" s="2">
        <f t="shared" ref="Z35" si="31">((V35)^1.5/(W35)^1.5)*(172/2)-((W35)^1.5/(V35)^1.5)*(172/2)</f>
        <v>84.360355758113542</v>
      </c>
      <c r="AA35" s="3">
        <f t="shared" ref="AA35" si="32">(V35/W35)*(172/2)-(W35/V35)*(172/2)</f>
        <v>55.1008302427161</v>
      </c>
      <c r="AB35" s="6">
        <f t="shared" ref="AB35" si="33">-2*(172/(X35+1))+172</f>
        <v>26.877664200809903</v>
      </c>
      <c r="AC35" t="s">
        <v>53</v>
      </c>
      <c r="AD35" s="3" t="s">
        <v>74</v>
      </c>
      <c r="AG35" s="4">
        <v>54</v>
      </c>
    </row>
    <row r="36" spans="1:34" x14ac:dyDescent="0.25">
      <c r="B36" s="3" t="s">
        <v>27</v>
      </c>
      <c r="C36" s="16">
        <v>4</v>
      </c>
      <c r="D36" s="13">
        <v>1</v>
      </c>
      <c r="E36" s="13">
        <v>1</v>
      </c>
      <c r="F36" s="13">
        <v>1</v>
      </c>
      <c r="G36" s="13">
        <v>-1</v>
      </c>
      <c r="H36" s="13">
        <v>1</v>
      </c>
      <c r="I36" s="13">
        <v>-1</v>
      </c>
      <c r="J36" s="9">
        <f t="shared" si="12"/>
        <v>1</v>
      </c>
      <c r="K36" s="8">
        <v>200.43777777777782</v>
      </c>
      <c r="L36" s="3" t="s">
        <v>22</v>
      </c>
      <c r="M36" s="16">
        <v>2</v>
      </c>
      <c r="N36" s="13">
        <v>1</v>
      </c>
      <c r="O36" s="13">
        <v>-1</v>
      </c>
      <c r="P36" s="13">
        <v>1</v>
      </c>
      <c r="Q36" s="13">
        <v>-1</v>
      </c>
      <c r="R36" s="13">
        <v>-1</v>
      </c>
      <c r="S36" s="13">
        <v>-1</v>
      </c>
      <c r="T36" s="9">
        <f t="shared" si="13"/>
        <v>-13</v>
      </c>
      <c r="U36" s="8">
        <v>182.22444444444449</v>
      </c>
      <c r="V36" s="10">
        <v>332.2409090909091</v>
      </c>
      <c r="W36" s="10">
        <v>290.91363636363639</v>
      </c>
      <c r="X36" s="3">
        <f t="shared" ref="X36:X38" si="34">V36/W36</f>
        <v>1.1420602803081201</v>
      </c>
      <c r="Y36" s="6">
        <f t="shared" ref="Y36:Y38" si="35">W36/V36</f>
        <v>0.87561052357954938</v>
      </c>
      <c r="Z36" s="6">
        <f t="shared" ref="Z36:Z38" si="36">((V36)^1.5/(W36)^1.5)*(172/2)-((W36)^1.5/(V36)^1.5)*(172/2)</f>
        <v>34.498361269726473</v>
      </c>
      <c r="AA36" s="3">
        <f t="shared" ref="AA36:AA38" si="37">(V36/W36)*(172/2)-(W36/V36)*(172/2)</f>
        <v>22.914679078657088</v>
      </c>
      <c r="AB36" s="2">
        <f t="shared" ref="AB36:AB38" si="38">-2*(172/(X36+1))+172</f>
        <v>11.406947058222812</v>
      </c>
      <c r="AC36" t="s">
        <v>53</v>
      </c>
      <c r="AD36" s="3" t="s">
        <v>72</v>
      </c>
      <c r="AG36" s="4">
        <v>33</v>
      </c>
    </row>
    <row r="37" spans="1:34" x14ac:dyDescent="0.25">
      <c r="B37" s="3" t="s">
        <v>5</v>
      </c>
      <c r="C37" s="16">
        <v>4</v>
      </c>
      <c r="D37" s="13">
        <v>-1</v>
      </c>
      <c r="E37" s="13">
        <v>1</v>
      </c>
      <c r="F37" s="13">
        <v>1</v>
      </c>
      <c r="G37" s="13">
        <v>-1</v>
      </c>
      <c r="H37" s="13">
        <v>1</v>
      </c>
      <c r="I37" s="13">
        <v>1</v>
      </c>
      <c r="J37" s="9">
        <f t="shared" si="12"/>
        <v>11</v>
      </c>
      <c r="K37" s="8">
        <v>193.85000000000002</v>
      </c>
      <c r="L37" s="3" t="s">
        <v>23</v>
      </c>
      <c r="M37" s="16">
        <v>2</v>
      </c>
      <c r="N37" s="13">
        <v>-1</v>
      </c>
      <c r="O37" s="13">
        <v>-1</v>
      </c>
      <c r="P37" s="13">
        <v>-1</v>
      </c>
      <c r="Q37" s="13">
        <v>1</v>
      </c>
      <c r="R37" s="13">
        <v>1</v>
      </c>
      <c r="S37" s="13">
        <v>-1</v>
      </c>
      <c r="T37" s="9">
        <f t="shared" si="13"/>
        <v>-3</v>
      </c>
      <c r="U37" s="8">
        <v>156.45777777777775</v>
      </c>
      <c r="V37" s="10">
        <v>325.32272727272726</v>
      </c>
      <c r="W37" s="10">
        <v>213.20909090909089</v>
      </c>
      <c r="X37" s="3">
        <f t="shared" si="34"/>
        <v>1.5258389118662858</v>
      </c>
      <c r="Y37" s="6">
        <f t="shared" si="35"/>
        <v>0.65537717790725292</v>
      </c>
      <c r="Z37" s="2">
        <f t="shared" si="36"/>
        <v>116.46354333465689</v>
      </c>
      <c r="AA37" s="3">
        <f t="shared" si="37"/>
        <v>74.85970912047685</v>
      </c>
      <c r="AB37" s="6">
        <f t="shared" si="38"/>
        <v>35.807625108670891</v>
      </c>
      <c r="AC37" t="s">
        <v>53</v>
      </c>
      <c r="AD37" s="3" t="s">
        <v>74</v>
      </c>
      <c r="AG37" s="7">
        <v>5</v>
      </c>
    </row>
    <row r="38" spans="1:34" x14ac:dyDescent="0.25">
      <c r="B38" s="3" t="s">
        <v>21</v>
      </c>
      <c r="C38" s="16">
        <v>3</v>
      </c>
      <c r="D38" s="13">
        <v>-1</v>
      </c>
      <c r="E38" s="13">
        <v>1</v>
      </c>
      <c r="F38" s="13">
        <v>-1</v>
      </c>
      <c r="G38" s="13">
        <v>-1</v>
      </c>
      <c r="H38" s="13">
        <v>1</v>
      </c>
      <c r="I38" s="13">
        <v>1</v>
      </c>
      <c r="J38" s="9">
        <f t="shared" si="12"/>
        <v>5</v>
      </c>
      <c r="K38" s="8">
        <v>194.21136363636361</v>
      </c>
      <c r="L38" s="3" t="s">
        <v>30</v>
      </c>
      <c r="M38" s="16">
        <v>4</v>
      </c>
      <c r="N38" s="13">
        <v>-1</v>
      </c>
      <c r="O38" s="13">
        <v>1</v>
      </c>
      <c r="P38" s="13">
        <v>1</v>
      </c>
      <c r="Q38" s="13">
        <v>1</v>
      </c>
      <c r="R38" s="13">
        <v>-1</v>
      </c>
      <c r="S38" s="13">
        <v>1</v>
      </c>
      <c r="T38" s="9">
        <f t="shared" ref="T38:T39" si="39">6*S38+5*R38+4*Q38+3*P38+2*O38+N38</f>
        <v>9</v>
      </c>
      <c r="U38" s="8">
        <v>198.77333333333337</v>
      </c>
      <c r="V38" s="10">
        <v>277.93181818181819</v>
      </c>
      <c r="W38" s="10">
        <v>333.96818181818185</v>
      </c>
      <c r="X38" s="3">
        <f t="shared" si="34"/>
        <v>0.83221047187402164</v>
      </c>
      <c r="Y38" s="6">
        <f t="shared" si="35"/>
        <v>1.201619102134271</v>
      </c>
      <c r="Z38" s="6">
        <f t="shared" si="36"/>
        <v>-47.98857968430984</v>
      </c>
      <c r="AA38" s="2">
        <f t="shared" si="37"/>
        <v>-31.769142202381445</v>
      </c>
      <c r="AB38" s="6">
        <f t="shared" si="38"/>
        <v>-15.751355687946671</v>
      </c>
      <c r="AC38" t="s">
        <v>58</v>
      </c>
      <c r="AD38" s="20" t="s">
        <v>73</v>
      </c>
      <c r="AE38" s="20"/>
      <c r="AG38" s="4">
        <v>-3</v>
      </c>
    </row>
    <row r="39" spans="1:34" x14ac:dyDescent="0.25">
      <c r="B39" s="3" t="s">
        <v>29</v>
      </c>
      <c r="C39" s="16">
        <v>2</v>
      </c>
      <c r="D39" s="13">
        <v>-1</v>
      </c>
      <c r="E39" s="13">
        <v>0</v>
      </c>
      <c r="F39" s="13">
        <v>-1</v>
      </c>
      <c r="G39" s="13">
        <v>1</v>
      </c>
      <c r="H39" s="13">
        <v>1</v>
      </c>
      <c r="I39" s="13">
        <v>-1</v>
      </c>
      <c r="J39" s="9">
        <f t="shared" si="12"/>
        <v>-1</v>
      </c>
      <c r="K39" s="8">
        <v>180.03777777777776</v>
      </c>
      <c r="L39" s="3" t="s">
        <v>28</v>
      </c>
      <c r="M39" s="16">
        <v>2</v>
      </c>
      <c r="N39" s="13">
        <v>1</v>
      </c>
      <c r="O39" s="13">
        <v>-1</v>
      </c>
      <c r="P39" s="13">
        <v>-1</v>
      </c>
      <c r="Q39" s="13">
        <v>1</v>
      </c>
      <c r="R39" s="13">
        <v>-1</v>
      </c>
      <c r="S39" s="13">
        <v>-1</v>
      </c>
      <c r="T39" s="9">
        <f t="shared" si="39"/>
        <v>-11</v>
      </c>
      <c r="U39" s="8">
        <v>158.48936170212767</v>
      </c>
      <c r="V39" s="10">
        <v>294.57272727272726</v>
      </c>
      <c r="W39" s="10">
        <v>243.65454545454543</v>
      </c>
      <c r="X39" s="3">
        <f t="shared" ref="X39" si="40">V39/W39</f>
        <v>1.2089769420192524</v>
      </c>
      <c r="Y39" s="6">
        <f t="shared" ref="Y39" si="41">W39/V39</f>
        <v>0.82714563466345703</v>
      </c>
      <c r="Z39" s="6">
        <f t="shared" ref="Z39" si="42">((V39)^1.5/(W39)^1.5)*(172/2)-((W39)^1.5/(V39)^1.5)*(172/2)</f>
        <v>49.625753424497518</v>
      </c>
      <c r="AA39" s="2">
        <f t="shared" ref="AA39" si="43">(V39/W39)*(172/2)-(W39/V39)*(172/2)</f>
        <v>32.83749243259841</v>
      </c>
      <c r="AB39" s="6">
        <f t="shared" ref="AB39" si="44">-2*(172/(X39+1))+172</f>
        <v>16.271801368127711</v>
      </c>
      <c r="AC39" t="s">
        <v>54</v>
      </c>
      <c r="AD39" s="3" t="s">
        <v>72</v>
      </c>
      <c r="AG39" s="7">
        <v>69</v>
      </c>
    </row>
    <row r="41" spans="1:34" x14ac:dyDescent="0.25">
      <c r="A41" t="s">
        <v>89</v>
      </c>
    </row>
    <row r="42" spans="1:34" x14ac:dyDescent="0.25">
      <c r="B42" s="3" t="s">
        <v>27</v>
      </c>
      <c r="C42" s="16">
        <v>4</v>
      </c>
      <c r="D42" s="13">
        <v>1</v>
      </c>
      <c r="E42" s="13">
        <v>1</v>
      </c>
      <c r="F42" s="13">
        <v>-1</v>
      </c>
      <c r="G42" s="13">
        <v>1</v>
      </c>
      <c r="H42" s="13">
        <v>-1</v>
      </c>
      <c r="I42" s="13">
        <v>1</v>
      </c>
      <c r="J42" s="9">
        <f t="shared" ref="J42:J50" si="45">6*I42+5*H42+4*G42+3*F42+2*E42+D42</f>
        <v>5</v>
      </c>
      <c r="K42" s="8">
        <v>204.04444444444448</v>
      </c>
      <c r="L42" s="3" t="s">
        <v>19</v>
      </c>
      <c r="M42" s="16">
        <v>3</v>
      </c>
      <c r="N42" s="13">
        <v>1</v>
      </c>
      <c r="O42" s="13">
        <v>1</v>
      </c>
      <c r="P42" s="13">
        <v>-1</v>
      </c>
      <c r="Q42" s="13">
        <v>1</v>
      </c>
      <c r="R42" s="13">
        <v>-1</v>
      </c>
      <c r="S42" s="13">
        <v>-1</v>
      </c>
      <c r="T42" s="9">
        <f t="shared" ref="T42:T50" si="46">6*S42+5*R42+4*Q42+3*P42+2*O42+N42</f>
        <v>-7</v>
      </c>
      <c r="U42" s="8">
        <v>179.95909090909092</v>
      </c>
      <c r="V42" s="22">
        <v>328.35454545454542</v>
      </c>
      <c r="W42" s="22">
        <v>239.31363636363633</v>
      </c>
      <c r="X42" s="3">
        <f t="shared" ref="X42:X47" si="47">V42/W42</f>
        <v>1.3720678455431252</v>
      </c>
      <c r="Y42" s="6">
        <f t="shared" ref="Y42:Y47" si="48">W42/V42</f>
        <v>0.72882693319305625</v>
      </c>
      <c r="Z42" s="2">
        <f t="shared" ref="Z42:Z47" si="49">((V42)^1.5/(W42)^1.5)*(172/2)-((W42)^1.5/(V42)^1.5)*(172/2)</f>
        <v>84.707102630100934</v>
      </c>
      <c r="AA42" s="3">
        <f t="shared" ref="AA42:AA47" si="50">(V42/W42)*(172/2)-(W42/V42)*(172/2)</f>
        <v>55.318718462105927</v>
      </c>
      <c r="AB42" s="6">
        <f t="shared" ref="AB42:AB47" si="51">-2*(172/(X42+1))+172</f>
        <v>26.978852883006226</v>
      </c>
      <c r="AC42" t="s">
        <v>53</v>
      </c>
      <c r="AD42" s="3" t="s">
        <v>74</v>
      </c>
      <c r="AG42" s="4">
        <v>68</v>
      </c>
    </row>
    <row r="43" spans="1:34" x14ac:dyDescent="0.25">
      <c r="B43" s="3" t="s">
        <v>12</v>
      </c>
      <c r="C43" s="16">
        <v>2</v>
      </c>
      <c r="D43" s="13">
        <v>-1</v>
      </c>
      <c r="E43" s="13">
        <v>-1</v>
      </c>
      <c r="F43" s="13">
        <v>1</v>
      </c>
      <c r="G43" s="13">
        <v>-1</v>
      </c>
      <c r="H43" s="13">
        <v>1</v>
      </c>
      <c r="I43" s="13">
        <v>-1</v>
      </c>
      <c r="J43" s="9">
        <f t="shared" si="45"/>
        <v>-5</v>
      </c>
      <c r="K43" s="8">
        <v>159.07272727272726</v>
      </c>
      <c r="L43" s="3" t="s">
        <v>29</v>
      </c>
      <c r="M43" s="16">
        <v>3</v>
      </c>
      <c r="N43" s="13">
        <v>0</v>
      </c>
      <c r="O43" s="13">
        <v>-1</v>
      </c>
      <c r="P43" s="13">
        <v>1</v>
      </c>
      <c r="Q43" s="13">
        <v>1</v>
      </c>
      <c r="R43" s="13">
        <v>-1</v>
      </c>
      <c r="S43" s="13">
        <v>1</v>
      </c>
      <c r="T43" s="9">
        <f t="shared" si="46"/>
        <v>6</v>
      </c>
      <c r="U43" s="8">
        <v>180.2755555555556</v>
      </c>
      <c r="V43" s="22">
        <v>187.02727272727273</v>
      </c>
      <c r="W43" s="22">
        <v>304.22727272727275</v>
      </c>
      <c r="X43" s="3">
        <f t="shared" si="47"/>
        <v>0.61476169131928882</v>
      </c>
      <c r="Y43" s="6">
        <f t="shared" si="48"/>
        <v>1.6266465756088078</v>
      </c>
      <c r="Z43" s="23">
        <f t="shared" si="49"/>
        <v>-136.964575492097</v>
      </c>
      <c r="AA43" s="3">
        <f t="shared" si="50"/>
        <v>-87.022100048898636</v>
      </c>
      <c r="AB43" s="6">
        <f t="shared" si="51"/>
        <v>-41.03453125578298</v>
      </c>
      <c r="AC43" s="15" t="s">
        <v>63</v>
      </c>
      <c r="AD43" s="20" t="s">
        <v>83</v>
      </c>
      <c r="AE43" s="20"/>
      <c r="AG43" s="4">
        <v>-30</v>
      </c>
      <c r="AH43" t="s">
        <v>85</v>
      </c>
    </row>
    <row r="44" spans="1:34" x14ac:dyDescent="0.25">
      <c r="B44" s="3" t="s">
        <v>30</v>
      </c>
      <c r="C44" s="16">
        <v>5</v>
      </c>
      <c r="D44" s="13">
        <v>1</v>
      </c>
      <c r="E44" s="13">
        <v>1</v>
      </c>
      <c r="F44" s="13">
        <v>1</v>
      </c>
      <c r="G44" s="13">
        <v>-1</v>
      </c>
      <c r="H44" s="13">
        <v>1</v>
      </c>
      <c r="I44" s="13">
        <v>1</v>
      </c>
      <c r="J44" s="9">
        <f t="shared" si="45"/>
        <v>13</v>
      </c>
      <c r="K44" s="8">
        <v>198.7044444444445</v>
      </c>
      <c r="L44" s="3" t="s">
        <v>11</v>
      </c>
      <c r="M44" s="16">
        <v>1</v>
      </c>
      <c r="N44" s="13">
        <v>0</v>
      </c>
      <c r="O44" s="13">
        <v>-1</v>
      </c>
      <c r="P44" s="13">
        <v>-1</v>
      </c>
      <c r="Q44" s="13">
        <v>-1</v>
      </c>
      <c r="R44" s="13">
        <v>-1</v>
      </c>
      <c r="S44" s="13">
        <v>1</v>
      </c>
      <c r="T44" s="9">
        <f t="shared" si="46"/>
        <v>-8</v>
      </c>
      <c r="U44" s="8">
        <v>165.10227272727272</v>
      </c>
      <c r="V44" s="22">
        <v>322.60454545454547</v>
      </c>
      <c r="W44" s="22">
        <v>231.05454545454543</v>
      </c>
      <c r="X44" s="3">
        <f t="shared" si="47"/>
        <v>1.3962267862763615</v>
      </c>
      <c r="Y44" s="6">
        <f t="shared" si="48"/>
        <v>0.71621602581263288</v>
      </c>
      <c r="Z44" s="2">
        <f t="shared" si="49"/>
        <v>89.756452816773105</v>
      </c>
      <c r="AA44" s="3">
        <f t="shared" si="50"/>
        <v>58.480925399880661</v>
      </c>
      <c r="AB44" s="6">
        <f t="shared" si="51"/>
        <v>28.440967119576385</v>
      </c>
      <c r="AC44" t="s">
        <v>53</v>
      </c>
      <c r="AD44" s="3" t="s">
        <v>74</v>
      </c>
      <c r="AG44" s="7">
        <v>3</v>
      </c>
    </row>
    <row r="45" spans="1:34" x14ac:dyDescent="0.25">
      <c r="B45" s="3" t="s">
        <v>28</v>
      </c>
      <c r="C45" s="16">
        <v>1</v>
      </c>
      <c r="D45" s="13">
        <v>-1</v>
      </c>
      <c r="E45" s="13">
        <v>-1</v>
      </c>
      <c r="F45" s="13">
        <v>1</v>
      </c>
      <c r="G45" s="13">
        <v>-1</v>
      </c>
      <c r="H45" s="13">
        <v>-1</v>
      </c>
      <c r="I45" s="13">
        <v>-1</v>
      </c>
      <c r="J45" s="9">
        <f t="shared" si="45"/>
        <v>-15</v>
      </c>
      <c r="K45" s="8">
        <v>157.72127659574465</v>
      </c>
      <c r="L45" s="3" t="s">
        <v>13</v>
      </c>
      <c r="M45" s="16">
        <v>4</v>
      </c>
      <c r="N45" s="13">
        <v>1</v>
      </c>
      <c r="O45" s="13">
        <v>-1</v>
      </c>
      <c r="P45" s="13">
        <v>-1</v>
      </c>
      <c r="Q45" s="13">
        <v>1</v>
      </c>
      <c r="R45" s="13">
        <v>1</v>
      </c>
      <c r="S45" s="13">
        <v>1</v>
      </c>
      <c r="T45" s="9">
        <f t="shared" si="46"/>
        <v>11</v>
      </c>
      <c r="U45" s="8">
        <v>182.1</v>
      </c>
      <c r="V45" s="22">
        <v>248.50454545454539</v>
      </c>
      <c r="W45" s="22">
        <v>255.71818181818182</v>
      </c>
      <c r="X45" s="3">
        <f t="shared" si="47"/>
        <v>0.9717906786590349</v>
      </c>
      <c r="Y45" s="6">
        <f t="shared" si="48"/>
        <v>1.0290281867900717</v>
      </c>
      <c r="Z45" s="6">
        <f t="shared" si="49"/>
        <v>-7.3848980850157062</v>
      </c>
      <c r="AA45" s="3">
        <f t="shared" si="50"/>
        <v>-4.9224256992691693</v>
      </c>
      <c r="AB45" s="2">
        <f t="shared" si="51"/>
        <v>-2.4607091022185728</v>
      </c>
      <c r="AC45" t="s">
        <v>58</v>
      </c>
      <c r="AD45" s="20" t="s">
        <v>72</v>
      </c>
      <c r="AE45" s="20"/>
      <c r="AG45" s="4">
        <v>13</v>
      </c>
      <c r="AH45" t="s">
        <v>86</v>
      </c>
    </row>
    <row r="46" spans="1:34" x14ac:dyDescent="0.25">
      <c r="B46" s="3" t="s">
        <v>6</v>
      </c>
      <c r="C46" s="16">
        <v>3</v>
      </c>
      <c r="D46" s="13">
        <v>-1</v>
      </c>
      <c r="E46" s="13">
        <v>1</v>
      </c>
      <c r="F46" s="13">
        <v>-1</v>
      </c>
      <c r="G46" s="13">
        <v>-1</v>
      </c>
      <c r="H46" s="13">
        <v>1</v>
      </c>
      <c r="I46" s="13">
        <v>1</v>
      </c>
      <c r="J46" s="9">
        <f t="shared" si="45"/>
        <v>5</v>
      </c>
      <c r="K46" s="8">
        <v>176.50869565217388</v>
      </c>
      <c r="L46" s="3" t="s">
        <v>25</v>
      </c>
      <c r="M46" s="16">
        <v>4</v>
      </c>
      <c r="N46" s="13">
        <v>1</v>
      </c>
      <c r="O46" s="13">
        <v>-1</v>
      </c>
      <c r="P46" s="13">
        <v>-1</v>
      </c>
      <c r="Q46" s="13">
        <v>1</v>
      </c>
      <c r="R46" s="13">
        <v>1</v>
      </c>
      <c r="S46" s="13">
        <v>1</v>
      </c>
      <c r="T46" s="9">
        <f t="shared" si="46"/>
        <v>11</v>
      </c>
      <c r="U46" s="8">
        <v>173.34130434782611</v>
      </c>
      <c r="V46" s="22">
        <v>291.7954545454545</v>
      </c>
      <c r="W46" s="22">
        <v>294.58636363636373</v>
      </c>
      <c r="X46" s="3">
        <f t="shared" si="47"/>
        <v>0.99052600719035888</v>
      </c>
      <c r="Y46" s="6">
        <f t="shared" si="48"/>
        <v>1.0095646078355016</v>
      </c>
      <c r="Z46" s="6">
        <f t="shared" si="49"/>
        <v>-2.4560258471564111</v>
      </c>
      <c r="AA46" s="3">
        <f t="shared" si="50"/>
        <v>-1.6373196554822727</v>
      </c>
      <c r="AB46" s="2">
        <f t="shared" si="51"/>
        <v>-0.81864128244089329</v>
      </c>
      <c r="AC46" s="15" t="s">
        <v>56</v>
      </c>
      <c r="AD46" s="20" t="s">
        <v>72</v>
      </c>
      <c r="AE46" s="20"/>
      <c r="AG46" s="4">
        <v>10</v>
      </c>
      <c r="AH46" t="s">
        <v>87</v>
      </c>
    </row>
    <row r="47" spans="1:34" x14ac:dyDescent="0.25">
      <c r="B47" s="3" t="s">
        <v>20</v>
      </c>
      <c r="C47" s="16">
        <v>1</v>
      </c>
      <c r="D47" s="13">
        <v>1</v>
      </c>
      <c r="E47" s="13">
        <v>-1</v>
      </c>
      <c r="F47" s="13">
        <v>-1</v>
      </c>
      <c r="G47" s="13">
        <v>-1</v>
      </c>
      <c r="H47" s="13">
        <v>-1</v>
      </c>
      <c r="I47" s="13">
        <v>-1</v>
      </c>
      <c r="J47" s="9">
        <f t="shared" si="45"/>
        <v>-19</v>
      </c>
      <c r="K47" s="8">
        <v>136.69565217391303</v>
      </c>
      <c r="L47" s="3" t="s">
        <v>21</v>
      </c>
      <c r="M47" s="16">
        <v>3</v>
      </c>
      <c r="N47" s="13">
        <v>1</v>
      </c>
      <c r="O47" s="13">
        <v>-1</v>
      </c>
      <c r="P47" s="13">
        <v>-1</v>
      </c>
      <c r="Q47" s="13">
        <v>1</v>
      </c>
      <c r="R47" s="13">
        <v>1</v>
      </c>
      <c r="S47" s="13">
        <v>-1</v>
      </c>
      <c r="T47" s="9">
        <f t="shared" si="46"/>
        <v>-1</v>
      </c>
      <c r="U47" s="8">
        <v>195.58409090909089</v>
      </c>
      <c r="V47" s="22">
        <v>198.89545454545453</v>
      </c>
      <c r="W47" s="22">
        <v>275.21363636363634</v>
      </c>
      <c r="X47" s="3">
        <f t="shared" si="47"/>
        <v>0.72269476604951521</v>
      </c>
      <c r="Y47" s="6">
        <f t="shared" si="48"/>
        <v>1.383710034965834</v>
      </c>
      <c r="Z47" s="2">
        <f t="shared" si="49"/>
        <v>-87.143924014598383</v>
      </c>
      <c r="AA47" s="3">
        <f t="shared" si="50"/>
        <v>-56.847313126803414</v>
      </c>
      <c r="AB47" s="6">
        <f t="shared" si="51"/>
        <v>-27.687145267679114</v>
      </c>
      <c r="AC47" t="s">
        <v>63</v>
      </c>
      <c r="AD47" s="20" t="s">
        <v>83</v>
      </c>
      <c r="AE47" s="20"/>
      <c r="AG47" s="4">
        <v>-36</v>
      </c>
      <c r="AH47" t="s">
        <v>85</v>
      </c>
    </row>
    <row r="48" spans="1:34" x14ac:dyDescent="0.25">
      <c r="B48" s="3" t="s">
        <v>24</v>
      </c>
      <c r="C48" s="16">
        <v>2</v>
      </c>
      <c r="D48" s="13">
        <v>-1</v>
      </c>
      <c r="E48" s="13">
        <v>1</v>
      </c>
      <c r="F48" s="13">
        <v>-1</v>
      </c>
      <c r="G48" s="13">
        <v>-1</v>
      </c>
      <c r="H48" s="13">
        <v>1</v>
      </c>
      <c r="I48" s="13">
        <v>-1</v>
      </c>
      <c r="J48" s="9">
        <f t="shared" si="45"/>
        <v>-7</v>
      </c>
      <c r="K48" s="8">
        <v>183.07500000000002</v>
      </c>
      <c r="L48" s="3" t="s">
        <v>10</v>
      </c>
      <c r="M48" s="16">
        <v>5</v>
      </c>
      <c r="N48" s="13">
        <v>1</v>
      </c>
      <c r="O48" s="13">
        <v>1</v>
      </c>
      <c r="P48" s="13">
        <v>1</v>
      </c>
      <c r="Q48" s="13">
        <v>1</v>
      </c>
      <c r="R48" s="13">
        <v>-1</v>
      </c>
      <c r="S48" s="13">
        <v>1</v>
      </c>
      <c r="T48" s="9">
        <f t="shared" si="46"/>
        <v>11</v>
      </c>
      <c r="U48" s="8">
        <v>207.5795454545455</v>
      </c>
      <c r="V48" s="22">
        <v>281.76363636363635</v>
      </c>
      <c r="W48" s="22">
        <v>307.74545454545455</v>
      </c>
      <c r="X48" s="3">
        <f t="shared" ref="X48" si="52">V48/W48</f>
        <v>0.91557367363818976</v>
      </c>
      <c r="Y48" s="6">
        <f t="shared" ref="Y48" si="53">W48/V48</f>
        <v>1.0922113957540169</v>
      </c>
      <c r="Z48" s="6">
        <f t="shared" ref="Z48" si="54">((V48)^1.5/(W48)^1.5)*(172/2)-((W48)^1.5/(V48)^1.5)*(172/2)</f>
        <v>-22.823197814486292</v>
      </c>
      <c r="AA48" s="3">
        <f t="shared" ref="AA48" si="55">(V48/W48)*(172/2)-(W48/V48)*(172/2)</f>
        <v>-15.190844101961133</v>
      </c>
      <c r="AB48" s="2">
        <f t="shared" ref="AB48" si="56">-2*(172/(X48+1))+172</f>
        <v>-7.5806680442895242</v>
      </c>
      <c r="AC48" t="s">
        <v>63</v>
      </c>
      <c r="AD48" s="3" t="s">
        <v>72</v>
      </c>
      <c r="AG48" s="7">
        <v>86</v>
      </c>
      <c r="AH48" t="s">
        <v>88</v>
      </c>
    </row>
    <row r="49" spans="1:34" x14ac:dyDescent="0.25">
      <c r="B49" s="3" t="s">
        <v>26</v>
      </c>
      <c r="C49" s="16">
        <v>2</v>
      </c>
      <c r="D49" s="13">
        <v>-1</v>
      </c>
      <c r="E49" s="13">
        <v>1</v>
      </c>
      <c r="F49" s="13">
        <v>-1</v>
      </c>
      <c r="G49" s="13">
        <v>-1</v>
      </c>
      <c r="H49" s="13">
        <v>1</v>
      </c>
      <c r="I49" s="13">
        <v>-1</v>
      </c>
      <c r="J49" s="9">
        <f t="shared" si="45"/>
        <v>-7</v>
      </c>
      <c r="K49" s="8">
        <v>198.14999999999995</v>
      </c>
      <c r="L49" s="3" t="s">
        <v>23</v>
      </c>
      <c r="M49" s="16">
        <v>2</v>
      </c>
      <c r="N49" s="13">
        <v>-1</v>
      </c>
      <c r="O49" s="13">
        <v>-1</v>
      </c>
      <c r="P49" s="13">
        <v>1</v>
      </c>
      <c r="Q49" s="13">
        <v>1</v>
      </c>
      <c r="R49" s="13">
        <v>-1</v>
      </c>
      <c r="S49" s="13">
        <v>-1</v>
      </c>
      <c r="T49" s="9">
        <f t="shared" si="46"/>
        <v>-7</v>
      </c>
      <c r="U49" s="8">
        <v>157.8977777777778</v>
      </c>
      <c r="V49" s="22">
        <v>291.80454545454546</v>
      </c>
      <c r="W49" s="22">
        <v>211.67727272727271</v>
      </c>
      <c r="X49" s="3">
        <f t="shared" ref="X49" si="57">V49/W49</f>
        <v>1.3785350769825422</v>
      </c>
      <c r="Y49" s="6">
        <f t="shared" ref="Y49" si="58">W49/V49</f>
        <v>0.72540772933314634</v>
      </c>
      <c r="Z49" s="2">
        <f t="shared" ref="Z49" si="59">((V49)^1.5/(W49)^1.5)*(172/2)-((W49)^1.5/(V49)^1.5)*(172/2)</f>
        <v>86.061592985462028</v>
      </c>
      <c r="AA49" s="3">
        <f t="shared" ref="AA49" si="60">(V49/W49)*(172/2)-(W49/V49)*(172/2)</f>
        <v>56.168951897848046</v>
      </c>
      <c r="AB49" s="6">
        <f t="shared" ref="AB49" si="61">-2*(172/(X49+1))+172</f>
        <v>27.373165050647344</v>
      </c>
      <c r="AC49" t="s">
        <v>84</v>
      </c>
      <c r="AD49" s="3" t="s">
        <v>72</v>
      </c>
      <c r="AG49" s="7">
        <v>-35</v>
      </c>
      <c r="AH49" t="s">
        <v>88</v>
      </c>
    </row>
    <row r="50" spans="1:34" x14ac:dyDescent="0.25">
      <c r="B50" s="3" t="s">
        <v>5</v>
      </c>
      <c r="C50" s="16">
        <v>5</v>
      </c>
      <c r="D50" s="13">
        <v>1</v>
      </c>
      <c r="E50" s="13">
        <v>1</v>
      </c>
      <c r="F50" s="13">
        <v>-1</v>
      </c>
      <c r="G50" s="13">
        <v>1</v>
      </c>
      <c r="H50" s="13">
        <v>1</v>
      </c>
      <c r="I50" s="13">
        <v>1</v>
      </c>
      <c r="J50" s="9">
        <f t="shared" si="45"/>
        <v>15</v>
      </c>
      <c r="K50" s="8">
        <v>193.42727272727271</v>
      </c>
      <c r="L50" s="3" t="s">
        <v>22</v>
      </c>
      <c r="M50" s="16">
        <v>1</v>
      </c>
      <c r="N50" s="13">
        <v>-1</v>
      </c>
      <c r="O50" s="13">
        <v>1</v>
      </c>
      <c r="P50" s="13">
        <v>-1</v>
      </c>
      <c r="Q50" s="13">
        <v>-1</v>
      </c>
      <c r="R50" s="13">
        <v>-1</v>
      </c>
      <c r="S50" s="13">
        <v>-1</v>
      </c>
      <c r="T50" s="9">
        <f t="shared" si="46"/>
        <v>-17</v>
      </c>
      <c r="U50" s="8">
        <v>181.36666666666667</v>
      </c>
      <c r="V50" s="22">
        <v>308.13200000000006</v>
      </c>
      <c r="W50" s="22">
        <v>229.67600000000002</v>
      </c>
      <c r="X50" s="3">
        <f t="shared" ref="X50" si="62">V50/W50</f>
        <v>1.3415942458071373</v>
      </c>
      <c r="Y50" s="6">
        <f t="shared" ref="Y50" si="63">W50/V50</f>
        <v>0.7453818493372969</v>
      </c>
      <c r="Z50" s="2">
        <f t="shared" ref="Z50" si="64">((V50)^1.5/(W50)^1.5)*(172/2)-((W50)^1.5/(V50)^1.5)*(172/2)</f>
        <v>78.294574918785429</v>
      </c>
      <c r="AA50" s="3">
        <f t="shared" ref="AA50" si="65">(V50/W50)*(172/2)-(W50/V50)*(172/2)</f>
        <v>51.274266096406265</v>
      </c>
      <c r="AB50" s="6">
        <f t="shared" ref="AB50" si="66">-2*(172/(X50+1))+172</f>
        <v>25.091541962931018</v>
      </c>
      <c r="AC50" t="s">
        <v>53</v>
      </c>
      <c r="AD50" s="3" t="s">
        <v>74</v>
      </c>
      <c r="AG50" s="7">
        <v>31</v>
      </c>
      <c r="AH50" t="s">
        <v>88</v>
      </c>
    </row>
    <row r="52" spans="1:34" x14ac:dyDescent="0.25">
      <c r="A52" t="s">
        <v>90</v>
      </c>
    </row>
    <row r="53" spans="1:34" x14ac:dyDescent="0.25">
      <c r="B53" s="3" t="s">
        <v>30</v>
      </c>
      <c r="C53" s="16">
        <v>5</v>
      </c>
      <c r="D53" s="13">
        <v>1</v>
      </c>
      <c r="E53" s="13">
        <v>1</v>
      </c>
      <c r="F53" s="13">
        <v>-1</v>
      </c>
      <c r="G53" s="13">
        <v>1</v>
      </c>
      <c r="H53" s="13">
        <v>1</v>
      </c>
      <c r="I53" s="13">
        <v>1</v>
      </c>
      <c r="J53" s="9">
        <f t="shared" ref="J53:J61" si="67">6*I53+5*H53+4*G53+3*F53+2*E53+D53</f>
        <v>15</v>
      </c>
      <c r="K53" s="8">
        <v>199.21555555555562</v>
      </c>
      <c r="L53" s="3" t="s">
        <v>6</v>
      </c>
      <c r="M53" s="16">
        <v>4</v>
      </c>
      <c r="N53" s="13">
        <v>1</v>
      </c>
      <c r="O53" s="13">
        <v>-1</v>
      </c>
      <c r="P53" s="13">
        <v>-1</v>
      </c>
      <c r="Q53" s="13">
        <v>1</v>
      </c>
      <c r="R53" s="13">
        <v>1</v>
      </c>
      <c r="S53" s="13">
        <v>1</v>
      </c>
      <c r="T53" s="9">
        <f t="shared" ref="T53:T61" si="68">6*S53+5*R53+4*Q53+3*P53+2*O53+N53</f>
        <v>11</v>
      </c>
      <c r="U53" s="8">
        <v>176.86956521739131</v>
      </c>
      <c r="V53" s="22">
        <v>308.81599999999997</v>
      </c>
      <c r="W53" s="22">
        <v>280.16399999999999</v>
      </c>
      <c r="X53" s="3">
        <f t="shared" ref="X53:X57" si="69">V53/W53</f>
        <v>1.1022686712068646</v>
      </c>
      <c r="Y53" s="6">
        <f t="shared" ref="Y53:Y57" si="70">W53/V53</f>
        <v>0.90721983316926591</v>
      </c>
      <c r="Z53" s="6">
        <f t="shared" ref="Z53:Z57" si="71">((V53)^1.5/(W53)^1.5)*(172/2)-((W53)^1.5/(V53)^1.5)*(172/2)</f>
        <v>25.210997022022951</v>
      </c>
      <c r="AA53" s="3">
        <f t="shared" ref="AA53:AA57" si="72">(V53/W53)*(172/2)-(W53/V53)*(172/2)</f>
        <v>16.774200071233494</v>
      </c>
      <c r="AB53" s="2">
        <f t="shared" ref="AB53:AB57" si="73">-2*(172/(X53+1))+172</f>
        <v>8.3672518591463358</v>
      </c>
      <c r="AC53" t="s">
        <v>53</v>
      </c>
      <c r="AD53" s="3" t="s">
        <v>72</v>
      </c>
      <c r="AF53" s="3">
        <v>2.25</v>
      </c>
      <c r="AG53" s="4">
        <v>3</v>
      </c>
    </row>
    <row r="54" spans="1:34" x14ac:dyDescent="0.25">
      <c r="B54" s="3" t="s">
        <v>25</v>
      </c>
      <c r="C54" s="16">
        <v>3</v>
      </c>
      <c r="D54" s="13">
        <v>-1</v>
      </c>
      <c r="E54" s="13">
        <v>-1</v>
      </c>
      <c r="F54" s="13">
        <v>1</v>
      </c>
      <c r="G54" s="13">
        <v>1</v>
      </c>
      <c r="H54" s="13">
        <v>1</v>
      </c>
      <c r="I54" s="13">
        <v>-1</v>
      </c>
      <c r="J54" s="9">
        <f t="shared" si="67"/>
        <v>3</v>
      </c>
      <c r="K54" s="8">
        <v>174.6978260869565</v>
      </c>
      <c r="L54" s="3" t="s">
        <v>27</v>
      </c>
      <c r="M54" s="16">
        <v>4</v>
      </c>
      <c r="N54" s="13">
        <v>1</v>
      </c>
      <c r="O54" s="13">
        <v>-1</v>
      </c>
      <c r="P54" s="13">
        <v>1</v>
      </c>
      <c r="Q54" s="13">
        <v>-1</v>
      </c>
      <c r="R54" s="13">
        <v>1</v>
      </c>
      <c r="S54" s="13">
        <v>1</v>
      </c>
      <c r="T54" s="9">
        <f t="shared" si="68"/>
        <v>9</v>
      </c>
      <c r="U54" s="8">
        <v>202.86888888888893</v>
      </c>
      <c r="V54" s="22">
        <v>268.95599999999996</v>
      </c>
      <c r="W54" s="22">
        <v>318.32</v>
      </c>
      <c r="X54" s="3">
        <f t="shared" si="69"/>
        <v>0.84492334757476739</v>
      </c>
      <c r="Y54" s="6">
        <f t="shared" si="70"/>
        <v>1.1835393149808893</v>
      </c>
      <c r="Z54" s="6">
        <f t="shared" si="71"/>
        <v>-43.939836533591958</v>
      </c>
      <c r="AA54" s="2">
        <f t="shared" si="72"/>
        <v>-29.120973196926485</v>
      </c>
      <c r="AB54" s="6">
        <f t="shared" si="73"/>
        <v>-14.457611072136473</v>
      </c>
      <c r="AC54" s="3" t="s">
        <v>63</v>
      </c>
      <c r="AD54" s="20" t="s">
        <v>83</v>
      </c>
      <c r="AE54" s="20"/>
      <c r="AF54" s="3">
        <v>2.65</v>
      </c>
      <c r="AG54" s="7">
        <v>39</v>
      </c>
    </row>
    <row r="55" spans="1:34" x14ac:dyDescent="0.25">
      <c r="B55" s="3" t="s">
        <v>13</v>
      </c>
      <c r="C55" s="16">
        <v>3</v>
      </c>
      <c r="D55" s="13">
        <v>-1</v>
      </c>
      <c r="E55" s="13">
        <v>-1</v>
      </c>
      <c r="F55" s="13">
        <v>1</v>
      </c>
      <c r="G55" s="13">
        <v>1</v>
      </c>
      <c r="H55" s="13">
        <v>1</v>
      </c>
      <c r="I55" s="13">
        <v>-1</v>
      </c>
      <c r="J55" s="9">
        <f t="shared" si="67"/>
        <v>3</v>
      </c>
      <c r="K55" s="8">
        <v>182.26666666666668</v>
      </c>
      <c r="L55" s="3" t="s">
        <v>5</v>
      </c>
      <c r="M55" s="16">
        <v>5</v>
      </c>
      <c r="N55" s="13">
        <v>1</v>
      </c>
      <c r="O55" s="13">
        <v>-1</v>
      </c>
      <c r="P55" s="13">
        <v>1</v>
      </c>
      <c r="Q55" s="13">
        <v>1</v>
      </c>
      <c r="R55" s="13">
        <v>1</v>
      </c>
      <c r="S55" s="13">
        <v>1</v>
      </c>
      <c r="T55" s="9">
        <f t="shared" si="68"/>
        <v>17</v>
      </c>
      <c r="U55" s="8">
        <v>193.05227272727271</v>
      </c>
      <c r="V55" s="22">
        <v>226.33599999999998</v>
      </c>
      <c r="W55" s="22">
        <v>306.00799999999998</v>
      </c>
      <c r="X55" s="3">
        <f t="shared" si="69"/>
        <v>0.73964079370473979</v>
      </c>
      <c r="Y55" s="6">
        <f t="shared" si="70"/>
        <v>1.3520076346670438</v>
      </c>
      <c r="Z55" s="2">
        <f t="shared" si="71"/>
        <v>-80.491693308375872</v>
      </c>
      <c r="AA55" s="3">
        <f t="shared" si="72"/>
        <v>-52.663548322758146</v>
      </c>
      <c r="AB55" s="6">
        <f t="shared" si="73"/>
        <v>-25.741971356866998</v>
      </c>
      <c r="AC55" s="3" t="s">
        <v>63</v>
      </c>
      <c r="AD55" s="20" t="s">
        <v>83</v>
      </c>
      <c r="AE55" s="20"/>
      <c r="AF55" s="3">
        <v>2.2000000000000002</v>
      </c>
      <c r="AG55" s="4">
        <v>-38</v>
      </c>
    </row>
    <row r="56" spans="1:34" x14ac:dyDescent="0.25">
      <c r="B56" s="3" t="s">
        <v>10</v>
      </c>
      <c r="C56" s="16">
        <v>4</v>
      </c>
      <c r="D56" s="13">
        <v>1</v>
      </c>
      <c r="E56" s="13">
        <v>1</v>
      </c>
      <c r="F56" s="13">
        <v>1</v>
      </c>
      <c r="G56" s="13">
        <v>-1</v>
      </c>
      <c r="H56" s="13">
        <v>1</v>
      </c>
      <c r="I56" s="13">
        <v>-1</v>
      </c>
      <c r="J56" s="9">
        <f t="shared" si="67"/>
        <v>1</v>
      </c>
      <c r="K56" s="8">
        <v>207.05</v>
      </c>
      <c r="L56" s="3" t="s">
        <v>29</v>
      </c>
      <c r="M56" s="16">
        <v>4</v>
      </c>
      <c r="N56" s="13">
        <v>-1</v>
      </c>
      <c r="O56" s="13">
        <v>1</v>
      </c>
      <c r="P56" s="13">
        <v>1</v>
      </c>
      <c r="Q56" s="13">
        <v>-1</v>
      </c>
      <c r="R56" s="13">
        <v>1</v>
      </c>
      <c r="S56" s="13">
        <v>1</v>
      </c>
      <c r="T56" s="9">
        <f t="shared" si="68"/>
        <v>11</v>
      </c>
      <c r="U56" s="8">
        <v>179.8088888888889</v>
      </c>
      <c r="V56" s="22">
        <v>267.61599999999999</v>
      </c>
      <c r="W56" s="22">
        <v>282.41200000000003</v>
      </c>
      <c r="X56" s="3">
        <f t="shared" si="69"/>
        <v>0.94760845856408349</v>
      </c>
      <c r="Y56" s="6">
        <f t="shared" si="70"/>
        <v>1.0552881741002034</v>
      </c>
      <c r="Z56" s="6">
        <f t="shared" si="71"/>
        <v>-13.899063723670253</v>
      </c>
      <c r="AA56" s="3">
        <f t="shared" si="72"/>
        <v>-9.2604555361063063</v>
      </c>
      <c r="AB56" s="2">
        <f t="shared" si="73"/>
        <v>-4.6268771771619299</v>
      </c>
      <c r="AC56" s="15" t="s">
        <v>64</v>
      </c>
      <c r="AD56" s="3" t="s">
        <v>72</v>
      </c>
      <c r="AF56" s="3">
        <v>2.5499999999999998</v>
      </c>
      <c r="AG56" s="7">
        <v>-48</v>
      </c>
    </row>
    <row r="57" spans="1:34" x14ac:dyDescent="0.25">
      <c r="B57" s="3" t="s">
        <v>21</v>
      </c>
      <c r="C57" s="16">
        <v>3</v>
      </c>
      <c r="D57" s="13">
        <v>-1</v>
      </c>
      <c r="E57" s="13">
        <v>-1</v>
      </c>
      <c r="F57" s="13">
        <v>1</v>
      </c>
      <c r="G57" s="13">
        <v>1</v>
      </c>
      <c r="H57" s="13">
        <v>-1</v>
      </c>
      <c r="I57" s="13">
        <v>1</v>
      </c>
      <c r="J57" s="9">
        <f t="shared" si="67"/>
        <v>5</v>
      </c>
      <c r="K57" s="8">
        <v>197.63636363636354</v>
      </c>
      <c r="L57" s="3" t="s">
        <v>28</v>
      </c>
      <c r="M57" s="16">
        <v>2</v>
      </c>
      <c r="N57" s="13">
        <v>-1</v>
      </c>
      <c r="O57" s="13">
        <v>1</v>
      </c>
      <c r="P57" s="13">
        <v>-1</v>
      </c>
      <c r="Q57" s="13">
        <v>-1</v>
      </c>
      <c r="R57" s="13">
        <v>-1</v>
      </c>
      <c r="S57" s="13">
        <v>1</v>
      </c>
      <c r="T57" s="9">
        <f t="shared" si="68"/>
        <v>-5</v>
      </c>
      <c r="U57" s="8">
        <v>159.41063829787231</v>
      </c>
      <c r="V57" s="22">
        <v>258.74799999999993</v>
      </c>
      <c r="W57" s="22">
        <v>249.43200000000002</v>
      </c>
      <c r="X57" s="3">
        <f t="shared" si="69"/>
        <v>1.0373488566021998</v>
      </c>
      <c r="Y57" s="6">
        <f t="shared" si="70"/>
        <v>0.96399585697280787</v>
      </c>
      <c r="Z57" s="6">
        <f t="shared" si="71"/>
        <v>9.4651875574070488</v>
      </c>
      <c r="AA57" s="3">
        <f t="shared" si="72"/>
        <v>6.3083579681277087</v>
      </c>
      <c r="AB57" s="2">
        <f t="shared" si="73"/>
        <v>3.1531189735919725</v>
      </c>
      <c r="AC57" s="3" t="s">
        <v>53</v>
      </c>
      <c r="AD57" s="3" t="s">
        <v>72</v>
      </c>
      <c r="AF57" s="3">
        <v>2.6</v>
      </c>
      <c r="AG57" s="7">
        <v>53</v>
      </c>
    </row>
    <row r="58" spans="1:34" x14ac:dyDescent="0.25">
      <c r="B58" s="3" t="s">
        <v>11</v>
      </c>
      <c r="C58" s="16">
        <v>1</v>
      </c>
      <c r="D58" s="13">
        <v>-1</v>
      </c>
      <c r="E58" s="13">
        <v>-1</v>
      </c>
      <c r="F58" s="13">
        <v>-1</v>
      </c>
      <c r="G58" s="13">
        <v>-1</v>
      </c>
      <c r="H58" s="13">
        <v>1</v>
      </c>
      <c r="I58" s="13">
        <v>-1</v>
      </c>
      <c r="J58" s="9">
        <f t="shared" si="67"/>
        <v>-11</v>
      </c>
      <c r="K58" s="8">
        <v>166.76590909090908</v>
      </c>
      <c r="L58" s="3" t="s">
        <v>24</v>
      </c>
      <c r="M58" s="16">
        <v>3</v>
      </c>
      <c r="N58" s="13">
        <v>1</v>
      </c>
      <c r="O58" s="13">
        <v>-1</v>
      </c>
      <c r="P58" s="13">
        <v>-1</v>
      </c>
      <c r="Q58" s="13">
        <v>1</v>
      </c>
      <c r="R58" s="13">
        <v>-1</v>
      </c>
      <c r="S58" s="13">
        <v>1</v>
      </c>
      <c r="T58" s="9">
        <f t="shared" si="68"/>
        <v>1</v>
      </c>
      <c r="U58" s="8">
        <v>185.68636363636364</v>
      </c>
      <c r="V58" s="22">
        <v>242.88</v>
      </c>
      <c r="W58" s="22">
        <v>284.16000000000003</v>
      </c>
      <c r="X58" s="3">
        <f t="shared" ref="X58:X61" si="74">V58/W58</f>
        <v>0.8547297297297296</v>
      </c>
      <c r="Y58" s="6">
        <f t="shared" ref="Y58:Y61" si="75">W58/V58</f>
        <v>1.1699604743083005</v>
      </c>
      <c r="Z58" s="6">
        <f t="shared" ref="Z58:Z61" si="76">((V58)^1.5/(W58)^1.5)*(172/2)-((W58)^1.5/(V58)^1.5)*(172/2)</f>
        <v>-40.873487062518493</v>
      </c>
      <c r="AA58" s="2">
        <f t="shared" ref="AA58:AA61" si="77">(V58/W58)*(172/2)-(W58/V58)*(172/2)</f>
        <v>-27.109844033757099</v>
      </c>
      <c r="AB58" s="6">
        <f t="shared" ref="AB58:AB61" si="78">-2*(172/(X58+1))+172</f>
        <v>-13.471766848816031</v>
      </c>
      <c r="AC58" t="s">
        <v>63</v>
      </c>
      <c r="AD58" s="20" t="s">
        <v>83</v>
      </c>
      <c r="AE58" s="20"/>
      <c r="AF58" s="3">
        <v>2.2999999999999998</v>
      </c>
      <c r="AG58" s="7">
        <v>-47</v>
      </c>
    </row>
    <row r="59" spans="1:34" x14ac:dyDescent="0.25">
      <c r="B59" s="3" t="s">
        <v>22</v>
      </c>
      <c r="C59" s="16">
        <v>1</v>
      </c>
      <c r="D59" s="13">
        <v>1</v>
      </c>
      <c r="E59" s="13">
        <v>-1</v>
      </c>
      <c r="F59" s="13">
        <v>-1</v>
      </c>
      <c r="G59" s="13">
        <v>-1</v>
      </c>
      <c r="H59" s="13">
        <v>-1</v>
      </c>
      <c r="I59" s="13">
        <v>-1</v>
      </c>
      <c r="J59" s="9">
        <f t="shared" si="67"/>
        <v>-19</v>
      </c>
      <c r="K59" s="8">
        <v>181.86666666666665</v>
      </c>
      <c r="L59" s="3" t="s">
        <v>20</v>
      </c>
      <c r="M59" s="16">
        <v>0</v>
      </c>
      <c r="N59" s="13">
        <v>-1</v>
      </c>
      <c r="O59" s="13">
        <v>-1</v>
      </c>
      <c r="P59" s="13">
        <v>-1</v>
      </c>
      <c r="Q59" s="13">
        <v>-1</v>
      </c>
      <c r="R59" s="13">
        <v>-1</v>
      </c>
      <c r="S59" s="13">
        <v>-1</v>
      </c>
      <c r="T59" s="9">
        <f t="shared" si="68"/>
        <v>-21</v>
      </c>
      <c r="U59" s="8">
        <v>136.45869565217393</v>
      </c>
      <c r="V59" s="22">
        <v>241.04000000000005</v>
      </c>
      <c r="W59" s="22">
        <v>197.328</v>
      </c>
      <c r="X59" s="3">
        <f t="shared" si="74"/>
        <v>1.2215195005270414</v>
      </c>
      <c r="Y59" s="6">
        <f t="shared" si="75"/>
        <v>0.81865250580816451</v>
      </c>
      <c r="Z59" s="6">
        <f t="shared" si="76"/>
        <v>52.403267603479563</v>
      </c>
      <c r="AA59" s="2">
        <f t="shared" si="77"/>
        <v>34.646561545823403</v>
      </c>
      <c r="AB59" s="6">
        <f t="shared" si="78"/>
        <v>17.151032922111114</v>
      </c>
      <c r="AC59" t="s">
        <v>53</v>
      </c>
      <c r="AD59" s="3" t="s">
        <v>72</v>
      </c>
      <c r="AF59" s="3">
        <v>2.25</v>
      </c>
      <c r="AG59" s="7">
        <v>-4</v>
      </c>
    </row>
    <row r="60" spans="1:34" x14ac:dyDescent="0.25">
      <c r="B60" s="3" t="s">
        <v>23</v>
      </c>
      <c r="C60" s="16">
        <v>3</v>
      </c>
      <c r="D60" s="13">
        <v>-1</v>
      </c>
      <c r="E60" s="13">
        <v>1</v>
      </c>
      <c r="F60" s="13">
        <v>1</v>
      </c>
      <c r="G60" s="13">
        <v>-1</v>
      </c>
      <c r="H60" s="13">
        <v>-1</v>
      </c>
      <c r="I60" s="13">
        <v>1</v>
      </c>
      <c r="J60" s="9">
        <f t="shared" si="67"/>
        <v>1</v>
      </c>
      <c r="K60" s="8">
        <v>160.2755555555556</v>
      </c>
      <c r="L60" s="3" t="s">
        <v>19</v>
      </c>
      <c r="M60" s="16">
        <v>2</v>
      </c>
      <c r="N60" s="13">
        <v>1</v>
      </c>
      <c r="O60" s="13">
        <v>-1</v>
      </c>
      <c r="P60" s="13">
        <v>1</v>
      </c>
      <c r="Q60" s="13">
        <v>-1</v>
      </c>
      <c r="R60" s="13">
        <v>-1</v>
      </c>
      <c r="S60" s="13">
        <v>-1</v>
      </c>
      <c r="T60" s="9">
        <f t="shared" si="68"/>
        <v>-13</v>
      </c>
      <c r="U60" s="8">
        <v>178.64090909090913</v>
      </c>
      <c r="V60" s="22">
        <v>219.57600000000005</v>
      </c>
      <c r="W60" s="22">
        <v>259.95999999999998</v>
      </c>
      <c r="X60" s="3">
        <f t="shared" si="74"/>
        <v>0.8446530235420836</v>
      </c>
      <c r="Y60" s="6">
        <f t="shared" si="75"/>
        <v>1.183918096695449</v>
      </c>
      <c r="Z60" s="6">
        <f t="shared" si="76"/>
        <v>-44.025050455695904</v>
      </c>
      <c r="AA60" s="2">
        <f t="shared" si="77"/>
        <v>-29.176796291189419</v>
      </c>
      <c r="AB60" s="6">
        <f t="shared" si="78"/>
        <v>-14.484935437589655</v>
      </c>
      <c r="AC60" t="s">
        <v>55</v>
      </c>
      <c r="AD60" s="3" t="s">
        <v>72</v>
      </c>
      <c r="AF60" s="3">
        <v>2.8</v>
      </c>
      <c r="AG60" s="4">
        <v>33</v>
      </c>
    </row>
    <row r="61" spans="1:34" x14ac:dyDescent="0.25">
      <c r="B61" s="3" t="s">
        <v>26</v>
      </c>
      <c r="C61" s="16">
        <v>2</v>
      </c>
      <c r="D61" s="13">
        <v>1</v>
      </c>
      <c r="E61" s="13">
        <v>-1</v>
      </c>
      <c r="F61" s="13">
        <v>-1</v>
      </c>
      <c r="G61" s="13">
        <v>1</v>
      </c>
      <c r="H61" s="13">
        <v>-1</v>
      </c>
      <c r="I61" s="13">
        <v>-1</v>
      </c>
      <c r="J61" s="9">
        <f t="shared" si="67"/>
        <v>-11</v>
      </c>
      <c r="K61" s="8">
        <v>198.6217391304348</v>
      </c>
      <c r="L61" s="3" t="s">
        <v>12</v>
      </c>
      <c r="M61" s="16">
        <v>2</v>
      </c>
      <c r="N61" s="13">
        <v>-1</v>
      </c>
      <c r="O61" s="13">
        <v>1</v>
      </c>
      <c r="P61" s="13">
        <v>-1</v>
      </c>
      <c r="Q61" s="13">
        <v>1</v>
      </c>
      <c r="R61" s="13">
        <v>-1</v>
      </c>
      <c r="S61" s="13">
        <v>-1</v>
      </c>
      <c r="T61" s="9">
        <f t="shared" si="68"/>
        <v>-9</v>
      </c>
      <c r="U61" s="8">
        <v>158.20545454545456</v>
      </c>
      <c r="V61" s="22">
        <v>260.61999999999995</v>
      </c>
      <c r="W61" s="22">
        <v>181.74000000000004</v>
      </c>
      <c r="X61" s="3">
        <f t="shared" si="74"/>
        <v>1.4340266314515235</v>
      </c>
      <c r="Y61" s="6">
        <f t="shared" si="75"/>
        <v>0.69733711917734664</v>
      </c>
      <c r="Z61" s="2">
        <f t="shared" si="76"/>
        <v>97.604477490424557</v>
      </c>
      <c r="AA61" s="3">
        <f t="shared" si="77"/>
        <v>63.355298055579205</v>
      </c>
      <c r="AB61" s="6">
        <f t="shared" si="78"/>
        <v>30.67040419567769</v>
      </c>
      <c r="AC61" t="s">
        <v>52</v>
      </c>
      <c r="AD61" s="3" t="s">
        <v>74</v>
      </c>
      <c r="AF61" s="3">
        <v>2.15</v>
      </c>
      <c r="AG61" s="4">
        <v>69</v>
      </c>
    </row>
    <row r="64" spans="1:34" x14ac:dyDescent="0.25">
      <c r="B64" s="3" t="s">
        <v>5</v>
      </c>
      <c r="C64" s="16">
        <v>5</v>
      </c>
      <c r="D64" s="13">
        <v>-1</v>
      </c>
      <c r="E64" s="13">
        <v>1</v>
      </c>
      <c r="F64" s="13">
        <v>1</v>
      </c>
      <c r="G64" s="13">
        <v>1</v>
      </c>
      <c r="H64" s="13">
        <v>1</v>
      </c>
      <c r="I64" s="13">
        <v>1</v>
      </c>
      <c r="J64" s="9">
        <f t="shared" ref="J64:J72" si="79">6*I64+5*H64+4*G64+3*F64+2*E64+D64</f>
        <v>19</v>
      </c>
      <c r="K64" s="8">
        <v>193.05227272727271</v>
      </c>
      <c r="L64" s="3" t="s">
        <v>21</v>
      </c>
      <c r="M64" s="16">
        <v>4</v>
      </c>
      <c r="N64" s="13">
        <v>-1</v>
      </c>
      <c r="O64" s="13">
        <v>1</v>
      </c>
      <c r="P64" s="13">
        <v>1</v>
      </c>
      <c r="Q64" s="13">
        <v>-1</v>
      </c>
      <c r="R64" s="13">
        <v>1</v>
      </c>
      <c r="S64" s="13">
        <v>1</v>
      </c>
      <c r="T64" s="9">
        <f t="shared" ref="T64:T72" si="80">6*S64+5*R64+4*Q64+3*P64+2*O64+N64</f>
        <v>11</v>
      </c>
      <c r="U64" s="8">
        <v>197.63636363636354</v>
      </c>
      <c r="V64">
        <v>330.72272727272724</v>
      </c>
      <c r="W64">
        <v>281.10454545454542</v>
      </c>
      <c r="X64" s="3">
        <f t="shared" ref="X64:X72" si="81">V64/W64</f>
        <v>1.1765114887699497</v>
      </c>
      <c r="Y64" s="6">
        <f t="shared" ref="Y64:Y72" si="82">W64/V64</f>
        <v>0.84997045039101693</v>
      </c>
      <c r="Z64" s="6">
        <f t="shared" ref="Z64:Z72" si="83">((V64)^1.5/(W64)^1.5)*(172/2)-((W64)^1.5/(V64)^1.5)*(172/2)</f>
        <v>42.355657668788552</v>
      </c>
      <c r="AA64" s="2">
        <f t="shared" ref="AA64:AA72" si="84">(V64/W64)*(172/2)-(W64/V64)*(172/2)</f>
        <v>28.082529300588206</v>
      </c>
      <c r="AB64" s="6">
        <f t="shared" ref="AB64:AB72" si="85">-2*(172/(X64+1))+172</f>
        <v>13.948916063654309</v>
      </c>
      <c r="AC64" t="s">
        <v>54</v>
      </c>
      <c r="AD64" s="3" t="s">
        <v>72</v>
      </c>
      <c r="AG64" s="4">
        <v>16</v>
      </c>
    </row>
    <row r="65" spans="2:33" x14ac:dyDescent="0.25">
      <c r="B65" s="3" t="s">
        <v>6</v>
      </c>
      <c r="C65" s="16">
        <v>3</v>
      </c>
      <c r="D65" s="13">
        <v>-1</v>
      </c>
      <c r="E65" s="13">
        <v>-1</v>
      </c>
      <c r="F65" s="13">
        <v>1</v>
      </c>
      <c r="G65" s="13">
        <v>1</v>
      </c>
      <c r="H65" s="13">
        <v>1</v>
      </c>
      <c r="I65" s="13">
        <v>-1</v>
      </c>
      <c r="J65" s="9">
        <f t="shared" si="79"/>
        <v>3</v>
      </c>
      <c r="K65" s="8">
        <v>176.86956521739131</v>
      </c>
      <c r="L65" s="3" t="s">
        <v>22</v>
      </c>
      <c r="M65" s="16">
        <v>0</v>
      </c>
      <c r="N65" s="13">
        <v>-1</v>
      </c>
      <c r="O65" s="13">
        <v>-1</v>
      </c>
      <c r="P65" s="13">
        <v>-1</v>
      </c>
      <c r="Q65" s="13">
        <v>-1</v>
      </c>
      <c r="R65" s="13">
        <v>-1</v>
      </c>
      <c r="S65" s="13">
        <v>-1</v>
      </c>
      <c r="T65" s="9">
        <f t="shared" si="80"/>
        <v>-21</v>
      </c>
      <c r="U65" s="8">
        <v>181.86666666666665</v>
      </c>
      <c r="V65">
        <v>302.17727272727274</v>
      </c>
      <c r="W65">
        <v>223.15</v>
      </c>
      <c r="X65" s="3">
        <f t="shared" si="81"/>
        <v>1.35414417534068</v>
      </c>
      <c r="Y65" s="6">
        <f t="shared" si="82"/>
        <v>0.73847380375757754</v>
      </c>
      <c r="Z65" s="2">
        <f t="shared" si="83"/>
        <v>80.941710499689748</v>
      </c>
      <c r="AA65" s="6">
        <f t="shared" si="84"/>
        <v>52.947651956146807</v>
      </c>
      <c r="AB65" s="6">
        <f t="shared" si="85"/>
        <v>25.874710137403525</v>
      </c>
      <c r="AC65" t="s">
        <v>54</v>
      </c>
      <c r="AD65" s="3" t="s">
        <v>74</v>
      </c>
      <c r="AG65" s="7">
        <v>33</v>
      </c>
    </row>
    <row r="66" spans="2:33" x14ac:dyDescent="0.25">
      <c r="B66" s="3" t="s">
        <v>23</v>
      </c>
      <c r="C66" s="16">
        <v>4</v>
      </c>
      <c r="D66" s="13">
        <v>1</v>
      </c>
      <c r="E66" s="13">
        <v>1</v>
      </c>
      <c r="F66" s="13">
        <v>-1</v>
      </c>
      <c r="G66" s="13">
        <v>-1</v>
      </c>
      <c r="H66" s="13">
        <v>1</v>
      </c>
      <c r="I66" s="13">
        <v>1</v>
      </c>
      <c r="J66" s="9">
        <f t="shared" si="79"/>
        <v>7</v>
      </c>
      <c r="K66" s="8">
        <v>160.2755555555556</v>
      </c>
      <c r="L66" s="3" t="s">
        <v>11</v>
      </c>
      <c r="M66" s="16">
        <v>1</v>
      </c>
      <c r="N66" s="13">
        <v>-1</v>
      </c>
      <c r="O66" s="13">
        <v>-1</v>
      </c>
      <c r="P66" s="13">
        <v>-1</v>
      </c>
      <c r="Q66" s="13">
        <v>1</v>
      </c>
      <c r="R66" s="13">
        <v>-1</v>
      </c>
      <c r="S66" s="13">
        <v>-1</v>
      </c>
      <c r="T66" s="9">
        <f t="shared" si="80"/>
        <v>-13</v>
      </c>
      <c r="U66" s="8">
        <v>166.76590909090908</v>
      </c>
      <c r="V66">
        <v>229.10000000000002</v>
      </c>
      <c r="W66">
        <v>255.67272727272729</v>
      </c>
      <c r="X66" s="3">
        <f t="shared" si="81"/>
        <v>0.8960674157303371</v>
      </c>
      <c r="Y66" s="6">
        <f t="shared" si="82"/>
        <v>1.1159874608150471</v>
      </c>
      <c r="Z66" s="6">
        <f t="shared" si="83"/>
        <v>-28.440859362294361</v>
      </c>
      <c r="AA66" s="3">
        <f t="shared" si="84"/>
        <v>-18.913123877285059</v>
      </c>
      <c r="AB66" s="2">
        <f t="shared" si="85"/>
        <v>-9.4281481481481251</v>
      </c>
      <c r="AC66" t="s">
        <v>52</v>
      </c>
      <c r="AD66" s="3" t="s">
        <v>72</v>
      </c>
      <c r="AG66" s="7">
        <v>-39</v>
      </c>
    </row>
    <row r="67" spans="2:33" x14ac:dyDescent="0.25">
      <c r="B67" s="3" t="s">
        <v>24</v>
      </c>
      <c r="C67" s="16">
        <v>3</v>
      </c>
      <c r="D67" s="13">
        <v>-1</v>
      </c>
      <c r="E67" s="13">
        <v>-1</v>
      </c>
      <c r="F67" s="13">
        <v>1</v>
      </c>
      <c r="G67" s="13">
        <v>-1</v>
      </c>
      <c r="H67" s="13">
        <v>1</v>
      </c>
      <c r="I67" s="13">
        <v>1</v>
      </c>
      <c r="J67" s="9">
        <f t="shared" si="79"/>
        <v>7</v>
      </c>
      <c r="K67" s="8">
        <v>185.68636363636364</v>
      </c>
      <c r="L67" s="3" t="s">
        <v>30</v>
      </c>
      <c r="M67" s="16">
        <v>5</v>
      </c>
      <c r="N67" s="13">
        <v>1</v>
      </c>
      <c r="O67" s="13">
        <v>-1</v>
      </c>
      <c r="P67" s="13">
        <v>1</v>
      </c>
      <c r="Q67" s="13">
        <v>1</v>
      </c>
      <c r="R67" s="13">
        <v>1</v>
      </c>
      <c r="S67" s="13">
        <v>1</v>
      </c>
      <c r="T67" s="9">
        <f t="shared" si="80"/>
        <v>17</v>
      </c>
      <c r="U67" s="8">
        <v>199.21555555555562</v>
      </c>
      <c r="V67">
        <v>281.07272727272726</v>
      </c>
      <c r="W67">
        <v>323.29090909090911</v>
      </c>
      <c r="X67" s="3">
        <f t="shared" si="81"/>
        <v>0.86941116922557782</v>
      </c>
      <c r="Y67" s="6">
        <f t="shared" si="82"/>
        <v>1.1502037647972057</v>
      </c>
      <c r="Z67" s="6">
        <f t="shared" si="83"/>
        <v>-36.370011774903048</v>
      </c>
      <c r="AA67" s="2">
        <f t="shared" si="84"/>
        <v>-24.148163219159997</v>
      </c>
      <c r="AB67" s="6">
        <f t="shared" si="85"/>
        <v>-12.015162454873632</v>
      </c>
      <c r="AC67" t="s">
        <v>63</v>
      </c>
      <c r="AD67" s="20" t="s">
        <v>83</v>
      </c>
      <c r="AE67" s="20"/>
      <c r="AG67" s="7">
        <v>75</v>
      </c>
    </row>
    <row r="68" spans="2:33" x14ac:dyDescent="0.25">
      <c r="B68" s="3" t="s">
        <v>19</v>
      </c>
      <c r="C68" s="16">
        <v>2</v>
      </c>
      <c r="D68" s="13">
        <v>-1</v>
      </c>
      <c r="E68" s="13">
        <v>1</v>
      </c>
      <c r="F68" s="13">
        <v>-1</v>
      </c>
      <c r="G68" s="13">
        <v>-1</v>
      </c>
      <c r="H68" s="13">
        <v>-1</v>
      </c>
      <c r="I68" s="13">
        <v>-1</v>
      </c>
      <c r="J68" s="9">
        <f t="shared" si="79"/>
        <v>-17</v>
      </c>
      <c r="K68" s="8">
        <v>178.64090909090913</v>
      </c>
      <c r="L68" s="3" t="s">
        <v>10</v>
      </c>
      <c r="M68" s="16">
        <v>3</v>
      </c>
      <c r="N68" s="13">
        <v>1</v>
      </c>
      <c r="O68" s="13">
        <v>1</v>
      </c>
      <c r="P68" s="13">
        <v>-1</v>
      </c>
      <c r="Q68" s="13">
        <v>1</v>
      </c>
      <c r="R68" s="13">
        <v>-1</v>
      </c>
      <c r="S68" s="13">
        <v>-1</v>
      </c>
      <c r="T68" s="9">
        <f t="shared" si="80"/>
        <v>-7</v>
      </c>
      <c r="U68" s="8">
        <v>207.05</v>
      </c>
      <c r="V68">
        <v>256.17727272727274</v>
      </c>
      <c r="W68">
        <v>252.45454545454547</v>
      </c>
      <c r="X68" s="3">
        <f t="shared" si="81"/>
        <v>1.0147461289160964</v>
      </c>
      <c r="Y68" s="6">
        <f t="shared" si="82"/>
        <v>0.98546815947763444</v>
      </c>
      <c r="Z68" s="6">
        <f t="shared" si="83"/>
        <v>3.7770266662432022</v>
      </c>
      <c r="AA68" s="3">
        <f t="shared" si="84"/>
        <v>2.5179053717077267</v>
      </c>
      <c r="AB68" s="2">
        <f t="shared" si="85"/>
        <v>1.2588852447295835</v>
      </c>
      <c r="AC68" t="s">
        <v>58</v>
      </c>
      <c r="AD68" s="20" t="s">
        <v>83</v>
      </c>
      <c r="AE68" s="20"/>
      <c r="AG68" s="4">
        <v>-35</v>
      </c>
    </row>
    <row r="69" spans="2:33" x14ac:dyDescent="0.25">
      <c r="B69" s="3" t="s">
        <v>29</v>
      </c>
      <c r="C69" s="16">
        <v>5</v>
      </c>
      <c r="D69" s="13">
        <v>1</v>
      </c>
      <c r="E69" s="13">
        <v>1</v>
      </c>
      <c r="F69" s="13">
        <v>-1</v>
      </c>
      <c r="G69" s="13">
        <v>1</v>
      </c>
      <c r="H69" s="13">
        <v>1</v>
      </c>
      <c r="I69" s="13">
        <v>1</v>
      </c>
      <c r="J69" s="9">
        <f t="shared" si="79"/>
        <v>15</v>
      </c>
      <c r="K69" s="8">
        <v>179.8088888888889</v>
      </c>
      <c r="L69" s="3" t="s">
        <v>13</v>
      </c>
      <c r="M69" s="16">
        <v>3</v>
      </c>
      <c r="N69" s="13">
        <v>-1</v>
      </c>
      <c r="O69" s="13">
        <v>1</v>
      </c>
      <c r="P69" s="13">
        <v>1</v>
      </c>
      <c r="Q69" s="13">
        <v>1</v>
      </c>
      <c r="R69" s="13">
        <v>-1</v>
      </c>
      <c r="S69" s="13">
        <v>-1</v>
      </c>
      <c r="T69" s="9">
        <f t="shared" si="80"/>
        <v>-3</v>
      </c>
      <c r="U69" s="8">
        <v>182.26666666666668</v>
      </c>
      <c r="V69">
        <v>291.19090909090903</v>
      </c>
      <c r="W69">
        <v>228.4045454545454</v>
      </c>
      <c r="X69" s="3">
        <f t="shared" si="81"/>
        <v>1.2748910426078131</v>
      </c>
      <c r="Y69" s="6">
        <f t="shared" si="82"/>
        <v>0.78438075614248692</v>
      </c>
      <c r="Z69" s="2">
        <f t="shared" si="83"/>
        <v>64.053161180824844</v>
      </c>
      <c r="AA69" s="6">
        <f t="shared" si="84"/>
        <v>42.18388463601805</v>
      </c>
      <c r="AB69" s="6">
        <f t="shared" si="85"/>
        <v>20.783966547401377</v>
      </c>
      <c r="AC69" t="s">
        <v>54</v>
      </c>
      <c r="AD69" s="3" t="s">
        <v>74</v>
      </c>
      <c r="AG69" s="4">
        <v>120</v>
      </c>
    </row>
    <row r="70" spans="2:33" x14ac:dyDescent="0.25">
      <c r="B70" s="3" t="s">
        <v>28</v>
      </c>
      <c r="C70" s="16">
        <v>3</v>
      </c>
      <c r="D70" s="13">
        <v>1</v>
      </c>
      <c r="E70" s="13">
        <v>-1</v>
      </c>
      <c r="F70" s="13">
        <v>-1</v>
      </c>
      <c r="G70" s="13">
        <v>-1</v>
      </c>
      <c r="H70" s="13">
        <v>1</v>
      </c>
      <c r="I70" s="13">
        <v>1</v>
      </c>
      <c r="J70" s="9">
        <f t="shared" si="79"/>
        <v>3</v>
      </c>
      <c r="K70" s="8">
        <v>159.41063829787231</v>
      </c>
      <c r="L70" s="3" t="s">
        <v>25</v>
      </c>
      <c r="M70" s="16">
        <v>4</v>
      </c>
      <c r="N70" s="13">
        <v>-1</v>
      </c>
      <c r="O70" s="13">
        <v>1</v>
      </c>
      <c r="P70" s="13">
        <v>1</v>
      </c>
      <c r="Q70" s="13">
        <v>1</v>
      </c>
      <c r="R70" s="13">
        <v>-1</v>
      </c>
      <c r="S70" s="13">
        <v>1</v>
      </c>
      <c r="T70" s="9">
        <f t="shared" si="80"/>
        <v>9</v>
      </c>
      <c r="U70" s="8">
        <v>174.6978260869565</v>
      </c>
      <c r="V70">
        <v>258.54090909090911</v>
      </c>
      <c r="W70">
        <v>277.18636363636364</v>
      </c>
      <c r="X70" s="3">
        <f t="shared" si="81"/>
        <v>0.93273314638985916</v>
      </c>
      <c r="Y70" s="6">
        <f t="shared" si="82"/>
        <v>1.0721180048875683</v>
      </c>
      <c r="Z70" s="6">
        <f t="shared" si="83"/>
        <v>-17.998811296328654</v>
      </c>
      <c r="AA70" s="6">
        <f t="shared" si="84"/>
        <v>-11.987097830802981</v>
      </c>
      <c r="AB70" s="2">
        <f t="shared" si="85"/>
        <v>-5.9862888172407906</v>
      </c>
      <c r="AC70" t="s">
        <v>63</v>
      </c>
      <c r="AD70" s="20" t="s">
        <v>83</v>
      </c>
      <c r="AE70" s="20"/>
      <c r="AG70" s="4">
        <v>-3</v>
      </c>
    </row>
    <row r="71" spans="2:33" x14ac:dyDescent="0.25">
      <c r="B71" s="3" t="s">
        <v>27</v>
      </c>
      <c r="C71" s="16">
        <v>3</v>
      </c>
      <c r="D71" s="13">
        <v>-1</v>
      </c>
      <c r="E71" s="13">
        <v>1</v>
      </c>
      <c r="F71" s="13">
        <v>-1</v>
      </c>
      <c r="G71" s="13">
        <v>1</v>
      </c>
      <c r="H71" s="13">
        <v>1</v>
      </c>
      <c r="I71" s="13">
        <v>-1</v>
      </c>
      <c r="J71" s="9">
        <f t="shared" si="79"/>
        <v>1</v>
      </c>
      <c r="K71" s="8">
        <v>202.86888888888893</v>
      </c>
      <c r="L71" s="3" t="s">
        <v>26</v>
      </c>
      <c r="M71" s="16">
        <v>2</v>
      </c>
      <c r="N71" s="13">
        <v>-1</v>
      </c>
      <c r="O71" s="13">
        <v>-1</v>
      </c>
      <c r="P71" s="13">
        <v>1</v>
      </c>
      <c r="Q71" s="13">
        <v>-1</v>
      </c>
      <c r="R71" s="13">
        <v>-1</v>
      </c>
      <c r="S71" s="13">
        <v>1</v>
      </c>
      <c r="T71" s="9">
        <f t="shared" si="80"/>
        <v>-3</v>
      </c>
      <c r="U71" s="8">
        <v>198.6217391304348</v>
      </c>
      <c r="V71">
        <v>349.94545454545454</v>
      </c>
      <c r="W71">
        <v>248.67727272727268</v>
      </c>
      <c r="X71" s="3">
        <f t="shared" si="81"/>
        <v>1.4072273300553841</v>
      </c>
      <c r="Y71" s="6">
        <f t="shared" si="82"/>
        <v>0.71061723905024143</v>
      </c>
      <c r="Z71" s="2">
        <f t="shared" si="83"/>
        <v>92.046588831314651</v>
      </c>
      <c r="AA71" s="6">
        <f t="shared" si="84"/>
        <v>59.908467826442269</v>
      </c>
      <c r="AB71" s="6">
        <f t="shared" si="85"/>
        <v>29.097002968936295</v>
      </c>
      <c r="AC71" t="s">
        <v>54</v>
      </c>
      <c r="AD71" s="3" t="s">
        <v>74</v>
      </c>
      <c r="AG71" s="4">
        <v>62</v>
      </c>
    </row>
    <row r="72" spans="2:33" x14ac:dyDescent="0.25">
      <c r="B72" s="3" t="s">
        <v>20</v>
      </c>
      <c r="C72" s="16">
        <v>1</v>
      </c>
      <c r="D72" s="13">
        <v>-1</v>
      </c>
      <c r="E72" s="13">
        <v>-1</v>
      </c>
      <c r="F72" s="13">
        <v>-1</v>
      </c>
      <c r="G72" s="13">
        <v>-1</v>
      </c>
      <c r="H72" s="13">
        <v>-1</v>
      </c>
      <c r="I72" s="13">
        <v>1</v>
      </c>
      <c r="J72" s="9">
        <f t="shared" si="79"/>
        <v>-9</v>
      </c>
      <c r="K72" s="8">
        <v>136.45869565217393</v>
      </c>
      <c r="L72" s="3" t="s">
        <v>12</v>
      </c>
      <c r="M72" s="16">
        <v>2</v>
      </c>
      <c r="N72" s="13">
        <v>1</v>
      </c>
      <c r="O72" s="13">
        <v>-1</v>
      </c>
      <c r="P72" s="13">
        <v>1</v>
      </c>
      <c r="Q72" s="13">
        <v>-1</v>
      </c>
      <c r="R72" s="13">
        <v>-1</v>
      </c>
      <c r="S72" s="13">
        <v>-1</v>
      </c>
      <c r="T72" s="9">
        <f t="shared" si="80"/>
        <v>-13</v>
      </c>
      <c r="U72" s="8">
        <v>158.20545454545456</v>
      </c>
      <c r="V72">
        <v>201.02272727272728</v>
      </c>
      <c r="W72">
        <v>169.89545454545458</v>
      </c>
      <c r="X72" s="3">
        <f t="shared" si="81"/>
        <v>1.1832142761591351</v>
      </c>
      <c r="Y72" s="6">
        <f t="shared" si="82"/>
        <v>0.84515545505935574</v>
      </c>
      <c r="Z72" s="6">
        <f t="shared" si="83"/>
        <v>43.866699394581858</v>
      </c>
      <c r="AA72" s="24">
        <f t="shared" si="84"/>
        <v>29.073058614581015</v>
      </c>
      <c r="AB72" s="6">
        <f t="shared" si="85"/>
        <v>14.434156025587583</v>
      </c>
      <c r="AC72" t="s">
        <v>55</v>
      </c>
      <c r="AD72" s="3" t="s">
        <v>72</v>
      </c>
      <c r="AG72" s="4">
        <v>15</v>
      </c>
    </row>
    <row r="75" spans="2:33" x14ac:dyDescent="0.25">
      <c r="B75" s="3" t="s">
        <v>19</v>
      </c>
      <c r="C75" s="16">
        <v>1</v>
      </c>
      <c r="D75" s="13">
        <v>1</v>
      </c>
      <c r="E75" s="13">
        <v>-1</v>
      </c>
      <c r="F75" s="13">
        <v>-1</v>
      </c>
      <c r="G75" s="13">
        <v>-1</v>
      </c>
      <c r="H75" s="13">
        <v>-1</v>
      </c>
      <c r="I75" s="13">
        <v>-1</v>
      </c>
      <c r="J75" s="9">
        <f t="shared" ref="J75:J83" si="86">6*I75+5*H75+4*G75+3*F75+2*E75+D75</f>
        <v>-19</v>
      </c>
      <c r="K75" s="8">
        <v>178.64090909090913</v>
      </c>
      <c r="L75" s="3" t="s">
        <v>30</v>
      </c>
      <c r="M75" s="16">
        <v>4</v>
      </c>
      <c r="N75" s="13">
        <v>-1</v>
      </c>
      <c r="O75" s="13">
        <v>1</v>
      </c>
      <c r="P75" s="13">
        <v>1</v>
      </c>
      <c r="Q75" s="13">
        <v>1</v>
      </c>
      <c r="R75" s="13">
        <v>1</v>
      </c>
      <c r="S75" s="13">
        <v>-1</v>
      </c>
      <c r="T75" s="9">
        <f t="shared" ref="T75:T83" si="87">6*S75+5*R75+4*Q75+3*P75+2*O75+N75</f>
        <v>7</v>
      </c>
      <c r="U75" s="8">
        <v>199.21555555555562</v>
      </c>
      <c r="V75">
        <v>236.66818181818181</v>
      </c>
      <c r="W75">
        <v>295.01818181818186</v>
      </c>
      <c r="X75" s="3">
        <f t="shared" ref="X75:X83" si="88">V75/W75</f>
        <v>0.80221557993344006</v>
      </c>
      <c r="Y75" s="3">
        <f t="shared" ref="Y75:Y83" si="89">W75/V75</f>
        <v>1.2465477173641657</v>
      </c>
      <c r="Z75" s="2">
        <f t="shared" ref="Z75:Z83" si="90">((V75)^1.5/(W75)^1.5)*(172/2)-((W75)^1.5/(V75)^1.5)*(172/2)</f>
        <v>-57.898683771010262</v>
      </c>
      <c r="AA75" s="2">
        <f t="shared" ref="AA75:AA83" si="91">(V75/W75)*(172/2)-(W75/V75)*(172/2)</f>
        <v>-38.212563819042416</v>
      </c>
      <c r="AB75" s="6">
        <f t="shared" ref="AB75:AB83" si="92">-2*(172/(X75+1))+172</f>
        <v>-18.876165887271213</v>
      </c>
      <c r="AC75" t="s">
        <v>63</v>
      </c>
      <c r="AD75" s="20" t="s">
        <v>91</v>
      </c>
      <c r="AE75" s="20"/>
      <c r="AG75" s="4">
        <v>-46</v>
      </c>
    </row>
    <row r="76" spans="2:33" x14ac:dyDescent="0.25">
      <c r="B76" s="3" t="s">
        <v>26</v>
      </c>
      <c r="C76" s="16">
        <v>2</v>
      </c>
      <c r="D76" s="13">
        <v>-1</v>
      </c>
      <c r="E76" s="13">
        <v>1</v>
      </c>
      <c r="F76" s="13">
        <v>-1</v>
      </c>
      <c r="G76" s="13">
        <v>-1</v>
      </c>
      <c r="H76" s="13">
        <v>1</v>
      </c>
      <c r="I76" s="13">
        <v>-1</v>
      </c>
      <c r="J76" s="9">
        <f t="shared" si="86"/>
        <v>-7</v>
      </c>
      <c r="K76" s="8">
        <v>198.6217391304348</v>
      </c>
      <c r="L76" s="3" t="s">
        <v>20</v>
      </c>
      <c r="M76" s="16">
        <v>2</v>
      </c>
      <c r="N76" s="13">
        <v>-1</v>
      </c>
      <c r="O76" s="13">
        <v>-1</v>
      </c>
      <c r="P76" s="13">
        <v>-1</v>
      </c>
      <c r="Q76" s="13">
        <v>-1</v>
      </c>
      <c r="R76" s="13">
        <v>1</v>
      </c>
      <c r="S76" s="13">
        <v>1</v>
      </c>
      <c r="T76" s="9">
        <f t="shared" si="87"/>
        <v>1</v>
      </c>
      <c r="U76" s="8">
        <v>136.45869565217393</v>
      </c>
      <c r="V76">
        <v>244.06363636363633</v>
      </c>
      <c r="W76">
        <v>225.45909090909092</v>
      </c>
      <c r="X76" s="3">
        <f t="shared" si="88"/>
        <v>1.082518497610935</v>
      </c>
      <c r="Y76" s="3">
        <f t="shared" si="89"/>
        <v>0.92377174358401326</v>
      </c>
      <c r="Z76" s="3">
        <f t="shared" si="90"/>
        <v>20.50515268947602</v>
      </c>
      <c r="AA76" s="3">
        <f t="shared" si="91"/>
        <v>13.652220846315259</v>
      </c>
      <c r="AB76" s="2">
        <f t="shared" si="92"/>
        <v>6.815392807009033</v>
      </c>
      <c r="AC76" t="s">
        <v>52</v>
      </c>
      <c r="AD76" s="3" t="s">
        <v>72</v>
      </c>
      <c r="AG76" s="7">
        <v>-15</v>
      </c>
    </row>
    <row r="77" spans="2:33" x14ac:dyDescent="0.25">
      <c r="B77" s="3" t="s">
        <v>29</v>
      </c>
      <c r="C77" s="16">
        <v>5</v>
      </c>
      <c r="D77" s="13">
        <v>1</v>
      </c>
      <c r="E77" s="13">
        <v>-1</v>
      </c>
      <c r="F77" s="13">
        <v>1</v>
      </c>
      <c r="G77" s="13">
        <v>1</v>
      </c>
      <c r="H77" s="13">
        <v>1</v>
      </c>
      <c r="I77" s="13">
        <v>1</v>
      </c>
      <c r="J77" s="9">
        <f t="shared" si="86"/>
        <v>17</v>
      </c>
      <c r="K77" s="8">
        <v>179.8088888888889</v>
      </c>
      <c r="L77" s="3" t="s">
        <v>27</v>
      </c>
      <c r="M77" s="16">
        <v>4</v>
      </c>
      <c r="N77" s="13">
        <v>1</v>
      </c>
      <c r="O77" s="13">
        <v>-1</v>
      </c>
      <c r="P77" s="13">
        <v>1</v>
      </c>
      <c r="Q77" s="13">
        <v>1</v>
      </c>
      <c r="R77" s="13">
        <v>-1</v>
      </c>
      <c r="S77" s="13">
        <v>1</v>
      </c>
      <c r="T77" s="9">
        <f t="shared" si="87"/>
        <v>7</v>
      </c>
      <c r="U77" s="8">
        <v>202.86888888888893</v>
      </c>
      <c r="V77">
        <v>304.84090909090907</v>
      </c>
      <c r="W77">
        <v>354.5272727272727</v>
      </c>
      <c r="X77" s="3">
        <f t="shared" si="88"/>
        <v>0.85985178727114209</v>
      </c>
      <c r="Y77" s="3">
        <f t="shared" si="89"/>
        <v>1.1629911280101395</v>
      </c>
      <c r="Z77" s="3">
        <f t="shared" si="90"/>
        <v>-39.290702606362174</v>
      </c>
      <c r="AA77" s="2">
        <f t="shared" si="91"/>
        <v>-26.069983303553784</v>
      </c>
      <c r="AB77" s="6">
        <f t="shared" si="92"/>
        <v>-12.96097503808744</v>
      </c>
      <c r="AC77" t="s">
        <v>55</v>
      </c>
      <c r="AD77" s="20" t="s">
        <v>72</v>
      </c>
      <c r="AE77" s="20"/>
      <c r="AG77" s="7">
        <v>44</v>
      </c>
    </row>
    <row r="78" spans="2:33" x14ac:dyDescent="0.25">
      <c r="B78" s="3" t="s">
        <v>25</v>
      </c>
      <c r="C78" s="16">
        <v>5</v>
      </c>
      <c r="D78" s="13">
        <v>1</v>
      </c>
      <c r="E78" s="13">
        <v>1</v>
      </c>
      <c r="F78" s="13">
        <v>1</v>
      </c>
      <c r="G78" s="13">
        <v>-1</v>
      </c>
      <c r="H78" s="13">
        <v>1</v>
      </c>
      <c r="I78" s="13">
        <v>1</v>
      </c>
      <c r="J78" s="9">
        <f t="shared" si="86"/>
        <v>13</v>
      </c>
      <c r="K78" s="8">
        <v>174.6978260869565</v>
      </c>
      <c r="L78" s="3" t="s">
        <v>12</v>
      </c>
      <c r="M78" s="16">
        <v>1</v>
      </c>
      <c r="N78" s="13">
        <v>-1</v>
      </c>
      <c r="O78" s="13">
        <v>1</v>
      </c>
      <c r="P78" s="13">
        <v>-1</v>
      </c>
      <c r="Q78" s="13">
        <v>-1</v>
      </c>
      <c r="R78" s="13">
        <v>-1</v>
      </c>
      <c r="S78" s="13">
        <v>-1</v>
      </c>
      <c r="T78" s="9">
        <f t="shared" si="87"/>
        <v>-17</v>
      </c>
      <c r="U78" s="8">
        <v>158.20545454545456</v>
      </c>
      <c r="V78">
        <v>290.62272727272733</v>
      </c>
      <c r="W78">
        <v>175.82272727272732</v>
      </c>
      <c r="X78" s="3">
        <f t="shared" si="88"/>
        <v>1.6529303792559653</v>
      </c>
      <c r="Y78" s="3">
        <f t="shared" si="89"/>
        <v>0.60498615824952695</v>
      </c>
      <c r="Z78" s="2">
        <f t="shared" si="90"/>
        <v>142.29118636490142</v>
      </c>
      <c r="AA78" s="3">
        <f t="shared" si="91"/>
        <v>90.123203006553709</v>
      </c>
      <c r="AB78" s="6">
        <f t="shared" si="92"/>
        <v>42.332066499054747</v>
      </c>
      <c r="AC78" t="s">
        <v>53</v>
      </c>
      <c r="AD78" s="3" t="s">
        <v>74</v>
      </c>
      <c r="AG78" s="4">
        <v>81</v>
      </c>
    </row>
    <row r="79" spans="2:33" x14ac:dyDescent="0.25">
      <c r="B79" s="3" t="s">
        <v>13</v>
      </c>
      <c r="C79" s="16">
        <v>3</v>
      </c>
      <c r="D79" s="13">
        <v>1</v>
      </c>
      <c r="E79" s="13">
        <v>1</v>
      </c>
      <c r="F79" s="13">
        <v>1</v>
      </c>
      <c r="G79" s="13">
        <v>-1</v>
      </c>
      <c r="H79" s="13">
        <v>-1</v>
      </c>
      <c r="I79" s="13">
        <v>-1</v>
      </c>
      <c r="J79" s="9">
        <f t="shared" si="86"/>
        <v>-9</v>
      </c>
      <c r="K79" s="8">
        <v>182.26666666666668</v>
      </c>
      <c r="L79" s="3" t="s">
        <v>23</v>
      </c>
      <c r="M79" s="16">
        <v>3</v>
      </c>
      <c r="N79" s="13">
        <v>1</v>
      </c>
      <c r="O79" s="13">
        <v>-1</v>
      </c>
      <c r="P79" s="13">
        <v>-1</v>
      </c>
      <c r="Q79" s="13">
        <v>1</v>
      </c>
      <c r="R79" s="13">
        <v>1</v>
      </c>
      <c r="S79" s="13">
        <v>-1</v>
      </c>
      <c r="T79" s="9">
        <f t="shared" si="87"/>
        <v>-1</v>
      </c>
      <c r="U79" s="8">
        <v>160.2755555555556</v>
      </c>
      <c r="V79">
        <v>226.26363636363632</v>
      </c>
      <c r="W79">
        <v>210.95909090909092</v>
      </c>
      <c r="X79" s="3">
        <f t="shared" si="88"/>
        <v>1.0725474564219686</v>
      </c>
      <c r="Y79" s="3">
        <f t="shared" si="89"/>
        <v>0.93235967696572808</v>
      </c>
      <c r="Z79" s="3">
        <f t="shared" si="90"/>
        <v>18.10270347148051</v>
      </c>
      <c r="AA79" s="3">
        <f t="shared" si="91"/>
        <v>12.056149033236679</v>
      </c>
      <c r="AB79" s="2">
        <f t="shared" si="92"/>
        <v>6.0206884363076654</v>
      </c>
      <c r="AC79" t="s">
        <v>52</v>
      </c>
      <c r="AD79" s="3" t="s">
        <v>72</v>
      </c>
      <c r="AG79" s="7">
        <v>-73</v>
      </c>
    </row>
    <row r="80" spans="2:33" x14ac:dyDescent="0.25">
      <c r="B80" s="3" t="s">
        <v>22</v>
      </c>
      <c r="C80" s="16">
        <v>0</v>
      </c>
      <c r="D80" s="13">
        <v>-1</v>
      </c>
      <c r="E80" s="13">
        <v>-1</v>
      </c>
      <c r="F80" s="13">
        <v>-1</v>
      </c>
      <c r="G80" s="13">
        <v>-1</v>
      </c>
      <c r="H80" s="13">
        <v>-1</v>
      </c>
      <c r="I80" s="13">
        <v>-1</v>
      </c>
      <c r="J80" s="9">
        <f t="shared" si="86"/>
        <v>-21</v>
      </c>
      <c r="K80" s="8">
        <v>181.86666666666665</v>
      </c>
      <c r="L80" s="3" t="s">
        <v>24</v>
      </c>
      <c r="M80" s="16">
        <v>4</v>
      </c>
      <c r="N80" s="13">
        <v>-1</v>
      </c>
      <c r="O80" s="13">
        <v>1</v>
      </c>
      <c r="P80" s="13">
        <v>-1</v>
      </c>
      <c r="Q80" s="13">
        <v>1</v>
      </c>
      <c r="R80" s="13">
        <v>1</v>
      </c>
      <c r="S80" s="13">
        <v>1</v>
      </c>
      <c r="T80" s="9">
        <f t="shared" si="87"/>
        <v>13</v>
      </c>
      <c r="U80" s="8">
        <v>185.68636363636364</v>
      </c>
      <c r="V80">
        <v>237.68636363636361</v>
      </c>
      <c r="W80">
        <v>281.07272727272726</v>
      </c>
      <c r="X80" s="3">
        <f t="shared" si="88"/>
        <v>0.84564008021217407</v>
      </c>
      <c r="Y80" s="3">
        <f t="shared" si="89"/>
        <v>1.1825361916964678</v>
      </c>
      <c r="Z80" s="3">
        <f t="shared" si="90"/>
        <v>-43.714082563721178</v>
      </c>
      <c r="AA80" s="2">
        <f t="shared" si="91"/>
        <v>-28.973065587649259</v>
      </c>
      <c r="AB80" s="6">
        <f t="shared" si="92"/>
        <v>-14.385202449902295</v>
      </c>
      <c r="AC80" t="s">
        <v>58</v>
      </c>
      <c r="AD80" s="20" t="s">
        <v>83</v>
      </c>
      <c r="AE80" s="20"/>
      <c r="AG80" s="4">
        <v>-18</v>
      </c>
    </row>
    <row r="81" spans="2:33" x14ac:dyDescent="0.25">
      <c r="B81" s="3" t="s">
        <v>21</v>
      </c>
      <c r="C81" s="16">
        <v>4</v>
      </c>
      <c r="D81" s="13">
        <v>1</v>
      </c>
      <c r="E81" s="13">
        <v>1</v>
      </c>
      <c r="F81" s="13">
        <v>-1</v>
      </c>
      <c r="G81" s="13">
        <v>1</v>
      </c>
      <c r="H81" s="13">
        <v>1</v>
      </c>
      <c r="I81" s="13">
        <v>-1</v>
      </c>
      <c r="J81" s="9">
        <f t="shared" si="86"/>
        <v>3</v>
      </c>
      <c r="K81" s="8">
        <v>197.63636363636354</v>
      </c>
      <c r="L81" s="3" t="s">
        <v>6</v>
      </c>
      <c r="M81" s="16">
        <v>4</v>
      </c>
      <c r="N81" s="13">
        <v>-1</v>
      </c>
      <c r="O81" s="13">
        <v>1</v>
      </c>
      <c r="P81" s="13">
        <v>1</v>
      </c>
      <c r="Q81" s="13">
        <v>1</v>
      </c>
      <c r="R81" s="13">
        <v>-1</v>
      </c>
      <c r="S81" s="13">
        <v>1</v>
      </c>
      <c r="T81" s="9">
        <f t="shared" si="87"/>
        <v>9</v>
      </c>
      <c r="U81" s="8">
        <v>176.86956521739131</v>
      </c>
      <c r="V81">
        <v>269.63636363636363</v>
      </c>
      <c r="W81">
        <v>294.72727272727275</v>
      </c>
      <c r="X81" s="3">
        <f t="shared" si="88"/>
        <v>0.91486736582356565</v>
      </c>
      <c r="Y81" s="3">
        <f t="shared" si="89"/>
        <v>1.0930546190155093</v>
      </c>
      <c r="Z81" s="3">
        <f t="shared" si="90"/>
        <v>-23.024066060299788</v>
      </c>
      <c r="AA81" s="3">
        <f t="shared" si="91"/>
        <v>-15.324103774507151</v>
      </c>
      <c r="AB81" s="2">
        <f t="shared" si="92"/>
        <v>-7.6469072164948386</v>
      </c>
      <c r="AC81" t="s">
        <v>64</v>
      </c>
      <c r="AD81" s="3" t="s">
        <v>72</v>
      </c>
      <c r="AG81" s="4">
        <v>15</v>
      </c>
    </row>
    <row r="82" spans="2:33" x14ac:dyDescent="0.25">
      <c r="B82" s="3" t="s">
        <v>11</v>
      </c>
      <c r="C82" s="16">
        <v>2</v>
      </c>
      <c r="D82" s="13">
        <v>-1</v>
      </c>
      <c r="E82" s="13">
        <v>-1</v>
      </c>
      <c r="F82" s="13">
        <v>1</v>
      </c>
      <c r="G82" s="13">
        <v>-1</v>
      </c>
      <c r="H82" s="13">
        <v>-1</v>
      </c>
      <c r="I82" s="13">
        <v>1</v>
      </c>
      <c r="J82" s="9">
        <f t="shared" si="86"/>
        <v>-3</v>
      </c>
      <c r="K82" s="8">
        <v>166.76590909090908</v>
      </c>
      <c r="L82" s="3" t="s">
        <v>5</v>
      </c>
      <c r="M82" s="16">
        <v>6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9">
        <f t="shared" si="87"/>
        <v>21</v>
      </c>
      <c r="U82" s="8">
        <v>193.05227272727271</v>
      </c>
      <c r="V82">
        <v>235.37200000000001</v>
      </c>
      <c r="W82">
        <v>292.45599999999996</v>
      </c>
      <c r="X82" s="3">
        <f t="shared" si="88"/>
        <v>0.80481166397680348</v>
      </c>
      <c r="Y82" s="3">
        <f t="shared" si="89"/>
        <v>1.2425267236544701</v>
      </c>
      <c r="Z82" s="2">
        <f t="shared" si="90"/>
        <v>-57.019822964716965</v>
      </c>
      <c r="AA82" s="3">
        <f t="shared" si="91"/>
        <v>-37.643495132279327</v>
      </c>
      <c r="AB82" s="6">
        <f t="shared" si="92"/>
        <v>-18.601605068317696</v>
      </c>
      <c r="AC82" t="s">
        <v>63</v>
      </c>
      <c r="AD82" s="20" t="s">
        <v>91</v>
      </c>
      <c r="AE82" s="20"/>
      <c r="AF82" s="3">
        <v>2.75</v>
      </c>
      <c r="AG82" s="7">
        <v>-7</v>
      </c>
    </row>
    <row r="83" spans="2:33" x14ac:dyDescent="0.25">
      <c r="B83" s="3" t="s">
        <v>10</v>
      </c>
      <c r="C83" s="16">
        <v>3</v>
      </c>
      <c r="D83" s="13">
        <v>1</v>
      </c>
      <c r="E83" s="13">
        <v>-1</v>
      </c>
      <c r="F83" s="13">
        <v>1</v>
      </c>
      <c r="G83" s="13">
        <v>-1</v>
      </c>
      <c r="H83" s="13">
        <v>-1</v>
      </c>
      <c r="I83" s="13">
        <v>1</v>
      </c>
      <c r="J83" s="9">
        <f t="shared" si="86"/>
        <v>-1</v>
      </c>
      <c r="K83" s="8">
        <v>207.05</v>
      </c>
      <c r="L83" s="3" t="s">
        <v>28</v>
      </c>
      <c r="M83" s="16">
        <v>2</v>
      </c>
      <c r="N83" s="13">
        <v>-1</v>
      </c>
      <c r="O83" s="13">
        <v>-1</v>
      </c>
      <c r="P83" s="13">
        <v>-1</v>
      </c>
      <c r="Q83" s="13">
        <v>1</v>
      </c>
      <c r="R83" s="13">
        <v>1</v>
      </c>
      <c r="S83" s="13">
        <v>-1</v>
      </c>
      <c r="T83" s="9">
        <f t="shared" si="87"/>
        <v>-3</v>
      </c>
      <c r="U83" s="8">
        <v>159.41063829787231</v>
      </c>
      <c r="V83">
        <v>257.19599999999997</v>
      </c>
      <c r="W83">
        <v>253.7</v>
      </c>
      <c r="X83" s="3">
        <f t="shared" si="88"/>
        <v>1.0137800551832872</v>
      </c>
      <c r="Y83" s="3">
        <f t="shared" si="89"/>
        <v>0.98640725361203141</v>
      </c>
      <c r="Z83" s="3">
        <f t="shared" si="90"/>
        <v>3.531229193033198</v>
      </c>
      <c r="AA83" s="3">
        <f t="shared" si="91"/>
        <v>2.3540609351279898</v>
      </c>
      <c r="AB83" s="2">
        <f t="shared" si="92"/>
        <v>1.1769753531050924</v>
      </c>
      <c r="AC83" t="s">
        <v>84</v>
      </c>
      <c r="AD83" s="3" t="s">
        <v>72</v>
      </c>
      <c r="AF83" s="3">
        <v>2.2000000000000002</v>
      </c>
      <c r="AG83" s="7">
        <v>77</v>
      </c>
    </row>
  </sheetData>
  <mergeCells count="2">
    <mergeCell ref="V4:AH4"/>
    <mergeCell ref="V5:A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2016-08-25T00:58:27Z</dcterms:modified>
</cp:coreProperties>
</file>