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87E9495-FBD1-465F-8D0B-A7F28206C645}" xr6:coauthVersionLast="36" xr6:coauthVersionMax="36" xr10:uidLastSave="{00000000-0000-0000-0000-000000000000}"/>
  <bookViews>
    <workbookView xWindow="7530" yWindow="0" windowWidth="22260" windowHeight="12645" xr2:uid="{00000000-000D-0000-FFFF-FFFF00000000}"/>
  </bookViews>
  <sheets>
    <sheet name="kneaddata putative" sheetId="16" r:id="rId1"/>
    <sheet name="Sheet1" sheetId="17" r:id="rId2"/>
    <sheet name="updated" sheetId="15" r:id="rId3"/>
    <sheet name="consolidateds" sheetId="14" r:id="rId4"/>
    <sheet name="501 cecq n" sheetId="2" r:id="rId5"/>
    <sheet name="501 cecq y" sheetId="3" r:id="rId6"/>
    <sheet name="501 colq n" sheetId="4" r:id="rId7"/>
    <sheet name="502 cecq n" sheetId="5" r:id="rId8"/>
    <sheet name="502 cecq y" sheetId="6" r:id="rId9"/>
    <sheet name="502 colq n" sheetId="7" r:id="rId10"/>
    <sheet name="503 cecm n" sheetId="8" r:id="rId11"/>
    <sheet name="503 cecq n" sheetId="9" r:id="rId12"/>
    <sheet name="504 cecm n" sheetId="10" r:id="rId13"/>
    <sheet name="504 cecq n" sheetId="11" r:id="rId14"/>
    <sheet name="504 cecq y" sheetId="12" r:id="rId15"/>
    <sheet name="504 colq n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7" l="1"/>
  <c r="H11" i="17" s="1"/>
  <c r="H13" i="17"/>
  <c r="S64" i="17"/>
  <c r="S67" i="17" s="1"/>
  <c r="T64" i="17"/>
  <c r="R64" i="17"/>
  <c r="M64" i="17"/>
  <c r="N64" i="17"/>
  <c r="L64" i="17"/>
  <c r="L67" i="17" s="1"/>
  <c r="H64" i="17"/>
  <c r="I64" i="17"/>
  <c r="G64" i="17"/>
  <c r="G67" i="17" s="1"/>
  <c r="C64" i="17"/>
  <c r="D64" i="17"/>
  <c r="B64" i="17"/>
  <c r="B67" i="17" s="1"/>
  <c r="M31" i="17"/>
  <c r="N31" i="17"/>
  <c r="H31" i="17"/>
  <c r="I31" i="17"/>
  <c r="C31" i="17"/>
  <c r="D31" i="17"/>
  <c r="L31" i="17"/>
  <c r="L35" i="17" s="1"/>
  <c r="G31" i="17"/>
  <c r="G35" i="17" s="1"/>
  <c r="B31" i="17"/>
  <c r="B35" i="17" s="1"/>
  <c r="M11" i="17"/>
  <c r="N11" i="17"/>
  <c r="I11" i="17"/>
  <c r="C11" i="17"/>
  <c r="D11" i="17"/>
  <c r="C48" i="17"/>
  <c r="D48" i="17"/>
  <c r="H48" i="17"/>
  <c r="I48" i="17"/>
  <c r="H50" i="17"/>
  <c r="G48" i="17"/>
  <c r="B48" i="17"/>
  <c r="B51" i="17" s="1"/>
  <c r="L11" i="17"/>
  <c r="G11" i="17"/>
  <c r="B11" i="17"/>
  <c r="B14" i="17" s="1"/>
  <c r="B17" i="17" s="1"/>
  <c r="T68" i="17"/>
  <c r="S68" i="17"/>
  <c r="N68" i="17"/>
  <c r="M68" i="17"/>
  <c r="I68" i="17"/>
  <c r="I67" i="17" s="1"/>
  <c r="H68" i="17"/>
  <c r="D68" i="17"/>
  <c r="C68" i="17"/>
  <c r="R67" i="17"/>
  <c r="N67" i="17"/>
  <c r="M67" i="17"/>
  <c r="T63" i="17"/>
  <c r="D63" i="17"/>
  <c r="I52" i="17"/>
  <c r="I51" i="17" s="1"/>
  <c r="H52" i="17"/>
  <c r="D52" i="17"/>
  <c r="C52" i="17"/>
  <c r="C51" i="17" s="1"/>
  <c r="G51" i="17"/>
  <c r="D47" i="17"/>
  <c r="D43" i="17"/>
  <c r="N36" i="17"/>
  <c r="M36" i="17"/>
  <c r="I36" i="17"/>
  <c r="H36" i="17"/>
  <c r="D36" i="17"/>
  <c r="C36" i="17"/>
  <c r="N17" i="17"/>
  <c r="N16" i="17" s="1"/>
  <c r="M17" i="17"/>
  <c r="I17" i="17"/>
  <c r="H17" i="17"/>
  <c r="L16" i="17"/>
  <c r="G16" i="17"/>
  <c r="D16" i="17"/>
  <c r="D15" i="17" s="1"/>
  <c r="C16" i="17"/>
  <c r="I15" i="17"/>
  <c r="B15" i="17"/>
  <c r="D14" i="17"/>
  <c r="C14" i="17"/>
  <c r="I10" i="17"/>
  <c r="T67" i="17" l="1"/>
  <c r="H67" i="17"/>
  <c r="C67" i="17"/>
  <c r="I35" i="17"/>
  <c r="H35" i="17"/>
  <c r="D51" i="17"/>
  <c r="C17" i="17"/>
  <c r="D17" i="17"/>
  <c r="I16" i="17"/>
  <c r="D67" i="17"/>
  <c r="H16" i="17"/>
  <c r="M35" i="17"/>
  <c r="N35" i="17"/>
  <c r="M16" i="17"/>
  <c r="C35" i="17"/>
  <c r="C15" i="17"/>
  <c r="H51" i="17"/>
  <c r="D35" i="17"/>
  <c r="AL55" i="16"/>
  <c r="AM55" i="16"/>
  <c r="AL56" i="16"/>
  <c r="AM56" i="16"/>
  <c r="AL57" i="16"/>
  <c r="AM57" i="16"/>
  <c r="AL59" i="16"/>
  <c r="AM59" i="16"/>
  <c r="AL60" i="16"/>
  <c r="AM60" i="16"/>
  <c r="AL61" i="16"/>
  <c r="AM61" i="16"/>
  <c r="Q102" i="16" s="1"/>
  <c r="AQ77" i="16" s="1"/>
  <c r="AL63" i="16"/>
  <c r="AM63" i="16"/>
  <c r="AK63" i="16"/>
  <c r="AK61" i="16"/>
  <c r="AK60" i="16"/>
  <c r="AK59" i="16"/>
  <c r="AK57" i="16"/>
  <c r="AK56" i="16"/>
  <c r="AK55" i="16"/>
  <c r="AB55" i="16"/>
  <c r="AC55" i="16"/>
  <c r="AB56" i="16"/>
  <c r="AC56" i="16"/>
  <c r="AB57" i="16"/>
  <c r="AC57" i="16"/>
  <c r="AB59" i="16"/>
  <c r="AC59" i="16"/>
  <c r="AB60" i="16"/>
  <c r="AC60" i="16"/>
  <c r="P101" i="16" s="1"/>
  <c r="AP76" i="16" s="1"/>
  <c r="AB61" i="16"/>
  <c r="AC61" i="16"/>
  <c r="P102" i="16" s="1"/>
  <c r="AP77" i="16" s="1"/>
  <c r="AB63" i="16"/>
  <c r="AC63" i="16"/>
  <c r="AA63" i="16"/>
  <c r="AA61" i="16"/>
  <c r="AA60" i="16"/>
  <c r="AA59" i="16"/>
  <c r="AA57" i="16"/>
  <c r="AA56" i="16"/>
  <c r="AA55" i="16"/>
  <c r="W65" i="16"/>
  <c r="X65" i="16"/>
  <c r="V65" i="16"/>
  <c r="AG65" i="16"/>
  <c r="AH65" i="16"/>
  <c r="AF65" i="16"/>
  <c r="AH61" i="16"/>
  <c r="D61" i="16"/>
  <c r="D45" i="16"/>
  <c r="D41" i="16"/>
  <c r="R55" i="16"/>
  <c r="S55" i="16"/>
  <c r="R56" i="16"/>
  <c r="S56" i="16"/>
  <c r="R57" i="16"/>
  <c r="S57" i="16"/>
  <c r="R59" i="16"/>
  <c r="S59" i="16"/>
  <c r="R60" i="16"/>
  <c r="S60" i="16"/>
  <c r="O101" i="16" s="1"/>
  <c r="AO76" i="16" s="1"/>
  <c r="R61" i="16"/>
  <c r="O89" i="16" s="1"/>
  <c r="AB77" i="16" s="1"/>
  <c r="S61" i="16"/>
  <c r="R63" i="16"/>
  <c r="Q63" i="16"/>
  <c r="Q61" i="16"/>
  <c r="Q60" i="16"/>
  <c r="Q59" i="16"/>
  <c r="Q57" i="16"/>
  <c r="Q56" i="16"/>
  <c r="Q55" i="16"/>
  <c r="M65" i="16"/>
  <c r="N65" i="16"/>
  <c r="S63" i="16" s="1"/>
  <c r="O104" i="16" s="1"/>
  <c r="AO79" i="16" s="1"/>
  <c r="L65" i="16"/>
  <c r="H55" i="16"/>
  <c r="I55" i="16"/>
  <c r="H56" i="16"/>
  <c r="I56" i="16"/>
  <c r="H57" i="16"/>
  <c r="I57" i="16"/>
  <c r="N98" i="16" s="1"/>
  <c r="AN73" i="16" s="1"/>
  <c r="H59" i="16"/>
  <c r="I59" i="16"/>
  <c r="H60" i="16"/>
  <c r="I60" i="16"/>
  <c r="H61" i="16"/>
  <c r="I61" i="16"/>
  <c r="N102" i="16" s="1"/>
  <c r="AN77" i="16" s="1"/>
  <c r="H63" i="16"/>
  <c r="G63" i="16"/>
  <c r="G61" i="16"/>
  <c r="G60" i="16"/>
  <c r="G59" i="16"/>
  <c r="G57" i="16"/>
  <c r="G56" i="16"/>
  <c r="G55" i="16"/>
  <c r="C65" i="16"/>
  <c r="D65" i="16"/>
  <c r="I63" i="16" s="1"/>
  <c r="N104" i="16" s="1"/>
  <c r="AN79" i="16" s="1"/>
  <c r="B65" i="16"/>
  <c r="R39" i="16"/>
  <c r="S39" i="16"/>
  <c r="R40" i="16"/>
  <c r="S40" i="16"/>
  <c r="R41" i="16"/>
  <c r="S41" i="16"/>
  <c r="R43" i="16"/>
  <c r="S43" i="16"/>
  <c r="M100" i="16" s="1"/>
  <c r="AM75" i="16" s="1"/>
  <c r="R44" i="16"/>
  <c r="S44" i="16"/>
  <c r="R45" i="16"/>
  <c r="S45" i="16"/>
  <c r="M102" i="16" s="1"/>
  <c r="AM77" i="16" s="1"/>
  <c r="R47" i="16"/>
  <c r="Q47" i="16"/>
  <c r="Q45" i="16"/>
  <c r="Q44" i="16"/>
  <c r="Q43" i="16"/>
  <c r="Q41" i="16"/>
  <c r="Q40" i="16"/>
  <c r="Q39" i="16"/>
  <c r="M49" i="16"/>
  <c r="N49" i="16"/>
  <c r="S47" i="16" s="1"/>
  <c r="M104" i="16" s="1"/>
  <c r="AM79" i="16" s="1"/>
  <c r="L49" i="16"/>
  <c r="H39" i="16"/>
  <c r="I39" i="16"/>
  <c r="H40" i="16"/>
  <c r="I40" i="16"/>
  <c r="H41" i="16"/>
  <c r="I41" i="16"/>
  <c r="H43" i="16"/>
  <c r="I43" i="16"/>
  <c r="H44" i="16"/>
  <c r="I44" i="16"/>
  <c r="L101" i="16" s="1"/>
  <c r="AL76" i="16" s="1"/>
  <c r="H45" i="16"/>
  <c r="L89" i="16" s="1"/>
  <c r="Y77" i="16" s="1"/>
  <c r="I45" i="16"/>
  <c r="H47" i="16"/>
  <c r="G47" i="16"/>
  <c r="G45" i="16"/>
  <c r="G44" i="16"/>
  <c r="G43" i="16"/>
  <c r="G41" i="16"/>
  <c r="G40" i="16"/>
  <c r="G39" i="16"/>
  <c r="C49" i="16"/>
  <c r="D49" i="16"/>
  <c r="I47" i="16" s="1"/>
  <c r="L104" i="16" s="1"/>
  <c r="AL79" i="16" s="1"/>
  <c r="B49" i="16"/>
  <c r="AB22" i="16"/>
  <c r="AC22" i="16"/>
  <c r="AB23" i="16"/>
  <c r="AC23" i="16"/>
  <c r="AB24" i="16"/>
  <c r="AC24" i="16"/>
  <c r="AB26" i="16"/>
  <c r="AC26" i="16"/>
  <c r="AB27" i="16"/>
  <c r="AC27" i="16"/>
  <c r="AB28" i="16"/>
  <c r="K89" i="16" s="1"/>
  <c r="X77" i="16" s="1"/>
  <c r="AC28" i="16"/>
  <c r="K102" i="16" s="1"/>
  <c r="AK77" i="16" s="1"/>
  <c r="AB30" i="16"/>
  <c r="AC30" i="16"/>
  <c r="AA30" i="16"/>
  <c r="AA28" i="16"/>
  <c r="AA27" i="16"/>
  <c r="AA26" i="16"/>
  <c r="AA24" i="16"/>
  <c r="AA23" i="16"/>
  <c r="AA22" i="16"/>
  <c r="W33" i="16"/>
  <c r="X33" i="16"/>
  <c r="V33" i="16"/>
  <c r="M33" i="16"/>
  <c r="R30" i="16" s="1"/>
  <c r="J91" i="16" s="1"/>
  <c r="W79" i="16" s="1"/>
  <c r="N33" i="16"/>
  <c r="S30" i="16" s="1"/>
  <c r="J104" i="16" s="1"/>
  <c r="AJ79" i="16" s="1"/>
  <c r="R22" i="16"/>
  <c r="S22" i="16"/>
  <c r="R23" i="16"/>
  <c r="S23" i="16"/>
  <c r="R24" i="16"/>
  <c r="S24" i="16"/>
  <c r="R26" i="16"/>
  <c r="S26" i="16"/>
  <c r="R27" i="16"/>
  <c r="S27" i="16"/>
  <c r="R28" i="16"/>
  <c r="J89" i="16" s="1"/>
  <c r="W77" i="16" s="1"/>
  <c r="S28" i="16"/>
  <c r="Q30" i="16"/>
  <c r="Q28" i="16"/>
  <c r="Q27" i="16"/>
  <c r="Q26" i="16"/>
  <c r="Q24" i="16"/>
  <c r="L33" i="16"/>
  <c r="Q23" i="16"/>
  <c r="Q22" i="16"/>
  <c r="I24" i="16"/>
  <c r="I98" i="16" s="1"/>
  <c r="AI73" i="16" s="1"/>
  <c r="H30" i="16"/>
  <c r="H28" i="16"/>
  <c r="H27" i="16"/>
  <c r="H26" i="16"/>
  <c r="H24" i="16"/>
  <c r="H23" i="16"/>
  <c r="H22" i="16"/>
  <c r="C33" i="16"/>
  <c r="D33" i="16"/>
  <c r="I30" i="16" s="1"/>
  <c r="I104" i="16" s="1"/>
  <c r="AI79" i="16" s="1"/>
  <c r="B33" i="16"/>
  <c r="G30" i="16" s="1"/>
  <c r="I79" i="16" s="1"/>
  <c r="I116" i="16" s="1"/>
  <c r="G28" i="16"/>
  <c r="G26" i="16"/>
  <c r="G24" i="16"/>
  <c r="G23" i="16"/>
  <c r="G22" i="16"/>
  <c r="AC12" i="16"/>
  <c r="AC6" i="16"/>
  <c r="AB12" i="16"/>
  <c r="AB10" i="16"/>
  <c r="AB9" i="16"/>
  <c r="AB8" i="16"/>
  <c r="AB6" i="16"/>
  <c r="AB5" i="16"/>
  <c r="H84" i="16" s="1"/>
  <c r="U72" i="16" s="1"/>
  <c r="AB4" i="16"/>
  <c r="AA12" i="16"/>
  <c r="AA10" i="16"/>
  <c r="AA9" i="16"/>
  <c r="H76" i="16" s="1"/>
  <c r="H113" i="16" s="1"/>
  <c r="AA8" i="16"/>
  <c r="H75" i="16" s="1"/>
  <c r="H112" i="16" s="1"/>
  <c r="AA6" i="16"/>
  <c r="AA5" i="16"/>
  <c r="AA4" i="16"/>
  <c r="X14" i="16"/>
  <c r="W14" i="16"/>
  <c r="H91" i="16" s="1"/>
  <c r="U79" i="16" s="1"/>
  <c r="V14" i="16"/>
  <c r="H79" i="16" s="1"/>
  <c r="H116" i="16" s="1"/>
  <c r="R12" i="16"/>
  <c r="R10" i="16"/>
  <c r="R9" i="16"/>
  <c r="R8" i="16"/>
  <c r="R6" i="16"/>
  <c r="R5" i="16"/>
  <c r="R4" i="16"/>
  <c r="G83" i="16" s="1"/>
  <c r="T71" i="16" s="1"/>
  <c r="AH66" i="16"/>
  <c r="X66" i="16"/>
  <c r="N66" i="16"/>
  <c r="D66" i="16"/>
  <c r="N50" i="16"/>
  <c r="D50" i="16"/>
  <c r="X34" i="16"/>
  <c r="N34" i="16"/>
  <c r="D34" i="16"/>
  <c r="X15" i="16"/>
  <c r="S10" i="16"/>
  <c r="S12" i="16" s="1"/>
  <c r="S6" i="16"/>
  <c r="N15" i="16"/>
  <c r="M14" i="16"/>
  <c r="N14" i="16"/>
  <c r="L14" i="16"/>
  <c r="Q12" i="16" s="1"/>
  <c r="G79" i="16" s="1"/>
  <c r="G116" i="16" s="1"/>
  <c r="Q9" i="16"/>
  <c r="Q10" i="16"/>
  <c r="G76" i="16"/>
  <c r="G113" i="16" s="1"/>
  <c r="Q8" i="16"/>
  <c r="G75" i="16" s="1"/>
  <c r="G112" i="16" s="1"/>
  <c r="Q7" i="16"/>
  <c r="Q6" i="16"/>
  <c r="Q5" i="16"/>
  <c r="Q4" i="16"/>
  <c r="C13" i="16"/>
  <c r="D13" i="16"/>
  <c r="D15" i="16" s="1"/>
  <c r="B13" i="16"/>
  <c r="AG66" i="16"/>
  <c r="W66" i="16"/>
  <c r="M66" i="16"/>
  <c r="C66" i="16"/>
  <c r="M50" i="16"/>
  <c r="C50" i="16"/>
  <c r="W34" i="16"/>
  <c r="M34" i="16"/>
  <c r="C34" i="16"/>
  <c r="W15" i="16"/>
  <c r="M15" i="16"/>
  <c r="G10" i="16"/>
  <c r="G9" i="16"/>
  <c r="F76" i="16" s="1"/>
  <c r="F113" i="16" s="1"/>
  <c r="G8" i="16"/>
  <c r="F75" i="16" s="1"/>
  <c r="F112" i="16" s="1"/>
  <c r="G7" i="16"/>
  <c r="G6" i="16"/>
  <c r="F73" i="16" s="1"/>
  <c r="F110" i="16" s="1"/>
  <c r="G5" i="16"/>
  <c r="G4" i="16"/>
  <c r="B15" i="16"/>
  <c r="G12" i="16" s="1"/>
  <c r="C12" i="16"/>
  <c r="C15" i="16"/>
  <c r="H12" i="16" s="1"/>
  <c r="H10" i="16"/>
  <c r="F89" i="16" s="1"/>
  <c r="S77" i="16" s="1"/>
  <c r="H9" i="16"/>
  <c r="H8" i="16"/>
  <c r="H6" i="16"/>
  <c r="F85" i="16" s="1"/>
  <c r="S73" i="16" s="1"/>
  <c r="H5" i="16"/>
  <c r="C14" i="16"/>
  <c r="H4" i="16" s="1"/>
  <c r="F83" i="16" s="1"/>
  <c r="S71" i="16" s="1"/>
  <c r="I6" i="16"/>
  <c r="I12" i="16" s="1"/>
  <c r="D14" i="16"/>
  <c r="N13" i="16"/>
  <c r="N10" i="16"/>
  <c r="I111" i="16"/>
  <c r="Q103" i="16"/>
  <c r="P103" i="16"/>
  <c r="AP78" i="16" s="1"/>
  <c r="O103" i="16"/>
  <c r="N103" i="16"/>
  <c r="M103" i="16"/>
  <c r="L103" i="16"/>
  <c r="AL78" i="16" s="1"/>
  <c r="K103" i="16"/>
  <c r="AK78" i="16" s="1"/>
  <c r="I103" i="16"/>
  <c r="H103" i="16"/>
  <c r="AH78" i="16" s="1"/>
  <c r="G103" i="16"/>
  <c r="AG78" i="16" s="1"/>
  <c r="F103" i="16"/>
  <c r="H102" i="16"/>
  <c r="F101" i="16"/>
  <c r="AF76" i="16" s="1"/>
  <c r="Q99" i="16"/>
  <c r="P99" i="16"/>
  <c r="AP74" i="16" s="1"/>
  <c r="O99" i="16"/>
  <c r="N99" i="16"/>
  <c r="AN74" i="16" s="1"/>
  <c r="M99" i="16"/>
  <c r="AM74" i="16" s="1"/>
  <c r="L99" i="16"/>
  <c r="AL74" i="16" s="1"/>
  <c r="K99" i="16"/>
  <c r="I99" i="16"/>
  <c r="H99" i="16"/>
  <c r="G99" i="16"/>
  <c r="F99" i="16"/>
  <c r="Q97" i="16"/>
  <c r="AQ72" i="16" s="1"/>
  <c r="J97" i="16"/>
  <c r="Q96" i="16"/>
  <c r="I96" i="16"/>
  <c r="AI71" i="16" s="1"/>
  <c r="Q90" i="16"/>
  <c r="AD78" i="16" s="1"/>
  <c r="P90" i="16"/>
  <c r="O90" i="16"/>
  <c r="AB78" i="16" s="1"/>
  <c r="N90" i="16"/>
  <c r="M90" i="16"/>
  <c r="Z78" i="16" s="1"/>
  <c r="L90" i="16"/>
  <c r="K90" i="16"/>
  <c r="J90" i="16"/>
  <c r="I90" i="16"/>
  <c r="H90" i="16"/>
  <c r="U78" i="16" s="1"/>
  <c r="G90" i="16"/>
  <c r="T78" i="16" s="1"/>
  <c r="F90" i="16"/>
  <c r="Q89" i="16"/>
  <c r="Q88" i="16"/>
  <c r="AD76" i="16" s="1"/>
  <c r="I88" i="16"/>
  <c r="G88" i="16"/>
  <c r="T76" i="16" s="1"/>
  <c r="Q86" i="16"/>
  <c r="AD74" i="16" s="1"/>
  <c r="P86" i="16"/>
  <c r="O86" i="16"/>
  <c r="N86" i="16"/>
  <c r="M86" i="16"/>
  <c r="L86" i="16"/>
  <c r="Y74" i="16" s="1"/>
  <c r="K86" i="16"/>
  <c r="X74" i="16" s="1"/>
  <c r="J86" i="16"/>
  <c r="W74" i="16" s="1"/>
  <c r="I86" i="16"/>
  <c r="H86" i="16"/>
  <c r="G86" i="16"/>
  <c r="F86" i="16"/>
  <c r="Q85" i="16"/>
  <c r="AD73" i="16" s="1"/>
  <c r="Q83" i="16"/>
  <c r="AD71" i="16" s="1"/>
  <c r="AQ78" i="16"/>
  <c r="AO78" i="16"/>
  <c r="AN78" i="16"/>
  <c r="AM78" i="16"/>
  <c r="AI78" i="16"/>
  <c r="AF78" i="16"/>
  <c r="AC78" i="16"/>
  <c r="AA78" i="16"/>
  <c r="Y78" i="16"/>
  <c r="X78" i="16"/>
  <c r="W78" i="16"/>
  <c r="V78" i="16"/>
  <c r="S78" i="16"/>
  <c r="Q78" i="16"/>
  <c r="R115" i="16" s="1"/>
  <c r="P78" i="16"/>
  <c r="Q115" i="16" s="1"/>
  <c r="O78" i="16"/>
  <c r="P115" i="16" s="1"/>
  <c r="N78" i="16"/>
  <c r="O115" i="16" s="1"/>
  <c r="M78" i="16"/>
  <c r="N115" i="16" s="1"/>
  <c r="L78" i="16"/>
  <c r="L115" i="16" s="1"/>
  <c r="K78" i="16"/>
  <c r="K115" i="16" s="1"/>
  <c r="J78" i="16"/>
  <c r="J115" i="16" s="1"/>
  <c r="I78" i="16"/>
  <c r="I115" i="16" s="1"/>
  <c r="H78" i="16"/>
  <c r="H115" i="16" s="1"/>
  <c r="G78" i="16"/>
  <c r="G115" i="16" s="1"/>
  <c r="F78" i="16"/>
  <c r="F115" i="16" s="1"/>
  <c r="AH77" i="16"/>
  <c r="AD77" i="16"/>
  <c r="G77" i="16"/>
  <c r="G114" i="16" s="1"/>
  <c r="V76" i="16"/>
  <c r="Q76" i="16"/>
  <c r="R113" i="16" s="1"/>
  <c r="L76" i="16"/>
  <c r="L113" i="16" s="1"/>
  <c r="Q75" i="16"/>
  <c r="R112" i="16" s="1"/>
  <c r="AQ74" i="16"/>
  <c r="AO74" i="16"/>
  <c r="AK74" i="16"/>
  <c r="AI74" i="16"/>
  <c r="AH74" i="16"/>
  <c r="AG74" i="16"/>
  <c r="AF74" i="16"/>
  <c r="AC74" i="16"/>
  <c r="AB74" i="16"/>
  <c r="AA74" i="16"/>
  <c r="Z74" i="16"/>
  <c r="V74" i="16"/>
  <c r="U74" i="16"/>
  <c r="T74" i="16"/>
  <c r="S74" i="16"/>
  <c r="Q74" i="16"/>
  <c r="R111" i="16" s="1"/>
  <c r="P74" i="16"/>
  <c r="Q111" i="16" s="1"/>
  <c r="O74" i="16"/>
  <c r="P111" i="16" s="1"/>
  <c r="N74" i="16"/>
  <c r="O111" i="16" s="1"/>
  <c r="M74" i="16"/>
  <c r="N111" i="16" s="1"/>
  <c r="L74" i="16"/>
  <c r="L111" i="16" s="1"/>
  <c r="K74" i="16"/>
  <c r="K111" i="16" s="1"/>
  <c r="J74" i="16"/>
  <c r="J111" i="16" s="1"/>
  <c r="I74" i="16"/>
  <c r="H74" i="16"/>
  <c r="H111" i="16" s="1"/>
  <c r="G74" i="16"/>
  <c r="G111" i="16" s="1"/>
  <c r="F74" i="16"/>
  <c r="F111" i="16" s="1"/>
  <c r="P73" i="16"/>
  <c r="Q110" i="16" s="1"/>
  <c r="L73" i="16"/>
  <c r="L110" i="16" s="1"/>
  <c r="AJ72" i="16"/>
  <c r="Q72" i="16"/>
  <c r="R109" i="16" s="1"/>
  <c r="AQ71" i="16"/>
  <c r="L71" i="16"/>
  <c r="L108" i="16" s="1"/>
  <c r="H71" i="16"/>
  <c r="H108" i="16" s="1"/>
  <c r="G71" i="16"/>
  <c r="G108" i="16" s="1"/>
  <c r="Q104" i="16"/>
  <c r="AQ79" i="16" s="1"/>
  <c r="P104" i="16"/>
  <c r="AP79" i="16" s="1"/>
  <c r="Q91" i="16"/>
  <c r="AD79" i="16" s="1"/>
  <c r="Q79" i="16"/>
  <c r="R116" i="16" s="1"/>
  <c r="P91" i="16"/>
  <c r="AC79" i="16" s="1"/>
  <c r="P79" i="16"/>
  <c r="Q116" i="16" s="1"/>
  <c r="O91" i="16"/>
  <c r="AB79" i="16" s="1"/>
  <c r="O79" i="16"/>
  <c r="P116" i="16" s="1"/>
  <c r="N91" i="16"/>
  <c r="AA79" i="16" s="1"/>
  <c r="N79" i="16"/>
  <c r="O116" i="16" s="1"/>
  <c r="Q77" i="16"/>
  <c r="R114" i="16" s="1"/>
  <c r="P89" i="16"/>
  <c r="AC77" i="16" s="1"/>
  <c r="P77" i="16"/>
  <c r="Q114" i="16" s="1"/>
  <c r="O102" i="16"/>
  <c r="AO77" i="16" s="1"/>
  <c r="O77" i="16"/>
  <c r="P114" i="16" s="1"/>
  <c r="N89" i="16"/>
  <c r="AA77" i="16" s="1"/>
  <c r="N77" i="16"/>
  <c r="O114" i="16" s="1"/>
  <c r="Q101" i="16"/>
  <c r="AQ76" i="16" s="1"/>
  <c r="P88" i="16"/>
  <c r="AC76" i="16" s="1"/>
  <c r="P76" i="16"/>
  <c r="Q113" i="16" s="1"/>
  <c r="O88" i="16"/>
  <c r="AB76" i="16" s="1"/>
  <c r="O76" i="16"/>
  <c r="P113" i="16" s="1"/>
  <c r="N101" i="16"/>
  <c r="AN76" i="16" s="1"/>
  <c r="N88" i="16"/>
  <c r="AA76" i="16" s="1"/>
  <c r="N76" i="16"/>
  <c r="O113" i="16" s="1"/>
  <c r="Q100" i="16"/>
  <c r="AQ75" i="16" s="1"/>
  <c r="Q87" i="16"/>
  <c r="AD75" i="16" s="1"/>
  <c r="P100" i="16"/>
  <c r="AP75" i="16" s="1"/>
  <c r="P87" i="16"/>
  <c r="AC75" i="16" s="1"/>
  <c r="P75" i="16"/>
  <c r="Q112" i="16" s="1"/>
  <c r="O100" i="16"/>
  <c r="AO75" i="16" s="1"/>
  <c r="O87" i="16"/>
  <c r="AB75" i="16" s="1"/>
  <c r="O75" i="16"/>
  <c r="P112" i="16" s="1"/>
  <c r="N100" i="16"/>
  <c r="AN75" i="16" s="1"/>
  <c r="N87" i="16"/>
  <c r="AA75" i="16" s="1"/>
  <c r="N75" i="16"/>
  <c r="O112" i="16" s="1"/>
  <c r="Q98" i="16"/>
  <c r="AQ73" i="16" s="1"/>
  <c r="Q73" i="16"/>
  <c r="R110" i="16" s="1"/>
  <c r="P98" i="16"/>
  <c r="AP73" i="16" s="1"/>
  <c r="P85" i="16"/>
  <c r="AC73" i="16" s="1"/>
  <c r="O98" i="16"/>
  <c r="AO73" i="16" s="1"/>
  <c r="O85" i="16"/>
  <c r="AB73" i="16" s="1"/>
  <c r="O73" i="16"/>
  <c r="P110" i="16" s="1"/>
  <c r="N85" i="16"/>
  <c r="AA73" i="16" s="1"/>
  <c r="N73" i="16"/>
  <c r="O110" i="16" s="1"/>
  <c r="Q84" i="16"/>
  <c r="AD72" i="16" s="1"/>
  <c r="P97" i="16"/>
  <c r="AP72" i="16" s="1"/>
  <c r="P84" i="16"/>
  <c r="AC72" i="16" s="1"/>
  <c r="P72" i="16"/>
  <c r="Q109" i="16" s="1"/>
  <c r="O97" i="16"/>
  <c r="AO72" i="16" s="1"/>
  <c r="O84" i="16"/>
  <c r="AB72" i="16" s="1"/>
  <c r="O72" i="16"/>
  <c r="P109" i="16" s="1"/>
  <c r="N97" i="16"/>
  <c r="AN72" i="16" s="1"/>
  <c r="N84" i="16"/>
  <c r="AA72" i="16" s="1"/>
  <c r="N72" i="16"/>
  <c r="O109" i="16" s="1"/>
  <c r="Q71" i="16"/>
  <c r="R108" i="16" s="1"/>
  <c r="P96" i="16"/>
  <c r="AP71" i="16" s="1"/>
  <c r="P83" i="16"/>
  <c r="AC71" i="16" s="1"/>
  <c r="P71" i="16"/>
  <c r="Q108" i="16" s="1"/>
  <c r="O96" i="16"/>
  <c r="AO71" i="16" s="1"/>
  <c r="O83" i="16"/>
  <c r="AB71" i="16" s="1"/>
  <c r="O71" i="16"/>
  <c r="P108" i="16" s="1"/>
  <c r="N96" i="16"/>
  <c r="AN71" i="16" s="1"/>
  <c r="N83" i="16"/>
  <c r="AA71" i="16" s="1"/>
  <c r="N71" i="16"/>
  <c r="O108" i="16" s="1"/>
  <c r="L79" i="16"/>
  <c r="L116" i="16" s="1"/>
  <c r="M79" i="16"/>
  <c r="N116" i="16" s="1"/>
  <c r="M91" i="16"/>
  <c r="Z79" i="16" s="1"/>
  <c r="L91" i="16"/>
  <c r="Y79" i="16" s="1"/>
  <c r="M89" i="16"/>
  <c r="Z77" i="16" s="1"/>
  <c r="M77" i="16"/>
  <c r="N114" i="16" s="1"/>
  <c r="L77" i="16"/>
  <c r="L114" i="16" s="1"/>
  <c r="M101" i="16"/>
  <c r="AM76" i="16" s="1"/>
  <c r="M88" i="16"/>
  <c r="Z76" i="16" s="1"/>
  <c r="M76" i="16"/>
  <c r="N113" i="16" s="1"/>
  <c r="L88" i="16"/>
  <c r="Y76" i="16" s="1"/>
  <c r="M87" i="16"/>
  <c r="Z75" i="16" s="1"/>
  <c r="M75" i="16"/>
  <c r="N112" i="16" s="1"/>
  <c r="L100" i="16"/>
  <c r="AL75" i="16" s="1"/>
  <c r="L87" i="16"/>
  <c r="Y75" i="16" s="1"/>
  <c r="L75" i="16"/>
  <c r="L112" i="16" s="1"/>
  <c r="M98" i="16"/>
  <c r="AM73" i="16" s="1"/>
  <c r="M85" i="16"/>
  <c r="Z73" i="16" s="1"/>
  <c r="M73" i="16"/>
  <c r="N110" i="16" s="1"/>
  <c r="L98" i="16"/>
  <c r="AL73" i="16" s="1"/>
  <c r="L85" i="16"/>
  <c r="Y73" i="16" s="1"/>
  <c r="M97" i="16"/>
  <c r="AM72" i="16" s="1"/>
  <c r="M84" i="16"/>
  <c r="Z72" i="16" s="1"/>
  <c r="M72" i="16"/>
  <c r="N109" i="16" s="1"/>
  <c r="L97" i="16"/>
  <c r="AL72" i="16" s="1"/>
  <c r="L84" i="16"/>
  <c r="Y72" i="16" s="1"/>
  <c r="L72" i="16"/>
  <c r="L109" i="16" s="1"/>
  <c r="M96" i="16"/>
  <c r="AM71" i="16" s="1"/>
  <c r="M83" i="16"/>
  <c r="Z71" i="16" s="1"/>
  <c r="M71" i="16"/>
  <c r="N108" i="16" s="1"/>
  <c r="L96" i="16"/>
  <c r="AL71" i="16" s="1"/>
  <c r="L83" i="16"/>
  <c r="Y71" i="16" s="1"/>
  <c r="J79" i="16"/>
  <c r="J116" i="16" s="1"/>
  <c r="I91" i="16"/>
  <c r="V79" i="16" s="1"/>
  <c r="K104" i="16"/>
  <c r="AK79" i="16" s="1"/>
  <c r="K79" i="16"/>
  <c r="K116" i="16" s="1"/>
  <c r="K91" i="16"/>
  <c r="X79" i="16" s="1"/>
  <c r="J103" i="16"/>
  <c r="AJ78" i="16" s="1"/>
  <c r="K77" i="16"/>
  <c r="K114" i="16" s="1"/>
  <c r="J102" i="16"/>
  <c r="AJ77" i="16" s="1"/>
  <c r="J77" i="16"/>
  <c r="J114" i="16" s="1"/>
  <c r="I28" i="16"/>
  <c r="I102" i="16" s="1"/>
  <c r="AI77" i="16" s="1"/>
  <c r="I89" i="16"/>
  <c r="V77" i="16" s="1"/>
  <c r="I77" i="16"/>
  <c r="I114" i="16" s="1"/>
  <c r="K101" i="16"/>
  <c r="AK76" i="16" s="1"/>
  <c r="K88" i="16"/>
  <c r="X76" i="16" s="1"/>
  <c r="K76" i="16"/>
  <c r="K113" i="16" s="1"/>
  <c r="J101" i="16"/>
  <c r="AJ76" i="16" s="1"/>
  <c r="J88" i="16"/>
  <c r="W76" i="16" s="1"/>
  <c r="J76" i="16"/>
  <c r="J113" i="16" s="1"/>
  <c r="I27" i="16"/>
  <c r="I101" i="16" s="1"/>
  <c r="AI76" i="16" s="1"/>
  <c r="G27" i="16"/>
  <c r="I76" i="16" s="1"/>
  <c r="I113" i="16" s="1"/>
  <c r="K100" i="16"/>
  <c r="AK75" i="16" s="1"/>
  <c r="K87" i="16"/>
  <c r="X75" i="16" s="1"/>
  <c r="K75" i="16"/>
  <c r="K112" i="16" s="1"/>
  <c r="J100" i="16"/>
  <c r="AJ75" i="16" s="1"/>
  <c r="J87" i="16"/>
  <c r="W75" i="16" s="1"/>
  <c r="J75" i="16"/>
  <c r="J112" i="16" s="1"/>
  <c r="I26" i="16"/>
  <c r="I100" i="16" s="1"/>
  <c r="AI75" i="16" s="1"/>
  <c r="I87" i="16"/>
  <c r="V75" i="16" s="1"/>
  <c r="I75" i="16"/>
  <c r="I112" i="16" s="1"/>
  <c r="J99" i="16"/>
  <c r="AJ74" i="16" s="1"/>
  <c r="K98" i="16"/>
  <c r="AK73" i="16" s="1"/>
  <c r="K85" i="16"/>
  <c r="X73" i="16" s="1"/>
  <c r="K73" i="16"/>
  <c r="K110" i="16" s="1"/>
  <c r="J98" i="16"/>
  <c r="AJ73" i="16" s="1"/>
  <c r="J85" i="16"/>
  <c r="W73" i="16" s="1"/>
  <c r="J73" i="16"/>
  <c r="J110" i="16" s="1"/>
  <c r="I85" i="16"/>
  <c r="V73" i="16" s="1"/>
  <c r="I73" i="16"/>
  <c r="I110" i="16" s="1"/>
  <c r="K97" i="16"/>
  <c r="AK72" i="16" s="1"/>
  <c r="K84" i="16"/>
  <c r="X72" i="16" s="1"/>
  <c r="K72" i="16"/>
  <c r="K109" i="16" s="1"/>
  <c r="J84" i="16"/>
  <c r="W72" i="16" s="1"/>
  <c r="J72" i="16"/>
  <c r="J109" i="16" s="1"/>
  <c r="I23" i="16"/>
  <c r="I97" i="16" s="1"/>
  <c r="AI72" i="16" s="1"/>
  <c r="I84" i="16"/>
  <c r="V72" i="16" s="1"/>
  <c r="I72" i="16"/>
  <c r="I109" i="16" s="1"/>
  <c r="K96" i="16"/>
  <c r="AK71" i="16" s="1"/>
  <c r="K83" i="16"/>
  <c r="X71" i="16" s="1"/>
  <c r="K71" i="16"/>
  <c r="K108" i="16" s="1"/>
  <c r="J96" i="16"/>
  <c r="AJ71" i="16" s="1"/>
  <c r="J83" i="16"/>
  <c r="W71" i="16" s="1"/>
  <c r="J71" i="16"/>
  <c r="J108" i="16" s="1"/>
  <c r="I22" i="16"/>
  <c r="I83" i="16"/>
  <c r="V71" i="16" s="1"/>
  <c r="I71" i="16"/>
  <c r="I108" i="16" s="1"/>
  <c r="G91" i="16"/>
  <c r="T79" i="16" s="1"/>
  <c r="D12" i="16"/>
  <c r="B12" i="16"/>
  <c r="AC10" i="16"/>
  <c r="H89" i="16"/>
  <c r="U77" i="16" s="1"/>
  <c r="H77" i="16"/>
  <c r="H114" i="16" s="1"/>
  <c r="G89" i="16"/>
  <c r="T77" i="16" s="1"/>
  <c r="I10" i="16"/>
  <c r="F102" i="16" s="1"/>
  <c r="AF77" i="16" s="1"/>
  <c r="F77" i="16"/>
  <c r="F114" i="16" s="1"/>
  <c r="AC9" i="16"/>
  <c r="H101" i="16" s="1"/>
  <c r="AH76" i="16" s="1"/>
  <c r="H88" i="16"/>
  <c r="U76" i="16" s="1"/>
  <c r="S9" i="16"/>
  <c r="G101" i="16" s="1"/>
  <c r="AG76" i="16" s="1"/>
  <c r="I9" i="16"/>
  <c r="F88" i="16"/>
  <c r="S76" i="16" s="1"/>
  <c r="AC8" i="16"/>
  <c r="H100" i="16" s="1"/>
  <c r="AH75" i="16" s="1"/>
  <c r="H87" i="16"/>
  <c r="U75" i="16" s="1"/>
  <c r="S8" i="16"/>
  <c r="G100" i="16" s="1"/>
  <c r="AG75" i="16" s="1"/>
  <c r="G87" i="16"/>
  <c r="T75" i="16" s="1"/>
  <c r="I8" i="16"/>
  <c r="F100" i="16" s="1"/>
  <c r="AF75" i="16" s="1"/>
  <c r="F87" i="16"/>
  <c r="S75" i="16" s="1"/>
  <c r="H98" i="16"/>
  <c r="AH73" i="16" s="1"/>
  <c r="H85" i="16"/>
  <c r="U73" i="16" s="1"/>
  <c r="H73" i="16"/>
  <c r="H110" i="16" s="1"/>
  <c r="G98" i="16"/>
  <c r="AG73" i="16" s="1"/>
  <c r="G85" i="16"/>
  <c r="T73" i="16" s="1"/>
  <c r="G73" i="16"/>
  <c r="G110" i="16" s="1"/>
  <c r="F98" i="16"/>
  <c r="AF73" i="16" s="1"/>
  <c r="AC5" i="16"/>
  <c r="H97" i="16" s="1"/>
  <c r="AH72" i="16" s="1"/>
  <c r="H72" i="16"/>
  <c r="H109" i="16" s="1"/>
  <c r="S5" i="16"/>
  <c r="G97" i="16" s="1"/>
  <c r="AG72" i="16" s="1"/>
  <c r="G84" i="16"/>
  <c r="T72" i="16" s="1"/>
  <c r="G72" i="16"/>
  <c r="G109" i="16" s="1"/>
  <c r="I5" i="16"/>
  <c r="F97" i="16" s="1"/>
  <c r="AF72" i="16" s="1"/>
  <c r="F84" i="16"/>
  <c r="S72" i="16" s="1"/>
  <c r="F72" i="16"/>
  <c r="F109" i="16" s="1"/>
  <c r="AC4" i="16"/>
  <c r="H96" i="16" s="1"/>
  <c r="AH71" i="16" s="1"/>
  <c r="H83" i="16"/>
  <c r="U71" i="16" s="1"/>
  <c r="S4" i="16"/>
  <c r="G96" i="16" s="1"/>
  <c r="AG71" i="16" s="1"/>
  <c r="I4" i="16"/>
  <c r="F96" i="16" s="1"/>
  <c r="AF71" i="16" s="1"/>
  <c r="F71" i="16"/>
  <c r="F108" i="16" s="1"/>
  <c r="H104" i="16" l="1"/>
  <c r="AH79" i="16" s="1"/>
  <c r="G102" i="16"/>
  <c r="AG77" i="16" s="1"/>
  <c r="F104" i="16"/>
  <c r="AF79" i="16" s="1"/>
  <c r="F79" i="16"/>
  <c r="F116" i="16" s="1"/>
  <c r="F91" i="16"/>
  <c r="S79" i="16" s="1"/>
  <c r="G104" i="16"/>
  <c r="AG79" i="16" s="1"/>
  <c r="L102" i="16"/>
  <c r="AL77" i="16" s="1"/>
  <c r="Q103" i="15"/>
  <c r="P103" i="15"/>
  <c r="O103" i="15"/>
  <c r="N103" i="15"/>
  <c r="M103" i="15"/>
  <c r="L103" i="15"/>
  <c r="K103" i="15"/>
  <c r="I103" i="15"/>
  <c r="H103" i="15"/>
  <c r="G103" i="15"/>
  <c r="F103" i="15"/>
  <c r="G101" i="15"/>
  <c r="F101" i="15"/>
  <c r="G100" i="15"/>
  <c r="F100" i="15"/>
  <c r="Q99" i="15"/>
  <c r="P99" i="15"/>
  <c r="O99" i="15"/>
  <c r="N99" i="15"/>
  <c r="M99" i="15"/>
  <c r="L99" i="15"/>
  <c r="K99" i="15"/>
  <c r="I99" i="15"/>
  <c r="H99" i="15"/>
  <c r="G99" i="15"/>
  <c r="F99" i="15"/>
  <c r="F98" i="15"/>
  <c r="G97" i="15"/>
  <c r="G96" i="15"/>
  <c r="F96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G89" i="15"/>
  <c r="F89" i="15"/>
  <c r="G88" i="15"/>
  <c r="F88" i="15"/>
  <c r="G87" i="15"/>
  <c r="F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G85" i="15"/>
  <c r="F85" i="15"/>
  <c r="G84" i="15"/>
  <c r="F84" i="15"/>
  <c r="G83" i="15"/>
  <c r="F83" i="15"/>
  <c r="AQ78" i="15"/>
  <c r="AP78" i="15"/>
  <c r="AO78" i="15"/>
  <c r="AN78" i="15"/>
  <c r="AM78" i="15"/>
  <c r="AL78" i="15"/>
  <c r="AK78" i="15"/>
  <c r="AI78" i="15"/>
  <c r="AH78" i="15"/>
  <c r="AG78" i="15"/>
  <c r="AF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Q78" i="15"/>
  <c r="R115" i="15" s="1"/>
  <c r="P78" i="15"/>
  <c r="Q115" i="15" s="1"/>
  <c r="O78" i="15"/>
  <c r="P115" i="15" s="1"/>
  <c r="N78" i="15"/>
  <c r="O115" i="15" s="1"/>
  <c r="M78" i="15"/>
  <c r="N115" i="15" s="1"/>
  <c r="L78" i="15"/>
  <c r="L115" i="15" s="1"/>
  <c r="K78" i="15"/>
  <c r="K115" i="15" s="1"/>
  <c r="J78" i="15"/>
  <c r="J115" i="15" s="1"/>
  <c r="I78" i="15"/>
  <c r="I115" i="15" s="1"/>
  <c r="H78" i="15"/>
  <c r="H115" i="15" s="1"/>
  <c r="G78" i="15"/>
  <c r="G115" i="15" s="1"/>
  <c r="F78" i="15"/>
  <c r="F115" i="15" s="1"/>
  <c r="T77" i="15"/>
  <c r="S77" i="15"/>
  <c r="G77" i="15"/>
  <c r="G114" i="15" s="1"/>
  <c r="F77" i="15"/>
  <c r="F114" i="15" s="1"/>
  <c r="AG76" i="15"/>
  <c r="AF76" i="15"/>
  <c r="T76" i="15"/>
  <c r="S76" i="15"/>
  <c r="AG75" i="15"/>
  <c r="AF75" i="15"/>
  <c r="T75" i="15"/>
  <c r="S75" i="15"/>
  <c r="G75" i="15"/>
  <c r="G112" i="15" s="1"/>
  <c r="F75" i="15"/>
  <c r="F112" i="15" s="1"/>
  <c r="AQ74" i="15"/>
  <c r="AP74" i="15"/>
  <c r="AO74" i="15"/>
  <c r="AN74" i="15"/>
  <c r="AM74" i="15"/>
  <c r="AL74" i="15"/>
  <c r="AK74" i="15"/>
  <c r="AI74" i="15"/>
  <c r="AH74" i="15"/>
  <c r="AG74" i="15"/>
  <c r="AF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Q74" i="15"/>
  <c r="R111" i="15" s="1"/>
  <c r="P74" i="15"/>
  <c r="Q111" i="15" s="1"/>
  <c r="O74" i="15"/>
  <c r="P111" i="15" s="1"/>
  <c r="N74" i="15"/>
  <c r="O111" i="15" s="1"/>
  <c r="M74" i="15"/>
  <c r="N111" i="15" s="1"/>
  <c r="L74" i="15"/>
  <c r="L111" i="15" s="1"/>
  <c r="K74" i="15"/>
  <c r="K111" i="15" s="1"/>
  <c r="J74" i="15"/>
  <c r="J111" i="15" s="1"/>
  <c r="I74" i="15"/>
  <c r="I111" i="15" s="1"/>
  <c r="H74" i="15"/>
  <c r="H111" i="15" s="1"/>
  <c r="G74" i="15"/>
  <c r="G111" i="15" s="1"/>
  <c r="F74" i="15"/>
  <c r="F111" i="15" s="1"/>
  <c r="AF73" i="15"/>
  <c r="T73" i="15"/>
  <c r="S73" i="15"/>
  <c r="AG72" i="15"/>
  <c r="T72" i="15"/>
  <c r="S72" i="15"/>
  <c r="F72" i="15"/>
  <c r="F109" i="15" s="1"/>
  <c r="AG71" i="15"/>
  <c r="AF71" i="15"/>
  <c r="T71" i="15"/>
  <c r="S71" i="15"/>
  <c r="G71" i="15"/>
  <c r="G108" i="15" s="1"/>
  <c r="F71" i="15"/>
  <c r="F108" i="15" s="1"/>
  <c r="AG65" i="15"/>
  <c r="AF65" i="15"/>
  <c r="AK63" i="15" s="1"/>
  <c r="Q79" i="15" s="1"/>
  <c r="R116" i="15" s="1"/>
  <c r="X65" i="15"/>
  <c r="W65" i="15"/>
  <c r="V65" i="15"/>
  <c r="AA63" i="15" s="1"/>
  <c r="P79" i="15" s="1"/>
  <c r="Q116" i="15" s="1"/>
  <c r="N65" i="15"/>
  <c r="M65" i="15"/>
  <c r="L65" i="15"/>
  <c r="Q63" i="15" s="1"/>
  <c r="O79" i="15" s="1"/>
  <c r="P116" i="15" s="1"/>
  <c r="C65" i="15"/>
  <c r="H63" i="15" s="1"/>
  <c r="N91" i="15" s="1"/>
  <c r="AA79" i="15" s="1"/>
  <c r="B65" i="15"/>
  <c r="G63" i="15" s="1"/>
  <c r="N79" i="15" s="1"/>
  <c r="O116" i="15" s="1"/>
  <c r="AL63" i="15"/>
  <c r="Q91" i="15" s="1"/>
  <c r="AD79" i="15" s="1"/>
  <c r="AC63" i="15"/>
  <c r="P104" i="15" s="1"/>
  <c r="AP79" i="15" s="1"/>
  <c r="AB63" i="15"/>
  <c r="P91" i="15" s="1"/>
  <c r="AC79" i="15" s="1"/>
  <c r="S63" i="15"/>
  <c r="O104" i="15" s="1"/>
  <c r="AO79" i="15" s="1"/>
  <c r="R63" i="15"/>
  <c r="O91" i="15" s="1"/>
  <c r="AB79" i="15" s="1"/>
  <c r="AL61" i="15"/>
  <c r="Q89" i="15" s="1"/>
  <c r="AD77" i="15" s="1"/>
  <c r="AK61" i="15"/>
  <c r="Q77" i="15" s="1"/>
  <c r="R114" i="15" s="1"/>
  <c r="AH61" i="15"/>
  <c r="AH65" i="15" s="1"/>
  <c r="AM63" i="15" s="1"/>
  <c r="Q104" i="15" s="1"/>
  <c r="AQ79" i="15" s="1"/>
  <c r="AC61" i="15"/>
  <c r="P102" i="15" s="1"/>
  <c r="AP77" i="15" s="1"/>
  <c r="AB61" i="15"/>
  <c r="P89" i="15" s="1"/>
  <c r="AC77" i="15" s="1"/>
  <c r="AA61" i="15"/>
  <c r="P77" i="15" s="1"/>
  <c r="Q114" i="15" s="1"/>
  <c r="S61" i="15"/>
  <c r="O102" i="15" s="1"/>
  <c r="AO77" i="15" s="1"/>
  <c r="R61" i="15"/>
  <c r="O89" i="15" s="1"/>
  <c r="AB77" i="15" s="1"/>
  <c r="Q61" i="15"/>
  <c r="O77" i="15" s="1"/>
  <c r="P114" i="15" s="1"/>
  <c r="I61" i="15"/>
  <c r="N102" i="15" s="1"/>
  <c r="AN77" i="15" s="1"/>
  <c r="H61" i="15"/>
  <c r="N89" i="15" s="1"/>
  <c r="AA77" i="15" s="1"/>
  <c r="G61" i="15"/>
  <c r="N77" i="15" s="1"/>
  <c r="O114" i="15" s="1"/>
  <c r="D61" i="15"/>
  <c r="AM60" i="15"/>
  <c r="Q101" i="15" s="1"/>
  <c r="AQ76" i="15" s="1"/>
  <c r="AL60" i="15"/>
  <c r="Q88" i="15" s="1"/>
  <c r="AD76" i="15" s="1"/>
  <c r="AK60" i="15"/>
  <c r="Q76" i="15" s="1"/>
  <c r="R113" i="15" s="1"/>
  <c r="AC60" i="15"/>
  <c r="P101" i="15" s="1"/>
  <c r="AP76" i="15" s="1"/>
  <c r="AB60" i="15"/>
  <c r="P88" i="15" s="1"/>
  <c r="AC76" i="15" s="1"/>
  <c r="AA60" i="15"/>
  <c r="P76" i="15" s="1"/>
  <c r="Q113" i="15" s="1"/>
  <c r="S60" i="15"/>
  <c r="O101" i="15" s="1"/>
  <c r="AO76" i="15" s="1"/>
  <c r="R60" i="15"/>
  <c r="O88" i="15" s="1"/>
  <c r="AB76" i="15" s="1"/>
  <c r="Q60" i="15"/>
  <c r="O76" i="15" s="1"/>
  <c r="P113" i="15" s="1"/>
  <c r="I60" i="15"/>
  <c r="N101" i="15" s="1"/>
  <c r="AN76" i="15" s="1"/>
  <c r="H60" i="15"/>
  <c r="N88" i="15" s="1"/>
  <c r="AA76" i="15" s="1"/>
  <c r="G60" i="15"/>
  <c r="N76" i="15" s="1"/>
  <c r="O113" i="15" s="1"/>
  <c r="AM59" i="15"/>
  <c r="Q100" i="15" s="1"/>
  <c r="AQ75" i="15" s="1"/>
  <c r="AL59" i="15"/>
  <c r="Q87" i="15" s="1"/>
  <c r="AD75" i="15" s="1"/>
  <c r="AK59" i="15"/>
  <c r="Q75" i="15" s="1"/>
  <c r="R112" i="15" s="1"/>
  <c r="AH59" i="15"/>
  <c r="AC59" i="15"/>
  <c r="P100" i="15" s="1"/>
  <c r="AP75" i="15" s="1"/>
  <c r="AB59" i="15"/>
  <c r="P87" i="15" s="1"/>
  <c r="AC75" i="15" s="1"/>
  <c r="AA59" i="15"/>
  <c r="P75" i="15" s="1"/>
  <c r="Q112" i="15" s="1"/>
  <c r="S59" i="15"/>
  <c r="O100" i="15" s="1"/>
  <c r="AO75" i="15" s="1"/>
  <c r="R59" i="15"/>
  <c r="O87" i="15" s="1"/>
  <c r="AB75" i="15" s="1"/>
  <c r="Q59" i="15"/>
  <c r="O75" i="15" s="1"/>
  <c r="P112" i="15" s="1"/>
  <c r="H59" i="15"/>
  <c r="N87" i="15" s="1"/>
  <c r="AA75" i="15" s="1"/>
  <c r="G59" i="15"/>
  <c r="N75" i="15" s="1"/>
  <c r="O112" i="15" s="1"/>
  <c r="D59" i="15"/>
  <c r="I59" i="15" s="1"/>
  <c r="N100" i="15" s="1"/>
  <c r="AN75" i="15" s="1"/>
  <c r="AM57" i="15"/>
  <c r="Q98" i="15" s="1"/>
  <c r="AQ73" i="15" s="1"/>
  <c r="AL57" i="15"/>
  <c r="Q85" i="15" s="1"/>
  <c r="AD73" i="15" s="1"/>
  <c r="AK57" i="15"/>
  <c r="Q73" i="15" s="1"/>
  <c r="R110" i="15" s="1"/>
  <c r="AC57" i="15"/>
  <c r="P98" i="15" s="1"/>
  <c r="AP73" i="15" s="1"/>
  <c r="AB57" i="15"/>
  <c r="P85" i="15" s="1"/>
  <c r="AC73" i="15" s="1"/>
  <c r="AA57" i="15"/>
  <c r="P73" i="15" s="1"/>
  <c r="Q110" i="15" s="1"/>
  <c r="S57" i="15"/>
  <c r="O98" i="15" s="1"/>
  <c r="AO73" i="15" s="1"/>
  <c r="R57" i="15"/>
  <c r="O85" i="15" s="1"/>
  <c r="AB73" i="15" s="1"/>
  <c r="Q57" i="15"/>
  <c r="O73" i="15" s="1"/>
  <c r="P110" i="15" s="1"/>
  <c r="I57" i="15"/>
  <c r="N98" i="15" s="1"/>
  <c r="AN73" i="15" s="1"/>
  <c r="H57" i="15"/>
  <c r="N85" i="15" s="1"/>
  <c r="AA73" i="15" s="1"/>
  <c r="G57" i="15"/>
  <c r="N73" i="15" s="1"/>
  <c r="O110" i="15" s="1"/>
  <c r="AM56" i="15"/>
  <c r="Q97" i="15" s="1"/>
  <c r="AQ72" i="15" s="1"/>
  <c r="AL56" i="15"/>
  <c r="Q84" i="15" s="1"/>
  <c r="AD72" i="15" s="1"/>
  <c r="AK56" i="15"/>
  <c r="Q72" i="15" s="1"/>
  <c r="R109" i="15" s="1"/>
  <c r="AC56" i="15"/>
  <c r="P97" i="15" s="1"/>
  <c r="AP72" i="15" s="1"/>
  <c r="AB56" i="15"/>
  <c r="P84" i="15" s="1"/>
  <c r="AC72" i="15" s="1"/>
  <c r="AA56" i="15"/>
  <c r="P72" i="15" s="1"/>
  <c r="Q109" i="15" s="1"/>
  <c r="S56" i="15"/>
  <c r="O97" i="15" s="1"/>
  <c r="AO72" i="15" s="1"/>
  <c r="R56" i="15"/>
  <c r="O84" i="15" s="1"/>
  <c r="AB72" i="15" s="1"/>
  <c r="Q56" i="15"/>
  <c r="O72" i="15" s="1"/>
  <c r="P109" i="15" s="1"/>
  <c r="I56" i="15"/>
  <c r="N97" i="15" s="1"/>
  <c r="AN72" i="15" s="1"/>
  <c r="H56" i="15"/>
  <c r="N84" i="15" s="1"/>
  <c r="AA72" i="15" s="1"/>
  <c r="G56" i="15"/>
  <c r="N72" i="15" s="1"/>
  <c r="O109" i="15" s="1"/>
  <c r="AM55" i="15"/>
  <c r="Q96" i="15" s="1"/>
  <c r="AQ71" i="15" s="1"/>
  <c r="AL55" i="15"/>
  <c r="Q83" i="15" s="1"/>
  <c r="AD71" i="15" s="1"/>
  <c r="AK55" i="15"/>
  <c r="Q71" i="15" s="1"/>
  <c r="R108" i="15" s="1"/>
  <c r="AC55" i="15"/>
  <c r="P96" i="15" s="1"/>
  <c r="AP71" i="15" s="1"/>
  <c r="AB55" i="15"/>
  <c r="P83" i="15" s="1"/>
  <c r="AC71" i="15" s="1"/>
  <c r="AA55" i="15"/>
  <c r="P71" i="15" s="1"/>
  <c r="Q108" i="15" s="1"/>
  <c r="S55" i="15"/>
  <c r="O96" i="15" s="1"/>
  <c r="AO71" i="15" s="1"/>
  <c r="R55" i="15"/>
  <c r="O83" i="15" s="1"/>
  <c r="AB71" i="15" s="1"/>
  <c r="Q55" i="15"/>
  <c r="O71" i="15" s="1"/>
  <c r="P108" i="15" s="1"/>
  <c r="I55" i="15"/>
  <c r="N96" i="15" s="1"/>
  <c r="AN71" i="15" s="1"/>
  <c r="H55" i="15"/>
  <c r="N83" i="15" s="1"/>
  <c r="AA71" i="15" s="1"/>
  <c r="G55" i="15"/>
  <c r="N71" i="15" s="1"/>
  <c r="O108" i="15" s="1"/>
  <c r="C50" i="15"/>
  <c r="B50" i="15"/>
  <c r="G47" i="15" s="1"/>
  <c r="L79" i="15" s="1"/>
  <c r="L116" i="15" s="1"/>
  <c r="N49" i="15"/>
  <c r="M49" i="15"/>
  <c r="L49" i="15"/>
  <c r="Q47" i="15" s="1"/>
  <c r="M79" i="15" s="1"/>
  <c r="N116" i="15" s="1"/>
  <c r="S47" i="15"/>
  <c r="M104" i="15" s="1"/>
  <c r="AM79" i="15" s="1"/>
  <c r="R47" i="15"/>
  <c r="M91" i="15" s="1"/>
  <c r="Z79" i="15" s="1"/>
  <c r="H47" i="15"/>
  <c r="L91" i="15" s="1"/>
  <c r="Y79" i="15" s="1"/>
  <c r="S45" i="15"/>
  <c r="M102" i="15" s="1"/>
  <c r="AM77" i="15" s="1"/>
  <c r="R45" i="15"/>
  <c r="M89" i="15" s="1"/>
  <c r="Z77" i="15" s="1"/>
  <c r="Q45" i="15"/>
  <c r="M77" i="15" s="1"/>
  <c r="N114" i="15" s="1"/>
  <c r="H45" i="15"/>
  <c r="L89" i="15" s="1"/>
  <c r="Y77" i="15" s="1"/>
  <c r="G45" i="15"/>
  <c r="L77" i="15" s="1"/>
  <c r="L114" i="15" s="1"/>
  <c r="D45" i="15"/>
  <c r="D50" i="15" s="1"/>
  <c r="I47" i="15" s="1"/>
  <c r="L104" i="15" s="1"/>
  <c r="AL79" i="15" s="1"/>
  <c r="S44" i="15"/>
  <c r="M101" i="15" s="1"/>
  <c r="AM76" i="15" s="1"/>
  <c r="R44" i="15"/>
  <c r="M88" i="15" s="1"/>
  <c r="Z76" i="15" s="1"/>
  <c r="Q44" i="15"/>
  <c r="M76" i="15" s="1"/>
  <c r="N113" i="15" s="1"/>
  <c r="I44" i="15"/>
  <c r="L101" i="15" s="1"/>
  <c r="AL76" i="15" s="1"/>
  <c r="H44" i="15"/>
  <c r="L88" i="15" s="1"/>
  <c r="Y76" i="15" s="1"/>
  <c r="G44" i="15"/>
  <c r="L76" i="15" s="1"/>
  <c r="L113" i="15" s="1"/>
  <c r="S43" i="15"/>
  <c r="M100" i="15" s="1"/>
  <c r="AM75" i="15" s="1"/>
  <c r="R43" i="15"/>
  <c r="M87" i="15" s="1"/>
  <c r="Z75" i="15" s="1"/>
  <c r="Q43" i="15"/>
  <c r="M75" i="15" s="1"/>
  <c r="N112" i="15" s="1"/>
  <c r="I43" i="15"/>
  <c r="L100" i="15" s="1"/>
  <c r="AL75" i="15" s="1"/>
  <c r="H43" i="15"/>
  <c r="L87" i="15" s="1"/>
  <c r="Y75" i="15" s="1"/>
  <c r="G43" i="15"/>
  <c r="L75" i="15" s="1"/>
  <c r="L112" i="15" s="1"/>
  <c r="S41" i="15"/>
  <c r="M98" i="15" s="1"/>
  <c r="AM73" i="15" s="1"/>
  <c r="R41" i="15"/>
  <c r="M85" i="15" s="1"/>
  <c r="Z73" i="15" s="1"/>
  <c r="Q41" i="15"/>
  <c r="M73" i="15" s="1"/>
  <c r="N110" i="15" s="1"/>
  <c r="I41" i="15"/>
  <c r="L98" i="15" s="1"/>
  <c r="AL73" i="15" s="1"/>
  <c r="H41" i="15"/>
  <c r="L85" i="15" s="1"/>
  <c r="Y73" i="15" s="1"/>
  <c r="G41" i="15"/>
  <c r="L73" i="15" s="1"/>
  <c r="L110" i="15" s="1"/>
  <c r="S40" i="15"/>
  <c r="M97" i="15" s="1"/>
  <c r="AM72" i="15" s="1"/>
  <c r="R40" i="15"/>
  <c r="M84" i="15" s="1"/>
  <c r="Z72" i="15" s="1"/>
  <c r="Q40" i="15"/>
  <c r="M72" i="15" s="1"/>
  <c r="N109" i="15" s="1"/>
  <c r="I40" i="15"/>
  <c r="L97" i="15" s="1"/>
  <c r="AL72" i="15" s="1"/>
  <c r="H40" i="15"/>
  <c r="L84" i="15" s="1"/>
  <c r="Y72" i="15" s="1"/>
  <c r="G40" i="15"/>
  <c r="L72" i="15" s="1"/>
  <c r="L109" i="15" s="1"/>
  <c r="S39" i="15"/>
  <c r="M96" i="15" s="1"/>
  <c r="AM71" i="15" s="1"/>
  <c r="R39" i="15"/>
  <c r="M83" i="15" s="1"/>
  <c r="Z71" i="15" s="1"/>
  <c r="Q39" i="15"/>
  <c r="M71" i="15" s="1"/>
  <c r="N108" i="15" s="1"/>
  <c r="I39" i="15"/>
  <c r="L96" i="15" s="1"/>
  <c r="AL71" i="15" s="1"/>
  <c r="H39" i="15"/>
  <c r="L83" i="15" s="1"/>
  <c r="Y71" i="15" s="1"/>
  <c r="G39" i="15"/>
  <c r="L71" i="15" s="1"/>
  <c r="L108" i="15" s="1"/>
  <c r="N33" i="15"/>
  <c r="M33" i="15"/>
  <c r="R30" i="15" s="1"/>
  <c r="J91" i="15" s="1"/>
  <c r="W79" i="15" s="1"/>
  <c r="L33" i="15"/>
  <c r="D33" i="15"/>
  <c r="C33" i="15"/>
  <c r="B33" i="15"/>
  <c r="G30" i="15" s="1"/>
  <c r="I79" i="15" s="1"/>
  <c r="I116" i="15" s="1"/>
  <c r="X32" i="15"/>
  <c r="AC30" i="15" s="1"/>
  <c r="K104" i="15" s="1"/>
  <c r="AK79" i="15" s="1"/>
  <c r="W32" i="15"/>
  <c r="V32" i="15"/>
  <c r="AA30" i="15" s="1"/>
  <c r="K79" i="15" s="1"/>
  <c r="K116" i="15" s="1"/>
  <c r="AB30" i="15"/>
  <c r="K91" i="15" s="1"/>
  <c r="X79" i="15" s="1"/>
  <c r="S30" i="15"/>
  <c r="J104" i="15" s="1"/>
  <c r="AJ79" i="15" s="1"/>
  <c r="Q30" i="15"/>
  <c r="J79" i="15" s="1"/>
  <c r="J116" i="15" s="1"/>
  <c r="I30" i="15"/>
  <c r="I104" i="15" s="1"/>
  <c r="AI79" i="15" s="1"/>
  <c r="H30" i="15"/>
  <c r="I91" i="15" s="1"/>
  <c r="V79" i="15" s="1"/>
  <c r="S29" i="15"/>
  <c r="J103" i="15" s="1"/>
  <c r="AJ78" i="15" s="1"/>
  <c r="AC28" i="15"/>
  <c r="K102" i="15" s="1"/>
  <c r="AK77" i="15" s="1"/>
  <c r="AB28" i="15"/>
  <c r="K89" i="15" s="1"/>
  <c r="X77" i="15" s="1"/>
  <c r="AA28" i="15"/>
  <c r="K77" i="15" s="1"/>
  <c r="K114" i="15" s="1"/>
  <c r="S28" i="15"/>
  <c r="J102" i="15" s="1"/>
  <c r="AJ77" i="15" s="1"/>
  <c r="R28" i="15"/>
  <c r="J89" i="15" s="1"/>
  <c r="W77" i="15" s="1"/>
  <c r="Q28" i="15"/>
  <c r="J77" i="15" s="1"/>
  <c r="J114" i="15" s="1"/>
  <c r="I28" i="15"/>
  <c r="I102" i="15" s="1"/>
  <c r="AI77" i="15" s="1"/>
  <c r="H28" i="15"/>
  <c r="I89" i="15" s="1"/>
  <c r="V77" i="15" s="1"/>
  <c r="G28" i="15"/>
  <c r="I77" i="15" s="1"/>
  <c r="I114" i="15" s="1"/>
  <c r="AC27" i="15"/>
  <c r="K101" i="15" s="1"/>
  <c r="AK76" i="15" s="1"/>
  <c r="AB27" i="15"/>
  <c r="K88" i="15" s="1"/>
  <c r="X76" i="15" s="1"/>
  <c r="AA27" i="15"/>
  <c r="K76" i="15" s="1"/>
  <c r="K113" i="15" s="1"/>
  <c r="S27" i="15"/>
  <c r="J101" i="15" s="1"/>
  <c r="AJ76" i="15" s="1"/>
  <c r="R27" i="15"/>
  <c r="J88" i="15" s="1"/>
  <c r="W76" i="15" s="1"/>
  <c r="Q27" i="15"/>
  <c r="J76" i="15" s="1"/>
  <c r="J113" i="15" s="1"/>
  <c r="I27" i="15"/>
  <c r="I101" i="15" s="1"/>
  <c r="AI76" i="15" s="1"/>
  <c r="H27" i="15"/>
  <c r="I88" i="15" s="1"/>
  <c r="V76" i="15" s="1"/>
  <c r="G27" i="15"/>
  <c r="I76" i="15" s="1"/>
  <c r="I113" i="15" s="1"/>
  <c r="AC26" i="15"/>
  <c r="K100" i="15" s="1"/>
  <c r="AK75" i="15" s="1"/>
  <c r="AB26" i="15"/>
  <c r="K87" i="15" s="1"/>
  <c r="X75" i="15" s="1"/>
  <c r="AA26" i="15"/>
  <c r="K75" i="15" s="1"/>
  <c r="K112" i="15" s="1"/>
  <c r="S26" i="15"/>
  <c r="J100" i="15" s="1"/>
  <c r="AJ75" i="15" s="1"/>
  <c r="R26" i="15"/>
  <c r="J87" i="15" s="1"/>
  <c r="W75" i="15" s="1"/>
  <c r="Q26" i="15"/>
  <c r="J75" i="15" s="1"/>
  <c r="J112" i="15" s="1"/>
  <c r="I26" i="15"/>
  <c r="I100" i="15" s="1"/>
  <c r="AI75" i="15" s="1"/>
  <c r="H26" i="15"/>
  <c r="I87" i="15" s="1"/>
  <c r="V75" i="15" s="1"/>
  <c r="G26" i="15"/>
  <c r="I75" i="15" s="1"/>
  <c r="I112" i="15" s="1"/>
  <c r="S25" i="15"/>
  <c r="J99" i="15" s="1"/>
  <c r="AJ74" i="15" s="1"/>
  <c r="AC24" i="15"/>
  <c r="K98" i="15" s="1"/>
  <c r="AK73" i="15" s="1"/>
  <c r="AB24" i="15"/>
  <c r="K85" i="15" s="1"/>
  <c r="X73" i="15" s="1"/>
  <c r="AA24" i="15"/>
  <c r="K73" i="15" s="1"/>
  <c r="K110" i="15" s="1"/>
  <c r="S24" i="15"/>
  <c r="J98" i="15" s="1"/>
  <c r="AJ73" i="15" s="1"/>
  <c r="R24" i="15"/>
  <c r="J85" i="15" s="1"/>
  <c r="W73" i="15" s="1"/>
  <c r="Q24" i="15"/>
  <c r="J73" i="15" s="1"/>
  <c r="J110" i="15" s="1"/>
  <c r="I24" i="15"/>
  <c r="I98" i="15" s="1"/>
  <c r="AI73" i="15" s="1"/>
  <c r="H24" i="15"/>
  <c r="I85" i="15" s="1"/>
  <c r="V73" i="15" s="1"/>
  <c r="G24" i="15"/>
  <c r="I73" i="15" s="1"/>
  <c r="I110" i="15" s="1"/>
  <c r="AC23" i="15"/>
  <c r="K97" i="15" s="1"/>
  <c r="AK72" i="15" s="1"/>
  <c r="AB23" i="15"/>
  <c r="K84" i="15" s="1"/>
  <c r="X72" i="15" s="1"/>
  <c r="AA23" i="15"/>
  <c r="K72" i="15" s="1"/>
  <c r="K109" i="15" s="1"/>
  <c r="S23" i="15"/>
  <c r="J97" i="15" s="1"/>
  <c r="AJ72" i="15" s="1"/>
  <c r="R23" i="15"/>
  <c r="J84" i="15" s="1"/>
  <c r="W72" i="15" s="1"/>
  <c r="Q23" i="15"/>
  <c r="J72" i="15" s="1"/>
  <c r="J109" i="15" s="1"/>
  <c r="I23" i="15"/>
  <c r="I97" i="15" s="1"/>
  <c r="AI72" i="15" s="1"/>
  <c r="H23" i="15"/>
  <c r="I84" i="15" s="1"/>
  <c r="V72" i="15" s="1"/>
  <c r="G23" i="15"/>
  <c r="I72" i="15" s="1"/>
  <c r="I109" i="15" s="1"/>
  <c r="AC22" i="15"/>
  <c r="K96" i="15" s="1"/>
  <c r="AK71" i="15" s="1"/>
  <c r="AB22" i="15"/>
  <c r="K83" i="15" s="1"/>
  <c r="X71" i="15" s="1"/>
  <c r="AA22" i="15"/>
  <c r="K71" i="15" s="1"/>
  <c r="K108" i="15" s="1"/>
  <c r="S22" i="15"/>
  <c r="J96" i="15" s="1"/>
  <c r="AJ71" i="15" s="1"/>
  <c r="R22" i="15"/>
  <c r="J83" i="15" s="1"/>
  <c r="W71" i="15" s="1"/>
  <c r="Q22" i="15"/>
  <c r="J71" i="15" s="1"/>
  <c r="J108" i="15" s="1"/>
  <c r="I22" i="15"/>
  <c r="I96" i="15" s="1"/>
  <c r="AI71" i="15" s="1"/>
  <c r="H22" i="15"/>
  <c r="I83" i="15" s="1"/>
  <c r="V71" i="15" s="1"/>
  <c r="G22" i="15"/>
  <c r="I71" i="15" s="1"/>
  <c r="I108" i="15" s="1"/>
  <c r="C17" i="15"/>
  <c r="H12" i="15" s="1"/>
  <c r="F91" i="15" s="1"/>
  <c r="S79" i="15" s="1"/>
  <c r="X14" i="15"/>
  <c r="AC12" i="15" s="1"/>
  <c r="H104" i="15" s="1"/>
  <c r="AH79" i="15" s="1"/>
  <c r="W14" i="15"/>
  <c r="AB12" i="15" s="1"/>
  <c r="H91" i="15" s="1"/>
  <c r="U79" i="15" s="1"/>
  <c r="V14" i="15"/>
  <c r="AA12" i="15" s="1"/>
  <c r="H79" i="15" s="1"/>
  <c r="H116" i="15" s="1"/>
  <c r="M14" i="15"/>
  <c r="L14" i="15"/>
  <c r="Q12" i="15" s="1"/>
  <c r="G79" i="15" s="1"/>
  <c r="G116" i="15" s="1"/>
  <c r="D14" i="15"/>
  <c r="D17" i="15" s="1"/>
  <c r="I12" i="15" s="1"/>
  <c r="F104" i="15" s="1"/>
  <c r="AF79" i="15" s="1"/>
  <c r="C14" i="15"/>
  <c r="B14" i="15"/>
  <c r="B17" i="15" s="1"/>
  <c r="G12" i="15" s="1"/>
  <c r="F79" i="15" s="1"/>
  <c r="F116" i="15" s="1"/>
  <c r="R12" i="15"/>
  <c r="G91" i="15" s="1"/>
  <c r="T79" i="15" s="1"/>
  <c r="AC10" i="15"/>
  <c r="H102" i="15" s="1"/>
  <c r="AH77" i="15" s="1"/>
  <c r="AB10" i="15"/>
  <c r="H89" i="15" s="1"/>
  <c r="U77" i="15" s="1"/>
  <c r="AA10" i="15"/>
  <c r="H77" i="15" s="1"/>
  <c r="H114" i="15" s="1"/>
  <c r="R10" i="15"/>
  <c r="Q10" i="15"/>
  <c r="N10" i="15"/>
  <c r="N14" i="15" s="1"/>
  <c r="S12" i="15" s="1"/>
  <c r="G104" i="15" s="1"/>
  <c r="AG79" i="15" s="1"/>
  <c r="I10" i="15"/>
  <c r="F102" i="15" s="1"/>
  <c r="AF77" i="15" s="1"/>
  <c r="H10" i="15"/>
  <c r="G10" i="15"/>
  <c r="AC9" i="15"/>
  <c r="H101" i="15" s="1"/>
  <c r="AH76" i="15" s="1"/>
  <c r="AB9" i="15"/>
  <c r="H88" i="15" s="1"/>
  <c r="U76" i="15" s="1"/>
  <c r="AA9" i="15"/>
  <c r="H76" i="15" s="1"/>
  <c r="H113" i="15" s="1"/>
  <c r="S9" i="15"/>
  <c r="R9" i="15"/>
  <c r="Q9" i="15"/>
  <c r="G76" i="15" s="1"/>
  <c r="G113" i="15" s="1"/>
  <c r="I9" i="15"/>
  <c r="H9" i="15"/>
  <c r="G9" i="15"/>
  <c r="F76" i="15" s="1"/>
  <c r="F113" i="15" s="1"/>
  <c r="AC8" i="15"/>
  <c r="H100" i="15" s="1"/>
  <c r="AH75" i="15" s="1"/>
  <c r="AB8" i="15"/>
  <c r="H87" i="15" s="1"/>
  <c r="U75" i="15" s="1"/>
  <c r="AA8" i="15"/>
  <c r="H75" i="15" s="1"/>
  <c r="H112" i="15" s="1"/>
  <c r="S8" i="15"/>
  <c r="R8" i="15"/>
  <c r="Q8" i="15"/>
  <c r="I8" i="15"/>
  <c r="H8" i="15"/>
  <c r="G8" i="15"/>
  <c r="AC6" i="15"/>
  <c r="H98" i="15" s="1"/>
  <c r="AH73" i="15" s="1"/>
  <c r="AB6" i="15"/>
  <c r="H85" i="15" s="1"/>
  <c r="U73" i="15" s="1"/>
  <c r="AA6" i="15"/>
  <c r="H73" i="15" s="1"/>
  <c r="H110" i="15" s="1"/>
  <c r="S6" i="15"/>
  <c r="G98" i="15" s="1"/>
  <c r="AG73" i="15" s="1"/>
  <c r="R6" i="15"/>
  <c r="Q6" i="15"/>
  <c r="G73" i="15" s="1"/>
  <c r="G110" i="15" s="1"/>
  <c r="I6" i="15"/>
  <c r="H6" i="15"/>
  <c r="G6" i="15"/>
  <c r="F73" i="15" s="1"/>
  <c r="F110" i="15" s="1"/>
  <c r="AC5" i="15"/>
  <c r="H97" i="15" s="1"/>
  <c r="AH72" i="15" s="1"/>
  <c r="AB5" i="15"/>
  <c r="H84" i="15" s="1"/>
  <c r="U72" i="15" s="1"/>
  <c r="AA5" i="15"/>
  <c r="H72" i="15" s="1"/>
  <c r="H109" i="15" s="1"/>
  <c r="S5" i="15"/>
  <c r="R5" i="15"/>
  <c r="Q5" i="15"/>
  <c r="G72" i="15" s="1"/>
  <c r="G109" i="15" s="1"/>
  <c r="I5" i="15"/>
  <c r="F97" i="15" s="1"/>
  <c r="AF72" i="15" s="1"/>
  <c r="H5" i="15"/>
  <c r="G5" i="15"/>
  <c r="AC4" i="15"/>
  <c r="H96" i="15" s="1"/>
  <c r="AH71" i="15" s="1"/>
  <c r="AB4" i="15"/>
  <c r="H83" i="15" s="1"/>
  <c r="U71" i="15" s="1"/>
  <c r="AA4" i="15"/>
  <c r="H71" i="15" s="1"/>
  <c r="H108" i="15" s="1"/>
  <c r="S4" i="15"/>
  <c r="R4" i="15"/>
  <c r="Q4" i="15"/>
  <c r="I4" i="15"/>
  <c r="H4" i="15"/>
  <c r="G4" i="15"/>
  <c r="D65" i="15" l="1"/>
  <c r="I63" i="15" s="1"/>
  <c r="N104" i="15" s="1"/>
  <c r="AN79" i="15" s="1"/>
  <c r="S10" i="15"/>
  <c r="G102" i="15" s="1"/>
  <c r="AG77" i="15" s="1"/>
  <c r="I45" i="15"/>
  <c r="L102" i="15" s="1"/>
  <c r="AL77" i="15" s="1"/>
  <c r="AM61" i="15"/>
  <c r="Q102" i="15" s="1"/>
  <c r="AQ77" i="15" s="1"/>
  <c r="F99" i="14"/>
  <c r="AF74" i="14" s="1"/>
  <c r="G99" i="14"/>
  <c r="AG74" i="14" s="1"/>
  <c r="H99" i="14"/>
  <c r="AH74" i="14" s="1"/>
  <c r="I99" i="14"/>
  <c r="AI74" i="14" s="1"/>
  <c r="K99" i="14"/>
  <c r="AK74" i="14" s="1"/>
  <c r="L99" i="14"/>
  <c r="AL74" i="14" s="1"/>
  <c r="M99" i="14"/>
  <c r="AM74" i="14" s="1"/>
  <c r="N99" i="14"/>
  <c r="AN74" i="14" s="1"/>
  <c r="O99" i="14"/>
  <c r="AO74" i="14" s="1"/>
  <c r="P99" i="14"/>
  <c r="AP74" i="14" s="1"/>
  <c r="Q99" i="14"/>
  <c r="AQ74" i="14" s="1"/>
  <c r="F103" i="14"/>
  <c r="AF78" i="14" s="1"/>
  <c r="G103" i="14"/>
  <c r="AG78" i="14" s="1"/>
  <c r="H103" i="14"/>
  <c r="AH78" i="14" s="1"/>
  <c r="I103" i="14"/>
  <c r="AI78" i="14" s="1"/>
  <c r="K103" i="14"/>
  <c r="AK78" i="14" s="1"/>
  <c r="L103" i="14"/>
  <c r="AL78" i="14" s="1"/>
  <c r="M103" i="14"/>
  <c r="AM78" i="14" s="1"/>
  <c r="N103" i="14"/>
  <c r="AN78" i="14" s="1"/>
  <c r="O103" i="14"/>
  <c r="AO78" i="14" s="1"/>
  <c r="P103" i="14"/>
  <c r="AP78" i="14" s="1"/>
  <c r="Q103" i="14"/>
  <c r="AQ78" i="14" s="1"/>
  <c r="J86" i="14"/>
  <c r="W74" i="14" s="1"/>
  <c r="K86" i="14"/>
  <c r="X74" i="14" s="1"/>
  <c r="L86" i="14"/>
  <c r="Y74" i="14" s="1"/>
  <c r="M86" i="14"/>
  <c r="Z74" i="14" s="1"/>
  <c r="N86" i="14"/>
  <c r="AA74" i="14" s="1"/>
  <c r="O86" i="14"/>
  <c r="AB74" i="14" s="1"/>
  <c r="P86" i="14"/>
  <c r="AC74" i="14" s="1"/>
  <c r="Q86" i="14"/>
  <c r="AD74" i="14" s="1"/>
  <c r="J90" i="14"/>
  <c r="W78" i="14" s="1"/>
  <c r="K90" i="14"/>
  <c r="X78" i="14" s="1"/>
  <c r="L90" i="14"/>
  <c r="Y78" i="14" s="1"/>
  <c r="M90" i="14"/>
  <c r="Z78" i="14" s="1"/>
  <c r="N90" i="14"/>
  <c r="AA78" i="14" s="1"/>
  <c r="O90" i="14"/>
  <c r="AB78" i="14" s="1"/>
  <c r="P90" i="14"/>
  <c r="AC78" i="14" s="1"/>
  <c r="Q90" i="14"/>
  <c r="AD78" i="14" s="1"/>
  <c r="I86" i="14"/>
  <c r="V74" i="14" s="1"/>
  <c r="I90" i="14"/>
  <c r="V78" i="14" s="1"/>
  <c r="H86" i="14"/>
  <c r="U74" i="14" s="1"/>
  <c r="H90" i="14"/>
  <c r="U78" i="14" s="1"/>
  <c r="G86" i="14"/>
  <c r="T74" i="14" s="1"/>
  <c r="G90" i="14"/>
  <c r="T78" i="14" s="1"/>
  <c r="F86" i="14"/>
  <c r="S74" i="14" s="1"/>
  <c r="F90" i="14"/>
  <c r="S78" i="14" s="1"/>
  <c r="Q74" i="14"/>
  <c r="R111" i="14" s="1"/>
  <c r="Q78" i="14"/>
  <c r="R115" i="14" s="1"/>
  <c r="P74" i="14"/>
  <c r="Q111" i="14" s="1"/>
  <c r="P78" i="14"/>
  <c r="Q115" i="14" s="1"/>
  <c r="O74" i="14"/>
  <c r="P111" i="14" s="1"/>
  <c r="O78" i="14"/>
  <c r="P115" i="14" s="1"/>
  <c r="N74" i="14"/>
  <c r="O111" i="14" s="1"/>
  <c r="N78" i="14"/>
  <c r="O115" i="14" s="1"/>
  <c r="M74" i="14"/>
  <c r="N111" i="14" s="1"/>
  <c r="M78" i="14"/>
  <c r="N115" i="14" s="1"/>
  <c r="L74" i="14"/>
  <c r="L111" i="14" s="1"/>
  <c r="L78" i="14"/>
  <c r="L115" i="14" s="1"/>
  <c r="K74" i="14"/>
  <c r="K111" i="14" s="1"/>
  <c r="K78" i="14"/>
  <c r="K115" i="14" s="1"/>
  <c r="J74" i="14"/>
  <c r="J111" i="14" s="1"/>
  <c r="J78" i="14"/>
  <c r="J115" i="14" s="1"/>
  <c r="J71" i="14"/>
  <c r="J108" i="14" s="1"/>
  <c r="I74" i="14"/>
  <c r="I111" i="14" s="1"/>
  <c r="I78" i="14"/>
  <c r="I115" i="14" s="1"/>
  <c r="H74" i="14"/>
  <c r="H111" i="14" s="1"/>
  <c r="H78" i="14"/>
  <c r="H115" i="14" s="1"/>
  <c r="G74" i="14"/>
  <c r="G111" i="14" s="1"/>
  <c r="G78" i="14"/>
  <c r="G115" i="14" s="1"/>
  <c r="F74" i="14"/>
  <c r="F111" i="14" s="1"/>
  <c r="F78" i="14"/>
  <c r="F115" i="14" s="1"/>
  <c r="AG65" i="14"/>
  <c r="AL63" i="14" s="1"/>
  <c r="Q91" i="14" s="1"/>
  <c r="AD79" i="14" s="1"/>
  <c r="AF65" i="14"/>
  <c r="AK63" i="14" s="1"/>
  <c r="Q79" i="14" s="1"/>
  <c r="R116" i="14" s="1"/>
  <c r="AL61" i="14"/>
  <c r="Q89" i="14" s="1"/>
  <c r="AD77" i="14" s="1"/>
  <c r="AK61" i="14"/>
  <c r="Q77" i="14" s="1"/>
  <c r="R114" i="14" s="1"/>
  <c r="AH61" i="14"/>
  <c r="AM61" i="14" s="1"/>
  <c r="Q102" i="14" s="1"/>
  <c r="AQ77" i="14" s="1"/>
  <c r="AM60" i="14"/>
  <c r="Q101" i="14" s="1"/>
  <c r="AQ76" i="14" s="1"/>
  <c r="AL60" i="14"/>
  <c r="Q88" i="14" s="1"/>
  <c r="AD76" i="14" s="1"/>
  <c r="AK60" i="14"/>
  <c r="Q76" i="14" s="1"/>
  <c r="R113" i="14" s="1"/>
  <c r="AL59" i="14"/>
  <c r="Q87" i="14" s="1"/>
  <c r="AD75" i="14" s="1"/>
  <c r="AK59" i="14"/>
  <c r="Q75" i="14" s="1"/>
  <c r="R112" i="14" s="1"/>
  <c r="AH59" i="14"/>
  <c r="AH65" i="14" s="1"/>
  <c r="AM63" i="14" s="1"/>
  <c r="Q104" i="14" s="1"/>
  <c r="AQ79" i="14" s="1"/>
  <c r="AM57" i="14"/>
  <c r="Q98" i="14" s="1"/>
  <c r="AQ73" i="14" s="1"/>
  <c r="AL57" i="14"/>
  <c r="Q85" i="14" s="1"/>
  <c r="AD73" i="14" s="1"/>
  <c r="AK57" i="14"/>
  <c r="Q73" i="14" s="1"/>
  <c r="R110" i="14" s="1"/>
  <c r="AM56" i="14"/>
  <c r="Q97" i="14" s="1"/>
  <c r="AQ72" i="14" s="1"/>
  <c r="AL56" i="14"/>
  <c r="Q84" i="14" s="1"/>
  <c r="AD72" i="14" s="1"/>
  <c r="AK56" i="14"/>
  <c r="Q72" i="14" s="1"/>
  <c r="R109" i="14" s="1"/>
  <c r="AM55" i="14"/>
  <c r="Q96" i="14" s="1"/>
  <c r="AQ71" i="14" s="1"/>
  <c r="AL55" i="14"/>
  <c r="Q83" i="14" s="1"/>
  <c r="AD71" i="14" s="1"/>
  <c r="AK55" i="14"/>
  <c r="Q71" i="14" s="1"/>
  <c r="R108" i="14" s="1"/>
  <c r="X65" i="14"/>
  <c r="W65" i="14"/>
  <c r="AB63" i="14" s="1"/>
  <c r="P91" i="14" s="1"/>
  <c r="AC79" i="14" s="1"/>
  <c r="V65" i="14"/>
  <c r="AA63" i="14" s="1"/>
  <c r="P79" i="14" s="1"/>
  <c r="Q116" i="14" s="1"/>
  <c r="AC63" i="14"/>
  <c r="P104" i="14" s="1"/>
  <c r="AP79" i="14" s="1"/>
  <c r="AC61" i="14"/>
  <c r="P102" i="14" s="1"/>
  <c r="AP77" i="14" s="1"/>
  <c r="AB61" i="14"/>
  <c r="P89" i="14" s="1"/>
  <c r="AC77" i="14" s="1"/>
  <c r="AA61" i="14"/>
  <c r="P77" i="14" s="1"/>
  <c r="Q114" i="14" s="1"/>
  <c r="AC60" i="14"/>
  <c r="P101" i="14" s="1"/>
  <c r="AP76" i="14" s="1"/>
  <c r="AB60" i="14"/>
  <c r="P88" i="14" s="1"/>
  <c r="AC76" i="14" s="1"/>
  <c r="AA60" i="14"/>
  <c r="P76" i="14" s="1"/>
  <c r="Q113" i="14" s="1"/>
  <c r="AC59" i="14"/>
  <c r="P100" i="14" s="1"/>
  <c r="AP75" i="14" s="1"/>
  <c r="AB59" i="14"/>
  <c r="P87" i="14" s="1"/>
  <c r="AC75" i="14" s="1"/>
  <c r="AA59" i="14"/>
  <c r="P75" i="14" s="1"/>
  <c r="Q112" i="14" s="1"/>
  <c r="AC57" i="14"/>
  <c r="P98" i="14" s="1"/>
  <c r="AP73" i="14" s="1"/>
  <c r="AB57" i="14"/>
  <c r="P85" i="14" s="1"/>
  <c r="AC73" i="14" s="1"/>
  <c r="AA57" i="14"/>
  <c r="P73" i="14" s="1"/>
  <c r="Q110" i="14" s="1"/>
  <c r="AC56" i="14"/>
  <c r="P97" i="14" s="1"/>
  <c r="AP72" i="14" s="1"/>
  <c r="AB56" i="14"/>
  <c r="P84" i="14" s="1"/>
  <c r="AC72" i="14" s="1"/>
  <c r="AA56" i="14"/>
  <c r="P72" i="14" s="1"/>
  <c r="Q109" i="14" s="1"/>
  <c r="AC55" i="14"/>
  <c r="P96" i="14" s="1"/>
  <c r="AP71" i="14" s="1"/>
  <c r="AB55" i="14"/>
  <c r="P83" i="14" s="1"/>
  <c r="AC71" i="14" s="1"/>
  <c r="AA55" i="14"/>
  <c r="P71" i="14" s="1"/>
  <c r="Q108" i="14" s="1"/>
  <c r="N65" i="14"/>
  <c r="M65" i="14"/>
  <c r="R63" i="14" s="1"/>
  <c r="O91" i="14" s="1"/>
  <c r="AB79" i="14" s="1"/>
  <c r="L65" i="14"/>
  <c r="S63" i="14"/>
  <c r="O104" i="14" s="1"/>
  <c r="AO79" i="14" s="1"/>
  <c r="Q63" i="14"/>
  <c r="O79" i="14" s="1"/>
  <c r="P116" i="14" s="1"/>
  <c r="S61" i="14"/>
  <c r="O102" i="14" s="1"/>
  <c r="AO77" i="14" s="1"/>
  <c r="R61" i="14"/>
  <c r="O89" i="14" s="1"/>
  <c r="AB77" i="14" s="1"/>
  <c r="Q61" i="14"/>
  <c r="O77" i="14" s="1"/>
  <c r="P114" i="14" s="1"/>
  <c r="S60" i="14"/>
  <c r="O101" i="14" s="1"/>
  <c r="AO76" i="14" s="1"/>
  <c r="R60" i="14"/>
  <c r="O88" i="14" s="1"/>
  <c r="AB76" i="14" s="1"/>
  <c r="Q60" i="14"/>
  <c r="O76" i="14" s="1"/>
  <c r="P113" i="14" s="1"/>
  <c r="S59" i="14"/>
  <c r="O100" i="14" s="1"/>
  <c r="AO75" i="14" s="1"/>
  <c r="R59" i="14"/>
  <c r="O87" i="14" s="1"/>
  <c r="AB75" i="14" s="1"/>
  <c r="Q59" i="14"/>
  <c r="O75" i="14" s="1"/>
  <c r="P112" i="14" s="1"/>
  <c r="S57" i="14"/>
  <c r="O98" i="14" s="1"/>
  <c r="AO73" i="14" s="1"/>
  <c r="R57" i="14"/>
  <c r="O85" i="14" s="1"/>
  <c r="AB73" i="14" s="1"/>
  <c r="Q57" i="14"/>
  <c r="O73" i="14" s="1"/>
  <c r="P110" i="14" s="1"/>
  <c r="S56" i="14"/>
  <c r="O97" i="14" s="1"/>
  <c r="AO72" i="14" s="1"/>
  <c r="R56" i="14"/>
  <c r="O84" i="14" s="1"/>
  <c r="AB72" i="14" s="1"/>
  <c r="Q56" i="14"/>
  <c r="O72" i="14" s="1"/>
  <c r="P109" i="14" s="1"/>
  <c r="S55" i="14"/>
  <c r="O96" i="14" s="1"/>
  <c r="AO71" i="14" s="1"/>
  <c r="R55" i="14"/>
  <c r="O83" i="14" s="1"/>
  <c r="AB71" i="14" s="1"/>
  <c r="Q55" i="14"/>
  <c r="O71" i="14" s="1"/>
  <c r="P108" i="14" s="1"/>
  <c r="C65" i="14"/>
  <c r="H63" i="14" s="1"/>
  <c r="N91" i="14" s="1"/>
  <c r="AA79" i="14" s="1"/>
  <c r="B65" i="14"/>
  <c r="G63" i="14" s="1"/>
  <c r="N79" i="14" s="1"/>
  <c r="O116" i="14" s="1"/>
  <c r="H61" i="14"/>
  <c r="N89" i="14" s="1"/>
  <c r="AA77" i="14" s="1"/>
  <c r="G61" i="14"/>
  <c r="N77" i="14" s="1"/>
  <c r="O114" i="14" s="1"/>
  <c r="D61" i="14"/>
  <c r="I61" i="14" s="1"/>
  <c r="N102" i="14" s="1"/>
  <c r="AN77" i="14" s="1"/>
  <c r="I60" i="14"/>
  <c r="N101" i="14" s="1"/>
  <c r="AN76" i="14" s="1"/>
  <c r="H60" i="14"/>
  <c r="N88" i="14" s="1"/>
  <c r="AA76" i="14" s="1"/>
  <c r="G60" i="14"/>
  <c r="N76" i="14" s="1"/>
  <c r="O113" i="14" s="1"/>
  <c r="H59" i="14"/>
  <c r="N87" i="14" s="1"/>
  <c r="AA75" i="14" s="1"/>
  <c r="G59" i="14"/>
  <c r="N75" i="14" s="1"/>
  <c r="O112" i="14" s="1"/>
  <c r="D59" i="14"/>
  <c r="I57" i="14"/>
  <c r="N98" i="14" s="1"/>
  <c r="AN73" i="14" s="1"/>
  <c r="H57" i="14"/>
  <c r="N85" i="14" s="1"/>
  <c r="AA73" i="14" s="1"/>
  <c r="G57" i="14"/>
  <c r="N73" i="14" s="1"/>
  <c r="O110" i="14" s="1"/>
  <c r="I56" i="14"/>
  <c r="N97" i="14" s="1"/>
  <c r="AN72" i="14" s="1"/>
  <c r="H56" i="14"/>
  <c r="N84" i="14" s="1"/>
  <c r="AA72" i="14" s="1"/>
  <c r="G56" i="14"/>
  <c r="N72" i="14" s="1"/>
  <c r="O109" i="14" s="1"/>
  <c r="I55" i="14"/>
  <c r="N96" i="14" s="1"/>
  <c r="AN71" i="14" s="1"/>
  <c r="H55" i="14"/>
  <c r="N83" i="14" s="1"/>
  <c r="AA71" i="14" s="1"/>
  <c r="G55" i="14"/>
  <c r="N71" i="14" s="1"/>
  <c r="O108" i="14" s="1"/>
  <c r="N49" i="14"/>
  <c r="S47" i="14" s="1"/>
  <c r="M104" i="14" s="1"/>
  <c r="AM79" i="14" s="1"/>
  <c r="M49" i="14"/>
  <c r="R47" i="14" s="1"/>
  <c r="M91" i="14" s="1"/>
  <c r="Z79" i="14" s="1"/>
  <c r="L49" i="14"/>
  <c r="Q47" i="14" s="1"/>
  <c r="M79" i="14" s="1"/>
  <c r="N116" i="14" s="1"/>
  <c r="S45" i="14"/>
  <c r="M102" i="14" s="1"/>
  <c r="AM77" i="14" s="1"/>
  <c r="R45" i="14"/>
  <c r="M89" i="14" s="1"/>
  <c r="Z77" i="14" s="1"/>
  <c r="Q45" i="14"/>
  <c r="M77" i="14" s="1"/>
  <c r="N114" i="14" s="1"/>
  <c r="S44" i="14"/>
  <c r="M101" i="14" s="1"/>
  <c r="AM76" i="14" s="1"/>
  <c r="R44" i="14"/>
  <c r="M88" i="14" s="1"/>
  <c r="Z76" i="14" s="1"/>
  <c r="Q44" i="14"/>
  <c r="M76" i="14" s="1"/>
  <c r="N113" i="14" s="1"/>
  <c r="S43" i="14"/>
  <c r="M100" i="14" s="1"/>
  <c r="AM75" i="14" s="1"/>
  <c r="R43" i="14"/>
  <c r="M87" i="14" s="1"/>
  <c r="Z75" i="14" s="1"/>
  <c r="Q43" i="14"/>
  <c r="M75" i="14" s="1"/>
  <c r="N112" i="14" s="1"/>
  <c r="S41" i="14"/>
  <c r="M98" i="14" s="1"/>
  <c r="AM73" i="14" s="1"/>
  <c r="R41" i="14"/>
  <c r="M85" i="14" s="1"/>
  <c r="Z73" i="14" s="1"/>
  <c r="Q41" i="14"/>
  <c r="M73" i="14" s="1"/>
  <c r="N110" i="14" s="1"/>
  <c r="S40" i="14"/>
  <c r="M97" i="14" s="1"/>
  <c r="AM72" i="14" s="1"/>
  <c r="R40" i="14"/>
  <c r="M84" i="14" s="1"/>
  <c r="Z72" i="14" s="1"/>
  <c r="Q40" i="14"/>
  <c r="M72" i="14" s="1"/>
  <c r="N109" i="14" s="1"/>
  <c r="S39" i="14"/>
  <c r="M96" i="14" s="1"/>
  <c r="AM71" i="14" s="1"/>
  <c r="R39" i="14"/>
  <c r="M83" i="14" s="1"/>
  <c r="Z71" i="14" s="1"/>
  <c r="Q39" i="14"/>
  <c r="M71" i="14" s="1"/>
  <c r="N108" i="14" s="1"/>
  <c r="C50" i="14"/>
  <c r="H47" i="14" s="1"/>
  <c r="L91" i="14" s="1"/>
  <c r="Y79" i="14" s="1"/>
  <c r="B50" i="14"/>
  <c r="G47" i="14" s="1"/>
  <c r="L79" i="14" s="1"/>
  <c r="L116" i="14" s="1"/>
  <c r="H45" i="14"/>
  <c r="L89" i="14" s="1"/>
  <c r="Y77" i="14" s="1"/>
  <c r="G45" i="14"/>
  <c r="L77" i="14" s="1"/>
  <c r="L114" i="14" s="1"/>
  <c r="D45" i="14"/>
  <c r="D50" i="14" s="1"/>
  <c r="I47" i="14" s="1"/>
  <c r="L104" i="14" s="1"/>
  <c r="AL79" i="14" s="1"/>
  <c r="I44" i="14"/>
  <c r="L101" i="14" s="1"/>
  <c r="AL76" i="14" s="1"/>
  <c r="H44" i="14"/>
  <c r="L88" i="14" s="1"/>
  <c r="Y76" i="14" s="1"/>
  <c r="G44" i="14"/>
  <c r="L76" i="14" s="1"/>
  <c r="L113" i="14" s="1"/>
  <c r="I43" i="14"/>
  <c r="L100" i="14" s="1"/>
  <c r="AL75" i="14" s="1"/>
  <c r="H43" i="14"/>
  <c r="L87" i="14" s="1"/>
  <c r="Y75" i="14" s="1"/>
  <c r="G43" i="14"/>
  <c r="L75" i="14" s="1"/>
  <c r="L112" i="14" s="1"/>
  <c r="I41" i="14"/>
  <c r="L98" i="14" s="1"/>
  <c r="AL73" i="14" s="1"/>
  <c r="H41" i="14"/>
  <c r="L85" i="14" s="1"/>
  <c r="Y73" i="14" s="1"/>
  <c r="G41" i="14"/>
  <c r="L73" i="14" s="1"/>
  <c r="L110" i="14" s="1"/>
  <c r="I40" i="14"/>
  <c r="L97" i="14" s="1"/>
  <c r="AL72" i="14" s="1"/>
  <c r="H40" i="14"/>
  <c r="L84" i="14" s="1"/>
  <c r="Y72" i="14" s="1"/>
  <c r="G40" i="14"/>
  <c r="L72" i="14" s="1"/>
  <c r="L109" i="14" s="1"/>
  <c r="I39" i="14"/>
  <c r="L96" i="14" s="1"/>
  <c r="AL71" i="14" s="1"/>
  <c r="H39" i="14"/>
  <c r="L83" i="14" s="1"/>
  <c r="Y71" i="14" s="1"/>
  <c r="G39" i="14"/>
  <c r="L71" i="14" s="1"/>
  <c r="L108" i="14" s="1"/>
  <c r="X32" i="14"/>
  <c r="W32" i="14"/>
  <c r="AB30" i="14" s="1"/>
  <c r="K91" i="14" s="1"/>
  <c r="X79" i="14" s="1"/>
  <c r="V32" i="14"/>
  <c r="AA30" i="14" s="1"/>
  <c r="K79" i="14" s="1"/>
  <c r="K116" i="14" s="1"/>
  <c r="AC30" i="14"/>
  <c r="K104" i="14" s="1"/>
  <c r="AK79" i="14" s="1"/>
  <c r="AC28" i="14"/>
  <c r="K102" i="14" s="1"/>
  <c r="AK77" i="14" s="1"/>
  <c r="AB28" i="14"/>
  <c r="K89" i="14" s="1"/>
  <c r="X77" i="14" s="1"/>
  <c r="AA28" i="14"/>
  <c r="K77" i="14" s="1"/>
  <c r="K114" i="14" s="1"/>
  <c r="AC27" i="14"/>
  <c r="K101" i="14" s="1"/>
  <c r="AK76" i="14" s="1"/>
  <c r="AB27" i="14"/>
  <c r="K88" i="14" s="1"/>
  <c r="X76" i="14" s="1"/>
  <c r="AA27" i="14"/>
  <c r="K76" i="14" s="1"/>
  <c r="K113" i="14" s="1"/>
  <c r="AC26" i="14"/>
  <c r="K100" i="14" s="1"/>
  <c r="AK75" i="14" s="1"/>
  <c r="AB26" i="14"/>
  <c r="K87" i="14" s="1"/>
  <c r="X75" i="14" s="1"/>
  <c r="AA26" i="14"/>
  <c r="K75" i="14" s="1"/>
  <c r="K112" i="14" s="1"/>
  <c r="AC24" i="14"/>
  <c r="K98" i="14" s="1"/>
  <c r="AK73" i="14" s="1"/>
  <c r="AB24" i="14"/>
  <c r="K85" i="14" s="1"/>
  <c r="X73" i="14" s="1"/>
  <c r="AA24" i="14"/>
  <c r="K73" i="14" s="1"/>
  <c r="K110" i="14" s="1"/>
  <c r="AC23" i="14"/>
  <c r="K97" i="14" s="1"/>
  <c r="AK72" i="14" s="1"/>
  <c r="AB23" i="14"/>
  <c r="K84" i="14" s="1"/>
  <c r="X72" i="14" s="1"/>
  <c r="AA23" i="14"/>
  <c r="K72" i="14" s="1"/>
  <c r="K109" i="14" s="1"/>
  <c r="AC22" i="14"/>
  <c r="K96" i="14" s="1"/>
  <c r="AK71" i="14" s="1"/>
  <c r="AB22" i="14"/>
  <c r="K83" i="14" s="1"/>
  <c r="X71" i="14" s="1"/>
  <c r="AA22" i="14"/>
  <c r="K71" i="14" s="1"/>
  <c r="K108" i="14" s="1"/>
  <c r="N33" i="14"/>
  <c r="S30" i="14" s="1"/>
  <c r="J104" i="14" s="1"/>
  <c r="AJ79" i="14" s="1"/>
  <c r="M33" i="14"/>
  <c r="L33" i="14"/>
  <c r="Q30" i="14" s="1"/>
  <c r="J79" i="14" s="1"/>
  <c r="J116" i="14" s="1"/>
  <c r="R30" i="14"/>
  <c r="J91" i="14" s="1"/>
  <c r="W79" i="14" s="1"/>
  <c r="S29" i="14"/>
  <c r="J103" i="14" s="1"/>
  <c r="AJ78" i="14" s="1"/>
  <c r="S28" i="14"/>
  <c r="J102" i="14" s="1"/>
  <c r="AJ77" i="14" s="1"/>
  <c r="R28" i="14"/>
  <c r="J89" i="14" s="1"/>
  <c r="W77" i="14" s="1"/>
  <c r="Q28" i="14"/>
  <c r="J77" i="14" s="1"/>
  <c r="J114" i="14" s="1"/>
  <c r="S27" i="14"/>
  <c r="J101" i="14" s="1"/>
  <c r="AJ76" i="14" s="1"/>
  <c r="R27" i="14"/>
  <c r="J88" i="14" s="1"/>
  <c r="W76" i="14" s="1"/>
  <c r="Q27" i="14"/>
  <c r="J76" i="14" s="1"/>
  <c r="J113" i="14" s="1"/>
  <c r="S26" i="14"/>
  <c r="J100" i="14" s="1"/>
  <c r="AJ75" i="14" s="1"/>
  <c r="R26" i="14"/>
  <c r="J87" i="14" s="1"/>
  <c r="W75" i="14" s="1"/>
  <c r="Q26" i="14"/>
  <c r="J75" i="14" s="1"/>
  <c r="J112" i="14" s="1"/>
  <c r="S25" i="14"/>
  <c r="J99" i="14" s="1"/>
  <c r="AJ74" i="14" s="1"/>
  <c r="S24" i="14"/>
  <c r="J98" i="14" s="1"/>
  <c r="AJ73" i="14" s="1"/>
  <c r="R24" i="14"/>
  <c r="J85" i="14" s="1"/>
  <c r="W73" i="14" s="1"/>
  <c r="Q24" i="14"/>
  <c r="J73" i="14" s="1"/>
  <c r="J110" i="14" s="1"/>
  <c r="S23" i="14"/>
  <c r="J97" i="14" s="1"/>
  <c r="AJ72" i="14" s="1"/>
  <c r="R23" i="14"/>
  <c r="J84" i="14" s="1"/>
  <c r="W72" i="14" s="1"/>
  <c r="Q23" i="14"/>
  <c r="J72" i="14" s="1"/>
  <c r="J109" i="14" s="1"/>
  <c r="S22" i="14"/>
  <c r="J96" i="14" s="1"/>
  <c r="AJ71" i="14" s="1"/>
  <c r="R22" i="14"/>
  <c r="J83" i="14" s="1"/>
  <c r="W71" i="14" s="1"/>
  <c r="Q22" i="14"/>
  <c r="D33" i="14"/>
  <c r="I30" i="14" s="1"/>
  <c r="I104" i="14" s="1"/>
  <c r="AI79" i="14" s="1"/>
  <c r="C33" i="14"/>
  <c r="H30" i="14" s="1"/>
  <c r="I91" i="14" s="1"/>
  <c r="V79" i="14" s="1"/>
  <c r="B33" i="14"/>
  <c r="G30" i="14" s="1"/>
  <c r="I79" i="14" s="1"/>
  <c r="I116" i="14" s="1"/>
  <c r="I28" i="14"/>
  <c r="I102" i="14" s="1"/>
  <c r="AI77" i="14" s="1"/>
  <c r="H28" i="14"/>
  <c r="I89" i="14" s="1"/>
  <c r="V77" i="14" s="1"/>
  <c r="G28" i="14"/>
  <c r="I77" i="14" s="1"/>
  <c r="I114" i="14" s="1"/>
  <c r="I27" i="14"/>
  <c r="I101" i="14" s="1"/>
  <c r="AI76" i="14" s="1"/>
  <c r="H27" i="14"/>
  <c r="I88" i="14" s="1"/>
  <c r="V76" i="14" s="1"/>
  <c r="G27" i="14"/>
  <c r="I76" i="14" s="1"/>
  <c r="I113" i="14" s="1"/>
  <c r="I26" i="14"/>
  <c r="I100" i="14" s="1"/>
  <c r="AI75" i="14" s="1"/>
  <c r="H26" i="14"/>
  <c r="I87" i="14" s="1"/>
  <c r="V75" i="14" s="1"/>
  <c r="G26" i="14"/>
  <c r="I75" i="14" s="1"/>
  <c r="I112" i="14" s="1"/>
  <c r="I24" i="14"/>
  <c r="I98" i="14" s="1"/>
  <c r="AI73" i="14" s="1"/>
  <c r="H24" i="14"/>
  <c r="I85" i="14" s="1"/>
  <c r="V73" i="14" s="1"/>
  <c r="G24" i="14"/>
  <c r="I73" i="14" s="1"/>
  <c r="I110" i="14" s="1"/>
  <c r="I23" i="14"/>
  <c r="I97" i="14" s="1"/>
  <c r="AI72" i="14" s="1"/>
  <c r="H23" i="14"/>
  <c r="I84" i="14" s="1"/>
  <c r="V72" i="14" s="1"/>
  <c r="G23" i="14"/>
  <c r="I72" i="14" s="1"/>
  <c r="I109" i="14" s="1"/>
  <c r="I22" i="14"/>
  <c r="I96" i="14" s="1"/>
  <c r="AI71" i="14" s="1"/>
  <c r="H22" i="14"/>
  <c r="I83" i="14" s="1"/>
  <c r="V71" i="14" s="1"/>
  <c r="G22" i="14"/>
  <c r="I71" i="14" s="1"/>
  <c r="I108" i="14" s="1"/>
  <c r="H16" i="13"/>
  <c r="I16" i="13"/>
  <c r="H17" i="13"/>
  <c r="I17" i="13"/>
  <c r="H18" i="13"/>
  <c r="I18" i="13"/>
  <c r="H20" i="13"/>
  <c r="H21" i="13"/>
  <c r="I21" i="13"/>
  <c r="H22" i="13"/>
  <c r="G17" i="13"/>
  <c r="G18" i="13"/>
  <c r="G20" i="13"/>
  <c r="G21" i="13"/>
  <c r="G22" i="13"/>
  <c r="G16" i="13"/>
  <c r="C26" i="13"/>
  <c r="H24" i="13" s="1"/>
  <c r="B26" i="13"/>
  <c r="G24" i="13" s="1"/>
  <c r="H16" i="12"/>
  <c r="I16" i="12"/>
  <c r="H17" i="12"/>
  <c r="I17" i="12"/>
  <c r="H18" i="12"/>
  <c r="I18" i="12"/>
  <c r="H20" i="12"/>
  <c r="I20" i="12"/>
  <c r="H21" i="12"/>
  <c r="I21" i="12"/>
  <c r="H22" i="12"/>
  <c r="I22" i="12"/>
  <c r="G17" i="12"/>
  <c r="G18" i="12"/>
  <c r="G20" i="12"/>
  <c r="G21" i="12"/>
  <c r="G22" i="12"/>
  <c r="G16" i="12"/>
  <c r="C26" i="12"/>
  <c r="H24" i="12" s="1"/>
  <c r="D26" i="12"/>
  <c r="I24" i="12" s="1"/>
  <c r="B26" i="12"/>
  <c r="G24" i="12" s="1"/>
  <c r="G18" i="11"/>
  <c r="H18" i="11"/>
  <c r="I18" i="11"/>
  <c r="G19" i="11"/>
  <c r="H19" i="11"/>
  <c r="I19" i="11"/>
  <c r="G21" i="11"/>
  <c r="H21" i="11"/>
  <c r="I21" i="11"/>
  <c r="G22" i="11"/>
  <c r="H22" i="11"/>
  <c r="I22" i="11"/>
  <c r="G23" i="11"/>
  <c r="H23" i="11"/>
  <c r="I23" i="11"/>
  <c r="H17" i="11"/>
  <c r="I17" i="11"/>
  <c r="G17" i="11"/>
  <c r="C27" i="11"/>
  <c r="H25" i="11" s="1"/>
  <c r="D27" i="11"/>
  <c r="I25" i="11" s="1"/>
  <c r="B27" i="11"/>
  <c r="G25" i="11" s="1"/>
  <c r="G17" i="10"/>
  <c r="H17" i="10"/>
  <c r="I17" i="10"/>
  <c r="G18" i="10"/>
  <c r="H18" i="10"/>
  <c r="I18" i="10"/>
  <c r="G20" i="10"/>
  <c r="H20" i="10"/>
  <c r="I20" i="10"/>
  <c r="G21" i="10"/>
  <c r="H21" i="10"/>
  <c r="I21" i="10"/>
  <c r="G22" i="10"/>
  <c r="H22" i="10"/>
  <c r="I22" i="10"/>
  <c r="H16" i="10"/>
  <c r="I16" i="10"/>
  <c r="G16" i="10"/>
  <c r="C26" i="10"/>
  <c r="H24" i="10" s="1"/>
  <c r="D26" i="10"/>
  <c r="I24" i="10" s="1"/>
  <c r="B26" i="10"/>
  <c r="G24" i="10" s="1"/>
  <c r="H16" i="9"/>
  <c r="I16" i="9"/>
  <c r="H17" i="9"/>
  <c r="I17" i="9"/>
  <c r="H18" i="9"/>
  <c r="I18" i="9"/>
  <c r="H20" i="9"/>
  <c r="I20" i="9"/>
  <c r="H21" i="9"/>
  <c r="I21" i="9"/>
  <c r="H22" i="9"/>
  <c r="I22" i="9"/>
  <c r="G17" i="9"/>
  <c r="G18" i="9"/>
  <c r="G20" i="9"/>
  <c r="G21" i="9"/>
  <c r="G22" i="9"/>
  <c r="G16" i="9"/>
  <c r="C26" i="9"/>
  <c r="H24" i="9" s="1"/>
  <c r="D26" i="9"/>
  <c r="I24" i="9" s="1"/>
  <c r="B26" i="9"/>
  <c r="G24" i="9" s="1"/>
  <c r="H17" i="8"/>
  <c r="I17" i="8"/>
  <c r="H18" i="8"/>
  <c r="I18" i="8"/>
  <c r="H19" i="8"/>
  <c r="I19" i="8"/>
  <c r="H21" i="8"/>
  <c r="I21" i="8"/>
  <c r="H22" i="8"/>
  <c r="I22" i="8"/>
  <c r="H23" i="8"/>
  <c r="I23" i="8"/>
  <c r="G18" i="8"/>
  <c r="G19" i="8"/>
  <c r="G21" i="8"/>
  <c r="G22" i="8"/>
  <c r="G23" i="8"/>
  <c r="G17" i="8"/>
  <c r="C28" i="8"/>
  <c r="H25" i="8" s="1"/>
  <c r="D28" i="8"/>
  <c r="I25" i="8" s="1"/>
  <c r="B28" i="8"/>
  <c r="G25" i="8" s="1"/>
  <c r="G18" i="7"/>
  <c r="H18" i="7"/>
  <c r="I18" i="7"/>
  <c r="G19" i="7"/>
  <c r="H19" i="7"/>
  <c r="I19" i="7"/>
  <c r="G21" i="7"/>
  <c r="H21" i="7"/>
  <c r="I21" i="7"/>
  <c r="G22" i="7"/>
  <c r="H22" i="7"/>
  <c r="I22" i="7"/>
  <c r="G23" i="7"/>
  <c r="H23" i="7"/>
  <c r="I23" i="7"/>
  <c r="H17" i="7"/>
  <c r="I17" i="7"/>
  <c r="G17" i="7"/>
  <c r="C27" i="7"/>
  <c r="H25" i="7" s="1"/>
  <c r="D27" i="7"/>
  <c r="I25" i="7" s="1"/>
  <c r="B27" i="7"/>
  <c r="G25" i="7" s="1"/>
  <c r="H16" i="6"/>
  <c r="I16" i="6"/>
  <c r="H17" i="6"/>
  <c r="I17" i="6"/>
  <c r="H18" i="6"/>
  <c r="I18" i="6"/>
  <c r="I19" i="6"/>
  <c r="H20" i="6"/>
  <c r="I20" i="6"/>
  <c r="H21" i="6"/>
  <c r="I21" i="6"/>
  <c r="H22" i="6"/>
  <c r="I22" i="6"/>
  <c r="I23" i="6"/>
  <c r="G17" i="6"/>
  <c r="G18" i="6"/>
  <c r="G20" i="6"/>
  <c r="G21" i="6"/>
  <c r="G22" i="6"/>
  <c r="G16" i="6"/>
  <c r="C27" i="6"/>
  <c r="H24" i="6" s="1"/>
  <c r="D27" i="6"/>
  <c r="I24" i="6" s="1"/>
  <c r="B27" i="6"/>
  <c r="G24" i="6" s="1"/>
  <c r="H38" i="3"/>
  <c r="I38" i="3"/>
  <c r="G38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G31" i="3"/>
  <c r="G32" i="3"/>
  <c r="G33" i="3"/>
  <c r="G34" i="3"/>
  <c r="G35" i="3"/>
  <c r="G36" i="3"/>
  <c r="G37" i="3"/>
  <c r="G30" i="3"/>
  <c r="C30" i="3"/>
  <c r="D30" i="3"/>
  <c r="B30" i="3"/>
  <c r="C29" i="3"/>
  <c r="D29" i="3"/>
  <c r="B29" i="3"/>
  <c r="H38" i="2"/>
  <c r="I38" i="2"/>
  <c r="G3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G31" i="2"/>
  <c r="G32" i="2"/>
  <c r="G33" i="2"/>
  <c r="G34" i="2"/>
  <c r="G35" i="2"/>
  <c r="G36" i="2"/>
  <c r="G37" i="2"/>
  <c r="G30" i="2"/>
  <c r="I18" i="2"/>
  <c r="I19" i="2"/>
  <c r="I20" i="2"/>
  <c r="I21" i="2"/>
  <c r="I22" i="2"/>
  <c r="I23" i="2"/>
  <c r="I24" i="2"/>
  <c r="I25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18" i="2"/>
  <c r="H26" i="2"/>
  <c r="I26" i="2"/>
  <c r="G26" i="2"/>
  <c r="G18" i="2"/>
  <c r="C32" i="2"/>
  <c r="D32" i="2"/>
  <c r="B32" i="2"/>
  <c r="C30" i="2"/>
  <c r="D30" i="2"/>
  <c r="B30" i="2"/>
  <c r="X14" i="14"/>
  <c r="AC12" i="14" s="1"/>
  <c r="H104" i="14" s="1"/>
  <c r="AH79" i="14" s="1"/>
  <c r="W14" i="14"/>
  <c r="AB12" i="14" s="1"/>
  <c r="H91" i="14" s="1"/>
  <c r="U79" i="14" s="1"/>
  <c r="V14" i="14"/>
  <c r="AA12" i="14" s="1"/>
  <c r="H79" i="14" s="1"/>
  <c r="H116" i="14" s="1"/>
  <c r="AC10" i="14"/>
  <c r="H102" i="14" s="1"/>
  <c r="AH77" i="14" s="1"/>
  <c r="AB10" i="14"/>
  <c r="H89" i="14" s="1"/>
  <c r="U77" i="14" s="1"/>
  <c r="AA10" i="14"/>
  <c r="H77" i="14" s="1"/>
  <c r="H114" i="14" s="1"/>
  <c r="AC9" i="14"/>
  <c r="H101" i="14" s="1"/>
  <c r="AH76" i="14" s="1"/>
  <c r="AB9" i="14"/>
  <c r="H88" i="14" s="1"/>
  <c r="U76" i="14" s="1"/>
  <c r="AA9" i="14"/>
  <c r="H76" i="14" s="1"/>
  <c r="H113" i="14" s="1"/>
  <c r="AC8" i="14"/>
  <c r="H100" i="14" s="1"/>
  <c r="AH75" i="14" s="1"/>
  <c r="AB8" i="14"/>
  <c r="H87" i="14" s="1"/>
  <c r="U75" i="14" s="1"/>
  <c r="AA8" i="14"/>
  <c r="H75" i="14" s="1"/>
  <c r="H112" i="14" s="1"/>
  <c r="AC6" i="14"/>
  <c r="H98" i="14" s="1"/>
  <c r="AH73" i="14" s="1"/>
  <c r="AB6" i="14"/>
  <c r="H85" i="14" s="1"/>
  <c r="U73" i="14" s="1"/>
  <c r="AA6" i="14"/>
  <c r="H73" i="14" s="1"/>
  <c r="H110" i="14" s="1"/>
  <c r="AC5" i="14"/>
  <c r="H97" i="14" s="1"/>
  <c r="AH72" i="14" s="1"/>
  <c r="AB5" i="14"/>
  <c r="H84" i="14" s="1"/>
  <c r="U72" i="14" s="1"/>
  <c r="AA5" i="14"/>
  <c r="H72" i="14" s="1"/>
  <c r="H109" i="14" s="1"/>
  <c r="AC4" i="14"/>
  <c r="H96" i="14" s="1"/>
  <c r="AH71" i="14" s="1"/>
  <c r="AB4" i="14"/>
  <c r="H83" i="14" s="1"/>
  <c r="U71" i="14" s="1"/>
  <c r="AA4" i="14"/>
  <c r="H71" i="14" s="1"/>
  <c r="H108" i="14" s="1"/>
  <c r="M14" i="14"/>
  <c r="R12" i="14" s="1"/>
  <c r="G91" i="14" s="1"/>
  <c r="T79" i="14" s="1"/>
  <c r="L14" i="14"/>
  <c r="Q12" i="14" s="1"/>
  <c r="G79" i="14" s="1"/>
  <c r="G116" i="14" s="1"/>
  <c r="R10" i="14"/>
  <c r="G89" i="14" s="1"/>
  <c r="T77" i="14" s="1"/>
  <c r="Q10" i="14"/>
  <c r="G77" i="14" s="1"/>
  <c r="G114" i="14" s="1"/>
  <c r="N10" i="14"/>
  <c r="N14" i="14" s="1"/>
  <c r="S12" i="14" s="1"/>
  <c r="G104" i="14" s="1"/>
  <c r="AG79" i="14" s="1"/>
  <c r="S9" i="14"/>
  <c r="G101" i="14" s="1"/>
  <c r="AG76" i="14" s="1"/>
  <c r="R9" i="14"/>
  <c r="G88" i="14" s="1"/>
  <c r="T76" i="14" s="1"/>
  <c r="Q9" i="14"/>
  <c r="G76" i="14" s="1"/>
  <c r="G113" i="14" s="1"/>
  <c r="S8" i="14"/>
  <c r="G100" i="14" s="1"/>
  <c r="AG75" i="14" s="1"/>
  <c r="R8" i="14"/>
  <c r="G87" i="14" s="1"/>
  <c r="T75" i="14" s="1"/>
  <c r="Q8" i="14"/>
  <c r="G75" i="14" s="1"/>
  <c r="G112" i="14" s="1"/>
  <c r="S6" i="14"/>
  <c r="G98" i="14" s="1"/>
  <c r="AG73" i="14" s="1"/>
  <c r="R6" i="14"/>
  <c r="G85" i="14" s="1"/>
  <c r="T73" i="14" s="1"/>
  <c r="Q6" i="14"/>
  <c r="G73" i="14" s="1"/>
  <c r="G110" i="14" s="1"/>
  <c r="S5" i="14"/>
  <c r="G97" i="14" s="1"/>
  <c r="AG72" i="14" s="1"/>
  <c r="R5" i="14"/>
  <c r="G84" i="14" s="1"/>
  <c r="T72" i="14" s="1"/>
  <c r="Q5" i="14"/>
  <c r="G72" i="14" s="1"/>
  <c r="G109" i="14" s="1"/>
  <c r="S4" i="14"/>
  <c r="G96" i="14" s="1"/>
  <c r="AG71" i="14" s="1"/>
  <c r="R4" i="14"/>
  <c r="G83" i="14" s="1"/>
  <c r="T71" i="14" s="1"/>
  <c r="Q4" i="14"/>
  <c r="G71" i="14" s="1"/>
  <c r="G108" i="14" s="1"/>
  <c r="D14" i="14"/>
  <c r="D17" i="14" s="1"/>
  <c r="I12" i="14" s="1"/>
  <c r="F104" i="14" s="1"/>
  <c r="AF79" i="14" s="1"/>
  <c r="C14" i="14"/>
  <c r="C17" i="14" s="1"/>
  <c r="H12" i="14" s="1"/>
  <c r="F91" i="14" s="1"/>
  <c r="S79" i="14" s="1"/>
  <c r="B14" i="14"/>
  <c r="B17" i="14" s="1"/>
  <c r="G12" i="14" s="1"/>
  <c r="F79" i="14" s="1"/>
  <c r="F116" i="14" s="1"/>
  <c r="I10" i="14"/>
  <c r="F102" i="14" s="1"/>
  <c r="AF77" i="14" s="1"/>
  <c r="H10" i="14"/>
  <c r="F89" i="14" s="1"/>
  <c r="S77" i="14" s="1"/>
  <c r="G10" i="14"/>
  <c r="F77" i="14" s="1"/>
  <c r="F114" i="14" s="1"/>
  <c r="I9" i="14"/>
  <c r="F101" i="14" s="1"/>
  <c r="AF76" i="14" s="1"/>
  <c r="H9" i="14"/>
  <c r="F88" i="14" s="1"/>
  <c r="S76" i="14" s="1"/>
  <c r="G9" i="14"/>
  <c r="F76" i="14" s="1"/>
  <c r="F113" i="14" s="1"/>
  <c r="I8" i="14"/>
  <c r="F100" i="14" s="1"/>
  <c r="AF75" i="14" s="1"/>
  <c r="H8" i="14"/>
  <c r="F87" i="14" s="1"/>
  <c r="S75" i="14" s="1"/>
  <c r="G8" i="14"/>
  <c r="F75" i="14" s="1"/>
  <c r="F112" i="14" s="1"/>
  <c r="I6" i="14"/>
  <c r="F98" i="14" s="1"/>
  <c r="AF73" i="14" s="1"/>
  <c r="H6" i="14"/>
  <c r="F85" i="14" s="1"/>
  <c r="S73" i="14" s="1"/>
  <c r="G6" i="14"/>
  <c r="F73" i="14" s="1"/>
  <c r="F110" i="14" s="1"/>
  <c r="I5" i="14"/>
  <c r="F97" i="14" s="1"/>
  <c r="AF72" i="14" s="1"/>
  <c r="H5" i="14"/>
  <c r="F84" i="14" s="1"/>
  <c r="S72" i="14" s="1"/>
  <c r="G5" i="14"/>
  <c r="F72" i="14" s="1"/>
  <c r="F109" i="14" s="1"/>
  <c r="I4" i="14"/>
  <c r="F96" i="14" s="1"/>
  <c r="AF71" i="14" s="1"/>
  <c r="H4" i="14"/>
  <c r="F83" i="14" s="1"/>
  <c r="S71" i="14" s="1"/>
  <c r="G4" i="14"/>
  <c r="F71" i="14" s="1"/>
  <c r="F108" i="14" s="1"/>
  <c r="H24" i="5"/>
  <c r="I24" i="5"/>
  <c r="G24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G17" i="5"/>
  <c r="G18" i="5"/>
  <c r="G19" i="5"/>
  <c r="G20" i="5"/>
  <c r="G21" i="5"/>
  <c r="G22" i="5"/>
  <c r="G23" i="5"/>
  <c r="G16" i="5"/>
  <c r="C27" i="5"/>
  <c r="D27" i="5"/>
  <c r="B27" i="5"/>
  <c r="H26" i="4"/>
  <c r="I26" i="4"/>
  <c r="G26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H18" i="4"/>
  <c r="I18" i="4"/>
  <c r="G18" i="4"/>
  <c r="C28" i="4"/>
  <c r="D28" i="4"/>
  <c r="B28" i="4"/>
  <c r="H25" i="3"/>
  <c r="I25" i="3"/>
  <c r="G25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H17" i="3"/>
  <c r="I17" i="3"/>
  <c r="G17" i="3"/>
  <c r="C27" i="3"/>
  <c r="D27" i="3"/>
  <c r="B27" i="3"/>
  <c r="D28" i="2"/>
  <c r="D31" i="2" s="1"/>
  <c r="C28" i="2"/>
  <c r="C31" i="2" s="1"/>
  <c r="B28" i="2"/>
  <c r="B31" i="2" s="1"/>
  <c r="S10" i="14" l="1"/>
  <c r="G102" i="14" s="1"/>
  <c r="AG77" i="14" s="1"/>
  <c r="D65" i="14"/>
  <c r="I63" i="14" s="1"/>
  <c r="N104" i="14" s="1"/>
  <c r="AN79" i="14" s="1"/>
  <c r="AM59" i="14"/>
  <c r="Q100" i="14" s="1"/>
  <c r="AQ75" i="14" s="1"/>
  <c r="I59" i="14"/>
  <c r="N100" i="14" s="1"/>
  <c r="AN75" i="14" s="1"/>
  <c r="I45" i="14"/>
  <c r="L102" i="14" s="1"/>
  <c r="AL77" i="14" s="1"/>
  <c r="D22" i="13"/>
  <c r="I22" i="13" s="1"/>
  <c r="D20" i="13"/>
  <c r="D22" i="10"/>
  <c r="D20" i="10"/>
  <c r="D23" i="8"/>
  <c r="D23" i="3"/>
  <c r="I20" i="13" l="1"/>
  <c r="D26" i="13"/>
  <c r="I24" i="13" s="1"/>
  <c r="J10" i="13"/>
  <c r="J7" i="13"/>
  <c r="J10" i="10"/>
  <c r="I10" i="8"/>
  <c r="J10" i="8"/>
  <c r="J7" i="8"/>
  <c r="J10" i="3"/>
  <c r="I10" i="13" l="1"/>
  <c r="I8" i="13"/>
  <c r="I7" i="13"/>
  <c r="I7" i="12"/>
  <c r="I10" i="10"/>
  <c r="I7" i="10"/>
  <c r="I8" i="10"/>
  <c r="I7" i="8"/>
  <c r="I10" i="3"/>
</calcChain>
</file>

<file path=xl/sharedStrings.xml><?xml version="1.0" encoding="utf-8"?>
<sst xmlns="http://schemas.openxmlformats.org/spreadsheetml/2006/main" count="2032" uniqueCount="52">
  <si>
    <t>samsa2</t>
  </si>
  <si>
    <t>501 cecq n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</si>
  <si>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</si>
  <si>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</si>
  <si>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</si>
  <si>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</si>
  <si>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</si>
  <si>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</si>
  <si>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</si>
  <si>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</si>
  <si>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</si>
  <si>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superkingdom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</si>
  <si>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</si>
  <si>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</si>
  <si>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</si>
  <si>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</si>
  <si>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</si>
  <si>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</si>
  <si>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</si>
  <si>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</si>
  <si>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</si>
  <si>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</si>
  <si>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</si>
  <si>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</t>
  </si>
  <si>
    <t>life</t>
  </si>
  <si>
    <t>humann2</t>
  </si>
  <si>
    <t>MetaPro</t>
  </si>
  <si>
    <t>SAMSA2</t>
  </si>
  <si>
    <t>HUMAnN2</t>
  </si>
  <si>
    <t>do as % of reads.  Show unassigned</t>
  </si>
  <si>
    <t>shorten the name</t>
  </si>
  <si>
    <t xml:space="preserve">bin them </t>
  </si>
  <si>
    <t>for "total reads" use the putative reads from MetaPro.  Not raw</t>
  </si>
  <si>
    <t>try "colourize" for palettes</t>
  </si>
  <si>
    <t>total annotated</t>
  </si>
  <si>
    <t>sum</t>
  </si>
  <si>
    <t>annotated reported reads</t>
  </si>
  <si>
    <t>diff</t>
  </si>
  <si>
    <t>diff/unclassified</t>
  </si>
  <si>
    <t>M</t>
  </si>
  <si>
    <t>S</t>
  </si>
  <si>
    <t>H</t>
  </si>
  <si>
    <t>unclassified</t>
  </si>
  <si>
    <t>annotated</t>
  </si>
  <si>
    <t>putative</t>
  </si>
  <si>
    <t>diff of putative</t>
  </si>
  <si>
    <t xml:space="preserve">M </t>
  </si>
  <si>
    <t xml:space="preserve">S </t>
  </si>
  <si>
    <t>do annotated instead</t>
  </si>
  <si>
    <t>also show kimchi</t>
  </si>
  <si>
    <t>overrided</t>
  </si>
  <si>
    <t>no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</si>
</sst>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putative'!$F$79:$AQ$79</c:f>
              <c:numCache>
                <c:formatCode>General</c:formatCode>
                <c:ptCount val="38"/>
                <c:pt idx="0">
                  <c:v>76.216720868090803</c:v>
                </c:pt>
                <c:pt idx="1">
                  <c:v>45.159145250448915</c:v>
                </c:pt>
                <c:pt idx="2">
                  <c:v>91.202195163779791</c:v>
                </c:pt>
                <c:pt idx="3">
                  <c:v>81.368044330450388</c:v>
                </c:pt>
                <c:pt idx="4">
                  <c:v>70.416372849669557</c:v>
                </c:pt>
                <c:pt idx="5">
                  <c:v>76.09621027400091</c:v>
                </c:pt>
                <c:pt idx="6">
                  <c:v>48.658261500040282</c:v>
                </c:pt>
                <c:pt idx="7">
                  <c:v>77.347644806496376</c:v>
                </c:pt>
                <c:pt idx="8">
                  <c:v>77.468301746738874</c:v>
                </c:pt>
                <c:pt idx="9">
                  <c:v>83.524978049655189</c:v>
                </c:pt>
                <c:pt idx="10">
                  <c:v>66.415853623455448</c:v>
                </c:pt>
                <c:pt idx="11">
                  <c:v>74.403435075200946</c:v>
                </c:pt>
                <c:pt idx="12">
                  <c:v>0</c:v>
                </c:pt>
                <c:pt idx="13">
                  <c:v>98.54303504309199</c:v>
                </c:pt>
                <c:pt idx="14">
                  <c:v>69.027948406056396</c:v>
                </c:pt>
                <c:pt idx="15">
                  <c:v>96.131861713921083</c:v>
                </c:pt>
                <c:pt idx="16">
                  <c:v>98.005957089380246</c:v>
                </c:pt>
                <c:pt idx="17">
                  <c:v>94.762160964648544</c:v>
                </c:pt>
                <c:pt idx="18">
                  <c:v>95.944588291989646</c:v>
                </c:pt>
                <c:pt idx="19">
                  <c:v>82.910608191409608</c:v>
                </c:pt>
                <c:pt idx="20">
                  <c:v>96.173062767513926</c:v>
                </c:pt>
                <c:pt idx="21">
                  <c:v>91.794974643341362</c:v>
                </c:pt>
                <c:pt idx="22">
                  <c:v>97.223460876472927</c:v>
                </c:pt>
                <c:pt idx="23">
                  <c:v>90.77571273959326</c:v>
                </c:pt>
                <c:pt idx="24">
                  <c:v>88.856696066168126</c:v>
                </c:pt>
                <c:pt idx="26">
                  <c:v>99.10241186452231</c:v>
                </c:pt>
                <c:pt idx="27">
                  <c:v>78.916968187027805</c:v>
                </c:pt>
                <c:pt idx="28">
                  <c:v>98.893742065291534</c:v>
                </c:pt>
                <c:pt idx="29">
                  <c:v>98.867691760060609</c:v>
                </c:pt>
                <c:pt idx="30">
                  <c:v>95.182499249039381</c:v>
                </c:pt>
                <c:pt idx="31">
                  <c:v>97.904613575861518</c:v>
                </c:pt>
                <c:pt idx="32">
                  <c:v>83.144278625961491</c:v>
                </c:pt>
                <c:pt idx="33">
                  <c:v>96.408960719778577</c:v>
                </c:pt>
                <c:pt idx="34">
                  <c:v>90.242797918176862</c:v>
                </c:pt>
                <c:pt idx="35">
                  <c:v>98.563067662885516</c:v>
                </c:pt>
                <c:pt idx="36">
                  <c:v>94.811645855059254</c:v>
                </c:pt>
                <c:pt idx="37">
                  <c:v>90.777490870436978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49F-8BAF-3F5282A2862E}"/>
            </c:ext>
          </c:extLst>
        </c:ser>
        <c:ser>
          <c:idx val="5"/>
          <c:order val="1"/>
          <c:tx>
            <c:strRef>
              <c:f>'kneaddata putative'!$E$76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putative'!$F$76:$AQ$76</c:f>
              <c:numCache>
                <c:formatCode>General</c:formatCode>
                <c:ptCount val="38"/>
                <c:pt idx="0">
                  <c:v>0.32446876192899859</c:v>
                </c:pt>
                <c:pt idx="1">
                  <c:v>0.42667059301771021</c:v>
                </c:pt>
                <c:pt idx="2">
                  <c:v>0.167495569656434</c:v>
                </c:pt>
                <c:pt idx="3">
                  <c:v>1.4138018468987967</c:v>
                </c:pt>
                <c:pt idx="4">
                  <c:v>0.36455173092376064</c:v>
                </c:pt>
                <c:pt idx="5">
                  <c:v>0.14656480437362365</c:v>
                </c:pt>
                <c:pt idx="6">
                  <c:v>0.31811407395472491</c:v>
                </c:pt>
                <c:pt idx="7">
                  <c:v>0.5420606979493241</c:v>
                </c:pt>
                <c:pt idx="8">
                  <c:v>0.22962187389946914</c:v>
                </c:pt>
                <c:pt idx="9">
                  <c:v>0.37264059556541201</c:v>
                </c:pt>
                <c:pt idx="10">
                  <c:v>0.33423598039833091</c:v>
                </c:pt>
                <c:pt idx="11">
                  <c:v>0.38675639495793229</c:v>
                </c:pt>
                <c:pt idx="12">
                  <c:v>0</c:v>
                </c:pt>
                <c:pt idx="13">
                  <c:v>1.7274763658453245E-2</c:v>
                </c:pt>
                <c:pt idx="14">
                  <c:v>0.19136228493247168</c:v>
                </c:pt>
                <c:pt idx="15">
                  <c:v>3.7854002519995024E-3</c:v>
                </c:pt>
                <c:pt idx="16">
                  <c:v>1.3544012920305435E-2</c:v>
                </c:pt>
                <c:pt idx="17">
                  <c:v>2.2505652787008612E-2</c:v>
                </c:pt>
                <c:pt idx="18">
                  <c:v>1.7425065412061957E-2</c:v>
                </c:pt>
                <c:pt idx="19">
                  <c:v>3.9030313543518796E-2</c:v>
                </c:pt>
                <c:pt idx="20">
                  <c:v>2.1628302178279005E-2</c:v>
                </c:pt>
                <c:pt idx="21">
                  <c:v>2.3339385153805375E-2</c:v>
                </c:pt>
                <c:pt idx="22">
                  <c:v>4.1202171322653247E-2</c:v>
                </c:pt>
                <c:pt idx="23">
                  <c:v>5.0793910947465389E-2</c:v>
                </c:pt>
                <c:pt idx="24">
                  <c:v>3.7844997702267999E-2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F-449F-8BAF-3F5282A2862E}"/>
            </c:ext>
          </c:extLst>
        </c:ser>
        <c:ser>
          <c:idx val="0"/>
          <c:order val="2"/>
          <c:tx>
            <c:strRef>
              <c:f>'kneaddata putative'!$E$71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putative'!$F$71:$AQ$71</c:f>
              <c:numCache>
                <c:formatCode>General</c:formatCode>
                <c:ptCount val="38"/>
                <c:pt idx="0">
                  <c:v>5.8442845855884377E-2</c:v>
                </c:pt>
                <c:pt idx="1">
                  <c:v>0.22213757806023321</c:v>
                </c:pt>
                <c:pt idx="2">
                  <c:v>0.22065969244840794</c:v>
                </c:pt>
                <c:pt idx="3">
                  <c:v>5.8699870166297019E-2</c:v>
                </c:pt>
                <c:pt idx="4">
                  <c:v>0.19892093999573623</c:v>
                </c:pt>
                <c:pt idx="5">
                  <c:v>0.10523736708800972</c:v>
                </c:pt>
                <c:pt idx="6">
                  <c:v>2.1852090550229599E-2</c:v>
                </c:pt>
                <c:pt idx="7">
                  <c:v>0.17699285604152748</c:v>
                </c:pt>
                <c:pt idx="8">
                  <c:v>2.7983868959604811E-2</c:v>
                </c:pt>
                <c:pt idx="9">
                  <c:v>0.11109141648769751</c:v>
                </c:pt>
                <c:pt idx="10">
                  <c:v>0.18076265513517548</c:v>
                </c:pt>
                <c:pt idx="11">
                  <c:v>9.1616138977897041E-2</c:v>
                </c:pt>
                <c:pt idx="12">
                  <c:v>0</c:v>
                </c:pt>
                <c:pt idx="13">
                  <c:v>0.12130301074452333</c:v>
                </c:pt>
                <c:pt idx="14">
                  <c:v>0.210387197448233</c:v>
                </c:pt>
                <c:pt idx="15">
                  <c:v>0.9274230617398781</c:v>
                </c:pt>
                <c:pt idx="16">
                  <c:v>9.6629134196128688E-2</c:v>
                </c:pt>
                <c:pt idx="17">
                  <c:v>0.34215625252749032</c:v>
                </c:pt>
                <c:pt idx="18">
                  <c:v>0.26491544759275443</c:v>
                </c:pt>
                <c:pt idx="19">
                  <c:v>0.128304411664488</c:v>
                </c:pt>
                <c:pt idx="20">
                  <c:v>0.13504057578538908</c:v>
                </c:pt>
                <c:pt idx="21">
                  <c:v>8.5616840011446857E-2</c:v>
                </c:pt>
                <c:pt idx="22">
                  <c:v>0.15739441281609956</c:v>
                </c:pt>
                <c:pt idx="23">
                  <c:v>0.14694205114148542</c:v>
                </c:pt>
                <c:pt idx="24">
                  <c:v>8.7322007685319669E-2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F-449F-8BAF-3F5282A2862E}"/>
            </c:ext>
          </c:extLst>
        </c:ser>
        <c:ser>
          <c:idx val="4"/>
          <c:order val="3"/>
          <c:tx>
            <c:strRef>
              <c:f>'kneaddata putative'!$E$75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putative'!$F$75:$AQ$75</c:f>
              <c:numCache>
                <c:formatCode>General</c:formatCode>
                <c:ptCount val="38"/>
                <c:pt idx="0">
                  <c:v>6.6188372388936401</c:v>
                </c:pt>
                <c:pt idx="1">
                  <c:v>4.3948191371203418</c:v>
                </c:pt>
                <c:pt idx="2">
                  <c:v>3.5502772537586464</c:v>
                </c:pt>
                <c:pt idx="3">
                  <c:v>7.9194703324687392</c:v>
                </c:pt>
                <c:pt idx="4">
                  <c:v>3.7242329326489445</c:v>
                </c:pt>
                <c:pt idx="5">
                  <c:v>5.8193459637853575</c:v>
                </c:pt>
                <c:pt idx="6">
                  <c:v>3.980252557802304</c:v>
                </c:pt>
                <c:pt idx="7">
                  <c:v>9.7699414092614489</c:v>
                </c:pt>
                <c:pt idx="8">
                  <c:v>2.9571597795914593</c:v>
                </c:pt>
                <c:pt idx="9">
                  <c:v>5.9591579311851541</c:v>
                </c:pt>
                <c:pt idx="10">
                  <c:v>3.2836605331759725</c:v>
                </c:pt>
                <c:pt idx="11">
                  <c:v>5.1941050693254027</c:v>
                </c:pt>
                <c:pt idx="12">
                  <c:v>0</c:v>
                </c:pt>
                <c:pt idx="13">
                  <c:v>0.18527658605110292</c:v>
                </c:pt>
                <c:pt idx="14">
                  <c:v>3.2102515943483865</c:v>
                </c:pt>
                <c:pt idx="15">
                  <c:v>1.4105122367569576</c:v>
                </c:pt>
                <c:pt idx="16">
                  <c:v>0.34599831325822289</c:v>
                </c:pt>
                <c:pt idx="17">
                  <c:v>1.2147777742612695</c:v>
                </c:pt>
                <c:pt idx="18">
                  <c:v>0.94054513228075043</c:v>
                </c:pt>
                <c:pt idx="19">
                  <c:v>3.0068829648169602</c:v>
                </c:pt>
                <c:pt idx="20">
                  <c:v>0.90329967921047605</c:v>
                </c:pt>
                <c:pt idx="21">
                  <c:v>1.4229401526559986</c:v>
                </c:pt>
                <c:pt idx="22">
                  <c:v>0.47705547464583609</c:v>
                </c:pt>
                <c:pt idx="23">
                  <c:v>1.473447288777866</c:v>
                </c:pt>
                <c:pt idx="24">
                  <c:v>1.8099247277740507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0.36309729495474408</c:v>
                </c:pt>
                <c:pt idx="33">
                  <c:v>1.8389901881255135</c:v>
                </c:pt>
                <c:pt idx="34">
                  <c:v>0.22005052132844796</c:v>
                </c:pt>
                <c:pt idx="35">
                  <c:v>0</c:v>
                </c:pt>
                <c:pt idx="36">
                  <c:v>0</c:v>
                </c:pt>
                <c:pt idx="37">
                  <c:v>0.1984037204159258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F-449F-8BAF-3F5282A2862E}"/>
            </c:ext>
          </c:extLst>
        </c:ser>
        <c:ser>
          <c:idx val="1"/>
          <c:order val="4"/>
          <c:tx>
            <c:strRef>
              <c:f>'kneaddata putative'!$E$72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putative'!$F$72:$AQ$72</c:f>
              <c:numCache>
                <c:formatCode>General</c:formatCode>
                <c:ptCount val="38"/>
                <c:pt idx="0">
                  <c:v>0.21290950680156359</c:v>
                </c:pt>
                <c:pt idx="1">
                  <c:v>0.13819582035663644</c:v>
                </c:pt>
                <c:pt idx="2">
                  <c:v>9.6038415366146462E-2</c:v>
                </c:pt>
                <c:pt idx="3">
                  <c:v>6.4386721298992464E-2</c:v>
                </c:pt>
                <c:pt idx="4">
                  <c:v>0.13266862362452647</c:v>
                </c:pt>
                <c:pt idx="5">
                  <c:v>0.43393809149894613</c:v>
                </c:pt>
                <c:pt idx="6">
                  <c:v>0.10971360670265044</c:v>
                </c:pt>
                <c:pt idx="7">
                  <c:v>0.1967479570334584</c:v>
                </c:pt>
                <c:pt idx="8">
                  <c:v>7.1204717416282579E-2</c:v>
                </c:pt>
                <c:pt idx="9">
                  <c:v>0.16570964537311464</c:v>
                </c:pt>
                <c:pt idx="10">
                  <c:v>0.24381577914146679</c:v>
                </c:pt>
                <c:pt idx="11">
                  <c:v>0.11319514691897196</c:v>
                </c:pt>
                <c:pt idx="12">
                  <c:v>0</c:v>
                </c:pt>
                <c:pt idx="13">
                  <c:v>6.9099054633812981E-2</c:v>
                </c:pt>
                <c:pt idx="14">
                  <c:v>5.1812527702498945E-2</c:v>
                </c:pt>
                <c:pt idx="15">
                  <c:v>0.54798175076564226</c:v>
                </c:pt>
                <c:pt idx="16">
                  <c:v>6.0208259116315756E-2</c:v>
                </c:pt>
                <c:pt idx="17">
                  <c:v>0.22013341632292799</c:v>
                </c:pt>
                <c:pt idx="18">
                  <c:v>0.17043892106173103</c:v>
                </c:pt>
                <c:pt idx="19">
                  <c:v>5.5261967747331379E-2</c:v>
                </c:pt>
                <c:pt idx="20">
                  <c:v>6.7429412673458075E-2</c:v>
                </c:pt>
                <c:pt idx="21">
                  <c:v>4.1694228252149801E-2</c:v>
                </c:pt>
                <c:pt idx="22">
                  <c:v>5.4547861776777437E-2</c:v>
                </c:pt>
                <c:pt idx="23">
                  <c:v>4.8745199657511985E-2</c:v>
                </c:pt>
                <c:pt idx="24">
                  <c:v>3.8991815814457938E-2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F-449F-8BAF-3F5282A2862E}"/>
            </c:ext>
          </c:extLst>
        </c:ser>
        <c:ser>
          <c:idx val="2"/>
          <c:order val="5"/>
          <c:tx>
            <c:strRef>
              <c:f>'kneaddata putative'!$E$73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putative'!$F$73:$AQ$73</c:f>
              <c:numCache>
                <c:formatCode>General</c:formatCode>
                <c:ptCount val="38"/>
                <c:pt idx="0">
                  <c:v>15.852067101264437</c:v>
                </c:pt>
                <c:pt idx="1">
                  <c:v>44.851465499857561</c:v>
                </c:pt>
                <c:pt idx="2">
                  <c:v>3.8858400503058368</c:v>
                </c:pt>
                <c:pt idx="3">
                  <c:v>8.8168361637466131</c:v>
                </c:pt>
                <c:pt idx="4">
                  <c:v>22.167631479689728</c:v>
                </c:pt>
                <c:pt idx="5">
                  <c:v>15.803021626057539</c:v>
                </c:pt>
                <c:pt idx="6">
                  <c:v>42.732619028437931</c:v>
                </c:pt>
                <c:pt idx="7">
                  <c:v>10.770224083877268</c:v>
                </c:pt>
                <c:pt idx="8">
                  <c:v>14.185212896769167</c:v>
                </c:pt>
                <c:pt idx="9">
                  <c:v>8.6307106965163882</c:v>
                </c:pt>
                <c:pt idx="10">
                  <c:v>25.474550561841433</c:v>
                </c:pt>
                <c:pt idx="11">
                  <c:v>15.329802957156963</c:v>
                </c:pt>
                <c:pt idx="12">
                  <c:v>0</c:v>
                </c:pt>
                <c:pt idx="13">
                  <c:v>0.86032119670450657</c:v>
                </c:pt>
                <c:pt idx="14">
                  <c:v>24.162246073075902</c:v>
                </c:pt>
                <c:pt idx="15">
                  <c:v>0.76248776504561411</c:v>
                </c:pt>
                <c:pt idx="16">
                  <c:v>1.0076062721299497</c:v>
                </c:pt>
                <c:pt idx="17">
                  <c:v>2.6073150404574275</c:v>
                </c:pt>
                <c:pt idx="18">
                  <c:v>2.018721054652084</c:v>
                </c:pt>
                <c:pt idx="19">
                  <c:v>11.98707662951559</c:v>
                </c:pt>
                <c:pt idx="20">
                  <c:v>2.1132123481247898</c:v>
                </c:pt>
                <c:pt idx="21">
                  <c:v>4.8357094938520069</c:v>
                </c:pt>
                <c:pt idx="22">
                  <c:v>1.3590361445783132</c:v>
                </c:pt>
                <c:pt idx="23">
                  <c:v>5.6976073877942017</c:v>
                </c:pt>
                <c:pt idx="24">
                  <c:v>6.8923768542615349</c:v>
                </c:pt>
                <c:pt idx="26">
                  <c:v>0.89758813547769123</c:v>
                </c:pt>
                <c:pt idx="27">
                  <c:v>18.629979781126117</c:v>
                </c:pt>
                <c:pt idx="28">
                  <c:v>1.1062579347084609</c:v>
                </c:pt>
                <c:pt idx="29">
                  <c:v>1.1323082399393891</c:v>
                </c:pt>
                <c:pt idx="30">
                  <c:v>4.6464641200881873</c:v>
                </c:pt>
                <c:pt idx="31">
                  <c:v>2.0504585226391026</c:v>
                </c:pt>
                <c:pt idx="32">
                  <c:v>14.405525783745292</c:v>
                </c:pt>
                <c:pt idx="33">
                  <c:v>1.6815041774094377</c:v>
                </c:pt>
                <c:pt idx="34">
                  <c:v>7.0068265461539445</c:v>
                </c:pt>
                <c:pt idx="35">
                  <c:v>1.4369323371144811</c:v>
                </c:pt>
                <c:pt idx="36">
                  <c:v>4.9594577141794698</c:v>
                </c:pt>
                <c:pt idx="37">
                  <c:v>6.8160233257893434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F-449F-8BAF-3F5282A2862E}"/>
            </c:ext>
          </c:extLst>
        </c:ser>
        <c:ser>
          <c:idx val="6"/>
          <c:order val="6"/>
          <c:tx>
            <c:strRef>
              <c:f>'kneaddata putative'!$E$77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putative'!$F$77:$AQ$77</c:f>
              <c:numCache>
                <c:formatCode>General</c:formatCode>
                <c:ptCount val="38"/>
                <c:pt idx="0">
                  <c:v>0.71655367716467866</c:v>
                </c:pt>
                <c:pt idx="1">
                  <c:v>4.8075661211385992</c:v>
                </c:pt>
                <c:pt idx="2">
                  <c:v>0.87749385468473107</c:v>
                </c:pt>
                <c:pt idx="3">
                  <c:v>1.4393516604159498</c:v>
                </c:pt>
                <c:pt idx="4">
                  <c:v>2.9956214434477442</c:v>
                </c:pt>
                <c:pt idx="5">
                  <c:v>1.5956818731956146</c:v>
                </c:pt>
                <c:pt idx="6">
                  <c:v>4.1791871425118829</c:v>
                </c:pt>
                <c:pt idx="7">
                  <c:v>1.1963881893405972</c:v>
                </c:pt>
                <c:pt idx="8">
                  <c:v>5.0605151166251456</c:v>
                </c:pt>
                <c:pt idx="9">
                  <c:v>1.2357116652170508</c:v>
                </c:pt>
                <c:pt idx="10">
                  <c:v>4.0671208668521723</c:v>
                </c:pt>
                <c:pt idx="11">
                  <c:v>4.4810892174618848</c:v>
                </c:pt>
                <c:pt idx="12">
                  <c:v>0</c:v>
                </c:pt>
                <c:pt idx="13">
                  <c:v>0.20369034511560805</c:v>
                </c:pt>
                <c:pt idx="14">
                  <c:v>3.1459919164361079</c:v>
                </c:pt>
                <c:pt idx="15">
                  <c:v>0.21594807151882875</c:v>
                </c:pt>
                <c:pt idx="16">
                  <c:v>0.47005691899883567</c:v>
                </c:pt>
                <c:pt idx="17">
                  <c:v>0.83095089899533359</c:v>
                </c:pt>
                <c:pt idx="18">
                  <c:v>0.64336608701097509</c:v>
                </c:pt>
                <c:pt idx="19">
                  <c:v>1.8728355213024974</c:v>
                </c:pt>
                <c:pt idx="20">
                  <c:v>0.58632691451368124</c:v>
                </c:pt>
                <c:pt idx="21">
                  <c:v>1.7957252567332367</c:v>
                </c:pt>
                <c:pt idx="22">
                  <c:v>0.68730305838739569</c:v>
                </c:pt>
                <c:pt idx="23">
                  <c:v>1.8067514220882162</c:v>
                </c:pt>
                <c:pt idx="24">
                  <c:v>2.2768435305942401</c:v>
                </c:pt>
                <c:pt idx="26">
                  <c:v>0</c:v>
                </c:pt>
                <c:pt idx="27">
                  <c:v>2.4530520318460853</c:v>
                </c:pt>
                <c:pt idx="28">
                  <c:v>0</c:v>
                </c:pt>
                <c:pt idx="29">
                  <c:v>0</c:v>
                </c:pt>
                <c:pt idx="30">
                  <c:v>0.17103663087242826</c:v>
                </c:pt>
                <c:pt idx="31">
                  <c:v>4.4927901499375922E-2</c:v>
                </c:pt>
                <c:pt idx="32">
                  <c:v>2.0870982953384791</c:v>
                </c:pt>
                <c:pt idx="33">
                  <c:v>7.0544914686466093E-2</c:v>
                </c:pt>
                <c:pt idx="34">
                  <c:v>2.5303250143407503</c:v>
                </c:pt>
                <c:pt idx="35">
                  <c:v>0</c:v>
                </c:pt>
                <c:pt idx="36">
                  <c:v>0.22889643076128302</c:v>
                </c:pt>
                <c:pt idx="37">
                  <c:v>2.2080820833577506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1F-449F-8BAF-3F5282A2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9-4027-944B-B989C01964DC}"/>
            </c:ext>
          </c:extLst>
        </c:ser>
        <c:ser>
          <c:idx val="5"/>
          <c:order val="1"/>
          <c:tx>
            <c:strRef>
              <c:f>consolidateds!$E$88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79-4027-944B-B989C01964DC}"/>
            </c:ext>
          </c:extLst>
        </c:ser>
        <c:ser>
          <c:idx val="0"/>
          <c:order val="2"/>
          <c:tx>
            <c:strRef>
              <c:f>consolidateds!$E$83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027-944B-B989C01964DC}"/>
            </c:ext>
          </c:extLst>
        </c:ser>
        <c:ser>
          <c:idx val="4"/>
          <c:order val="3"/>
          <c:tx>
            <c:strRef>
              <c:f>consolidateds!$E$87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9-4027-944B-B989C01964DC}"/>
            </c:ext>
          </c:extLst>
        </c:ser>
        <c:ser>
          <c:idx val="1"/>
          <c:order val="4"/>
          <c:tx>
            <c:strRef>
              <c:f>consolidateds!$E$84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027-944B-B989C01964DC}"/>
            </c:ext>
          </c:extLst>
        </c:ser>
        <c:ser>
          <c:idx val="2"/>
          <c:order val="5"/>
          <c:tx>
            <c:strRef>
              <c:f>consolidateds!$E$85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4027-944B-B989C01964DC}"/>
            </c:ext>
          </c:extLst>
        </c:ser>
        <c:ser>
          <c:idx val="6"/>
          <c:order val="6"/>
          <c:tx>
            <c:strRef>
              <c:f>consolidateds!$E$89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79-4027-944B-B989C019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8-4CC1-8E43-508F5272239A}"/>
            </c:ext>
          </c:extLst>
        </c:ser>
        <c:ser>
          <c:idx val="5"/>
          <c:order val="1"/>
          <c:tx>
            <c:strRef>
              <c:f>consolidateds!$E$101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8-4CC1-8E43-508F5272239A}"/>
            </c:ext>
          </c:extLst>
        </c:ser>
        <c:ser>
          <c:idx val="0"/>
          <c:order val="2"/>
          <c:tx>
            <c:strRef>
              <c:f>consolidateds!$E$96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CC1-8E43-508F5272239A}"/>
            </c:ext>
          </c:extLst>
        </c:ser>
        <c:ser>
          <c:idx val="4"/>
          <c:order val="3"/>
          <c:tx>
            <c:strRef>
              <c:f>consolidateds!$E$100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8-4CC1-8E43-508F5272239A}"/>
            </c:ext>
          </c:extLst>
        </c:ser>
        <c:ser>
          <c:idx val="1"/>
          <c:order val="4"/>
          <c:tx>
            <c:strRef>
              <c:f>consolidateds!$E$97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CC1-8E43-508F5272239A}"/>
            </c:ext>
          </c:extLst>
        </c:ser>
        <c:ser>
          <c:idx val="2"/>
          <c:order val="5"/>
          <c:tx>
            <c:strRef>
              <c:f>consolidateds!$E$98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8-4CC1-8E43-508F5272239A}"/>
            </c:ext>
          </c:extLst>
        </c:ser>
        <c:ser>
          <c:idx val="6"/>
          <c:order val="6"/>
          <c:tx>
            <c:strRef>
              <c:f>consolidateds!$E$102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8-4CC1-8E43-508F5272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consolidateds!$F$116:$R$116</c:f>
              <c:numCache>
                <c:formatCode>General</c:formatCode>
                <c:ptCount val="13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0</c:v>
                </c:pt>
                <c:pt idx="8">
                  <c:v>12.322145952614431</c:v>
                </c:pt>
                <c:pt idx="9">
                  <c:v>23.64283595372293</c:v>
                </c:pt>
                <c:pt idx="10">
                  <c:v>16.042400560209117</c:v>
                </c:pt>
                <c:pt idx="11">
                  <c:v>12.465125933281916</c:v>
                </c:pt>
                <c:pt idx="12">
                  <c:v>17.979988257168021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2-493E-94BA-4859FB3DE299}"/>
            </c:ext>
          </c:extLst>
        </c:ser>
        <c:ser>
          <c:idx val="5"/>
          <c:order val="1"/>
          <c:tx>
            <c:strRef>
              <c:f>consolidateds!$E$113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consolidateds!$F$113:$R$113</c:f>
              <c:numCache>
                <c:formatCode>General</c:formatCode>
                <c:ptCount val="13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</c:v>
                </c:pt>
                <c:pt idx="8">
                  <c:v>0.58456963907253345</c:v>
                </c:pt>
                <c:pt idx="9">
                  <c:v>0.44638442739896317</c:v>
                </c:pt>
                <c:pt idx="10">
                  <c:v>0.43245150288924644</c:v>
                </c:pt>
                <c:pt idx="11">
                  <c:v>0.50670416413145003</c:v>
                </c:pt>
                <c:pt idx="12">
                  <c:v>0.56561307368627067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2-493E-94BA-4859FB3DE299}"/>
            </c:ext>
          </c:extLst>
        </c:ser>
        <c:ser>
          <c:idx val="0"/>
          <c:order val="2"/>
          <c:tx>
            <c:strRef>
              <c:f>consolidateds!$E$108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93E-94BA-4859FB3DE299}"/>
            </c:ext>
          </c:extLst>
        </c:ser>
        <c:ser>
          <c:idx val="4"/>
          <c:order val="3"/>
          <c:tx>
            <c:strRef>
              <c:f>consolidateds!$E$112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2-493E-94BA-4859FB3DE299}"/>
            </c:ext>
          </c:extLst>
        </c:ser>
        <c:ser>
          <c:idx val="1"/>
          <c:order val="4"/>
          <c:tx>
            <c:strRef>
              <c:f>consolidateds!$E$109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2-493E-94BA-4859FB3DE299}"/>
            </c:ext>
          </c:extLst>
        </c:ser>
        <c:ser>
          <c:idx val="7"/>
          <c:order val="5"/>
          <c:tx>
            <c:strRef>
              <c:f>consolidateds!$S$107:$S$116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F2B-4AE3-88C4-D33346C72A58}"/>
            </c:ext>
          </c:extLst>
        </c:ser>
        <c:ser>
          <c:idx val="2"/>
          <c:order val="6"/>
          <c:tx>
            <c:strRef>
              <c:f>consolidateds!$E$110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consolidateds!$F$110:$R$110</c:f>
              <c:numCache>
                <c:formatCode>General</c:formatCode>
                <c:ptCount val="13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0</c:v>
                </c:pt>
                <c:pt idx="8">
                  <c:v>42.617910353335652</c:v>
                </c:pt>
                <c:pt idx="9">
                  <c:v>48.388314091581456</c:v>
                </c:pt>
                <c:pt idx="10">
                  <c:v>44.863235207646213</c:v>
                </c:pt>
                <c:pt idx="11">
                  <c:v>67.203420354855709</c:v>
                </c:pt>
                <c:pt idx="12">
                  <c:v>49.83217535962423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2-493E-94BA-4859FB3DE299}"/>
            </c:ext>
          </c:extLst>
        </c:ser>
        <c:ser>
          <c:idx val="6"/>
          <c:order val="7"/>
          <c:tx>
            <c:strRef>
              <c:f>consolidateds!$E$114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consolidateds!$F$114:$R$114</c:f>
              <c:numCache>
                <c:formatCode>General</c:formatCode>
                <c:ptCount val="13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0</c:v>
                </c:pt>
                <c:pt idx="8">
                  <c:v>4.5190269825704616</c:v>
                </c:pt>
                <c:pt idx="9">
                  <c:v>17.119407834329223</c:v>
                </c:pt>
                <c:pt idx="10">
                  <c:v>6.3151817739598979</c:v>
                </c:pt>
                <c:pt idx="11">
                  <c:v>10.118821109010584</c:v>
                </c:pt>
                <c:pt idx="12">
                  <c:v>14.178001761424797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2-493E-94BA-4859FB3D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501</a:t>
            </a:r>
            <a:r>
              <a:rPr lang="en-US" baseline="0"/>
              <a:t> CecQ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9706142966486"/>
          <c:y val="0.17070795658397811"/>
          <c:w val="0.73409802710896199"/>
          <c:h val="0.67780709224998636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n'!$B$23:$D$23</c:f>
              <c:numCache>
                <c:formatCode>General</c:formatCode>
                <c:ptCount val="3"/>
                <c:pt idx="0">
                  <c:v>335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4-4673-B7EC-C5623020A3C6}"/>
            </c:ext>
          </c:extLst>
        </c:ser>
        <c:ser>
          <c:idx val="0"/>
          <c:order val="1"/>
          <c:tx>
            <c:strRef>
              <c:f>'501 cecq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n'!$B$18:$D$18</c:f>
              <c:numCache>
                <c:formatCode>General</c:formatCode>
                <c:ptCount val="3"/>
                <c:pt idx="0">
                  <c:v>395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4-4673-B7EC-C5623020A3C6}"/>
            </c:ext>
          </c:extLst>
        </c:ser>
        <c:ser>
          <c:idx val="4"/>
          <c:order val="2"/>
          <c:tx>
            <c:strRef>
              <c:f>'501 cecq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n'!$B$22:$D$22</c:f>
              <c:numCache>
                <c:formatCode>General</c:formatCode>
                <c:ptCount val="3"/>
                <c:pt idx="0">
                  <c:v>44735</c:v>
                </c:pt>
                <c:pt idx="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4-4673-B7EC-C5623020A3C6}"/>
            </c:ext>
          </c:extLst>
        </c:ser>
        <c:ser>
          <c:idx val="1"/>
          <c:order val="3"/>
          <c:tx>
            <c:strRef>
              <c:f>'501 cecq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n'!$B$19:$D$19</c:f>
              <c:numCache>
                <c:formatCode>General</c:formatCode>
                <c:ptCount val="3"/>
                <c:pt idx="0">
                  <c:v>1439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4-4673-B7EC-C5623020A3C6}"/>
            </c:ext>
          </c:extLst>
        </c:ser>
        <c:ser>
          <c:idx val="2"/>
          <c:order val="4"/>
          <c:tx>
            <c:strRef>
              <c:f>'501 cecq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n'!$B$20:$D$20</c:f>
              <c:numCache>
                <c:formatCode>General</c:formatCode>
                <c:ptCount val="3"/>
                <c:pt idx="0">
                  <c:v>107162</c:v>
                </c:pt>
                <c:pt idx="1">
                  <c:v>4532</c:v>
                </c:pt>
                <c:pt idx="2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4-4673-B7EC-C5623020A3C6}"/>
            </c:ext>
          </c:extLst>
        </c:ser>
        <c:ser>
          <c:idx val="6"/>
          <c:order val="5"/>
          <c:tx>
            <c:strRef>
              <c:f>'501 cecq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n'!$B$24:$D$24</c:f>
              <c:numCache>
                <c:formatCode>General</c:formatCode>
                <c:ptCount val="3"/>
                <c:pt idx="0">
                  <c:v>4821</c:v>
                </c:pt>
                <c:pt idx="1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4-4673-B7EC-C562302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83919"/>
        <c:axId val="352652031"/>
      </c:barChart>
      <c:catAx>
        <c:axId val="27618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031"/>
        <c:crosses val="autoZero"/>
        <c:auto val="1"/>
        <c:lblAlgn val="ctr"/>
        <c:lblOffset val="100"/>
        <c:noMultiLvlLbl val="0"/>
      </c:catAx>
      <c:valAx>
        <c:axId val="3526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n'!$G$26:$I$26</c:f>
              <c:numCache>
                <c:formatCode>General</c:formatCode>
                <c:ptCount val="3"/>
                <c:pt idx="0">
                  <c:v>73.630144080109602</c:v>
                </c:pt>
                <c:pt idx="1">
                  <c:v>98.83735725889737</c:v>
                </c:pt>
                <c:pt idx="2">
                  <c:v>97.626184762248585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D-4187-A2CD-B659997E05E5}"/>
            </c:ext>
          </c:extLst>
        </c:ser>
        <c:ser>
          <c:idx val="3"/>
          <c:order val="1"/>
          <c:tx>
            <c:strRef>
              <c:f>'501 cecq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n'!$G$21:$I$21</c:f>
              <c:numCache>
                <c:formatCode>General</c:formatCode>
                <c:ptCount val="3"/>
                <c:pt idx="0">
                  <c:v>1.2648807322074824</c:v>
                </c:pt>
                <c:pt idx="1">
                  <c:v>7.3978285893524533E-4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D-4187-A2CD-B659997E05E5}"/>
            </c:ext>
          </c:extLst>
        </c:ser>
        <c:ser>
          <c:idx val="7"/>
          <c:order val="2"/>
          <c:tx>
            <c:strRef>
              <c:f>'501 cecq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n'!$G$25:$I$25</c:f>
              <c:numCache>
                <c:formatCode>General</c:formatCode>
                <c:ptCount val="3"/>
                <c:pt idx="0">
                  <c:v>1.5965993661540465</c:v>
                </c:pt>
                <c:pt idx="1">
                  <c:v>2.6336269778094733E-2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D-4187-A2CD-B659997E05E5}"/>
            </c:ext>
          </c:extLst>
        </c:ser>
        <c:ser>
          <c:idx val="5"/>
          <c:order val="3"/>
          <c:tx>
            <c:strRef>
              <c:f>'501 cecq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n'!$G$23:$I$23</c:f>
              <c:numCache>
                <c:formatCode>General</c:formatCode>
                <c:ptCount val="3"/>
                <c:pt idx="0">
                  <c:v>4.9565451548661439E-2</c:v>
                </c:pt>
                <c:pt idx="1">
                  <c:v>1.3464048032621466E-2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D-4187-A2CD-B659997E05E5}"/>
            </c:ext>
          </c:extLst>
        </c:ser>
        <c:ser>
          <c:idx val="0"/>
          <c:order val="4"/>
          <c:tx>
            <c:strRef>
              <c:f>'501 cecq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n'!$G$18:$I$18</c:f>
              <c:numCache>
                <c:formatCode>General</c:formatCode>
                <c:ptCount val="3"/>
                <c:pt idx="0">
                  <c:v>5.8442845855884377E-2</c:v>
                </c:pt>
                <c:pt idx="1">
                  <c:v>9.4544249371924349E-2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187-A2CD-B659997E05E5}"/>
            </c:ext>
          </c:extLst>
        </c:ser>
        <c:ser>
          <c:idx val="4"/>
          <c:order val="5"/>
          <c:tx>
            <c:strRef>
              <c:f>'501 cecq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n'!$G$22:$I$22</c:f>
              <c:numCache>
                <c:formatCode>General</c:formatCode>
                <c:ptCount val="3"/>
                <c:pt idx="0">
                  <c:v>6.6188372388936401</c:v>
                </c:pt>
                <c:pt idx="1">
                  <c:v>0.14440561406415989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D-4187-A2CD-B659997E05E5}"/>
            </c:ext>
          </c:extLst>
        </c:ser>
        <c:ser>
          <c:idx val="1"/>
          <c:order val="6"/>
          <c:tx>
            <c:strRef>
              <c:f>'501 cecq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n'!$G$19:$I$19</c:f>
              <c:numCache>
                <c:formatCode>General</c:formatCode>
                <c:ptCount val="3"/>
                <c:pt idx="0">
                  <c:v>0.21290950680156359</c:v>
                </c:pt>
                <c:pt idx="1">
                  <c:v>5.3856192130485862E-2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187-A2CD-B659997E05E5}"/>
            </c:ext>
          </c:extLst>
        </c:ser>
        <c:ser>
          <c:idx val="2"/>
          <c:order val="7"/>
          <c:tx>
            <c:strRef>
              <c:f>'501 cecq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n'!$G$20:$I$20</c:f>
              <c:numCache>
                <c:formatCode>General</c:formatCode>
                <c:ptCount val="3"/>
                <c:pt idx="0">
                  <c:v>15.855322145843752</c:v>
                </c:pt>
                <c:pt idx="1">
                  <c:v>0.67053918333890639</c:v>
                </c:pt>
                <c:pt idx="2">
                  <c:v>2.373815237751415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D-4187-A2CD-B659997E05E5}"/>
            </c:ext>
          </c:extLst>
        </c:ser>
        <c:ser>
          <c:idx val="6"/>
          <c:order val="8"/>
          <c:tx>
            <c:strRef>
              <c:f>'501 cecq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n'!$G$24:$I$24</c:f>
              <c:numCache>
                <c:formatCode>General</c:formatCode>
                <c:ptCount val="3"/>
                <c:pt idx="0">
                  <c:v>0.71329863258536352</c:v>
                </c:pt>
                <c:pt idx="1">
                  <c:v>0.15875740152750364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D-4187-A2CD-B659997E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11936"/>
        <c:axId val="872142448"/>
      </c:barChart>
      <c:catAx>
        <c:axId val="9457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2448"/>
        <c:crosses val="autoZero"/>
        <c:auto val="1"/>
        <c:lblAlgn val="ctr"/>
        <c:lblOffset val="100"/>
        <c:noMultiLvlLbl val="0"/>
      </c:catAx>
      <c:valAx>
        <c:axId val="872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n'!$G$38:$I$38</c:f>
              <c:numCache>
                <c:formatCode>General</c:formatCode>
                <c:ptCount val="3"/>
                <c:pt idx="0">
                  <c:v>4.507608229747107</c:v>
                </c:pt>
                <c:pt idx="1">
                  <c:v>95.789755679382765</c:v>
                </c:pt>
                <c:pt idx="2">
                  <c:v>91.403771967423921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3-47D3-8024-5108E3712543}"/>
            </c:ext>
          </c:extLst>
        </c:ser>
        <c:ser>
          <c:idx val="3"/>
          <c:order val="1"/>
          <c:tx>
            <c:strRef>
              <c:f>'501 cecq n'!$F$33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n'!$G$33:$I$33</c:f>
              <c:numCache>
                <c:formatCode>General</c:formatCode>
                <c:ptCount val="3"/>
                <c:pt idx="0">
                  <c:v>4.5804757822546076</c:v>
                </c:pt>
                <c:pt idx="1">
                  <c:v>2.6789541363051866E-3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3-47D3-8024-5108E3712543}"/>
            </c:ext>
          </c:extLst>
        </c:ser>
        <c:ser>
          <c:idx val="7"/>
          <c:order val="2"/>
          <c:tx>
            <c:strRef>
              <c:f>'501 cecq n'!$F$37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n'!$G$37:$I$37</c:f>
              <c:numCache>
                <c:formatCode>General</c:formatCode>
                <c:ptCount val="3"/>
                <c:pt idx="0">
                  <c:v>5.7817188169738536</c:v>
                </c:pt>
                <c:pt idx="1">
                  <c:v>9.5370767252464642E-2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3-47D3-8024-5108E3712543}"/>
            </c:ext>
          </c:extLst>
        </c:ser>
        <c:ser>
          <c:idx val="5"/>
          <c:order val="3"/>
          <c:tx>
            <c:strRef>
              <c:f>'501 cecq n'!$F$35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n'!$G$35:$I$35</c:f>
              <c:numCache>
                <c:formatCode>General</c:formatCode>
                <c:ptCount val="3"/>
                <c:pt idx="0">
                  <c:v>0.17948992713244749</c:v>
                </c:pt>
                <c:pt idx="1">
                  <c:v>4.8756965280754391E-2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3-47D3-8024-5108E3712543}"/>
            </c:ext>
          </c:extLst>
        </c:ser>
        <c:ser>
          <c:idx val="0"/>
          <c:order val="4"/>
          <c:tx>
            <c:strRef>
              <c:f>'501 cecq n'!$F$30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n'!$G$30:$I$30</c:f>
              <c:numCache>
                <c:formatCode>General</c:formatCode>
                <c:ptCount val="3"/>
                <c:pt idx="0">
                  <c:v>0.21163737676810973</c:v>
                </c:pt>
                <c:pt idx="1">
                  <c:v>0.34237033861980282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7D3-8024-5108E3712543}"/>
            </c:ext>
          </c:extLst>
        </c:ser>
        <c:ser>
          <c:idx val="4"/>
          <c:order val="5"/>
          <c:tx>
            <c:strRef>
              <c:f>'501 cecq n'!$F$34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n'!$G$34:$I$34</c:f>
              <c:numCache>
                <c:formatCode>General</c:formatCode>
                <c:ptCount val="3"/>
                <c:pt idx="0">
                  <c:v>23.968602657522503</c:v>
                </c:pt>
                <c:pt idx="1">
                  <c:v>0.52293184740677234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3-47D3-8024-5108E3712543}"/>
            </c:ext>
          </c:extLst>
        </c:ser>
        <c:ser>
          <c:idx val="1"/>
          <c:order val="6"/>
          <c:tx>
            <c:strRef>
              <c:f>'501 cecq n'!$F$31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n'!$G$31:$I$31</c:f>
              <c:numCache>
                <c:formatCode>General</c:formatCode>
                <c:ptCount val="3"/>
                <c:pt idx="0">
                  <c:v>0.77100300042863268</c:v>
                </c:pt>
                <c:pt idx="1">
                  <c:v>0.19502786112301757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7D3-8024-5108E3712543}"/>
            </c:ext>
          </c:extLst>
        </c:ser>
        <c:ser>
          <c:idx val="2"/>
          <c:order val="7"/>
          <c:tx>
            <c:strRef>
              <c:f>'501 cecq n'!$F$32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n'!$G$32:$I$32</c:f>
              <c:numCache>
                <c:formatCode>General</c:formatCode>
                <c:ptCount val="3"/>
                <c:pt idx="0">
                  <c:v>57.416416630947275</c:v>
                </c:pt>
                <c:pt idx="1">
                  <c:v>2.4282040291470208</c:v>
                </c:pt>
                <c:pt idx="2">
                  <c:v>8.5962280325760823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3-47D3-8024-5108E3712543}"/>
            </c:ext>
          </c:extLst>
        </c:ser>
        <c:ser>
          <c:idx val="6"/>
          <c:order val="8"/>
          <c:tx>
            <c:strRef>
              <c:f>'501 cecq n'!$F$36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n'!$G$36:$I$36</c:f>
              <c:numCache>
                <c:formatCode>General</c:formatCode>
                <c:ptCount val="3"/>
                <c:pt idx="0">
                  <c:v>2.5830475782254609</c:v>
                </c:pt>
                <c:pt idx="1">
                  <c:v>0.57490355765109302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3-47D3-8024-5108E371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378704"/>
        <c:axId val="1019740320"/>
      </c:barChart>
      <c:catAx>
        <c:axId val="11413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0320"/>
        <c:crosses val="autoZero"/>
        <c:auto val="1"/>
        <c:lblAlgn val="ctr"/>
        <c:lblOffset val="100"/>
        <c:noMultiLvlLbl val="0"/>
      </c:catAx>
      <c:valAx>
        <c:axId val="1019740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02908004700248"/>
          <c:y val="0.2075494672754947"/>
          <c:w val="0.69742430731723393"/>
          <c:h val="0.6103294622418773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y'!$A$22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y'!$B$22:$D$22</c:f>
              <c:numCache>
                <c:formatCode>General</c:formatCode>
                <c:ptCount val="3"/>
                <c:pt idx="0">
                  <c:v>2743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0-440F-9BD1-2121DDD25027}"/>
            </c:ext>
          </c:extLst>
        </c:ser>
        <c:ser>
          <c:idx val="0"/>
          <c:order val="1"/>
          <c:tx>
            <c:strRef>
              <c:f>'501 cecq y'!$A$17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y'!$B$17:$D$17</c:f>
              <c:numCache>
                <c:formatCode>General</c:formatCode>
                <c:ptCount val="3"/>
                <c:pt idx="0">
                  <c:v>2776</c:v>
                </c:pt>
                <c:pt idx="1">
                  <c:v>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0F-9BD1-2121DDD25027}"/>
            </c:ext>
          </c:extLst>
        </c:ser>
        <c:ser>
          <c:idx val="4"/>
          <c:order val="2"/>
          <c:tx>
            <c:strRef>
              <c:f>'501 cecq y'!$A$21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y'!$B$21:$D$21</c:f>
              <c:numCache>
                <c:formatCode>General</c:formatCode>
                <c:ptCount val="3"/>
                <c:pt idx="0">
                  <c:v>54921</c:v>
                </c:pt>
                <c:pt idx="1">
                  <c:v>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40F-9BD1-2121DDD25027}"/>
            </c:ext>
          </c:extLst>
        </c:ser>
        <c:ser>
          <c:idx val="1"/>
          <c:order val="3"/>
          <c:tx>
            <c:strRef>
              <c:f>'501 cecq y'!$A$18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y'!$B$18:$D$18</c:f>
              <c:numCache>
                <c:formatCode>General</c:formatCode>
                <c:ptCount val="3"/>
                <c:pt idx="0">
                  <c:v>1727</c:v>
                </c:pt>
                <c:pt idx="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40F-9BD1-2121DDD25027}"/>
            </c:ext>
          </c:extLst>
        </c:ser>
        <c:ser>
          <c:idx val="2"/>
          <c:order val="4"/>
          <c:tx>
            <c:strRef>
              <c:f>'501 cecq y'!$A$19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y'!$B$19:$D$19</c:f>
              <c:numCache>
                <c:formatCode>General</c:formatCode>
                <c:ptCount val="3"/>
                <c:pt idx="0">
                  <c:v>561824</c:v>
                </c:pt>
                <c:pt idx="1">
                  <c:v>238766</c:v>
                </c:pt>
                <c:pt idx="2">
                  <c:v>406153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40F-9BD1-2121DDD25027}"/>
            </c:ext>
          </c:extLst>
        </c:ser>
        <c:ser>
          <c:idx val="6"/>
          <c:order val="5"/>
          <c:tx>
            <c:strRef>
              <c:f>'501 cecq y'!$A$23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y'!$B$23:$D$23</c:f>
              <c:numCache>
                <c:formatCode>General</c:formatCode>
                <c:ptCount val="3"/>
                <c:pt idx="0">
                  <c:v>58753</c:v>
                </c:pt>
                <c:pt idx="1">
                  <c:v>31088</c:v>
                </c:pt>
                <c:pt idx="2">
                  <c:v>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60-440F-9BD1-2121DDD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471"/>
        <c:axId val="363076719"/>
      </c:barChart>
      <c:catAx>
        <c:axId val="3629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19"/>
        <c:crosses val="autoZero"/>
        <c:auto val="1"/>
        <c:lblAlgn val="ctr"/>
        <c:lblOffset val="100"/>
        <c:noMultiLvlLbl val="0"/>
      </c:catAx>
      <c:valAx>
        <c:axId val="3630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  <a:r>
              <a:rPr lang="en-CA" baseline="0"/>
              <a:t> 501 cecq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y'!$G$25:$I$25</c:f>
              <c:numCache>
                <c:formatCode>General</c:formatCode>
                <c:ptCount val="3"/>
                <c:pt idx="0">
                  <c:v>2.5742412077303767</c:v>
                </c:pt>
                <c:pt idx="1">
                  <c:v>54.496497055593302</c:v>
                </c:pt>
                <c:pt idx="2">
                  <c:v>37.298369231017105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E-45F3-89B2-FA5E1F3C1204}"/>
            </c:ext>
          </c:extLst>
        </c:ser>
        <c:ser>
          <c:idx val="3"/>
          <c:order val="1"/>
          <c:tx>
            <c:strRef>
              <c:f>'501 cecq y'!$F$20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y'!$G$20:$I$20</c:f>
              <c:numCache>
                <c:formatCode>General</c:formatCode>
                <c:ptCount val="3"/>
                <c:pt idx="0">
                  <c:v>1.0467211419947853</c:v>
                </c:pt>
                <c:pt idx="1">
                  <c:v>8.4586239027285098E-2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E-45F3-89B2-FA5E1F3C1204}"/>
            </c:ext>
          </c:extLst>
        </c:ser>
        <c:ser>
          <c:idx val="7"/>
          <c:order val="2"/>
          <c:tx>
            <c:strRef>
              <c:f>'501 cecq y'!$F$24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y'!$G$24:$I$24</c:f>
              <c:numCache>
                <c:formatCode>General</c:formatCode>
                <c:ptCount val="3"/>
                <c:pt idx="0">
                  <c:v>4.7111849860768364</c:v>
                </c:pt>
                <c:pt idx="1">
                  <c:v>4.326250466566953</c:v>
                </c:pt>
                <c:pt idx="2">
                  <c:v>0.96844530492667846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E-45F3-89B2-FA5E1F3C1204}"/>
            </c:ext>
          </c:extLst>
        </c:ser>
        <c:ser>
          <c:idx val="5"/>
          <c:order val="3"/>
          <c:tx>
            <c:strRef>
              <c:f>'501 cecq y'!$F$22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y'!$G$22:$I$22</c:f>
              <c:numCache>
                <c:formatCode>General</c:formatCode>
                <c:ptCount val="3"/>
                <c:pt idx="0">
                  <c:v>0.36828579944736989</c:v>
                </c:pt>
                <c:pt idx="1">
                  <c:v>0.25389298095332719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E-45F3-89B2-FA5E1F3C1204}"/>
            </c:ext>
          </c:extLst>
        </c:ser>
        <c:ser>
          <c:idx val="0"/>
          <c:order val="4"/>
          <c:tx>
            <c:strRef>
              <c:f>'501 cecq y'!$F$17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y'!$G$17:$I$17</c:f>
              <c:numCache>
                <c:formatCode>General</c:formatCode>
                <c:ptCount val="3"/>
                <c:pt idx="0">
                  <c:v>0.37271650720594196</c:v>
                </c:pt>
                <c:pt idx="1">
                  <c:v>0.27913458879004083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5F3-89B2-FA5E1F3C1204}"/>
            </c:ext>
          </c:extLst>
        </c:ser>
        <c:ser>
          <c:idx val="4"/>
          <c:order val="5"/>
          <c:tx>
            <c:strRef>
              <c:f>'501 cecq y'!$F$21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y'!$G$21:$I$21</c:f>
              <c:numCache>
                <c:formatCode>General</c:formatCode>
                <c:ptCount val="3"/>
                <c:pt idx="0">
                  <c:v>7.3739060851071825</c:v>
                </c:pt>
                <c:pt idx="1">
                  <c:v>4.2592527947024843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E-45F3-89B2-FA5E1F3C1204}"/>
            </c:ext>
          </c:extLst>
        </c:ser>
        <c:ser>
          <c:idx val="1"/>
          <c:order val="6"/>
          <c:tx>
            <c:strRef>
              <c:f>'501 cecq y'!$F$18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y'!$G$18:$I$18</c:f>
              <c:numCache>
                <c:formatCode>General</c:formatCode>
                <c:ptCount val="3"/>
                <c:pt idx="0">
                  <c:v>0.23187370603193869</c:v>
                </c:pt>
                <c:pt idx="1">
                  <c:v>6.8743102193603134E-2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5F3-89B2-FA5E1F3C1204}"/>
            </c:ext>
          </c:extLst>
        </c:ser>
        <c:ser>
          <c:idx val="2"/>
          <c:order val="7"/>
          <c:tx>
            <c:strRef>
              <c:f>'501 cecq y'!$F$19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y'!$G$19:$I$19</c:f>
              <c:numCache>
                <c:formatCode>General</c:formatCode>
                <c:ptCount val="3"/>
                <c:pt idx="0">
                  <c:v>75.432665325818135</c:v>
                </c:pt>
                <c:pt idx="1">
                  <c:v>32.057647535855168</c:v>
                </c:pt>
                <c:pt idx="2">
                  <c:v>54.531674189918931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5F3-89B2-FA5E1F3C1204}"/>
            </c:ext>
          </c:extLst>
        </c:ser>
        <c:ser>
          <c:idx val="6"/>
          <c:order val="8"/>
          <c:tx>
            <c:strRef>
              <c:f>'501 cecq y'!$F$23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y'!$G$23:$I$23</c:f>
              <c:numCache>
                <c:formatCode>General</c:formatCode>
                <c:ptCount val="3"/>
                <c:pt idx="0">
                  <c:v>7.8884052405874314</c:v>
                </c:pt>
                <c:pt idx="1">
                  <c:v>4.1739952363178405</c:v>
                </c:pt>
                <c:pt idx="2">
                  <c:v>7.2015112741372871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E-45F3-89B2-FA5E1F3C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020158752"/>
        <c:axId val="1019796064"/>
      </c:barChart>
      <c:catAx>
        <c:axId val="10201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064"/>
        <c:crosses val="autoZero"/>
        <c:auto val="1"/>
        <c:lblAlgn val="ctr"/>
        <c:lblOffset val="100"/>
        <c:noMultiLvlLbl val="0"/>
      </c:catAx>
      <c:valAx>
        <c:axId val="101979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  <a:r>
              <a:rPr lang="en-CA" baseline="0"/>
              <a:t> 501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y'!$G$38:$I$38</c:f>
              <c:numCache>
                <c:formatCode>General</c:formatCode>
                <c:ptCount val="3"/>
                <c:pt idx="0">
                  <c:v>41.934629455954983</c:v>
                </c:pt>
                <c:pt idx="1">
                  <c:v>72.880090519462641</c:v>
                </c:pt>
                <c:pt idx="2">
                  <c:v>62.630073715106953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7E2-9F6D-F84C5C4CC2A6}"/>
            </c:ext>
          </c:extLst>
        </c:ser>
        <c:ser>
          <c:idx val="3"/>
          <c:order val="1"/>
          <c:tx>
            <c:strRef>
              <c:f>'501 cecq y'!$F$33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y'!$G$33:$I$33</c:f>
              <c:numCache>
                <c:formatCode>General</c:formatCode>
                <c:ptCount val="3"/>
                <c:pt idx="0">
                  <c:v>0.62384169976858006</c:v>
                </c:pt>
                <c:pt idx="1">
                  <c:v>5.0413067066983765E-2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4-47E2-9F6D-F84C5C4CC2A6}"/>
            </c:ext>
          </c:extLst>
        </c:ser>
        <c:ser>
          <c:idx val="7"/>
          <c:order val="2"/>
          <c:tx>
            <c:strRef>
              <c:f>'501 cecq y'!$F$37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y'!$G$37:$I$37</c:f>
              <c:numCache>
                <c:formatCode>General</c:formatCode>
                <c:ptCount val="3"/>
                <c:pt idx="0">
                  <c:v>2.8078477941482434</c:v>
                </c:pt>
                <c:pt idx="1">
                  <c:v>2.5784283286227789</c:v>
                </c:pt>
                <c:pt idx="2">
                  <c:v>0.57718960754627602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74-47E2-9F6D-F84C5C4CC2A6}"/>
            </c:ext>
          </c:extLst>
        </c:ser>
        <c:ser>
          <c:idx val="5"/>
          <c:order val="3"/>
          <c:tx>
            <c:strRef>
              <c:f>'501 cecq y'!$F$35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y'!$G$35:$I$35</c:f>
              <c:numCache>
                <c:formatCode>General</c:formatCode>
                <c:ptCount val="3"/>
                <c:pt idx="0">
                  <c:v>0.21949689359481978</c:v>
                </c:pt>
                <c:pt idx="1">
                  <c:v>0.15131922194232744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4-47E2-9F6D-F84C5C4CC2A6}"/>
            </c:ext>
          </c:extLst>
        </c:ser>
        <c:ser>
          <c:idx val="0"/>
          <c:order val="4"/>
          <c:tx>
            <c:strRef>
              <c:f>'501 cecq y'!$F$30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y'!$G$30:$I$30</c:f>
              <c:numCache>
                <c:formatCode>General</c:formatCode>
                <c:ptCount val="3"/>
                <c:pt idx="0">
                  <c:v>0.22213757806023321</c:v>
                </c:pt>
                <c:pt idx="1">
                  <c:v>0.16636312132104641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47E2-9F6D-F84C5C4CC2A6}"/>
            </c:ext>
          </c:extLst>
        </c:ser>
        <c:ser>
          <c:idx val="4"/>
          <c:order val="5"/>
          <c:tx>
            <c:strRef>
              <c:f>'501 cecq y'!$F$34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y'!$G$34:$I$34</c:f>
              <c:numCache>
                <c:formatCode>General</c:formatCode>
                <c:ptCount val="3"/>
                <c:pt idx="0">
                  <c:v>4.3948191371203418</c:v>
                </c:pt>
                <c:pt idx="1">
                  <c:v>2.5384979786760726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4-47E2-9F6D-F84C5C4CC2A6}"/>
            </c:ext>
          </c:extLst>
        </c:ser>
        <c:ser>
          <c:idx val="1"/>
          <c:order val="6"/>
          <c:tx>
            <c:strRef>
              <c:f>'501 cecq y'!$F$31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y'!$G$31:$I$31</c:f>
              <c:numCache>
                <c:formatCode>General</c:formatCode>
                <c:ptCount val="3"/>
                <c:pt idx="0">
                  <c:v>0.13819582035663644</c:v>
                </c:pt>
                <c:pt idx="1">
                  <c:v>4.0970619584596329E-2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47E2-9F6D-F84C5C4CC2A6}"/>
            </c:ext>
          </c:extLst>
        </c:ser>
        <c:ser>
          <c:idx val="2"/>
          <c:order val="7"/>
          <c:tx>
            <c:strRef>
              <c:f>'501 cecq y'!$F$32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y'!$G$32:$I$32</c:f>
              <c:numCache>
                <c:formatCode>General</c:formatCode>
                <c:ptCount val="3"/>
                <c:pt idx="0">
                  <c:v>44.957573002922359</c:v>
                </c:pt>
                <c:pt idx="1">
                  <c:v>19.106232335421343</c:v>
                </c:pt>
                <c:pt idx="2">
                  <c:v>32.500664172153421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4-47E2-9F6D-F84C5C4CC2A6}"/>
            </c:ext>
          </c:extLst>
        </c:ser>
        <c:ser>
          <c:idx val="6"/>
          <c:order val="8"/>
          <c:tx>
            <c:strRef>
              <c:f>'501 cecq y'!$F$36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y'!$G$36:$I$36</c:f>
              <c:numCache>
                <c:formatCode>General</c:formatCode>
                <c:ptCount val="3"/>
                <c:pt idx="0">
                  <c:v>4.7014586180738052</c:v>
                </c:pt>
                <c:pt idx="1">
                  <c:v>2.4876848079022085</c:v>
                </c:pt>
                <c:pt idx="2">
                  <c:v>4.2920725051933459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4-47E2-9F6D-F84C5C4C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348816"/>
        <c:axId val="778926448"/>
      </c:barChart>
      <c:catAx>
        <c:axId val="10383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26448"/>
        <c:crosses val="autoZero"/>
        <c:auto val="1"/>
        <c:lblAlgn val="ctr"/>
        <c:lblOffset val="100"/>
        <c:noMultiLvlLbl val="0"/>
      </c:catAx>
      <c:valAx>
        <c:axId val="7789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'501 colq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n'!$B$23:$D$23</c:f>
              <c:numCache>
                <c:formatCode>General</c:formatCode>
                <c:ptCount val="3"/>
                <c:pt idx="0">
                  <c:v>233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A66-B113-D3229EC974FD}"/>
            </c:ext>
          </c:extLst>
        </c:ser>
        <c:ser>
          <c:idx val="0"/>
          <c:order val="1"/>
          <c:tx>
            <c:strRef>
              <c:f>'501 colq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n'!$B$18:$D$18</c:f>
              <c:numCache>
                <c:formatCode>General</c:formatCode>
                <c:ptCount val="3"/>
                <c:pt idx="0">
                  <c:v>772</c:v>
                </c:pt>
                <c:pt idx="1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66-B113-D3229EC974FD}"/>
            </c:ext>
          </c:extLst>
        </c:ser>
        <c:ser>
          <c:idx val="4"/>
          <c:order val="2"/>
          <c:tx>
            <c:strRef>
              <c:f>'501 colq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n'!$B$22:$D$22</c:f>
              <c:numCache>
                <c:formatCode>General</c:formatCode>
                <c:ptCount val="3"/>
                <c:pt idx="0">
                  <c:v>12421</c:v>
                </c:pt>
                <c:pt idx="1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A66-B113-D3229EC974FD}"/>
            </c:ext>
          </c:extLst>
        </c:ser>
        <c:ser>
          <c:idx val="1"/>
          <c:order val="3"/>
          <c:tx>
            <c:strRef>
              <c:f>'501 colq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n'!$B$19:$D$19</c:f>
              <c:numCache>
                <c:formatCode>General</c:formatCode>
                <c:ptCount val="3"/>
                <c:pt idx="0">
                  <c:v>336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66-B113-D3229EC974FD}"/>
            </c:ext>
          </c:extLst>
        </c:ser>
        <c:ser>
          <c:idx val="2"/>
          <c:order val="4"/>
          <c:tx>
            <c:strRef>
              <c:f>'501 colq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n'!$B$20:$D$20</c:f>
              <c:numCache>
                <c:formatCode>General</c:formatCode>
                <c:ptCount val="3"/>
                <c:pt idx="0">
                  <c:v>13789</c:v>
                </c:pt>
                <c:pt idx="1">
                  <c:v>4230</c:v>
                </c:pt>
                <c:pt idx="2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A66-B113-D3229EC974FD}"/>
            </c:ext>
          </c:extLst>
        </c:ser>
        <c:ser>
          <c:idx val="6"/>
          <c:order val="5"/>
          <c:tx>
            <c:strRef>
              <c:f>'501 colq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n'!$B$24:$D$24</c:f>
              <c:numCache>
                <c:formatCode>General</c:formatCode>
                <c:ptCount val="3"/>
                <c:pt idx="0">
                  <c:v>2876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66-B113-D3229EC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14111"/>
        <c:axId val="264069199"/>
      </c:barChart>
      <c:catAx>
        <c:axId val="3531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199"/>
        <c:crosses val="autoZero"/>
        <c:auto val="1"/>
        <c:lblAlgn val="ctr"/>
        <c:lblOffset val="100"/>
        <c:noMultiLvlLbl val="0"/>
      </c:catAx>
      <c:valAx>
        <c:axId val="2640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putative'!$F$91:$Q$91</c:f>
              <c:numCache>
                <c:formatCode>General</c:formatCode>
                <c:ptCount val="12"/>
                <c:pt idx="0">
                  <c:v>98.54303504309199</c:v>
                </c:pt>
                <c:pt idx="1">
                  <c:v>69.027948406056396</c:v>
                </c:pt>
                <c:pt idx="2">
                  <c:v>96.131861713921083</c:v>
                </c:pt>
                <c:pt idx="3">
                  <c:v>98.005957089380246</c:v>
                </c:pt>
                <c:pt idx="4">
                  <c:v>94.762160964648544</c:v>
                </c:pt>
                <c:pt idx="5">
                  <c:v>95.944588291989646</c:v>
                </c:pt>
                <c:pt idx="6">
                  <c:v>82.910608191409608</c:v>
                </c:pt>
                <c:pt idx="7">
                  <c:v>96.173062767513926</c:v>
                </c:pt>
                <c:pt idx="8">
                  <c:v>91.794974643341362</c:v>
                </c:pt>
                <c:pt idx="9">
                  <c:v>97.223460876472927</c:v>
                </c:pt>
                <c:pt idx="10">
                  <c:v>90.77571273959326</c:v>
                </c:pt>
                <c:pt idx="11">
                  <c:v>88.856696066168126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274-8750-FE81BAE1D97E}"/>
            </c:ext>
          </c:extLst>
        </c:ser>
        <c:ser>
          <c:idx val="5"/>
          <c:order val="1"/>
          <c:tx>
            <c:strRef>
              <c:f>'kneaddata putative'!$E$88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putative'!$F$88:$Q$88</c:f>
              <c:numCache>
                <c:formatCode>General</c:formatCode>
                <c:ptCount val="12"/>
                <c:pt idx="0">
                  <c:v>1.7274763658453245E-2</c:v>
                </c:pt>
                <c:pt idx="1">
                  <c:v>0.19136228493247168</c:v>
                </c:pt>
                <c:pt idx="2">
                  <c:v>3.7854002519995024E-3</c:v>
                </c:pt>
                <c:pt idx="3">
                  <c:v>1.3544012920305435E-2</c:v>
                </c:pt>
                <c:pt idx="4">
                  <c:v>2.2505652787008612E-2</c:v>
                </c:pt>
                <c:pt idx="5">
                  <c:v>1.7425065412061957E-2</c:v>
                </c:pt>
                <c:pt idx="6">
                  <c:v>3.9030313543518796E-2</c:v>
                </c:pt>
                <c:pt idx="7">
                  <c:v>2.1628302178279005E-2</c:v>
                </c:pt>
                <c:pt idx="8">
                  <c:v>2.3339385153805375E-2</c:v>
                </c:pt>
                <c:pt idx="9">
                  <c:v>4.1202171322653247E-2</c:v>
                </c:pt>
                <c:pt idx="10">
                  <c:v>5.0793910947465389E-2</c:v>
                </c:pt>
                <c:pt idx="11">
                  <c:v>3.7844997702267999E-2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6-4274-8750-FE81BAE1D97E}"/>
            </c:ext>
          </c:extLst>
        </c:ser>
        <c:ser>
          <c:idx val="0"/>
          <c:order val="2"/>
          <c:tx>
            <c:strRef>
              <c:f>'kneaddata putative'!$E$83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putative'!$F$83:$Q$83</c:f>
              <c:numCache>
                <c:formatCode>General</c:formatCode>
                <c:ptCount val="12"/>
                <c:pt idx="0">
                  <c:v>0.12130301074452333</c:v>
                </c:pt>
                <c:pt idx="1">
                  <c:v>0.210387197448233</c:v>
                </c:pt>
                <c:pt idx="2">
                  <c:v>0.9274230617398781</c:v>
                </c:pt>
                <c:pt idx="3">
                  <c:v>9.6629134196128688E-2</c:v>
                </c:pt>
                <c:pt idx="4">
                  <c:v>0.34215625252749032</c:v>
                </c:pt>
                <c:pt idx="5">
                  <c:v>0.26491544759275443</c:v>
                </c:pt>
                <c:pt idx="6">
                  <c:v>0.128304411664488</c:v>
                </c:pt>
                <c:pt idx="7">
                  <c:v>0.13504057578538908</c:v>
                </c:pt>
                <c:pt idx="8">
                  <c:v>8.5616840011446857E-2</c:v>
                </c:pt>
                <c:pt idx="9">
                  <c:v>0.15739441281609956</c:v>
                </c:pt>
                <c:pt idx="10">
                  <c:v>0.14694205114148542</c:v>
                </c:pt>
                <c:pt idx="11">
                  <c:v>8.7322007685319669E-2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6-4274-8750-FE81BAE1D97E}"/>
            </c:ext>
          </c:extLst>
        </c:ser>
        <c:ser>
          <c:idx val="4"/>
          <c:order val="3"/>
          <c:tx>
            <c:strRef>
              <c:f>'kneaddata putative'!$E$87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putative'!$F$87:$Q$87</c:f>
              <c:numCache>
                <c:formatCode>General</c:formatCode>
                <c:ptCount val="12"/>
                <c:pt idx="0">
                  <c:v>0.18527658605110292</c:v>
                </c:pt>
                <c:pt idx="1">
                  <c:v>3.2102515943483865</c:v>
                </c:pt>
                <c:pt idx="2">
                  <c:v>1.4105122367569576</c:v>
                </c:pt>
                <c:pt idx="3">
                  <c:v>0.34599831325822289</c:v>
                </c:pt>
                <c:pt idx="4">
                  <c:v>1.2147777742612695</c:v>
                </c:pt>
                <c:pt idx="5">
                  <c:v>0.94054513228075043</c:v>
                </c:pt>
                <c:pt idx="6">
                  <c:v>3.0068829648169602</c:v>
                </c:pt>
                <c:pt idx="7">
                  <c:v>0.90329967921047605</c:v>
                </c:pt>
                <c:pt idx="8">
                  <c:v>1.4229401526559986</c:v>
                </c:pt>
                <c:pt idx="9">
                  <c:v>0.47705547464583609</c:v>
                </c:pt>
                <c:pt idx="10">
                  <c:v>1.473447288777866</c:v>
                </c:pt>
                <c:pt idx="11">
                  <c:v>1.8099247277740507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6-4274-8750-FE81BAE1D97E}"/>
            </c:ext>
          </c:extLst>
        </c:ser>
        <c:ser>
          <c:idx val="1"/>
          <c:order val="4"/>
          <c:tx>
            <c:strRef>
              <c:f>'kneaddata putative'!$E$84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putative'!$F$84:$Q$84</c:f>
              <c:numCache>
                <c:formatCode>General</c:formatCode>
                <c:ptCount val="12"/>
                <c:pt idx="0">
                  <c:v>6.9099054633812981E-2</c:v>
                </c:pt>
                <c:pt idx="1">
                  <c:v>5.1812527702498945E-2</c:v>
                </c:pt>
                <c:pt idx="2">
                  <c:v>0.54798175076564226</c:v>
                </c:pt>
                <c:pt idx="3">
                  <c:v>6.0208259116315756E-2</c:v>
                </c:pt>
                <c:pt idx="4">
                  <c:v>0.22013341632292799</c:v>
                </c:pt>
                <c:pt idx="5">
                  <c:v>0.17043892106173103</c:v>
                </c:pt>
                <c:pt idx="6">
                  <c:v>5.5261967747331379E-2</c:v>
                </c:pt>
                <c:pt idx="7">
                  <c:v>6.7429412673458075E-2</c:v>
                </c:pt>
                <c:pt idx="8">
                  <c:v>4.1694228252149801E-2</c:v>
                </c:pt>
                <c:pt idx="9">
                  <c:v>5.4547861776777437E-2</c:v>
                </c:pt>
                <c:pt idx="10">
                  <c:v>4.8745199657511985E-2</c:v>
                </c:pt>
                <c:pt idx="11">
                  <c:v>3.8991815814457938E-2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6-4274-8750-FE81BAE1D97E}"/>
            </c:ext>
          </c:extLst>
        </c:ser>
        <c:ser>
          <c:idx val="2"/>
          <c:order val="5"/>
          <c:tx>
            <c:strRef>
              <c:f>'kneaddata putative'!$E$85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putative'!$F$85:$Q$85</c:f>
              <c:numCache>
                <c:formatCode>General</c:formatCode>
                <c:ptCount val="12"/>
                <c:pt idx="0">
                  <c:v>0.86032119670450657</c:v>
                </c:pt>
                <c:pt idx="1">
                  <c:v>24.162246073075902</c:v>
                </c:pt>
                <c:pt idx="2">
                  <c:v>0.76248776504561411</c:v>
                </c:pt>
                <c:pt idx="3">
                  <c:v>1.0076062721299497</c:v>
                </c:pt>
                <c:pt idx="4">
                  <c:v>2.6073150404574275</c:v>
                </c:pt>
                <c:pt idx="5">
                  <c:v>2.018721054652084</c:v>
                </c:pt>
                <c:pt idx="6">
                  <c:v>11.98707662951559</c:v>
                </c:pt>
                <c:pt idx="7">
                  <c:v>2.1132123481247898</c:v>
                </c:pt>
                <c:pt idx="8">
                  <c:v>4.8357094938520069</c:v>
                </c:pt>
                <c:pt idx="9">
                  <c:v>1.3590361445783132</c:v>
                </c:pt>
                <c:pt idx="10">
                  <c:v>5.6976073877942017</c:v>
                </c:pt>
                <c:pt idx="11">
                  <c:v>6.8923768542615349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6-4274-8750-FE81BAE1D97E}"/>
            </c:ext>
          </c:extLst>
        </c:ser>
        <c:ser>
          <c:idx val="6"/>
          <c:order val="6"/>
          <c:tx>
            <c:strRef>
              <c:f>'kneaddata putative'!$E$89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putative'!$F$89:$Q$89</c:f>
              <c:numCache>
                <c:formatCode>General</c:formatCode>
                <c:ptCount val="12"/>
                <c:pt idx="0">
                  <c:v>0.20369034511560805</c:v>
                </c:pt>
                <c:pt idx="1">
                  <c:v>3.1459919164361079</c:v>
                </c:pt>
                <c:pt idx="2">
                  <c:v>0.21594807151882875</c:v>
                </c:pt>
                <c:pt idx="3">
                  <c:v>0.47005691899883567</c:v>
                </c:pt>
                <c:pt idx="4">
                  <c:v>0.83095089899533359</c:v>
                </c:pt>
                <c:pt idx="5">
                  <c:v>0.64336608701097509</c:v>
                </c:pt>
                <c:pt idx="6">
                  <c:v>1.8728355213024974</c:v>
                </c:pt>
                <c:pt idx="7">
                  <c:v>0.58632691451368124</c:v>
                </c:pt>
                <c:pt idx="8">
                  <c:v>1.7957252567332367</c:v>
                </c:pt>
                <c:pt idx="9">
                  <c:v>0.68730305838739569</c:v>
                </c:pt>
                <c:pt idx="10">
                  <c:v>1.8067514220882162</c:v>
                </c:pt>
                <c:pt idx="11">
                  <c:v>2.2768435305942401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6-4274-8750-FE81BAE1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colq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n'!$G$26:$I$26</c:f>
              <c:numCache>
                <c:formatCode>General</c:formatCode>
                <c:ptCount val="3"/>
                <c:pt idx="0">
                  <c:v>10.610953382024663</c:v>
                </c:pt>
                <c:pt idx="1">
                  <c:v>39.021694371600098</c:v>
                </c:pt>
                <c:pt idx="2">
                  <c:v>67.250384690405497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8A-4992-8BC3-3F619F81832F}"/>
            </c:ext>
          </c:extLst>
        </c:ser>
        <c:ser>
          <c:idx val="3"/>
          <c:order val="1"/>
          <c:tx>
            <c:strRef>
              <c:f>'501 colq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n'!$G$21:$I$21</c:f>
              <c:numCache>
                <c:formatCode>General</c:formatCode>
                <c:ptCount val="3"/>
                <c:pt idx="0">
                  <c:v>9.9694414945493165E-2</c:v>
                </c:pt>
                <c:pt idx="1">
                  <c:v>8.6690795604776657E-3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A-4992-8BC3-3F619F81832F}"/>
            </c:ext>
          </c:extLst>
        </c:ser>
        <c:ser>
          <c:idx val="7"/>
          <c:order val="2"/>
          <c:tx>
            <c:strRef>
              <c:f>'501 colq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n'!$G$25:$I$25</c:f>
              <c:numCache>
                <c:formatCode>General</c:formatCode>
                <c:ptCount val="3"/>
                <c:pt idx="0">
                  <c:v>23.345831256366356</c:v>
                </c:pt>
                <c:pt idx="1">
                  <c:v>14.462191976766867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A-4992-8BC3-3F619F81832F}"/>
            </c:ext>
          </c:extLst>
        </c:ser>
        <c:ser>
          <c:idx val="5"/>
          <c:order val="3"/>
          <c:tx>
            <c:strRef>
              <c:f>'501 colq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n'!$G$23:$I$23</c:f>
              <c:numCache>
                <c:formatCode>General</c:formatCode>
                <c:ptCount val="3"/>
                <c:pt idx="0">
                  <c:v>0.50497388439782409</c:v>
                </c:pt>
                <c:pt idx="1">
                  <c:v>4.5512667692507745E-2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A-4992-8BC3-3F619F81832F}"/>
            </c:ext>
          </c:extLst>
        </c:ser>
        <c:ser>
          <c:idx val="0"/>
          <c:order val="4"/>
          <c:tx>
            <c:strRef>
              <c:f>'501 colq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n'!$G$18:$I$18</c:f>
              <c:numCache>
                <c:formatCode>General</c:formatCode>
                <c:ptCount val="3"/>
                <c:pt idx="0">
                  <c:v>1.6731323551721895</c:v>
                </c:pt>
                <c:pt idx="1">
                  <c:v>11.150603584664399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992-8BC3-3F619F81832F}"/>
            </c:ext>
          </c:extLst>
        </c:ser>
        <c:ser>
          <c:idx val="4"/>
          <c:order val="5"/>
          <c:tx>
            <c:strRef>
              <c:f>'501 colq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n'!$G$22:$I$22</c:f>
              <c:numCache>
                <c:formatCode>General</c:formatCode>
                <c:ptCount val="3"/>
                <c:pt idx="0">
                  <c:v>26.919659305173273</c:v>
                </c:pt>
                <c:pt idx="1">
                  <c:v>16.958886890184434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A-4992-8BC3-3F619F81832F}"/>
            </c:ext>
          </c:extLst>
        </c:ser>
        <c:ser>
          <c:idx val="1"/>
          <c:order val="6"/>
          <c:tx>
            <c:strRef>
              <c:f>'501 colq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n'!$G$19:$I$19</c:f>
              <c:numCache>
                <c:formatCode>General</c:formatCode>
                <c:ptCount val="3"/>
                <c:pt idx="0">
                  <c:v>0.72820268308012392</c:v>
                </c:pt>
                <c:pt idx="1">
                  <c:v>6.5885004659630262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992-8BC3-3F619F81832F}"/>
            </c:ext>
          </c:extLst>
        </c:ser>
        <c:ser>
          <c:idx val="2"/>
          <c:order val="7"/>
          <c:tx>
            <c:strRef>
              <c:f>'501 colq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n'!$G$20:$I$20</c:f>
              <c:numCache>
                <c:formatCode>General</c:formatCode>
                <c:ptCount val="3"/>
                <c:pt idx="0">
                  <c:v>29.884484514856634</c:v>
                </c:pt>
                <c:pt idx="1">
                  <c:v>9.1675516352051325</c:v>
                </c:pt>
                <c:pt idx="2">
                  <c:v>32.749615309594503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992-8BC3-3F619F81832F}"/>
            </c:ext>
          </c:extLst>
        </c:ser>
        <c:ser>
          <c:idx val="6"/>
          <c:order val="8"/>
          <c:tx>
            <c:strRef>
              <c:f>'501 colq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n'!$G$24:$I$24</c:f>
              <c:numCache>
                <c:formatCode>General</c:formatCode>
                <c:ptCount val="3"/>
                <c:pt idx="0">
                  <c:v>6.233068203983442</c:v>
                </c:pt>
                <c:pt idx="1">
                  <c:v>2.596389328363061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A-4992-8BC3-3F619F81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664464"/>
        <c:axId val="1019769440"/>
      </c:barChart>
      <c:catAx>
        <c:axId val="9416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9440"/>
        <c:crosses val="autoZero"/>
        <c:auto val="1"/>
        <c:lblAlgn val="ctr"/>
        <c:lblOffset val="100"/>
        <c:noMultiLvlLbl val="0"/>
      </c:catAx>
      <c:valAx>
        <c:axId val="1019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n'!$B$21:$D$21</c:f>
              <c:numCache>
                <c:formatCode>General</c:formatCode>
                <c:ptCount val="3"/>
                <c:pt idx="0">
                  <c:v>969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40B5-8DE4-AB3241B5F7E3}"/>
            </c:ext>
          </c:extLst>
        </c:ser>
        <c:ser>
          <c:idx val="0"/>
          <c:order val="1"/>
          <c:tx>
            <c:strRef>
              <c:f>'502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n'!$B$16:$D$16</c:f>
              <c:numCache>
                <c:formatCode>General</c:formatCode>
                <c:ptCount val="3"/>
                <c:pt idx="0">
                  <c:v>609</c:v>
                </c:pt>
                <c:pt idx="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0B5-8DE4-AB3241B5F7E3}"/>
            </c:ext>
          </c:extLst>
        </c:ser>
        <c:ser>
          <c:idx val="4"/>
          <c:order val="2"/>
          <c:tx>
            <c:strRef>
              <c:f>'502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n'!$B$20:$D$20</c:f>
              <c:numCache>
                <c:formatCode>General</c:formatCode>
                <c:ptCount val="3"/>
                <c:pt idx="0">
                  <c:v>82163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40B5-8DE4-AB3241B5F7E3}"/>
            </c:ext>
          </c:extLst>
        </c:ser>
        <c:ser>
          <c:idx val="1"/>
          <c:order val="3"/>
          <c:tx>
            <c:strRef>
              <c:f>'502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n'!$B$17:$D$17</c:f>
              <c:numCache>
                <c:formatCode>General</c:formatCode>
                <c:ptCount val="3"/>
                <c:pt idx="0">
                  <c:v>668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40B5-8DE4-AB3241B5F7E3}"/>
            </c:ext>
          </c:extLst>
        </c:ser>
        <c:ser>
          <c:idx val="2"/>
          <c:order val="4"/>
          <c:tx>
            <c:strRef>
              <c:f>'502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n'!$B$18:$D$18</c:f>
              <c:numCache>
                <c:formatCode>General</c:formatCode>
                <c:ptCount val="3"/>
                <c:pt idx="0">
                  <c:v>91627</c:v>
                </c:pt>
                <c:pt idx="1">
                  <c:v>8853</c:v>
                </c:pt>
                <c:pt idx="2">
                  <c:v>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40B5-8DE4-AB3241B5F7E3}"/>
            </c:ext>
          </c:extLst>
        </c:ser>
        <c:ser>
          <c:idx val="6"/>
          <c:order val="5"/>
          <c:tx>
            <c:strRef>
              <c:f>'502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n'!$B$22:$D$22</c:f>
              <c:numCache>
                <c:formatCode>General</c:formatCode>
                <c:ptCount val="3"/>
                <c:pt idx="0">
                  <c:v>14779</c:v>
                </c:pt>
                <c:pt idx="1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F-40B5-8DE4-AB3241B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985871"/>
        <c:axId val="264045071"/>
      </c:barChart>
      <c:catAx>
        <c:axId val="3629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071"/>
        <c:crosses val="autoZero"/>
        <c:auto val="1"/>
        <c:lblAlgn val="ctr"/>
        <c:lblOffset val="100"/>
        <c:noMultiLvlLbl val="0"/>
      </c:catAx>
      <c:valAx>
        <c:axId val="2640450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87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n'!$G$24:$I$24</c:f>
              <c:numCache>
                <c:formatCode>General</c:formatCode>
                <c:ptCount val="3"/>
                <c:pt idx="0">
                  <c:v>5.632714156013054</c:v>
                </c:pt>
                <c:pt idx="1">
                  <c:v>91.161795859609512</c:v>
                </c:pt>
                <c:pt idx="2">
                  <c:v>82.425833680956003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F-4E53-BC2A-7C9654C0667D}"/>
            </c:ext>
          </c:extLst>
        </c:ser>
        <c:ser>
          <c:idx val="3"/>
          <c:order val="1"/>
          <c:tx>
            <c:strRef>
              <c:f>'502 cecq n'!$F$19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n'!$G$19:$I$19</c:f>
              <c:numCache>
                <c:formatCode>General</c:formatCode>
                <c:ptCount val="3"/>
                <c:pt idx="0">
                  <c:v>7.5049689593404167</c:v>
                </c:pt>
                <c:pt idx="1">
                  <c:v>1.922148880655003E-2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F-4E53-BC2A-7C9654C0667D}"/>
            </c:ext>
          </c:extLst>
        </c:ser>
        <c:ser>
          <c:idx val="7"/>
          <c:order val="2"/>
          <c:tx>
            <c:strRef>
              <c:f>'502 cecq n'!$F$23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n'!$G$23:$I$23</c:f>
              <c:numCache>
                <c:formatCode>General</c:formatCode>
                <c:ptCount val="3"/>
                <c:pt idx="0">
                  <c:v>8.8251171692881503</c:v>
                </c:pt>
                <c:pt idx="1">
                  <c:v>1.6538659730571983</c:v>
                </c:pt>
                <c:pt idx="2">
                  <c:v>5.3820168658340082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F-4E53-BC2A-7C9654C0667D}"/>
            </c:ext>
          </c:extLst>
        </c:ser>
        <c:ser>
          <c:idx val="5"/>
          <c:order val="3"/>
          <c:tx>
            <c:strRef>
              <c:f>'502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n'!$G$21:$I$21</c:f>
              <c:numCache>
                <c:formatCode>General</c:formatCode>
                <c:ptCount val="3"/>
                <c:pt idx="0">
                  <c:v>0.39628984369248887</c:v>
                </c:pt>
                <c:pt idx="1">
                  <c:v>4.8667173786796879E-2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F-4E53-BC2A-7C9654C0667D}"/>
            </c:ext>
          </c:extLst>
        </c:ser>
        <c:ser>
          <c:idx val="0"/>
          <c:order val="4"/>
          <c:tx>
            <c:strRef>
              <c:f>'502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n'!$G$16:$I$16</c:f>
              <c:numCache>
                <c:formatCode>General</c:formatCode>
                <c:ptCount val="3"/>
                <c:pt idx="0">
                  <c:v>0.24906141879125462</c:v>
                </c:pt>
                <c:pt idx="1">
                  <c:v>0.34721370205874413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E53-BC2A-7C9654C0667D}"/>
            </c:ext>
          </c:extLst>
        </c:ser>
        <c:ser>
          <c:idx val="4"/>
          <c:order val="5"/>
          <c:tx>
            <c:strRef>
              <c:f>'502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n'!$G$20:$I$20</c:f>
              <c:numCache>
                <c:formatCode>General</c:formatCode>
                <c:ptCount val="3"/>
                <c:pt idx="0">
                  <c:v>33.602025208778088</c:v>
                </c:pt>
                <c:pt idx="1">
                  <c:v>1.2432622547215337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F-4E53-BC2A-7C9654C0667D}"/>
            </c:ext>
          </c:extLst>
        </c:ser>
        <c:ser>
          <c:idx val="1"/>
          <c:order val="6"/>
          <c:tx>
            <c:strRef>
              <c:f>'502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n'!$G$17:$I$17</c:f>
              <c:numCache>
                <c:formatCode>General</c:formatCode>
                <c:ptCount val="3"/>
                <c:pt idx="0">
                  <c:v>0.27319052176117914</c:v>
                </c:pt>
                <c:pt idx="1">
                  <c:v>0.21634399103542479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E53-BC2A-7C9654C0667D}"/>
            </c:ext>
          </c:extLst>
        </c:ser>
        <c:ser>
          <c:idx val="2"/>
          <c:order val="7"/>
          <c:tx>
            <c:strRef>
              <c:f>'502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n'!$G$18:$I$18</c:f>
              <c:numCache>
                <c:formatCode>General</c:formatCode>
                <c:ptCount val="3"/>
                <c:pt idx="0">
                  <c:v>37.472496912292755</c:v>
                </c:pt>
                <c:pt idx="1">
                  <c:v>3.6205923490295193</c:v>
                </c:pt>
                <c:pt idx="2">
                  <c:v>12.192149453209989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F-4E53-BC2A-7C9654C0667D}"/>
            </c:ext>
          </c:extLst>
        </c:ser>
        <c:ser>
          <c:idx val="6"/>
          <c:order val="8"/>
          <c:tx>
            <c:strRef>
              <c:f>'502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n'!$G$22:$I$22</c:f>
              <c:numCache>
                <c:formatCode>General</c:formatCode>
                <c:ptCount val="3"/>
                <c:pt idx="0">
                  <c:v>6.0441358100426141</c:v>
                </c:pt>
                <c:pt idx="1">
                  <c:v>1.6890372078947153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F-4E53-BC2A-7C9654C0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20455296"/>
        <c:axId val="945248224"/>
      </c:barChart>
      <c:catAx>
        <c:axId val="1020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8224"/>
        <c:crosses val="autoZero"/>
        <c:auto val="1"/>
        <c:lblAlgn val="ctr"/>
        <c:lblOffset val="100"/>
        <c:noMultiLvlLbl val="0"/>
      </c:catAx>
      <c:valAx>
        <c:axId val="94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y'!$B$21:$D$21</c:f>
              <c:numCache>
                <c:formatCode>General</c:formatCode>
                <c:ptCount val="3"/>
                <c:pt idx="0">
                  <c:v>1061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0-4995-B731-7BF38256D508}"/>
            </c:ext>
          </c:extLst>
        </c:ser>
        <c:ser>
          <c:idx val="0"/>
          <c:order val="1"/>
          <c:tx>
            <c:strRef>
              <c:f>'502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y'!$B$16:$D$16</c:f>
              <c:numCache>
                <c:formatCode>General</c:formatCode>
                <c:ptCount val="3"/>
                <c:pt idx="0">
                  <c:v>1213</c:v>
                </c:pt>
                <c:pt idx="1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995-B731-7BF38256D508}"/>
            </c:ext>
          </c:extLst>
        </c:ser>
        <c:ser>
          <c:idx val="4"/>
          <c:order val="2"/>
          <c:tx>
            <c:strRef>
              <c:f>'502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y'!$B$20:$D$20</c:f>
              <c:numCache>
                <c:formatCode>General</c:formatCode>
                <c:ptCount val="3"/>
                <c:pt idx="0">
                  <c:v>22710</c:v>
                </c:pt>
                <c:pt idx="1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995-B731-7BF38256D508}"/>
            </c:ext>
          </c:extLst>
        </c:ser>
        <c:ser>
          <c:idx val="1"/>
          <c:order val="3"/>
          <c:tx>
            <c:strRef>
              <c:f>'502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y'!$B$17:$D$17</c:f>
              <c:numCache>
                <c:formatCode>General</c:formatCode>
                <c:ptCount val="3"/>
                <c:pt idx="0">
                  <c:v>809</c:v>
                </c:pt>
                <c:pt idx="1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995-B731-7BF38256D508}"/>
            </c:ext>
          </c:extLst>
        </c:ser>
        <c:ser>
          <c:idx val="2"/>
          <c:order val="4"/>
          <c:tx>
            <c:strRef>
              <c:f>'502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y'!$B$18:$D$18</c:f>
              <c:numCache>
                <c:formatCode>General</c:formatCode>
                <c:ptCount val="3"/>
                <c:pt idx="0">
                  <c:v>135931</c:v>
                </c:pt>
                <c:pt idx="1">
                  <c:v>14829</c:v>
                </c:pt>
                <c:pt idx="2">
                  <c:v>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995-B731-7BF38256D508}"/>
            </c:ext>
          </c:extLst>
        </c:ser>
        <c:ser>
          <c:idx val="6"/>
          <c:order val="5"/>
          <c:tx>
            <c:strRef>
              <c:f>'502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y'!$B$22:$D$22</c:f>
              <c:numCache>
                <c:formatCode>General</c:formatCode>
                <c:ptCount val="3"/>
                <c:pt idx="0">
                  <c:v>17512</c:v>
                </c:pt>
                <c:pt idx="1">
                  <c:v>4726</c:v>
                </c:pt>
                <c:pt idx="2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0-4995-B731-7BF3825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00303"/>
        <c:axId val="366022895"/>
      </c:barChart>
      <c:catAx>
        <c:axId val="5240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895"/>
        <c:crosses val="autoZero"/>
        <c:auto val="1"/>
        <c:lblAlgn val="ctr"/>
        <c:lblOffset val="100"/>
        <c:noMultiLvlLbl val="0"/>
      </c:catAx>
      <c:valAx>
        <c:axId val="366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 Taxo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y'!$F$24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y'!$G$24:$I$24</c:f>
              <c:numCache>
                <c:formatCode>General</c:formatCode>
                <c:ptCount val="3"/>
                <c:pt idx="0">
                  <c:v>13.907074821436291</c:v>
                </c:pt>
                <c:pt idx="1">
                  <c:v>85.690886646268538</c:v>
                </c:pt>
                <c:pt idx="2">
                  <c:v>66.690363083544284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3-43A0-BE31-C8FE937F7D2C}"/>
            </c:ext>
          </c:extLst>
        </c:ser>
        <c:ser>
          <c:idx val="5"/>
          <c:order val="1"/>
          <c:tx>
            <c:strRef>
              <c:f>'502 cecq y'!$F$21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y'!$G$21:$I$21</c:f>
              <c:numCache>
                <c:formatCode>General</c:formatCode>
                <c:ptCount val="3"/>
                <c:pt idx="0">
                  <c:v>0.50963307379352418</c:v>
                </c:pt>
                <c:pt idx="1">
                  <c:v>6.1482595141914322E-2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3-43A0-BE31-C8FE937F7D2C}"/>
            </c:ext>
          </c:extLst>
        </c:ser>
        <c:ser>
          <c:idx val="0"/>
          <c:order val="2"/>
          <c:tx>
            <c:strRef>
              <c:f>'502 cecq y'!$F$16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y'!$G$16:$I$16</c:f>
              <c:numCache>
                <c:formatCode>General</c:formatCode>
                <c:ptCount val="3"/>
                <c:pt idx="0">
                  <c:v>0.58264365552454744</c:v>
                </c:pt>
                <c:pt idx="1">
                  <c:v>0.93472757926691608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3A0-BE31-C8FE937F7D2C}"/>
            </c:ext>
          </c:extLst>
        </c:ser>
        <c:ser>
          <c:idx val="4"/>
          <c:order val="3"/>
          <c:tx>
            <c:strRef>
              <c:f>'502 cecq y'!$F$20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y'!$G$20:$I$20</c:f>
              <c:numCache>
                <c:formatCode>General</c:formatCode>
                <c:ptCount val="3"/>
                <c:pt idx="0">
                  <c:v>10.90835730994433</c:v>
                </c:pt>
                <c:pt idx="1">
                  <c:v>3.3186191393397344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3-43A0-BE31-C8FE937F7D2C}"/>
            </c:ext>
          </c:extLst>
        </c:ser>
        <c:ser>
          <c:idx val="1"/>
          <c:order val="4"/>
          <c:tx>
            <c:strRef>
              <c:f>'502 cecq y'!$F$17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y'!$G$17:$I$17</c:f>
              <c:numCache>
                <c:formatCode>General</c:formatCode>
                <c:ptCount val="3"/>
                <c:pt idx="0">
                  <c:v>0.38858921460788032</c:v>
                </c:pt>
                <c:pt idx="1">
                  <c:v>0.60137663373184946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3-43A0-BE31-C8FE937F7D2C}"/>
            </c:ext>
          </c:extLst>
        </c:ser>
        <c:ser>
          <c:idx val="2"/>
          <c:order val="5"/>
          <c:tx>
            <c:strRef>
              <c:f>'502 cecq y'!$F$18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y'!$G$18:$I$18</c:f>
              <c:numCache>
                <c:formatCode>General</c:formatCode>
                <c:ptCount val="3"/>
                <c:pt idx="0">
                  <c:v>65.292114376840274</c:v>
                </c:pt>
                <c:pt idx="1">
                  <c:v>7.1228547137456832</c:v>
                </c:pt>
                <c:pt idx="2">
                  <c:v>32.123214963326596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3-43A0-BE31-C8FE937F7D2C}"/>
            </c:ext>
          </c:extLst>
        </c:ser>
        <c:ser>
          <c:idx val="6"/>
          <c:order val="6"/>
          <c:tx>
            <c:strRef>
              <c:f>'502 cecq y'!$F$22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y'!$G$22:$I$22</c:f>
              <c:numCache>
                <c:formatCode>General</c:formatCode>
                <c:ptCount val="3"/>
                <c:pt idx="0">
                  <c:v>8.4115875478531521</c:v>
                </c:pt>
                <c:pt idx="1">
                  <c:v>2.2700526925053679</c:v>
                </c:pt>
                <c:pt idx="2">
                  <c:v>1.1864219531291278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3-43A0-BE31-C8FE937F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74551312"/>
        <c:axId val="1019781504"/>
      </c:barChart>
      <c:catAx>
        <c:axId val="10745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1504"/>
        <c:crosses val="autoZero"/>
        <c:auto val="1"/>
        <c:lblAlgn val="ctr"/>
        <c:lblOffset val="100"/>
        <c:noMultiLvlLbl val="0"/>
      </c:catAx>
      <c:valAx>
        <c:axId val="101978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colq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n'!$B$22:$D$22</c:f>
              <c:numCache>
                <c:formatCode>General</c:formatCode>
                <c:ptCount val="3"/>
                <c:pt idx="0">
                  <c:v>739</c:v>
                </c:pt>
                <c:pt idx="1">
                  <c:v>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6-47C0-82C3-9BC6140B528F}"/>
            </c:ext>
          </c:extLst>
        </c:ser>
        <c:ser>
          <c:idx val="0"/>
          <c:order val="1"/>
          <c:tx>
            <c:strRef>
              <c:f>'502 colq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n'!$B$17:$D$17</c:f>
              <c:numCache>
                <c:formatCode>General</c:formatCode>
                <c:ptCount val="3"/>
                <c:pt idx="0">
                  <c:v>713</c:v>
                </c:pt>
                <c:pt idx="1">
                  <c:v>1946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7C0-82C3-9BC6140B528F}"/>
            </c:ext>
          </c:extLst>
        </c:ser>
        <c:ser>
          <c:idx val="4"/>
          <c:order val="2"/>
          <c:tx>
            <c:strRef>
              <c:f>'502 colq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n'!$B$21:$D$21</c:f>
              <c:numCache>
                <c:formatCode>General</c:formatCode>
                <c:ptCount val="3"/>
                <c:pt idx="0">
                  <c:v>39427</c:v>
                </c:pt>
                <c:pt idx="1">
                  <c:v>6909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6-47C0-82C3-9BC6140B528F}"/>
            </c:ext>
          </c:extLst>
        </c:ser>
        <c:ser>
          <c:idx val="1"/>
          <c:order val="3"/>
          <c:tx>
            <c:strRef>
              <c:f>'502 colq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n'!$B$18:$D$18</c:f>
              <c:numCache>
                <c:formatCode>General</c:formatCode>
                <c:ptCount val="3"/>
                <c:pt idx="0">
                  <c:v>2940</c:v>
                </c:pt>
                <c:pt idx="1">
                  <c:v>1252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7C0-82C3-9BC6140B528F}"/>
            </c:ext>
          </c:extLst>
        </c:ser>
        <c:ser>
          <c:idx val="2"/>
          <c:order val="4"/>
          <c:tx>
            <c:strRef>
              <c:f>'502 colq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n'!$B$19:$D$19</c:f>
              <c:numCache>
                <c:formatCode>General</c:formatCode>
                <c:ptCount val="3"/>
                <c:pt idx="0">
                  <c:v>107791</c:v>
                </c:pt>
                <c:pt idx="1">
                  <c:v>14829</c:v>
                </c:pt>
                <c:pt idx="2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6-47C0-82C3-9BC6140B528F}"/>
            </c:ext>
          </c:extLst>
        </c:ser>
        <c:ser>
          <c:idx val="6"/>
          <c:order val="5"/>
          <c:tx>
            <c:strRef>
              <c:f>'502 colq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n'!$B$23:$D$23</c:f>
              <c:numCache>
                <c:formatCode>General</c:formatCode>
                <c:ptCount val="3"/>
                <c:pt idx="0">
                  <c:v>10088</c:v>
                </c:pt>
                <c:pt idx="1">
                  <c:v>4726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6-47C0-82C3-9BC6140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69919"/>
        <c:axId val="366022479"/>
      </c:barChart>
      <c:catAx>
        <c:axId val="27616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479"/>
        <c:crosses val="autoZero"/>
        <c:auto val="1"/>
        <c:lblAlgn val="ctr"/>
        <c:lblOffset val="100"/>
        <c:noMultiLvlLbl val="0"/>
      </c:catAx>
      <c:valAx>
        <c:axId val="3660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colq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n'!$G$25:$I$25</c:f>
              <c:numCache>
                <c:formatCode>General</c:formatCode>
                <c:ptCount val="3"/>
                <c:pt idx="0">
                  <c:v>14.84738693573189</c:v>
                </c:pt>
                <c:pt idx="1">
                  <c:v>84.31213531902344</c:v>
                </c:pt>
                <c:pt idx="2">
                  <c:v>83.534324774082108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6-4F97-8691-FF13080332E8}"/>
            </c:ext>
          </c:extLst>
        </c:ser>
        <c:ser>
          <c:idx val="5"/>
          <c:order val="1"/>
          <c:tx>
            <c:strRef>
              <c:f>'502 colq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n'!$G$22:$I$22</c:f>
              <c:numCache>
                <c:formatCode>General</c:formatCode>
                <c:ptCount val="3"/>
                <c:pt idx="0">
                  <c:v>0.38916858003496724</c:v>
                </c:pt>
                <c:pt idx="1">
                  <c:v>6.740673646072505E-2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6-4F97-8691-FF13080332E8}"/>
            </c:ext>
          </c:extLst>
        </c:ser>
        <c:ser>
          <c:idx val="0"/>
          <c:order val="2"/>
          <c:tx>
            <c:strRef>
              <c:f>'502 colq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n'!$G$17:$I$17</c:f>
              <c:numCache>
                <c:formatCode>General</c:formatCode>
                <c:ptCount val="3"/>
                <c:pt idx="0">
                  <c:v>0.37547658669138245</c:v>
                </c:pt>
                <c:pt idx="1">
                  <c:v>1.0247930402544605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F97-8691-FF13080332E8}"/>
            </c:ext>
          </c:extLst>
        </c:ser>
        <c:ser>
          <c:idx val="4"/>
          <c:order val="3"/>
          <c:tx>
            <c:strRef>
              <c:f>'502 colq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n'!$G$21:$I$21</c:f>
              <c:numCache>
                <c:formatCode>General</c:formatCode>
                <c:ptCount val="3"/>
                <c:pt idx="0">
                  <c:v>20.762854675289113</c:v>
                </c:pt>
                <c:pt idx="1">
                  <c:v>3.6383839234933539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6-4F97-8691-FF13080332E8}"/>
            </c:ext>
          </c:extLst>
        </c:ser>
        <c:ser>
          <c:idx val="1"/>
          <c:order val="4"/>
          <c:tx>
            <c:strRef>
              <c:f>'502 colq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n'!$G$18:$I$18</c:f>
              <c:numCache>
                <c:formatCode>General</c:formatCode>
                <c:ptCount val="3"/>
                <c:pt idx="0">
                  <c:v>1.5482484780822783</c:v>
                </c:pt>
                <c:pt idx="1">
                  <c:v>0.6593221410064668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6-4F97-8691-FF13080332E8}"/>
            </c:ext>
          </c:extLst>
        </c:ser>
        <c:ser>
          <c:idx val="2"/>
          <c:order val="5"/>
          <c:tx>
            <c:strRef>
              <c:f>'502 colq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n'!$G$19:$I$19</c:f>
              <c:numCache>
                <c:formatCode>General</c:formatCode>
                <c:ptCount val="3"/>
                <c:pt idx="0">
                  <c:v>56.764371326859475</c:v>
                </c:pt>
                <c:pt idx="1">
                  <c:v>7.8091757420007166</c:v>
                </c:pt>
                <c:pt idx="2">
                  <c:v>16.11442293514208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6-4F97-8691-FF13080332E8}"/>
            </c:ext>
          </c:extLst>
        </c:ser>
        <c:ser>
          <c:idx val="6"/>
          <c:order val="6"/>
          <c:tx>
            <c:strRef>
              <c:f>'502 colq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n'!$G$23:$I$23</c:f>
              <c:numCache>
                <c:formatCode>General</c:formatCode>
                <c:ptCount val="3"/>
                <c:pt idx="0">
                  <c:v>5.3124934173108924</c:v>
                </c:pt>
                <c:pt idx="1">
                  <c:v>2.4887830977608325</c:v>
                </c:pt>
                <c:pt idx="2">
                  <c:v>0.35125229077580938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6-4F97-8691-FF130803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81056"/>
        <c:axId val="1144475216"/>
      </c:barChart>
      <c:catAx>
        <c:axId val="9409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75216"/>
        <c:crosses val="autoZero"/>
        <c:auto val="1"/>
        <c:lblAlgn val="ctr"/>
        <c:lblOffset val="100"/>
        <c:noMultiLvlLbl val="0"/>
      </c:catAx>
      <c:valAx>
        <c:axId val="11444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cecm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n'!$B$22:$D$22</c:f>
              <c:numCache>
                <c:formatCode>General</c:formatCode>
                <c:ptCount val="3"/>
                <c:pt idx="0">
                  <c:v>4169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D-4B3A-A5DE-00E1B0D8FA85}"/>
            </c:ext>
          </c:extLst>
        </c:ser>
        <c:ser>
          <c:idx val="0"/>
          <c:order val="1"/>
          <c:tx>
            <c:strRef>
              <c:f>'503 cecm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n'!$B$17:$D$17</c:f>
              <c:numCache>
                <c:formatCode>General</c:formatCode>
                <c:ptCount val="3"/>
                <c:pt idx="0">
                  <c:v>434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B3A-A5DE-00E1B0D8FA85}"/>
            </c:ext>
          </c:extLst>
        </c:ser>
        <c:ser>
          <c:idx val="4"/>
          <c:order val="2"/>
          <c:tx>
            <c:strRef>
              <c:f>'503 cecm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n'!$B$21:$D$21</c:f>
              <c:numCache>
                <c:formatCode>General</c:formatCode>
                <c:ptCount val="3"/>
                <c:pt idx="0">
                  <c:v>79051</c:v>
                </c:pt>
                <c:pt idx="1">
                  <c:v>48535</c:v>
                </c:pt>
                <c:pt idx="2">
                  <c:v>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D-4B3A-A5DE-00E1B0D8FA85}"/>
            </c:ext>
          </c:extLst>
        </c:ser>
        <c:ser>
          <c:idx val="1"/>
          <c:order val="3"/>
          <c:tx>
            <c:strRef>
              <c:f>'503 cecm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n'!$B$18:$D$18</c:f>
              <c:numCache>
                <c:formatCode>General</c:formatCode>
                <c:ptCount val="3"/>
                <c:pt idx="0">
                  <c:v>2179</c:v>
                </c:pt>
                <c:pt idx="1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B3A-A5DE-00E1B0D8FA85}"/>
            </c:ext>
          </c:extLst>
        </c:ser>
        <c:ser>
          <c:idx val="2"/>
          <c:order val="4"/>
          <c:tx>
            <c:strRef>
              <c:f>'503 cecm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n'!$B$19:$D$19</c:f>
              <c:numCache>
                <c:formatCode>General</c:formatCode>
                <c:ptCount val="3"/>
                <c:pt idx="0">
                  <c:v>849905</c:v>
                </c:pt>
                <c:pt idx="1">
                  <c:v>193487</c:v>
                </c:pt>
                <c:pt idx="2">
                  <c:v>401383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B3A-A5DE-00E1B0D8FA85}"/>
            </c:ext>
          </c:extLst>
        </c:ser>
        <c:ser>
          <c:idx val="6"/>
          <c:order val="5"/>
          <c:tx>
            <c:strRef>
              <c:f>'503 cecm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n'!$B$23:$D$23</c:f>
              <c:numCache>
                <c:formatCode>General</c:formatCode>
                <c:ptCount val="3"/>
                <c:pt idx="0">
                  <c:v>81801</c:v>
                </c:pt>
                <c:pt idx="1">
                  <c:v>30230</c:v>
                </c:pt>
                <c:pt idx="2">
                  <c:v>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D-4B3A-A5DE-00E1B0D8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001391"/>
        <c:axId val="361722559"/>
      </c:barChart>
      <c:catAx>
        <c:axId val="3660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2559"/>
        <c:crosses val="autoZero"/>
        <c:auto val="1"/>
        <c:lblAlgn val="ctr"/>
        <c:lblOffset val="100"/>
        <c:noMultiLvlLbl val="0"/>
      </c:catAx>
      <c:valAx>
        <c:axId val="3617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cecm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n'!$G$25:$I$25</c:f>
              <c:numCache>
                <c:formatCode>General</c:formatCode>
                <c:ptCount val="3"/>
                <c:pt idx="0">
                  <c:v>7.3245837735436625</c:v>
                </c:pt>
                <c:pt idx="1">
                  <c:v>74.876589311086008</c:v>
                </c:pt>
                <c:pt idx="2">
                  <c:v>57.131407337243616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D54-834E-A8035FD5C206}"/>
            </c:ext>
          </c:extLst>
        </c:ser>
        <c:ser>
          <c:idx val="5"/>
          <c:order val="1"/>
          <c:tx>
            <c:strRef>
              <c:f>'503 cecm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n'!$G$22:$I$22</c:f>
              <c:numCache>
                <c:formatCode>General</c:formatCode>
                <c:ptCount val="3"/>
                <c:pt idx="0">
                  <c:v>0.37970417865860323</c:v>
                </c:pt>
                <c:pt idx="1">
                  <c:v>5.7379139495063569E-2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D54-834E-A8035FD5C206}"/>
            </c:ext>
          </c:extLst>
        </c:ser>
        <c:ser>
          <c:idx val="0"/>
          <c:order val="2"/>
          <c:tx>
            <c:strRef>
              <c:f>'503 cecm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n'!$G$17:$I$17</c:f>
              <c:numCache>
                <c:formatCode>General</c:formatCode>
                <c:ptCount val="3"/>
                <c:pt idx="0">
                  <c:v>3.9527851652154902E-2</c:v>
                </c:pt>
                <c:pt idx="1">
                  <c:v>0.18862253634012169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D54-834E-A8035FD5C206}"/>
            </c:ext>
          </c:extLst>
        </c:ser>
        <c:ser>
          <c:idx val="4"/>
          <c:order val="3"/>
          <c:tx>
            <c:strRef>
              <c:f>'503 cecm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n'!$G$21:$I$21</c:f>
              <c:numCache>
                <c:formatCode>General</c:formatCode>
                <c:ptCount val="3"/>
                <c:pt idx="0">
                  <c:v>7.199806914641699</c:v>
                </c:pt>
                <c:pt idx="1">
                  <c:v>4.4204706910998581</c:v>
                </c:pt>
                <c:pt idx="2">
                  <c:v>0.96014426755073046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D54-834E-A8035FD5C206}"/>
            </c:ext>
          </c:extLst>
        </c:ser>
        <c:ser>
          <c:idx val="1"/>
          <c:order val="4"/>
          <c:tx>
            <c:strRef>
              <c:f>'503 cecm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n'!$G$18:$I$18</c:f>
              <c:numCache>
                <c:formatCode>General</c:formatCode>
                <c:ptCount val="3"/>
                <c:pt idx="0">
                  <c:v>0.19845896025356116</c:v>
                </c:pt>
                <c:pt idx="1">
                  <c:v>8.1241575285074141E-2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D54-834E-A8035FD5C206}"/>
            </c:ext>
          </c:extLst>
        </c:ser>
        <c:ser>
          <c:idx val="2"/>
          <c:order val="5"/>
          <c:tx>
            <c:strRef>
              <c:f>'503 cecm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n'!$G$19:$I$19</c:f>
              <c:numCache>
                <c:formatCode>General</c:formatCode>
                <c:ptCount val="3"/>
                <c:pt idx="0">
                  <c:v>77.407646908812708</c:v>
                </c:pt>
                <c:pt idx="1">
                  <c:v>17.622408830922801</c:v>
                </c:pt>
                <c:pt idx="2">
                  <c:v>36.557160552296985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D54-834E-A8035FD5C206}"/>
            </c:ext>
          </c:extLst>
        </c:ser>
        <c:ser>
          <c:idx val="6"/>
          <c:order val="6"/>
          <c:tx>
            <c:strRef>
              <c:f>'503 cecm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n'!$G$23:$I$23</c:f>
              <c:numCache>
                <c:formatCode>General</c:formatCode>
                <c:ptCount val="3"/>
                <c:pt idx="0">
                  <c:v>7.4502714124376119</c:v>
                </c:pt>
                <c:pt idx="1">
                  <c:v>2.7532879157710664</c:v>
                </c:pt>
                <c:pt idx="2">
                  <c:v>5.3512878429086665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D54-834E-A8035FD5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641200"/>
        <c:axId val="945393824"/>
      </c:barChart>
      <c:catAx>
        <c:axId val="87064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3824"/>
        <c:crosses val="autoZero"/>
        <c:auto val="1"/>
        <c:lblAlgn val="ctr"/>
        <c:lblOffset val="100"/>
        <c:noMultiLvlLbl val="0"/>
      </c:catAx>
      <c:valAx>
        <c:axId val="945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 CecQ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n'!$B$21:$D$21</c:f>
              <c:numCache>
                <c:formatCode>General</c:formatCode>
                <c:ptCount val="3"/>
                <c:pt idx="0">
                  <c:v>924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6-40AB-9A4E-867F623BCD05}"/>
            </c:ext>
          </c:extLst>
        </c:ser>
        <c:ser>
          <c:idx val="0"/>
          <c:order val="1"/>
          <c:tx>
            <c:strRef>
              <c:f>'503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n'!$B$16:$D$16</c:f>
              <c:numCache>
                <c:formatCode>General</c:formatCode>
                <c:ptCount val="3"/>
                <c:pt idx="0">
                  <c:v>1102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0AB-9A4E-867F623BCD05}"/>
            </c:ext>
          </c:extLst>
        </c:ser>
        <c:ser>
          <c:idx val="4"/>
          <c:order val="2"/>
          <c:tx>
            <c:strRef>
              <c:f>'503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n'!$B$20:$D$20</c:f>
              <c:numCache>
                <c:formatCode>General</c:formatCode>
                <c:ptCount val="3"/>
                <c:pt idx="0">
                  <c:v>60830</c:v>
                </c:pt>
                <c:pt idx="1">
                  <c:v>4970</c:v>
                </c:pt>
                <c:pt idx="2">
                  <c:v>28894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6-40AB-9A4E-867F623BCD05}"/>
            </c:ext>
          </c:extLst>
        </c:ser>
        <c:ser>
          <c:idx val="1"/>
          <c:order val="3"/>
          <c:tx>
            <c:strRef>
              <c:f>'503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n'!$B$17:$D$17</c:f>
              <c:numCache>
                <c:formatCode>General</c:formatCode>
                <c:ptCount val="3"/>
                <c:pt idx="0">
                  <c:v>1225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0AB-9A4E-867F623BCD05}"/>
            </c:ext>
          </c:extLst>
        </c:ser>
        <c:ser>
          <c:idx val="2"/>
          <c:order val="4"/>
          <c:tx>
            <c:strRef>
              <c:f>'503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n'!$B$18:$D$18</c:f>
              <c:numCache>
                <c:formatCode>General</c:formatCode>
                <c:ptCount val="3"/>
                <c:pt idx="0">
                  <c:v>67364</c:v>
                </c:pt>
                <c:pt idx="1">
                  <c:v>11627</c:v>
                </c:pt>
                <c:pt idx="2">
                  <c:v>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0AB-9A4E-867F623BCD05}"/>
            </c:ext>
          </c:extLst>
        </c:ser>
        <c:ser>
          <c:idx val="6"/>
          <c:order val="5"/>
          <c:tx>
            <c:strRef>
              <c:f>'503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n'!$B$22:$D$22</c:f>
              <c:numCache>
                <c:formatCode>General</c:formatCode>
                <c:ptCount val="3"/>
                <c:pt idx="0">
                  <c:v>7143</c:v>
                </c:pt>
                <c:pt idx="1">
                  <c:v>3226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6-40AB-9A4E-867F623B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992191"/>
        <c:axId val="363075471"/>
      </c:barChart>
      <c:catAx>
        <c:axId val="3659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471"/>
        <c:crosses val="autoZero"/>
        <c:auto val="1"/>
        <c:lblAlgn val="ctr"/>
        <c:lblOffset val="100"/>
        <c:noMultiLvlLbl val="0"/>
      </c:catAx>
      <c:valAx>
        <c:axId val="3630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putative'!$F$104:$Q$104</c:f>
              <c:numCache>
                <c:formatCode>General</c:formatCode>
                <c:ptCount val="12"/>
                <c:pt idx="0">
                  <c:v>99.10241186452231</c:v>
                </c:pt>
                <c:pt idx="1">
                  <c:v>78.916968187027805</c:v>
                </c:pt>
                <c:pt idx="2">
                  <c:v>98.893742065291534</c:v>
                </c:pt>
                <c:pt idx="3">
                  <c:v>98.867691760060609</c:v>
                </c:pt>
                <c:pt idx="4">
                  <c:v>95.182499249039381</c:v>
                </c:pt>
                <c:pt idx="5">
                  <c:v>97.904613575861518</c:v>
                </c:pt>
                <c:pt idx="6">
                  <c:v>83.144278625961491</c:v>
                </c:pt>
                <c:pt idx="7">
                  <c:v>96.408960719778577</c:v>
                </c:pt>
                <c:pt idx="8">
                  <c:v>90.242797918176862</c:v>
                </c:pt>
                <c:pt idx="9">
                  <c:v>98.563067662885516</c:v>
                </c:pt>
                <c:pt idx="10">
                  <c:v>94.811645855059254</c:v>
                </c:pt>
                <c:pt idx="11">
                  <c:v>90.777490870436978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137-B32B-E6EC42DA90BE}"/>
            </c:ext>
          </c:extLst>
        </c:ser>
        <c:ser>
          <c:idx val="5"/>
          <c:order val="1"/>
          <c:tx>
            <c:strRef>
              <c:f>'kneaddata putative'!$E$101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4137-B32B-E6EC42DA90BE}"/>
            </c:ext>
          </c:extLst>
        </c:ser>
        <c:ser>
          <c:idx val="0"/>
          <c:order val="2"/>
          <c:tx>
            <c:strRef>
              <c:f>'kneaddata putative'!$E$96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E-4137-B32B-E6EC42DA90BE}"/>
            </c:ext>
          </c:extLst>
        </c:ser>
        <c:ser>
          <c:idx val="4"/>
          <c:order val="3"/>
          <c:tx>
            <c:strRef>
              <c:f>'kneaddata putative'!$E$100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0.36309729495474408</c:v>
                </c:pt>
                <c:pt idx="7">
                  <c:v>1.8389901881255135</c:v>
                </c:pt>
                <c:pt idx="8">
                  <c:v>0.22005052132844796</c:v>
                </c:pt>
                <c:pt idx="9">
                  <c:v>0</c:v>
                </c:pt>
                <c:pt idx="10">
                  <c:v>0</c:v>
                </c:pt>
                <c:pt idx="11">
                  <c:v>0.1984037204159258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E-4137-B32B-E6EC42DA90BE}"/>
            </c:ext>
          </c:extLst>
        </c:ser>
        <c:ser>
          <c:idx val="1"/>
          <c:order val="4"/>
          <c:tx>
            <c:strRef>
              <c:f>'kneaddata putative'!$E$97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E-4137-B32B-E6EC42DA90BE}"/>
            </c:ext>
          </c:extLst>
        </c:ser>
        <c:ser>
          <c:idx val="2"/>
          <c:order val="5"/>
          <c:tx>
            <c:strRef>
              <c:f>'kneaddata putative'!$E$98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putative'!$F$98:$Q$98</c:f>
              <c:numCache>
                <c:formatCode>General</c:formatCode>
                <c:ptCount val="12"/>
                <c:pt idx="0">
                  <c:v>0.89758813547769123</c:v>
                </c:pt>
                <c:pt idx="1">
                  <c:v>18.629979781126117</c:v>
                </c:pt>
                <c:pt idx="2">
                  <c:v>1.1062579347084609</c:v>
                </c:pt>
                <c:pt idx="3">
                  <c:v>1.1323082399393891</c:v>
                </c:pt>
                <c:pt idx="4">
                  <c:v>4.6464641200881873</c:v>
                </c:pt>
                <c:pt idx="5">
                  <c:v>2.0504585226391026</c:v>
                </c:pt>
                <c:pt idx="6">
                  <c:v>14.405525783745292</c:v>
                </c:pt>
                <c:pt idx="7">
                  <c:v>1.6815041774094377</c:v>
                </c:pt>
                <c:pt idx="8">
                  <c:v>7.0068265461539445</c:v>
                </c:pt>
                <c:pt idx="9">
                  <c:v>1.4369323371144811</c:v>
                </c:pt>
                <c:pt idx="10">
                  <c:v>4.9594577141794698</c:v>
                </c:pt>
                <c:pt idx="11">
                  <c:v>6.8160233257893434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DE-4137-B32B-E6EC42DA90BE}"/>
            </c:ext>
          </c:extLst>
        </c:ser>
        <c:ser>
          <c:idx val="6"/>
          <c:order val="6"/>
          <c:tx>
            <c:strRef>
              <c:f>'kneaddata putative'!$E$102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putative'!$F$102:$Q$102</c:f>
              <c:numCache>
                <c:formatCode>General</c:formatCode>
                <c:ptCount val="12"/>
                <c:pt idx="0">
                  <c:v>0</c:v>
                </c:pt>
                <c:pt idx="1">
                  <c:v>2.4530520318460853</c:v>
                </c:pt>
                <c:pt idx="2">
                  <c:v>0</c:v>
                </c:pt>
                <c:pt idx="3">
                  <c:v>0</c:v>
                </c:pt>
                <c:pt idx="4">
                  <c:v>0.17103663087242826</c:v>
                </c:pt>
                <c:pt idx="5">
                  <c:v>4.4927901499375922E-2</c:v>
                </c:pt>
                <c:pt idx="6">
                  <c:v>2.0870982953384791</c:v>
                </c:pt>
                <c:pt idx="7">
                  <c:v>7.0544914686466093E-2</c:v>
                </c:pt>
                <c:pt idx="8">
                  <c:v>2.5303250143407503</c:v>
                </c:pt>
                <c:pt idx="9">
                  <c:v>0</c:v>
                </c:pt>
                <c:pt idx="10">
                  <c:v>0.22889643076128302</c:v>
                </c:pt>
                <c:pt idx="11">
                  <c:v>2.2080820833577506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DE-4137-B32B-E6EC42DA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n'!$G$24:$I$24</c:f>
              <c:numCache>
                <c:formatCode>General</c:formatCode>
                <c:ptCount val="3"/>
                <c:pt idx="0">
                  <c:v>12.322145952614431</c:v>
                </c:pt>
                <c:pt idx="1">
                  <c:v>86.678897921741054</c:v>
                </c:pt>
                <c:pt idx="2">
                  <c:v>64.755005852022904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0-4DA6-AFA0-0E514750290B}"/>
            </c:ext>
          </c:extLst>
        </c:ser>
        <c:ser>
          <c:idx val="5"/>
          <c:order val="1"/>
          <c:tx>
            <c:strRef>
              <c:f>'503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n'!$G$21:$I$21</c:f>
              <c:numCache>
                <c:formatCode>General</c:formatCode>
                <c:ptCount val="3"/>
                <c:pt idx="0">
                  <c:v>0.58456963907253345</c:v>
                </c:pt>
                <c:pt idx="1">
                  <c:v>7.5285483819947485E-2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DA6-AFA0-0E514750290B}"/>
            </c:ext>
          </c:extLst>
        </c:ser>
        <c:ser>
          <c:idx val="0"/>
          <c:order val="2"/>
          <c:tx>
            <c:strRef>
              <c:f>'503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n'!$G$16:$I$16</c:f>
              <c:numCache>
                <c:formatCode>General</c:formatCode>
                <c:ptCount val="3"/>
                <c:pt idx="0">
                  <c:v>0.697181539240186</c:v>
                </c:pt>
                <c:pt idx="1">
                  <c:v>0.47005978553126876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DA6-AFA0-0E514750290B}"/>
            </c:ext>
          </c:extLst>
        </c:ser>
        <c:ser>
          <c:idx val="4"/>
          <c:order val="3"/>
          <c:tx>
            <c:strRef>
              <c:f>'503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n'!$G$20:$I$20</c:f>
              <c:numCache>
                <c:formatCode>General</c:formatCode>
                <c:ptCount val="3"/>
                <c:pt idx="0">
                  <c:v>38.484167905608452</c:v>
                </c:pt>
                <c:pt idx="1">
                  <c:v>3.1442760889507482</c:v>
                </c:pt>
                <c:pt idx="2">
                  <c:v>18.279821592382881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0-4DA6-AFA0-0E514750290B}"/>
            </c:ext>
          </c:extLst>
        </c:ser>
        <c:ser>
          <c:idx val="1"/>
          <c:order val="4"/>
          <c:tx>
            <c:strRef>
              <c:f>'503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n'!$G$17:$I$17</c:f>
              <c:numCache>
                <c:formatCode>General</c:formatCode>
                <c:ptCount val="3"/>
                <c:pt idx="0">
                  <c:v>0.77499762755828294</c:v>
                </c:pt>
                <c:pt idx="1">
                  <c:v>0.2347135672033657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DA6-AFA0-0E514750290B}"/>
            </c:ext>
          </c:extLst>
        </c:ser>
        <c:ser>
          <c:idx val="2"/>
          <c:order val="5"/>
          <c:tx>
            <c:strRef>
              <c:f>'503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n'!$G$18:$I$18</c:f>
              <c:numCache>
                <c:formatCode>General</c:formatCode>
                <c:ptCount val="3"/>
                <c:pt idx="0">
                  <c:v>42.617910353335652</c:v>
                </c:pt>
                <c:pt idx="1">
                  <c:v>7.3558346249960458</c:v>
                </c:pt>
                <c:pt idx="2">
                  <c:v>16.266725714104957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0-4DA6-AFA0-0E514750290B}"/>
            </c:ext>
          </c:extLst>
        </c:ser>
        <c:ser>
          <c:idx val="6"/>
          <c:order val="6"/>
          <c:tx>
            <c:strRef>
              <c:f>'503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n'!$G$22:$I$22</c:f>
              <c:numCache>
                <c:formatCode>General</c:formatCode>
                <c:ptCount val="3"/>
                <c:pt idx="0">
                  <c:v>4.5190269825704616</c:v>
                </c:pt>
                <c:pt idx="1">
                  <c:v>2.0409325277575681</c:v>
                </c:pt>
                <c:pt idx="2">
                  <c:v>0.69844684148926073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0-4DA6-AFA0-0E514750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08480"/>
        <c:axId val="1144517232"/>
      </c:barChart>
      <c:catAx>
        <c:axId val="10556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7232"/>
        <c:crosses val="autoZero"/>
        <c:auto val="1"/>
        <c:lblAlgn val="ctr"/>
        <c:lblOffset val="100"/>
        <c:noMultiLvlLbl val="0"/>
      </c:catAx>
      <c:valAx>
        <c:axId val="1144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cecm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n'!$B$21:$D$21</c:f>
              <c:numCache>
                <c:formatCode>General</c:formatCode>
                <c:ptCount val="3"/>
                <c:pt idx="0">
                  <c:v>2212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0-4706-A21E-F26067D72205}"/>
            </c:ext>
          </c:extLst>
        </c:ser>
        <c:ser>
          <c:idx val="0"/>
          <c:order val="1"/>
          <c:tx>
            <c:strRef>
              <c:f>'504 cecm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n'!$B$16:$D$16</c:f>
              <c:numCache>
                <c:formatCode>General</c:formatCode>
                <c:ptCount val="3"/>
                <c:pt idx="0">
                  <c:v>472</c:v>
                </c:pt>
                <c:pt idx="1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706-A21E-F26067D72205}"/>
            </c:ext>
          </c:extLst>
        </c:ser>
        <c:ser>
          <c:idx val="4"/>
          <c:order val="2"/>
          <c:tx>
            <c:strRef>
              <c:f>'504 cecm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n'!$B$20:$D$20</c:f>
              <c:numCache>
                <c:formatCode>General</c:formatCode>
                <c:ptCount val="3"/>
                <c:pt idx="0">
                  <c:v>49878</c:v>
                </c:pt>
                <c:pt idx="1">
                  <c:v>24265</c:v>
                </c:pt>
                <c:pt idx="2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0-4706-A21E-F26067D72205}"/>
            </c:ext>
          </c:extLst>
        </c:ser>
        <c:ser>
          <c:idx val="1"/>
          <c:order val="3"/>
          <c:tx>
            <c:strRef>
              <c:f>'504 cecm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n'!$B$17:$D$17</c:f>
              <c:numCache>
                <c:formatCode>General</c:formatCode>
                <c:ptCount val="3"/>
                <c:pt idx="0">
                  <c:v>1201</c:v>
                </c:pt>
                <c:pt idx="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706-A21E-F26067D72205}"/>
            </c:ext>
          </c:extLst>
        </c:ser>
        <c:ser>
          <c:idx val="2"/>
          <c:order val="4"/>
          <c:tx>
            <c:strRef>
              <c:f>'504 cecm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n'!$B$18:$D$18</c:f>
              <c:numCache>
                <c:formatCode>General</c:formatCode>
                <c:ptCount val="3"/>
                <c:pt idx="0">
                  <c:v>239782</c:v>
                </c:pt>
                <c:pt idx="1">
                  <c:v>82462</c:v>
                </c:pt>
                <c:pt idx="2">
                  <c:v>160304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706-A21E-F26067D72205}"/>
            </c:ext>
          </c:extLst>
        </c:ser>
        <c:ser>
          <c:idx val="6"/>
          <c:order val="5"/>
          <c:tx>
            <c:strRef>
              <c:f>'504 cecm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n'!$B$22:$D$22</c:f>
              <c:numCache>
                <c:formatCode>General</c:formatCode>
                <c:ptCount val="3"/>
                <c:pt idx="0">
                  <c:v>84833</c:v>
                </c:pt>
                <c:pt idx="1">
                  <c:v>30622</c:v>
                </c:pt>
                <c:pt idx="2">
                  <c:v>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0-4706-A21E-F26067D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1487"/>
        <c:axId val="361727135"/>
      </c:barChart>
      <c:catAx>
        <c:axId val="53019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135"/>
        <c:crosses val="autoZero"/>
        <c:auto val="1"/>
        <c:lblAlgn val="ctr"/>
        <c:lblOffset val="100"/>
        <c:noMultiLvlLbl val="0"/>
      </c:catAx>
      <c:valAx>
        <c:axId val="36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cecm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n'!$G$24:$I$24</c:f>
              <c:numCache>
                <c:formatCode>General</c:formatCode>
                <c:ptCount val="3"/>
                <c:pt idx="0">
                  <c:v>23.64283595372293</c:v>
                </c:pt>
                <c:pt idx="1">
                  <c:v>71.764368755511697</c:v>
                </c:pt>
                <c:pt idx="2">
                  <c:v>54.725681432466196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9-4837-BC5D-548D58AEB2BE}"/>
            </c:ext>
          </c:extLst>
        </c:ser>
        <c:ser>
          <c:idx val="5"/>
          <c:order val="1"/>
          <c:tx>
            <c:strRef>
              <c:f>'504 cecm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n'!$G$21:$I$21</c:f>
              <c:numCache>
                <c:formatCode>General</c:formatCode>
                <c:ptCount val="3"/>
                <c:pt idx="0">
                  <c:v>0.44638442739896317</c:v>
                </c:pt>
                <c:pt idx="1">
                  <c:v>8.0316908727299879E-2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9-4837-BC5D-548D58AEB2BE}"/>
            </c:ext>
          </c:extLst>
        </c:ser>
        <c:ser>
          <c:idx val="0"/>
          <c:order val="2"/>
          <c:tx>
            <c:strRef>
              <c:f>'504 cecm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n'!$G$16:$I$16</c:f>
              <c:numCache>
                <c:formatCode>General</c:formatCode>
                <c:ptCount val="3"/>
                <c:pt idx="0">
                  <c:v>9.5250203314787799E-2</c:v>
                </c:pt>
                <c:pt idx="1">
                  <c:v>0.29462986618557241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9-4837-BC5D-548D58AEB2BE}"/>
            </c:ext>
          </c:extLst>
        </c:ser>
        <c:ser>
          <c:idx val="4"/>
          <c:order val="3"/>
          <c:tx>
            <c:strRef>
              <c:f>'504 cecm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n'!$G$20:$I$20</c:f>
              <c:numCache>
                <c:formatCode>General</c:formatCode>
                <c:ptCount val="3"/>
                <c:pt idx="0">
                  <c:v>10.065444154523275</c:v>
                </c:pt>
                <c:pt idx="1">
                  <c:v>4.8967080157485716</c:v>
                </c:pt>
                <c:pt idx="2">
                  <c:v>1.0651071463886652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9-4837-BC5D-548D58AEB2BE}"/>
            </c:ext>
          </c:extLst>
        </c:ser>
        <c:ser>
          <c:idx val="1"/>
          <c:order val="4"/>
          <c:tx>
            <c:strRef>
              <c:f>'504 cecm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n'!$G$17:$I$17</c:f>
              <c:numCache>
                <c:formatCode>General</c:formatCode>
                <c:ptCount val="3"/>
                <c:pt idx="0">
                  <c:v>0.2423633351293647</c:v>
                </c:pt>
                <c:pt idx="1">
                  <c:v>0.14348070880680958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9-4837-BC5D-548D58AEB2BE}"/>
            </c:ext>
          </c:extLst>
        </c:ser>
        <c:ser>
          <c:idx val="2"/>
          <c:order val="5"/>
          <c:tx>
            <c:strRef>
              <c:f>'504 cecm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n'!$G$18:$I$18</c:f>
              <c:numCache>
                <c:formatCode>General</c:formatCode>
                <c:ptCount val="3"/>
                <c:pt idx="0">
                  <c:v>48.388314091581456</c:v>
                </c:pt>
                <c:pt idx="1">
                  <c:v>16.640937003694983</c:v>
                </c:pt>
                <c:pt idx="2">
                  <c:v>32.349552102063015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9-4837-BC5D-548D58AEB2BE}"/>
            </c:ext>
          </c:extLst>
        </c:ser>
        <c:ser>
          <c:idx val="6"/>
          <c:order val="6"/>
          <c:tx>
            <c:strRef>
              <c:f>'504 cecm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n'!$G$22:$I$22</c:f>
              <c:numCache>
                <c:formatCode>General</c:formatCode>
                <c:ptCount val="3"/>
                <c:pt idx="0">
                  <c:v>17.119407834329223</c:v>
                </c:pt>
                <c:pt idx="1">
                  <c:v>6.1795587413250672</c:v>
                </c:pt>
                <c:pt idx="2">
                  <c:v>11.859659319082127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9-4837-BC5D-548D58AE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958176"/>
        <c:axId val="1062125776"/>
      </c:barChart>
      <c:catAx>
        <c:axId val="10609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25776"/>
        <c:crosses val="autoZero"/>
        <c:auto val="1"/>
        <c:lblAlgn val="ctr"/>
        <c:lblOffset val="100"/>
        <c:noMultiLvlLbl val="0"/>
      </c:catAx>
      <c:valAx>
        <c:axId val="10621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n'!$B$22:$D$22</c:f>
              <c:numCache>
                <c:formatCode>General</c:formatCode>
                <c:ptCount val="3"/>
                <c:pt idx="0">
                  <c:v>809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145-8A0F-2870BD18AF6F}"/>
            </c:ext>
          </c:extLst>
        </c:ser>
        <c:ser>
          <c:idx val="0"/>
          <c:order val="1"/>
          <c:tx>
            <c:strRef>
              <c:f>'504 cecq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n'!$B$17:$D$17</c:f>
              <c:numCache>
                <c:formatCode>General</c:formatCode>
                <c:ptCount val="3"/>
                <c:pt idx="0">
                  <c:v>1078</c:v>
                </c:pt>
                <c:pt idx="1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145-8A0F-2870BD18AF6F}"/>
            </c:ext>
          </c:extLst>
        </c:ser>
        <c:ser>
          <c:idx val="4"/>
          <c:order val="2"/>
          <c:tx>
            <c:strRef>
              <c:f>'504 cecq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n'!$B$21:$D$21</c:f>
              <c:numCache>
                <c:formatCode>General</c:formatCode>
                <c:ptCount val="3"/>
                <c:pt idx="0">
                  <c:v>57826</c:v>
                </c:pt>
                <c:pt idx="1">
                  <c:v>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C-4145-8A0F-2870BD18AF6F}"/>
            </c:ext>
          </c:extLst>
        </c:ser>
        <c:ser>
          <c:idx val="1"/>
          <c:order val="3"/>
          <c:tx>
            <c:strRef>
              <c:f>'504 cecq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n'!$B$18:$D$18</c:f>
              <c:numCache>
                <c:formatCode>General</c:formatCode>
                <c:ptCount val="3"/>
                <c:pt idx="0">
                  <c:v>1608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4145-8A0F-2870BD18AF6F}"/>
            </c:ext>
          </c:extLst>
        </c:ser>
        <c:ser>
          <c:idx val="2"/>
          <c:order val="4"/>
          <c:tx>
            <c:strRef>
              <c:f>'504 cecq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n'!$B$19:$D$19</c:f>
              <c:numCache>
                <c:formatCode>General</c:formatCode>
                <c:ptCount val="3"/>
                <c:pt idx="0">
                  <c:v>83927</c:v>
                </c:pt>
                <c:pt idx="1">
                  <c:v>12831</c:v>
                </c:pt>
                <c:pt idx="2">
                  <c:v>31820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4145-8A0F-2870BD18AF6F}"/>
            </c:ext>
          </c:extLst>
        </c:ser>
        <c:ser>
          <c:idx val="6"/>
          <c:order val="5"/>
          <c:tx>
            <c:strRef>
              <c:f>'504 cecq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n'!$B$23:$D$23</c:f>
              <c:numCache>
                <c:formatCode>General</c:formatCode>
                <c:ptCount val="3"/>
                <c:pt idx="0">
                  <c:v>11814</c:v>
                </c:pt>
                <c:pt idx="1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C-4145-8A0F-2870BD18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9087"/>
        <c:axId val="361718399"/>
      </c:barChart>
      <c:catAx>
        <c:axId val="5301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399"/>
        <c:crosses val="autoZero"/>
        <c:auto val="1"/>
        <c:lblAlgn val="ctr"/>
        <c:lblOffset val="100"/>
        <c:noMultiLvlLbl val="0"/>
      </c:catAx>
      <c:valAx>
        <c:axId val="3617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n'!$G$25:$I$25</c:f>
              <c:numCache>
                <c:formatCode>General</c:formatCode>
                <c:ptCount val="3"/>
                <c:pt idx="0">
                  <c:v>16.042400560209117</c:v>
                </c:pt>
                <c:pt idx="1">
                  <c:v>85.987288384748197</c:v>
                </c:pt>
                <c:pt idx="2">
                  <c:v>82.990597253478583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42-4EB1-ACB5-68C61C62B3CC}"/>
            </c:ext>
          </c:extLst>
        </c:ser>
        <c:ser>
          <c:idx val="5"/>
          <c:order val="1"/>
          <c:tx>
            <c:strRef>
              <c:f>'504 cecq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n'!$G$22:$I$22</c:f>
              <c:numCache>
                <c:formatCode>General</c:formatCode>
                <c:ptCount val="3"/>
                <c:pt idx="0">
                  <c:v>0.43245150288924644</c:v>
                </c:pt>
                <c:pt idx="1">
                  <c:v>0.20794021585156597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2-4EB1-ACB5-68C61C62B3CC}"/>
            </c:ext>
          </c:extLst>
        </c:ser>
        <c:ser>
          <c:idx val="0"/>
          <c:order val="2"/>
          <c:tx>
            <c:strRef>
              <c:f>'504 cecq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n'!$G$17:$I$17</c:f>
              <c:numCache>
                <c:formatCode>General</c:formatCode>
                <c:ptCount val="3"/>
                <c:pt idx="0">
                  <c:v>0.57624563673004658</c:v>
                </c:pt>
                <c:pt idx="1">
                  <c:v>0.79434231556665047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EB1-ACB5-68C61C62B3CC}"/>
            </c:ext>
          </c:extLst>
        </c:ser>
        <c:ser>
          <c:idx val="4"/>
          <c:order val="3"/>
          <c:tx>
            <c:strRef>
              <c:f>'504 cecq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n'!$G$21:$I$21</c:f>
              <c:numCache>
                <c:formatCode>General</c:formatCode>
                <c:ptCount val="3"/>
                <c:pt idx="0">
                  <c:v>30.910927819621218</c:v>
                </c:pt>
                <c:pt idx="1">
                  <c:v>2.4076162781374117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2-4EB1-ACB5-68C61C62B3CC}"/>
            </c:ext>
          </c:extLst>
        </c:ser>
        <c:ser>
          <c:idx val="1"/>
          <c:order val="4"/>
          <c:tx>
            <c:strRef>
              <c:f>'504 cecq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n'!$G$18:$I$18</c:f>
              <c:numCache>
                <c:formatCode>General</c:formatCode>
                <c:ptCount val="3"/>
                <c:pt idx="0">
                  <c:v>0.85955749894426237</c:v>
                </c:pt>
                <c:pt idx="1">
                  <c:v>0.27529360196287012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EB1-ACB5-68C61C62B3CC}"/>
            </c:ext>
          </c:extLst>
        </c:ser>
        <c:ser>
          <c:idx val="2"/>
          <c:order val="5"/>
          <c:tx>
            <c:strRef>
              <c:f>'504 cecq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n'!$G$19:$I$19</c:f>
              <c:numCache>
                <c:formatCode>General</c:formatCode>
                <c:ptCount val="3"/>
                <c:pt idx="0">
                  <c:v>44.863235207646213</c:v>
                </c:pt>
                <c:pt idx="1">
                  <c:v>6.8588198190011385</c:v>
                </c:pt>
                <c:pt idx="2">
                  <c:v>17.00940274652141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2-4EB1-ACB5-68C61C62B3CC}"/>
            </c:ext>
          </c:extLst>
        </c:ser>
        <c:ser>
          <c:idx val="6"/>
          <c:order val="6"/>
          <c:tx>
            <c:strRef>
              <c:f>'504 cecq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n'!$G$23:$I$23</c:f>
              <c:numCache>
                <c:formatCode>General</c:formatCode>
                <c:ptCount val="3"/>
                <c:pt idx="0">
                  <c:v>6.3151817739598979</c:v>
                </c:pt>
                <c:pt idx="1">
                  <c:v>3.4686993847321634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42-4EB1-ACB5-68C61C62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531568"/>
        <c:axId val="1062111632"/>
      </c:barChart>
      <c:catAx>
        <c:axId val="107953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1632"/>
        <c:crosses val="autoZero"/>
        <c:auto val="1"/>
        <c:lblAlgn val="ctr"/>
        <c:lblOffset val="100"/>
        <c:noMultiLvlLbl val="0"/>
      </c:catAx>
      <c:valAx>
        <c:axId val="1062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y'!$B$21:$D$21</c:f>
              <c:numCache>
                <c:formatCode>General</c:formatCode>
                <c:ptCount val="3"/>
                <c:pt idx="0">
                  <c:v>2490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2E2-A315-14F0EE6018B4}"/>
            </c:ext>
          </c:extLst>
        </c:ser>
        <c:ser>
          <c:idx val="0"/>
          <c:order val="1"/>
          <c:tx>
            <c:strRef>
              <c:f>'504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y'!$B$16:$D$16</c:f>
              <c:numCache>
                <c:formatCode>General</c:formatCode>
                <c:ptCount val="3"/>
                <c:pt idx="0">
                  <c:v>2325</c:v>
                </c:pt>
                <c:pt idx="1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2E2-A315-14F0EE6018B4}"/>
            </c:ext>
          </c:extLst>
        </c:ser>
        <c:ser>
          <c:idx val="4"/>
          <c:order val="2"/>
          <c:tx>
            <c:strRef>
              <c:f>'504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y'!$B$20:$D$20</c:f>
              <c:numCache>
                <c:formatCode>General</c:formatCode>
                <c:ptCount val="3"/>
                <c:pt idx="0">
                  <c:v>42235</c:v>
                </c:pt>
                <c:pt idx="1">
                  <c:v>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2E2-A315-14F0EE6018B4}"/>
            </c:ext>
          </c:extLst>
        </c:ser>
        <c:ser>
          <c:idx val="1"/>
          <c:order val="3"/>
          <c:tx>
            <c:strRef>
              <c:f>'504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y'!$B$17:$D$17</c:f>
              <c:numCache>
                <c:formatCode>General</c:formatCode>
                <c:ptCount val="3"/>
                <c:pt idx="0">
                  <c:v>3136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2E2-A315-14F0EE6018B4}"/>
            </c:ext>
          </c:extLst>
        </c:ser>
        <c:ser>
          <c:idx val="2"/>
          <c:order val="4"/>
          <c:tx>
            <c:strRef>
              <c:f>'504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y'!$B$18:$D$18</c:f>
              <c:numCache>
                <c:formatCode>General</c:formatCode>
                <c:ptCount val="3"/>
                <c:pt idx="0">
                  <c:v>330245</c:v>
                </c:pt>
                <c:pt idx="1">
                  <c:v>80651</c:v>
                </c:pt>
                <c:pt idx="2">
                  <c:v>150652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2E2-A315-14F0EE6018B4}"/>
            </c:ext>
          </c:extLst>
        </c:ser>
        <c:ser>
          <c:idx val="6"/>
          <c:order val="5"/>
          <c:tx>
            <c:strRef>
              <c:f>'504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y'!$B$22:$D$22</c:f>
              <c:numCache>
                <c:formatCode>General</c:formatCode>
                <c:ptCount val="3"/>
                <c:pt idx="0">
                  <c:v>49725</c:v>
                </c:pt>
                <c:pt idx="1">
                  <c:v>25575</c:v>
                </c:pt>
                <c:pt idx="2">
                  <c:v>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2E2-A315-14F0EE60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27711"/>
        <c:axId val="533527231"/>
      </c:barChart>
      <c:catAx>
        <c:axId val="3531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231"/>
        <c:crosses val="autoZero"/>
        <c:auto val="1"/>
        <c:lblAlgn val="ctr"/>
        <c:lblOffset val="100"/>
        <c:noMultiLvlLbl val="0"/>
      </c:catAx>
      <c:valAx>
        <c:axId val="5335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504</a:t>
            </a:r>
            <a:r>
              <a:rPr lang="en-CA" baseline="0"/>
              <a:t> Colq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colq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n'!$B$21:$D$21</c:f>
              <c:numCache>
                <c:formatCode>General</c:formatCode>
                <c:ptCount val="3"/>
                <c:pt idx="0">
                  <c:v>2312</c:v>
                </c:pt>
                <c:pt idx="1">
                  <c:v>462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0-466C-9A84-E9F104BB9669}"/>
            </c:ext>
          </c:extLst>
        </c:ser>
        <c:ser>
          <c:idx val="0"/>
          <c:order val="1"/>
          <c:tx>
            <c:strRef>
              <c:f>'504 colq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n'!$B$16:$D$16</c:f>
              <c:numCache>
                <c:formatCode>General</c:formatCode>
                <c:ptCount val="3"/>
                <c:pt idx="0">
                  <c:v>1210</c:v>
                </c:pt>
                <c:pt idx="1">
                  <c:v>1066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66C-9A84-E9F104BB9669}"/>
            </c:ext>
          </c:extLst>
        </c:ser>
        <c:ser>
          <c:idx val="4"/>
          <c:order val="2"/>
          <c:tx>
            <c:strRef>
              <c:f>'504 colq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n'!$B$20:$D$20</c:f>
              <c:numCache>
                <c:formatCode>General</c:formatCode>
                <c:ptCount val="3"/>
                <c:pt idx="0">
                  <c:v>68600</c:v>
                </c:pt>
                <c:pt idx="1">
                  <c:v>22095</c:v>
                </c:pt>
                <c:pt idx="2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0-466C-9A84-E9F104BB9669}"/>
            </c:ext>
          </c:extLst>
        </c:ser>
        <c:ser>
          <c:idx val="1"/>
          <c:order val="3"/>
          <c:tx>
            <c:strRef>
              <c:f>'504 colq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n'!$B$17:$D$17</c:f>
              <c:numCache>
                <c:formatCode>General</c:formatCode>
                <c:ptCount val="3"/>
                <c:pt idx="0">
                  <c:v>1495</c:v>
                </c:pt>
                <c:pt idx="1">
                  <c:v>476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66C-9A84-E9F104BB9669}"/>
            </c:ext>
          </c:extLst>
        </c:ser>
        <c:ser>
          <c:idx val="2"/>
          <c:order val="4"/>
          <c:tx>
            <c:strRef>
              <c:f>'504 colq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n'!$B$18:$D$18</c:f>
              <c:numCache>
                <c:formatCode>General</c:formatCode>
                <c:ptCount val="3"/>
                <c:pt idx="0">
                  <c:v>203694</c:v>
                </c:pt>
                <c:pt idx="1">
                  <c:v>84140</c:v>
                </c:pt>
                <c:pt idx="2">
                  <c:v>146996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0-466C-9A84-E9F104BB9669}"/>
            </c:ext>
          </c:extLst>
        </c:ser>
        <c:ser>
          <c:idx val="6"/>
          <c:order val="5"/>
          <c:tx>
            <c:strRef>
              <c:f>'504 colq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n'!$B$22:$D$22</c:f>
              <c:numCache>
                <c:formatCode>General</c:formatCode>
                <c:ptCount val="3"/>
                <c:pt idx="0">
                  <c:v>57954</c:v>
                </c:pt>
                <c:pt idx="1">
                  <c:v>27795</c:v>
                </c:pt>
                <c:pt idx="2">
                  <c:v>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0-466C-9A84-E9F104BB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27904"/>
        <c:axId val="935195360"/>
      </c:barChart>
      <c:catAx>
        <c:axId val="8652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5360"/>
        <c:crosses val="autoZero"/>
        <c:auto val="1"/>
        <c:lblAlgn val="ctr"/>
        <c:lblOffset val="100"/>
        <c:noMultiLvlLbl val="0"/>
      </c:catAx>
      <c:valAx>
        <c:axId val="935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colq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n'!$G$24:$I$24</c:f>
              <c:numCache>
                <c:formatCode>General</c:formatCode>
                <c:ptCount val="3"/>
                <c:pt idx="0">
                  <c:v>17.979988257168021</c:v>
                </c:pt>
                <c:pt idx="1">
                  <c:v>66.720324885018101</c:v>
                </c:pt>
                <c:pt idx="2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B-4CB9-AC1F-D766CADBCDD9}"/>
            </c:ext>
          </c:extLst>
        </c:ser>
        <c:ser>
          <c:idx val="5"/>
          <c:order val="1"/>
          <c:tx>
            <c:strRef>
              <c:f>'504 colq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n'!$G$21:$I$21</c:f>
              <c:numCache>
                <c:formatCode>General</c:formatCode>
                <c:ptCount val="3"/>
                <c:pt idx="0">
                  <c:v>0.56561307368627067</c:v>
                </c:pt>
                <c:pt idx="1">
                  <c:v>0.11302475780409042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B-4CB9-AC1F-D766CADBCDD9}"/>
            </c:ext>
          </c:extLst>
        </c:ser>
        <c:ser>
          <c:idx val="0"/>
          <c:order val="2"/>
          <c:tx>
            <c:strRef>
              <c:f>'504 colq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n'!$G$16:$I$16</c:f>
              <c:numCache>
                <c:formatCode>General</c:formatCode>
                <c:ptCount val="3"/>
                <c:pt idx="0">
                  <c:v>0.29601722282023679</c:v>
                </c:pt>
                <c:pt idx="1">
                  <c:v>0.26078872688129956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B9-AC1F-D766CADBCDD9}"/>
            </c:ext>
          </c:extLst>
        </c:ser>
        <c:ser>
          <c:idx val="4"/>
          <c:order val="3"/>
          <c:tx>
            <c:strRef>
              <c:f>'504 colq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n'!$G$20:$I$20</c:f>
              <c:numCache>
                <c:formatCode>General</c:formatCode>
                <c:ptCount val="3"/>
                <c:pt idx="0">
                  <c:v>16.782464037577061</c:v>
                </c:pt>
                <c:pt idx="1">
                  <c:v>5.4053723456306884</c:v>
                </c:pt>
                <c:pt idx="2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B-4CB9-AC1F-D766CADBCDD9}"/>
            </c:ext>
          </c:extLst>
        </c:ser>
        <c:ser>
          <c:idx val="1"/>
          <c:order val="4"/>
          <c:tx>
            <c:strRef>
              <c:f>'504 colq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n'!$G$17:$I$17</c:f>
              <c:numCache>
                <c:formatCode>General</c:formatCode>
                <c:ptCount val="3"/>
                <c:pt idx="0">
                  <c:v>0.36574028769938349</c:v>
                </c:pt>
                <c:pt idx="1">
                  <c:v>0.11644975046482044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B9-AC1F-D766CADBCDD9}"/>
            </c:ext>
          </c:extLst>
        </c:ser>
        <c:ser>
          <c:idx val="2"/>
          <c:order val="5"/>
          <c:tx>
            <c:strRef>
              <c:f>'504 colq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n'!$G$18:$I$18</c:f>
              <c:numCache>
                <c:formatCode>General</c:formatCode>
                <c:ptCount val="3"/>
                <c:pt idx="0">
                  <c:v>49.83217535962423</c:v>
                </c:pt>
                <c:pt idx="1">
                  <c:v>20.584205890987377</c:v>
                </c:pt>
                <c:pt idx="2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B9-AC1F-D766CADBCDD9}"/>
            </c:ext>
          </c:extLst>
        </c:ser>
        <c:ser>
          <c:idx val="6"/>
          <c:order val="6"/>
          <c:tx>
            <c:strRef>
              <c:f>'504 colq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n'!$G$22:$I$22</c:f>
              <c:numCache>
                <c:formatCode>General</c:formatCode>
                <c:ptCount val="3"/>
                <c:pt idx="0">
                  <c:v>14.178001761424797</c:v>
                </c:pt>
                <c:pt idx="1">
                  <c:v>6.7998336432136215</c:v>
                </c:pt>
                <c:pt idx="2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B-4CB9-AC1F-D766CADB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1476080"/>
        <c:axId val="1025201696"/>
      </c:barChart>
      <c:catAx>
        <c:axId val="108147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01696"/>
        <c:crosses val="autoZero"/>
        <c:auto val="1"/>
        <c:lblAlgn val="ctr"/>
        <c:lblOffset val="100"/>
        <c:noMultiLvlLbl val="0"/>
      </c:catAx>
      <c:valAx>
        <c:axId val="102520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putative'!$F$116:$R$116</c:f>
              <c:numCache>
                <c:formatCode>General</c:formatCode>
                <c:ptCount val="13"/>
                <c:pt idx="0">
                  <c:v>76.216720868090803</c:v>
                </c:pt>
                <c:pt idx="1">
                  <c:v>45.159145250448915</c:v>
                </c:pt>
                <c:pt idx="2">
                  <c:v>91.202195163779791</c:v>
                </c:pt>
                <c:pt idx="3">
                  <c:v>81.368044330450388</c:v>
                </c:pt>
                <c:pt idx="4">
                  <c:v>70.416372849669557</c:v>
                </c:pt>
                <c:pt idx="5">
                  <c:v>76.09621027400091</c:v>
                </c:pt>
                <c:pt idx="6">
                  <c:v>48.658261500040282</c:v>
                </c:pt>
                <c:pt idx="7">
                  <c:v>0</c:v>
                </c:pt>
                <c:pt idx="8">
                  <c:v>77.347644806496376</c:v>
                </c:pt>
                <c:pt idx="9">
                  <c:v>77.468301746738874</c:v>
                </c:pt>
                <c:pt idx="10">
                  <c:v>83.524978049655189</c:v>
                </c:pt>
                <c:pt idx="11">
                  <c:v>66.415853623455448</c:v>
                </c:pt>
                <c:pt idx="12">
                  <c:v>74.403435075200946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6-42BB-853C-FF0978FA55AB}"/>
            </c:ext>
          </c:extLst>
        </c:ser>
        <c:ser>
          <c:idx val="5"/>
          <c:order val="1"/>
          <c:tx>
            <c:strRef>
              <c:f>'kneaddata putative'!$E$113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putative'!$F$113:$R$113</c:f>
              <c:numCache>
                <c:formatCode>General</c:formatCode>
                <c:ptCount val="13"/>
                <c:pt idx="0">
                  <c:v>0.32446876192899859</c:v>
                </c:pt>
                <c:pt idx="1">
                  <c:v>0.42667059301771021</c:v>
                </c:pt>
                <c:pt idx="2">
                  <c:v>0.167495569656434</c:v>
                </c:pt>
                <c:pt idx="3">
                  <c:v>1.4138018468987967</c:v>
                </c:pt>
                <c:pt idx="4">
                  <c:v>0.36455173092376064</c:v>
                </c:pt>
                <c:pt idx="5">
                  <c:v>0.14656480437362365</c:v>
                </c:pt>
                <c:pt idx="6">
                  <c:v>0.31811407395472491</c:v>
                </c:pt>
                <c:pt idx="7">
                  <c:v>0</c:v>
                </c:pt>
                <c:pt idx="8">
                  <c:v>0.5420606979493241</c:v>
                </c:pt>
                <c:pt idx="9">
                  <c:v>0.22962187389946914</c:v>
                </c:pt>
                <c:pt idx="10">
                  <c:v>0.37264059556541201</c:v>
                </c:pt>
                <c:pt idx="11">
                  <c:v>0.33423598039833091</c:v>
                </c:pt>
                <c:pt idx="12">
                  <c:v>0.38675639495793229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6-42BB-853C-FF0978FA55AB}"/>
            </c:ext>
          </c:extLst>
        </c:ser>
        <c:ser>
          <c:idx val="0"/>
          <c:order val="2"/>
          <c:tx>
            <c:strRef>
              <c:f>'kneaddata putative'!$E$108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putative'!$F$108:$R$108</c:f>
              <c:numCache>
                <c:formatCode>General</c:formatCode>
                <c:ptCount val="13"/>
                <c:pt idx="0">
                  <c:v>5.8442845855884377E-2</c:v>
                </c:pt>
                <c:pt idx="1">
                  <c:v>0.22213757806023321</c:v>
                </c:pt>
                <c:pt idx="2">
                  <c:v>0.22065969244840794</c:v>
                </c:pt>
                <c:pt idx="3">
                  <c:v>5.8699870166297019E-2</c:v>
                </c:pt>
                <c:pt idx="4">
                  <c:v>0.19892093999573623</c:v>
                </c:pt>
                <c:pt idx="5">
                  <c:v>0.10523736708800972</c:v>
                </c:pt>
                <c:pt idx="6">
                  <c:v>2.1852090550229599E-2</c:v>
                </c:pt>
                <c:pt idx="7">
                  <c:v>0</c:v>
                </c:pt>
                <c:pt idx="8">
                  <c:v>0.17699285604152748</c:v>
                </c:pt>
                <c:pt idx="9">
                  <c:v>2.7983868959604811E-2</c:v>
                </c:pt>
                <c:pt idx="10">
                  <c:v>0.11109141648769751</c:v>
                </c:pt>
                <c:pt idx="11">
                  <c:v>0.18076265513517548</c:v>
                </c:pt>
                <c:pt idx="12">
                  <c:v>9.1616138977897041E-2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6-42BB-853C-FF0978FA55AB}"/>
            </c:ext>
          </c:extLst>
        </c:ser>
        <c:ser>
          <c:idx val="4"/>
          <c:order val="3"/>
          <c:tx>
            <c:strRef>
              <c:f>'kneaddata putative'!$E$112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putative'!$F$112:$R$112</c:f>
              <c:numCache>
                <c:formatCode>General</c:formatCode>
                <c:ptCount val="13"/>
                <c:pt idx="0">
                  <c:v>6.6188372388936401</c:v>
                </c:pt>
                <c:pt idx="1">
                  <c:v>4.3948191371203418</c:v>
                </c:pt>
                <c:pt idx="2">
                  <c:v>3.5502772537586464</c:v>
                </c:pt>
                <c:pt idx="3">
                  <c:v>7.9194703324687392</c:v>
                </c:pt>
                <c:pt idx="4">
                  <c:v>3.7242329326489445</c:v>
                </c:pt>
                <c:pt idx="5">
                  <c:v>5.8193459637853575</c:v>
                </c:pt>
                <c:pt idx="6">
                  <c:v>3.980252557802304</c:v>
                </c:pt>
                <c:pt idx="7">
                  <c:v>0</c:v>
                </c:pt>
                <c:pt idx="8">
                  <c:v>9.7699414092614489</c:v>
                </c:pt>
                <c:pt idx="9">
                  <c:v>2.9571597795914593</c:v>
                </c:pt>
                <c:pt idx="10">
                  <c:v>5.9591579311851541</c:v>
                </c:pt>
                <c:pt idx="11">
                  <c:v>3.2836605331759725</c:v>
                </c:pt>
                <c:pt idx="12">
                  <c:v>5.1941050693254027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6-42BB-853C-FF0978FA55AB}"/>
            </c:ext>
          </c:extLst>
        </c:ser>
        <c:ser>
          <c:idx val="1"/>
          <c:order val="4"/>
          <c:tx>
            <c:strRef>
              <c:f>'kneaddata putative'!$E$109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putative'!$F$109:$R$109</c:f>
              <c:numCache>
                <c:formatCode>General</c:formatCode>
                <c:ptCount val="13"/>
                <c:pt idx="0">
                  <c:v>0.21290950680156359</c:v>
                </c:pt>
                <c:pt idx="1">
                  <c:v>0.13819582035663644</c:v>
                </c:pt>
                <c:pt idx="2">
                  <c:v>9.6038415366146462E-2</c:v>
                </c:pt>
                <c:pt idx="3">
                  <c:v>6.4386721298992464E-2</c:v>
                </c:pt>
                <c:pt idx="4">
                  <c:v>0.13266862362452647</c:v>
                </c:pt>
                <c:pt idx="5">
                  <c:v>0.43393809149894613</c:v>
                </c:pt>
                <c:pt idx="6">
                  <c:v>0.10971360670265044</c:v>
                </c:pt>
                <c:pt idx="7">
                  <c:v>0</c:v>
                </c:pt>
                <c:pt idx="8">
                  <c:v>0.1967479570334584</c:v>
                </c:pt>
                <c:pt idx="9">
                  <c:v>7.1204717416282579E-2</c:v>
                </c:pt>
                <c:pt idx="10">
                  <c:v>0.16570964537311464</c:v>
                </c:pt>
                <c:pt idx="11">
                  <c:v>0.24381577914146679</c:v>
                </c:pt>
                <c:pt idx="12">
                  <c:v>0.11319514691897196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6-42BB-853C-FF0978FA55AB}"/>
            </c:ext>
          </c:extLst>
        </c:ser>
        <c:ser>
          <c:idx val="7"/>
          <c:order val="5"/>
          <c:tx>
            <c:strRef>
              <c:f>'kneaddata putative'!$S$107:$S$116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5C6-42BB-853C-FF0978FA55AB}"/>
            </c:ext>
          </c:extLst>
        </c:ser>
        <c:ser>
          <c:idx val="2"/>
          <c:order val="6"/>
          <c:tx>
            <c:strRef>
              <c:f>'kneaddata putative'!$E$110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putative'!$F$110:$R$110</c:f>
              <c:numCache>
                <c:formatCode>General</c:formatCode>
                <c:ptCount val="13"/>
                <c:pt idx="0">
                  <c:v>15.852067101264437</c:v>
                </c:pt>
                <c:pt idx="1">
                  <c:v>44.851465499857561</c:v>
                </c:pt>
                <c:pt idx="2">
                  <c:v>3.8858400503058368</c:v>
                </c:pt>
                <c:pt idx="3">
                  <c:v>8.8168361637466131</c:v>
                </c:pt>
                <c:pt idx="4">
                  <c:v>22.167631479689728</c:v>
                </c:pt>
                <c:pt idx="5">
                  <c:v>15.803021626057539</c:v>
                </c:pt>
                <c:pt idx="6">
                  <c:v>42.732619028437931</c:v>
                </c:pt>
                <c:pt idx="7">
                  <c:v>0</c:v>
                </c:pt>
                <c:pt idx="8">
                  <c:v>10.770224083877268</c:v>
                </c:pt>
                <c:pt idx="9">
                  <c:v>14.185212896769167</c:v>
                </c:pt>
                <c:pt idx="10">
                  <c:v>8.6307106965163882</c:v>
                </c:pt>
                <c:pt idx="11">
                  <c:v>25.474550561841433</c:v>
                </c:pt>
                <c:pt idx="12">
                  <c:v>15.329802957156963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6-42BB-853C-FF0978FA55AB}"/>
            </c:ext>
          </c:extLst>
        </c:ser>
        <c:ser>
          <c:idx val="6"/>
          <c:order val="7"/>
          <c:tx>
            <c:strRef>
              <c:f>'kneaddata putative'!$E$114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putative'!$F$114:$R$114</c:f>
              <c:numCache>
                <c:formatCode>General</c:formatCode>
                <c:ptCount val="13"/>
                <c:pt idx="0">
                  <c:v>0.71655367716467866</c:v>
                </c:pt>
                <c:pt idx="1">
                  <c:v>4.8075661211385992</c:v>
                </c:pt>
                <c:pt idx="2">
                  <c:v>0.87749385468473107</c:v>
                </c:pt>
                <c:pt idx="3">
                  <c:v>1.4393516604159498</c:v>
                </c:pt>
                <c:pt idx="4">
                  <c:v>2.9956214434477442</c:v>
                </c:pt>
                <c:pt idx="5">
                  <c:v>1.5956818731956146</c:v>
                </c:pt>
                <c:pt idx="6">
                  <c:v>4.1791871425118829</c:v>
                </c:pt>
                <c:pt idx="7">
                  <c:v>0</c:v>
                </c:pt>
                <c:pt idx="8">
                  <c:v>1.1963881893405972</c:v>
                </c:pt>
                <c:pt idx="9">
                  <c:v>5.0605151166251456</c:v>
                </c:pt>
                <c:pt idx="10">
                  <c:v>1.2357116652170508</c:v>
                </c:pt>
                <c:pt idx="11">
                  <c:v>4.0671208668521723</c:v>
                </c:pt>
                <c:pt idx="12">
                  <c:v>4.4810892174618848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6-42BB-853C-FF0978FA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updated!$F$79:$AQ$79</c:f>
              <c:numCache>
                <c:formatCode>General</c:formatCode>
                <c:ptCount val="38"/>
                <c:pt idx="0">
                  <c:v>13.874303471924561</c:v>
                </c:pt>
                <c:pt idx="1">
                  <c:v>7.9845381725612983</c:v>
                </c:pt>
                <c:pt idx="2">
                  <c:v>33.29143278212436</c:v>
                </c:pt>
                <c:pt idx="3">
                  <c:v>20.945288281435314</c:v>
                </c:pt>
                <c:pt idx="4">
                  <c:v>13.3489281374136</c:v>
                </c:pt>
                <c:pt idx="5">
                  <c:v>14.713626693067638</c:v>
                </c:pt>
                <c:pt idx="6">
                  <c:v>7.1288571532660567</c:v>
                </c:pt>
                <c:pt idx="7">
                  <c:v>10.771518046373327</c:v>
                </c:pt>
                <c:pt idx="8">
                  <c:v>23.30764403061729</c:v>
                </c:pt>
                <c:pt idx="9">
                  <c:v>14.541916791840618</c:v>
                </c:pt>
                <c:pt idx="10">
                  <c:v>12.097002305605695</c:v>
                </c:pt>
                <c:pt idx="11">
                  <c:v>17.295968294353656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027-A003-7BB65410B5DE}"/>
            </c:ext>
          </c:extLst>
        </c:ser>
        <c:ser>
          <c:idx val="5"/>
          <c:order val="1"/>
          <c:tx>
            <c:strRef>
              <c:f>updated!$E$76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updated!$F$76:$AQ$76</c:f>
              <c:numCache>
                <c:formatCode>General</c:formatCode>
                <c:ptCount val="38"/>
                <c:pt idx="0">
                  <c:v>1.1749892841834548</c:v>
                </c:pt>
                <c:pt idx="1">
                  <c:v>0.71589496268807007</c:v>
                </c:pt>
                <c:pt idx="2">
                  <c:v>1.2700201556099782</c:v>
                </c:pt>
                <c:pt idx="3">
                  <c:v>1.4138018468987967</c:v>
                </c:pt>
                <c:pt idx="4">
                  <c:v>1.0677797578162151</c:v>
                </c:pt>
                <c:pt idx="5">
                  <c:v>0.52292882269921848</c:v>
                </c:pt>
                <c:pt idx="6">
                  <c:v>0.57543079893620896</c:v>
                </c:pt>
                <c:pt idx="7">
                  <c:v>2.1351975453136367</c:v>
                </c:pt>
                <c:pt idx="8">
                  <c:v>0.78157635050460406</c:v>
                </c:pt>
                <c:pt idx="9">
                  <c:v>1.9329352712577443</c:v>
                </c:pt>
                <c:pt idx="10">
                  <c:v>0.87482779180767223</c:v>
                </c:pt>
                <c:pt idx="11">
                  <c:v>1.2496330365006361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027-A003-7BB65410B5DE}"/>
            </c:ext>
          </c:extLst>
        </c:ser>
        <c:ser>
          <c:idx val="0"/>
          <c:order val="2"/>
          <c:tx>
            <c:strRef>
              <c:f>updated!$E$71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1-4027-A003-7BB65410B5DE}"/>
            </c:ext>
          </c:extLst>
        </c:ser>
        <c:ser>
          <c:idx val="4"/>
          <c:order val="3"/>
          <c:tx>
            <c:strRef>
              <c:f>updated!$E$75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1-4027-A003-7BB65410B5DE}"/>
            </c:ext>
          </c:extLst>
        </c:ser>
        <c:ser>
          <c:idx val="1"/>
          <c:order val="4"/>
          <c:tx>
            <c:strRef>
              <c:f>updated!$E$72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1-4027-A003-7BB65410B5DE}"/>
            </c:ext>
          </c:extLst>
        </c:ser>
        <c:ser>
          <c:idx val="2"/>
          <c:order val="5"/>
          <c:tx>
            <c:strRef>
              <c:f>updated!$E$73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updated!$F$73:$AQ$73</c:f>
              <c:numCache>
                <c:formatCode>General</c:formatCode>
                <c:ptCount val="38"/>
                <c:pt idx="0">
                  <c:v>57.404629232747538</c:v>
                </c:pt>
                <c:pt idx="1">
                  <c:v>75.254631432246427</c:v>
                </c:pt>
                <c:pt idx="2">
                  <c:v>29.464034156173469</c:v>
                </c:pt>
                <c:pt idx="3">
                  <c:v>37.409515863862786</c:v>
                </c:pt>
                <c:pt idx="4">
                  <c:v>64.92946313205789</c:v>
                </c:pt>
                <c:pt idx="5">
                  <c:v>56.383628588882104</c:v>
                </c:pt>
                <c:pt idx="6">
                  <c:v>77.298262231775297</c:v>
                </c:pt>
                <c:pt idx="7">
                  <c:v>42.42431910922722</c:v>
                </c:pt>
                <c:pt idx="8">
                  <c:v>48.282973824356205</c:v>
                </c:pt>
                <c:pt idx="9">
                  <c:v>44.768619736680336</c:v>
                </c:pt>
                <c:pt idx="10">
                  <c:v>66.67697711284444</c:v>
                </c:pt>
                <c:pt idx="11">
                  <c:v>49.531509932478713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1-4027-A003-7BB65410B5DE}"/>
            </c:ext>
          </c:extLst>
        </c:ser>
        <c:ser>
          <c:idx val="6"/>
          <c:order val="6"/>
          <c:tx>
            <c:strRef>
              <c:f>updated!$E$77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updated!$F$77:$AQ$77</c:f>
              <c:numCache>
                <c:formatCode>General</c:formatCode>
                <c:ptCount val="38"/>
                <c:pt idx="0">
                  <c:v>2.5948349764252034</c:v>
                </c:pt>
                <c:pt idx="1">
                  <c:v>8.066439134159145</c:v>
                </c:pt>
                <c:pt idx="2">
                  <c:v>6.6535185626666085</c:v>
                </c:pt>
                <c:pt idx="3">
                  <c:v>6.1071168584725868</c:v>
                </c:pt>
                <c:pt idx="4">
                  <c:v>8.7742387926355381</c:v>
                </c:pt>
                <c:pt idx="5">
                  <c:v>5.6932361552882691</c:v>
                </c:pt>
                <c:pt idx="6">
                  <c:v>7.559656089475026</c:v>
                </c:pt>
                <c:pt idx="7">
                  <c:v>4.7126182266788978</c:v>
                </c:pt>
                <c:pt idx="8">
                  <c:v>17.224748101554475</c:v>
                </c:pt>
                <c:pt idx="9">
                  <c:v>6.4097972449257776</c:v>
                </c:pt>
                <c:pt idx="10">
                  <c:v>10.645264351021853</c:v>
                </c:pt>
                <c:pt idx="11">
                  <c:v>14.478667188570309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1-4027-A003-7BB65410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03A-AAEC-58E8385D3A70}"/>
            </c:ext>
          </c:extLst>
        </c:ser>
        <c:ser>
          <c:idx val="5"/>
          <c:order val="1"/>
          <c:tx>
            <c:strRef>
              <c:f>updated!$E$88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03A-AAEC-58E8385D3A70}"/>
            </c:ext>
          </c:extLst>
        </c:ser>
        <c:ser>
          <c:idx val="0"/>
          <c:order val="2"/>
          <c:tx>
            <c:strRef>
              <c:f>updated!$E$83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03A-AAEC-58E8385D3A70}"/>
            </c:ext>
          </c:extLst>
        </c:ser>
        <c:ser>
          <c:idx val="4"/>
          <c:order val="3"/>
          <c:tx>
            <c:strRef>
              <c:f>updated!$E$87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B-403A-AAEC-58E8385D3A70}"/>
            </c:ext>
          </c:extLst>
        </c:ser>
        <c:ser>
          <c:idx val="1"/>
          <c:order val="4"/>
          <c:tx>
            <c:strRef>
              <c:f>updated!$E$84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B-403A-AAEC-58E8385D3A70}"/>
            </c:ext>
          </c:extLst>
        </c:ser>
        <c:ser>
          <c:idx val="2"/>
          <c:order val="5"/>
          <c:tx>
            <c:strRef>
              <c:f>updated!$E$85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B-403A-AAEC-58E8385D3A70}"/>
            </c:ext>
          </c:extLst>
        </c:ser>
        <c:ser>
          <c:idx val="6"/>
          <c:order val="6"/>
          <c:tx>
            <c:strRef>
              <c:f>updated!$E$89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B-403A-AAEC-58E8385D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1AF-87D6-C1C30A1AABBE}"/>
            </c:ext>
          </c:extLst>
        </c:ser>
        <c:ser>
          <c:idx val="5"/>
          <c:order val="1"/>
          <c:tx>
            <c:strRef>
              <c:f>updated!$E$101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1AF-87D6-C1C30A1AABBE}"/>
            </c:ext>
          </c:extLst>
        </c:ser>
        <c:ser>
          <c:idx val="0"/>
          <c:order val="2"/>
          <c:tx>
            <c:strRef>
              <c:f>updated!$E$96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1AF-87D6-C1C30A1AABBE}"/>
            </c:ext>
          </c:extLst>
        </c:ser>
        <c:ser>
          <c:idx val="4"/>
          <c:order val="3"/>
          <c:tx>
            <c:strRef>
              <c:f>updated!$E$100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1AF-87D6-C1C30A1AABBE}"/>
            </c:ext>
          </c:extLst>
        </c:ser>
        <c:ser>
          <c:idx val="1"/>
          <c:order val="4"/>
          <c:tx>
            <c:strRef>
              <c:f>updated!$E$97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3-41AF-87D6-C1C30A1AABBE}"/>
            </c:ext>
          </c:extLst>
        </c:ser>
        <c:ser>
          <c:idx val="2"/>
          <c:order val="5"/>
          <c:tx>
            <c:strRef>
              <c:f>updated!$E$98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3-41AF-87D6-C1C30A1AABBE}"/>
            </c:ext>
          </c:extLst>
        </c:ser>
        <c:ser>
          <c:idx val="6"/>
          <c:order val="6"/>
          <c:tx>
            <c:strRef>
              <c:f>updated!$E$102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3-41AF-87D6-C1C30A1A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updated!$F$116:$R$116</c:f>
              <c:numCache>
                <c:formatCode>General</c:formatCode>
                <c:ptCount val="13"/>
                <c:pt idx="0">
                  <c:v>13.874303471924561</c:v>
                </c:pt>
                <c:pt idx="1">
                  <c:v>7.9845381725612983</c:v>
                </c:pt>
                <c:pt idx="2">
                  <c:v>33.29143278212436</c:v>
                </c:pt>
                <c:pt idx="3">
                  <c:v>20.945288281435314</c:v>
                </c:pt>
                <c:pt idx="4">
                  <c:v>13.3489281374136</c:v>
                </c:pt>
                <c:pt idx="5">
                  <c:v>14.713626693067638</c:v>
                </c:pt>
                <c:pt idx="6">
                  <c:v>7.1288571532660567</c:v>
                </c:pt>
                <c:pt idx="7">
                  <c:v>0</c:v>
                </c:pt>
                <c:pt idx="8">
                  <c:v>10.771518046373327</c:v>
                </c:pt>
                <c:pt idx="9">
                  <c:v>23.30764403061729</c:v>
                </c:pt>
                <c:pt idx="10">
                  <c:v>14.541916791840618</c:v>
                </c:pt>
                <c:pt idx="11">
                  <c:v>12.097002305605695</c:v>
                </c:pt>
                <c:pt idx="12">
                  <c:v>17.295968294353656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447A-81BA-0C67859DF828}"/>
            </c:ext>
          </c:extLst>
        </c:ser>
        <c:ser>
          <c:idx val="5"/>
          <c:order val="1"/>
          <c:tx>
            <c:strRef>
              <c:f>updated!$E$113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updated!$F$113:$R$113</c:f>
              <c:numCache>
                <c:formatCode>General</c:formatCode>
                <c:ptCount val="13"/>
                <c:pt idx="0">
                  <c:v>1.1749892841834548</c:v>
                </c:pt>
                <c:pt idx="1">
                  <c:v>0.71589496268807007</c:v>
                </c:pt>
                <c:pt idx="2">
                  <c:v>1.2700201556099782</c:v>
                </c:pt>
                <c:pt idx="3">
                  <c:v>1.4138018468987967</c:v>
                </c:pt>
                <c:pt idx="4">
                  <c:v>1.0677797578162151</c:v>
                </c:pt>
                <c:pt idx="5">
                  <c:v>0.52292882269921848</c:v>
                </c:pt>
                <c:pt idx="6">
                  <c:v>0.57543079893620896</c:v>
                </c:pt>
                <c:pt idx="7">
                  <c:v>0</c:v>
                </c:pt>
                <c:pt idx="8">
                  <c:v>2.1351975453136367</c:v>
                </c:pt>
                <c:pt idx="9">
                  <c:v>0.78157635050460406</c:v>
                </c:pt>
                <c:pt idx="10">
                  <c:v>1.9329352712577443</c:v>
                </c:pt>
                <c:pt idx="11">
                  <c:v>0.87482779180767223</c:v>
                </c:pt>
                <c:pt idx="12">
                  <c:v>1.2496330365006361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5-447A-81BA-0C67859DF828}"/>
            </c:ext>
          </c:extLst>
        </c:ser>
        <c:ser>
          <c:idx val="0"/>
          <c:order val="2"/>
          <c:tx>
            <c:strRef>
              <c:f>updated!$E$108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5-447A-81BA-0C67859DF828}"/>
            </c:ext>
          </c:extLst>
        </c:ser>
        <c:ser>
          <c:idx val="4"/>
          <c:order val="3"/>
          <c:tx>
            <c:strRef>
              <c:f>updated!$E$112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5-447A-81BA-0C67859DF828}"/>
            </c:ext>
          </c:extLst>
        </c:ser>
        <c:ser>
          <c:idx val="1"/>
          <c:order val="4"/>
          <c:tx>
            <c:strRef>
              <c:f>updated!$E$109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5-447A-81BA-0C67859DF828}"/>
            </c:ext>
          </c:extLst>
        </c:ser>
        <c:ser>
          <c:idx val="7"/>
          <c:order val="5"/>
          <c:tx>
            <c:strRef>
              <c:f>updated!$S$107:$S$116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7A5-447A-81BA-0C67859DF828}"/>
            </c:ext>
          </c:extLst>
        </c:ser>
        <c:ser>
          <c:idx val="2"/>
          <c:order val="6"/>
          <c:tx>
            <c:strRef>
              <c:f>updated!$E$110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updated!$F$110:$R$110</c:f>
              <c:numCache>
                <c:formatCode>General</c:formatCode>
                <c:ptCount val="13"/>
                <c:pt idx="0">
                  <c:v>57.404629232747538</c:v>
                </c:pt>
                <c:pt idx="1">
                  <c:v>75.254631432246427</c:v>
                </c:pt>
                <c:pt idx="2">
                  <c:v>29.464034156173469</c:v>
                </c:pt>
                <c:pt idx="3">
                  <c:v>37.409515863862786</c:v>
                </c:pt>
                <c:pt idx="4">
                  <c:v>64.92946313205789</c:v>
                </c:pt>
                <c:pt idx="5">
                  <c:v>56.383628588882104</c:v>
                </c:pt>
                <c:pt idx="6">
                  <c:v>77.298262231775297</c:v>
                </c:pt>
                <c:pt idx="7">
                  <c:v>0</c:v>
                </c:pt>
                <c:pt idx="8">
                  <c:v>42.42431910922722</c:v>
                </c:pt>
                <c:pt idx="9">
                  <c:v>48.282973824356205</c:v>
                </c:pt>
                <c:pt idx="10">
                  <c:v>44.768619736680336</c:v>
                </c:pt>
                <c:pt idx="11">
                  <c:v>66.67697711284444</c:v>
                </c:pt>
                <c:pt idx="12">
                  <c:v>49.531509932478713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5-447A-81BA-0C67859DF828}"/>
            </c:ext>
          </c:extLst>
        </c:ser>
        <c:ser>
          <c:idx val="6"/>
          <c:order val="7"/>
          <c:tx>
            <c:strRef>
              <c:f>updated!$E$114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updated!$F$114:$R$114</c:f>
              <c:numCache>
                <c:formatCode>General</c:formatCode>
                <c:ptCount val="13"/>
                <c:pt idx="0">
                  <c:v>2.5948349764252034</c:v>
                </c:pt>
                <c:pt idx="1">
                  <c:v>8.066439134159145</c:v>
                </c:pt>
                <c:pt idx="2">
                  <c:v>6.6535185626666085</c:v>
                </c:pt>
                <c:pt idx="3">
                  <c:v>6.1071168584725868</c:v>
                </c:pt>
                <c:pt idx="4">
                  <c:v>8.7742387926355381</c:v>
                </c:pt>
                <c:pt idx="5">
                  <c:v>5.6932361552882691</c:v>
                </c:pt>
                <c:pt idx="6">
                  <c:v>7.559656089475026</c:v>
                </c:pt>
                <c:pt idx="7">
                  <c:v>0</c:v>
                </c:pt>
                <c:pt idx="8">
                  <c:v>4.7126182266788978</c:v>
                </c:pt>
                <c:pt idx="9">
                  <c:v>17.224748101554475</c:v>
                </c:pt>
                <c:pt idx="10">
                  <c:v>6.4097972449257776</c:v>
                </c:pt>
                <c:pt idx="11">
                  <c:v>10.645264351021853</c:v>
                </c:pt>
                <c:pt idx="12">
                  <c:v>14.478667188570309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5-447A-81BA-0C67859D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consolidateds!$F$79:$AQ$79</c:f>
              <c:numCache>
                <c:formatCode>General</c:formatCode>
                <c:ptCount val="38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4039-9D25-2B3DC7EC766C}"/>
            </c:ext>
          </c:extLst>
        </c:ser>
        <c:ser>
          <c:idx val="5"/>
          <c:order val="1"/>
          <c:tx>
            <c:strRef>
              <c:f>consolidateds!$E$76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consolidateds!$F$76:$AQ$76</c:f>
              <c:numCache>
                <c:formatCode>General</c:formatCode>
                <c:ptCount val="38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4039-9D25-2B3DC7EC766C}"/>
            </c:ext>
          </c:extLst>
        </c:ser>
        <c:ser>
          <c:idx val="0"/>
          <c:order val="2"/>
          <c:tx>
            <c:strRef>
              <c:f>consolidateds!$E$71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4039-9D25-2B3DC7EC766C}"/>
            </c:ext>
          </c:extLst>
        </c:ser>
        <c:ser>
          <c:idx val="4"/>
          <c:order val="3"/>
          <c:tx>
            <c:strRef>
              <c:f>consolidateds!$E$75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4039-9D25-2B3DC7EC766C}"/>
            </c:ext>
          </c:extLst>
        </c:ser>
        <c:ser>
          <c:idx val="1"/>
          <c:order val="4"/>
          <c:tx>
            <c:strRef>
              <c:f>consolidateds!$E$72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4039-9D25-2B3DC7EC766C}"/>
            </c:ext>
          </c:extLst>
        </c:ser>
        <c:ser>
          <c:idx val="2"/>
          <c:order val="5"/>
          <c:tx>
            <c:strRef>
              <c:f>consolidateds!$E$73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consolidateds!$F$73:$AQ$73</c:f>
              <c:numCache>
                <c:formatCode>General</c:formatCode>
                <c:ptCount val="38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4039-9D25-2B3DC7EC766C}"/>
            </c:ext>
          </c:extLst>
        </c:ser>
        <c:ser>
          <c:idx val="6"/>
          <c:order val="6"/>
          <c:tx>
            <c:strRef>
              <c:f>consolidateds!$E$77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consolidateds!$F$77:$AQ$77</c:f>
              <c:numCache>
                <c:formatCode>General</c:formatCode>
                <c:ptCount val="38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4039-9D25-2B3DC7EC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151208</xdr:colOff>
      <xdr:row>90</xdr:row>
      <xdr:rowOff>34345</xdr:rowOff>
    </xdr:from>
    <xdr:to>
      <xdr:col>44</xdr:col>
      <xdr:colOff>352914</xdr:colOff>
      <xdr:row>138</xdr:row>
      <xdr:rowOff>79168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23C37-E0D9-436D-BE1A-6A0784F95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9A8F4-3A61-4C08-98B6-9AB5BFE8A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78441</xdr:colOff>
      <xdr:row>93</xdr:row>
      <xdr:rowOff>59122</xdr:rowOff>
    </xdr:from>
    <xdr:to>
      <xdr:col>25</xdr:col>
      <xdr:colOff>413846</xdr:colOff>
      <xdr:row>108</xdr:row>
      <xdr:rowOff>56030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4C49-496A-4CB5-88AA-2DE52DC7E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742CE-5D62-4F1D-943F-D581DA6BB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6109-966E-420F-A4C0-6A8DC46F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5CD3-C61A-4A4B-B63C-48DD437F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180975</xdr:rowOff>
    </xdr:from>
    <xdr:to>
      <xdr:col>19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B18D-D773-4B88-B501-6B9BBD69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EF80A-30FE-442F-9C81-2E727507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76200</xdr:rowOff>
    </xdr:from>
    <xdr:to>
      <xdr:col>18</xdr:col>
      <xdr:colOff>590550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2E91-6AD7-41EA-9CD1-5AB227F4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349D9-3ABB-45CD-BC76-234B281D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F674A-2A3D-47D8-AC8D-F89A775A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BF107-16C9-455C-BB14-54A529FE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11889-BCEB-4422-87C9-418C856C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519112</xdr:colOff>
      <xdr:row>4</xdr:row>
      <xdr:rowOff>100012</xdr:rowOff>
    </xdr:from>
    <xdr:to>
      <xdr:col>22</xdr:col>
      <xdr:colOff>457200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7A619-2CCF-40FD-9511-E08567FF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15</xdr:row>
      <xdr:rowOff>4762</xdr:rowOff>
    </xdr:from>
    <xdr:to>
      <xdr:col>21</xdr:col>
      <xdr:colOff>271462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ABB03-9B82-4857-BDB2-E679B32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5A453-2763-46DC-BF53-64ACEEF3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B6966-9DAF-45D3-AC95-56F1A23B8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BBEC5-D5A1-4978-9516-9481AFE2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3C232-9687-471A-9637-278EF661D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6DE74-E9B3-4B62-B1C9-B6D33F36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E0C4C-7B26-45E7-B1AB-7D554047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28657-96C2-49B5-8BD7-46CAAB1C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ABE97-5D86-4BA3-8688-7131416B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312670</xdr:colOff>
      <xdr:row>3</xdr:row>
      <xdr:rowOff>15324</xdr:rowOff>
    </xdr:from>
    <xdr:to>
      <xdr:col>17</xdr:col>
      <xdr:colOff>107674</xdr:colOff>
      <xdr:row>11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96C0-37F4-4F81-94B6-36C3F2D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443119</xdr:colOff>
      <xdr:row>14</xdr:row>
      <xdr:rowOff>44726</xdr:rowOff>
    </xdr:from>
    <xdr:to>
      <xdr:col>21</xdr:col>
      <xdr:colOff>579782</xdr:colOff>
      <xdr:row>31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3DFB2-FAE1-423D-A2C6-2C617A94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153227</xdr:colOff>
      <xdr:row>29</xdr:row>
      <xdr:rowOff>144116</xdr:rowOff>
    </xdr:from>
    <xdr:to>
      <xdr:col>19</xdr:col>
      <xdr:colOff>356151</xdr:colOff>
      <xdr:row>44</xdr:row>
      <xdr:rowOff>33129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AF4A6-E2AB-4E0C-A2EE-B15A7D16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66675</xdr:rowOff>
    </xdr:from>
    <xdr:to>
      <xdr:col>22</xdr:col>
      <xdr:colOff>123825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0F61-F537-4BFA-B352-FB5822E3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0</xdr:row>
      <xdr:rowOff>185737</xdr:rowOff>
    </xdr:from>
    <xdr:to>
      <xdr:col>26</xdr:col>
      <xdr:colOff>276225</xdr:colOff>
      <xdr:row>17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C70B-519E-4D9D-8295-E0CEC655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309562</xdr:colOff>
      <xdr:row>18</xdr:row>
      <xdr:rowOff>42862</xdr:rowOff>
    </xdr:from>
    <xdr:to>
      <xdr:col>24</xdr:col>
      <xdr:colOff>381000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90853-0AC5-40A1-8B25-05A44572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95250</xdr:rowOff>
    </xdr:from>
    <xdr:to>
      <xdr:col>19</xdr:col>
      <xdr:colOff>228601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48D3-DA32-485B-8241-CC97F091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414751</xdr:colOff>
      <xdr:row>19</xdr:row>
      <xdr:rowOff>10974</xdr:rowOff>
    </xdr:from>
    <xdr:to>
      <xdr:col>18</xdr:col>
      <xdr:colOff>106638</xdr:colOff>
      <xdr:row>33</xdr:row>
      <xdr:rowOff>87174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3FA6-C32A-46F5-9EA1-D320F485C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95250</xdr:rowOff>
    </xdr:from>
    <xdr:to>
      <xdr:col>19</xdr:col>
      <xdr:colOff>219075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7541-73E9-41CC-990E-7C52B5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14</xdr:row>
      <xdr:rowOff>128586</xdr:rowOff>
    </xdr:from>
    <xdr:to>
      <xdr:col>21</xdr:col>
      <xdr:colOff>257175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144EA-27F0-4E21-A87F-52A045979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180975</xdr:rowOff>
    </xdr:from>
    <xdr:to>
      <xdr:col>20</xdr:col>
      <xdr:colOff>104775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1547-DA8F-447A-81D1-D1DD4FC8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385761</xdr:colOff>
      <xdr:row>15</xdr:row>
      <xdr:rowOff>23812</xdr:rowOff>
    </xdr:from>
    <xdr:to>
      <xdr:col>21</xdr:col>
      <xdr:colOff>142874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DF0B-D86C-406A-A648-87A63EC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38100</xdr:rowOff>
    </xdr:from>
    <xdr:to>
      <xdr:col>18</xdr:col>
      <xdr:colOff>438150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4744-A9F6-420A-904C-7A57182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15</xdr:row>
      <xdr:rowOff>128587</xdr:rowOff>
    </xdr:from>
    <xdr:to>
      <xdr:col>19</xdr:col>
      <xdr:colOff>138112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ADAB-EDDC-4FCB-ADCD-0676E0EF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525-19C3-4FEB-A0F1-12D1FF6060E8}">
  <dimension ref="A2:AQ116"/>
  <sheetViews>
    <sheetView tabSelected="1" zoomScale="85" zoomScaleNormal="85" workbookViewId="0">
      <selection activeCell="L15" sqref="L15"/>
    </sheetView>
  </sheetViews>
  <sheetFormatPr defaultRowHeight="15" x14ac:dyDescent="0.25"/>
  <sheetData>
    <row r="2" spans="1:29" x14ac:dyDescent="0.25">
      <c r="A2" t="s">
        <v>1</v>
      </c>
      <c r="C2" t="s">
        <v>51</v>
      </c>
      <c r="K2" t="s">
        <v>12</v>
      </c>
      <c r="S2" t="s">
        <v>50</v>
      </c>
      <c r="U2" t="s">
        <v>13</v>
      </c>
      <c r="AC2" t="s">
        <v>50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>B4*100/B14</f>
        <v>5.8442845855884377E-2</v>
      </c>
      <c r="H4">
        <f>C4*100/C14</f>
        <v>0.12130301074452333</v>
      </c>
      <c r="I4">
        <f t="shared" ref="I4:I5" si="0">D4*100/186640</f>
        <v>0</v>
      </c>
      <c r="K4" t="s">
        <v>5</v>
      </c>
      <c r="L4">
        <v>2776</v>
      </c>
      <c r="M4">
        <v>2079</v>
      </c>
      <c r="P4" t="s">
        <v>5</v>
      </c>
      <c r="Q4">
        <f>100*L4/L15</f>
        <v>0.22213757806023321</v>
      </c>
      <c r="R4">
        <f>100*M4/M15</f>
        <v>0.210387197448233</v>
      </c>
      <c r="S4">
        <f t="shared" ref="S4:S9" si="1">100*N4/744802</f>
        <v>0</v>
      </c>
      <c r="U4" t="s">
        <v>5</v>
      </c>
      <c r="V4">
        <v>772</v>
      </c>
      <c r="W4">
        <v>5145</v>
      </c>
      <c r="Z4" t="s">
        <v>5</v>
      </c>
      <c r="AA4">
        <f>100*V4/V15</f>
        <v>0.22065969244840794</v>
      </c>
      <c r="AB4">
        <f>100*W4/W15</f>
        <v>0.9274230617398781</v>
      </c>
      <c r="AC4">
        <f t="shared" ref="AC4:AC10" si="2">100*X4/46141</f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>B5*100/B14</f>
        <v>0.21290950680156359</v>
      </c>
      <c r="H5">
        <f>C5*100/C14</f>
        <v>6.9099054633812981E-2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>100*L5/L15</f>
        <v>0.13819582035663644</v>
      </c>
      <c r="R5">
        <f>100*M5/M15</f>
        <v>5.1812527702498945E-2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>100*V5/V15</f>
        <v>9.6038415366146462E-2</v>
      </c>
      <c r="AB5">
        <f>100*W5/W15</f>
        <v>0.54798175076564226</v>
      </c>
      <c r="AC5">
        <f t="shared" si="2"/>
        <v>0</v>
      </c>
    </row>
    <row r="6" spans="1:29" x14ac:dyDescent="0.25">
      <c r="A6" t="s">
        <v>7</v>
      </c>
      <c r="B6">
        <v>107140</v>
      </c>
      <c r="C6">
        <v>4532</v>
      </c>
      <c r="D6">
        <v>30024</v>
      </c>
      <c r="F6" t="s">
        <v>7</v>
      </c>
      <c r="G6">
        <f>B6*100/B14</f>
        <v>15.852067101264437</v>
      </c>
      <c r="H6">
        <f>C6*100/C14</f>
        <v>0.86032119670450657</v>
      </c>
      <c r="I6">
        <f>100*D6/D14</f>
        <v>0.89758813547769123</v>
      </c>
      <c r="K6" t="s">
        <v>7</v>
      </c>
      <c r="L6">
        <v>560498</v>
      </c>
      <c r="M6">
        <v>238766</v>
      </c>
      <c r="N6">
        <v>753902</v>
      </c>
      <c r="P6" t="s">
        <v>7</v>
      </c>
      <c r="Q6">
        <f>100*L6/L15</f>
        <v>44.851465499857561</v>
      </c>
      <c r="R6">
        <f>100*M6/M15</f>
        <v>24.162246073075902</v>
      </c>
      <c r="S6">
        <f>100*N6/N15</f>
        <v>18.629979781126117</v>
      </c>
      <c r="U6" t="s">
        <v>7</v>
      </c>
      <c r="V6">
        <v>13595</v>
      </c>
      <c r="W6">
        <v>4230</v>
      </c>
      <c r="X6">
        <v>28250</v>
      </c>
      <c r="Z6" t="s">
        <v>7</v>
      </c>
      <c r="AA6">
        <f>100*V6/V15</f>
        <v>3.8858400503058368</v>
      </c>
      <c r="AB6">
        <f>100*W6/W15</f>
        <v>0.76248776504561411</v>
      </c>
      <c r="AC6">
        <f>100*X6/X15</f>
        <v>1.1062579347084609</v>
      </c>
    </row>
    <row r="7" spans="1:29" x14ac:dyDescent="0.25">
      <c r="G7">
        <f>B7*100/B14</f>
        <v>0</v>
      </c>
      <c r="Q7">
        <f>100*L7/L15</f>
        <v>0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>B8*100/B14</f>
        <v>6.6188372388936401</v>
      </c>
      <c r="H8">
        <f>C8*100/C14</f>
        <v>0.18527658605110292</v>
      </c>
      <c r="I8">
        <f t="shared" ref="I8:I10" si="3">D8*100/186640</f>
        <v>0</v>
      </c>
      <c r="K8" t="s">
        <v>8</v>
      </c>
      <c r="L8">
        <v>54921</v>
      </c>
      <c r="M8">
        <v>31723</v>
      </c>
      <c r="P8" t="s">
        <v>8</v>
      </c>
      <c r="Q8">
        <f>100*L8/L15</f>
        <v>4.3948191371203418</v>
      </c>
      <c r="R8">
        <f>100*M8/M15</f>
        <v>3.2102515943483865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>100*V8/V15</f>
        <v>3.5502772537586464</v>
      </c>
      <c r="AB8">
        <f>100*W8/W15</f>
        <v>1.4105122367569576</v>
      </c>
      <c r="AC8">
        <f t="shared" si="2"/>
        <v>0</v>
      </c>
    </row>
    <row r="9" spans="1:29" x14ac:dyDescent="0.25">
      <c r="A9" t="s">
        <v>9</v>
      </c>
      <c r="B9">
        <v>2193</v>
      </c>
      <c r="C9">
        <v>91</v>
      </c>
      <c r="F9" t="s">
        <v>9</v>
      </c>
      <c r="G9">
        <f>B9*100/B14</f>
        <v>0.32446876192899859</v>
      </c>
      <c r="H9">
        <f>C9*100/C14</f>
        <v>1.7274763658453245E-2</v>
      </c>
      <c r="I9">
        <f t="shared" si="3"/>
        <v>0</v>
      </c>
      <c r="K9" t="s">
        <v>9</v>
      </c>
      <c r="L9">
        <v>5332</v>
      </c>
      <c r="M9">
        <v>1891</v>
      </c>
      <c r="P9" t="s">
        <v>9</v>
      </c>
      <c r="Q9">
        <f>100*L9/L15</f>
        <v>0.42667059301771021</v>
      </c>
      <c r="R9">
        <f>100*M9/M15</f>
        <v>0.19136228493247168</v>
      </c>
      <c r="S9">
        <f t="shared" si="1"/>
        <v>0</v>
      </c>
      <c r="U9" t="s">
        <v>9</v>
      </c>
      <c r="V9">
        <v>586</v>
      </c>
      <c r="W9">
        <v>21</v>
      </c>
      <c r="Z9" t="s">
        <v>9</v>
      </c>
      <c r="AA9">
        <f>100*V9/V15</f>
        <v>0.167495569656434</v>
      </c>
      <c r="AB9">
        <f>100*W9/W15</f>
        <v>3.7854002519995024E-3</v>
      </c>
      <c r="AC9">
        <f t="shared" si="2"/>
        <v>0</v>
      </c>
    </row>
    <row r="10" spans="1:29" x14ac:dyDescent="0.25">
      <c r="A10" t="s">
        <v>10</v>
      </c>
      <c r="B10">
        <v>4843</v>
      </c>
      <c r="C10">
        <v>1073</v>
      </c>
      <c r="F10" t="s">
        <v>10</v>
      </c>
      <c r="G10">
        <f>B10*100/B14</f>
        <v>0.71655367716467866</v>
      </c>
      <c r="H10">
        <f>C10*100/C14</f>
        <v>0.20369034511560805</v>
      </c>
      <c r="I10">
        <f t="shared" si="3"/>
        <v>0</v>
      </c>
      <c r="K10" t="s">
        <v>10</v>
      </c>
      <c r="L10">
        <v>60079</v>
      </c>
      <c r="M10">
        <v>31088</v>
      </c>
      <c r="N10">
        <f>67635+27136+4497</f>
        <v>99268</v>
      </c>
      <c r="P10" t="s">
        <v>10</v>
      </c>
      <c r="Q10">
        <f>100*L10/L15</f>
        <v>4.8075661211385992</v>
      </c>
      <c r="R10">
        <f>100*M10/M15</f>
        <v>3.1459919164361079</v>
      </c>
      <c r="S10">
        <f>100*N10/N15</f>
        <v>2.4530520318460853</v>
      </c>
      <c r="U10" t="s">
        <v>10</v>
      </c>
      <c r="V10">
        <v>3070</v>
      </c>
      <c r="W10">
        <v>1198</v>
      </c>
      <c r="Z10" t="s">
        <v>10</v>
      </c>
      <c r="AA10">
        <f>100*V10/V15</f>
        <v>0.87749385468473107</v>
      </c>
      <c r="AB10">
        <f>100*W10/W15</f>
        <v>0.21594807151882875</v>
      </c>
      <c r="AC10">
        <f t="shared" si="2"/>
        <v>0</v>
      </c>
    </row>
    <row r="12" spans="1:29" x14ac:dyDescent="0.25">
      <c r="A12" t="s">
        <v>35</v>
      </c>
      <c r="B12">
        <f>SUM(B4:B11)</f>
        <v>160745</v>
      </c>
      <c r="C12">
        <f>SUM(C4:C10)</f>
        <v>7675</v>
      </c>
      <c r="D12">
        <f>SUM(D4:D11)</f>
        <v>30024</v>
      </c>
      <c r="F12" t="s">
        <v>42</v>
      </c>
      <c r="G12">
        <f>B15*100/B14</f>
        <v>76.216720868090803</v>
      </c>
      <c r="H12">
        <f>C15*100/C14</f>
        <v>98.54303504309199</v>
      </c>
      <c r="I12">
        <f>100-SUM(I4:I11)</f>
        <v>99.10241186452231</v>
      </c>
      <c r="P12" t="s">
        <v>42</v>
      </c>
      <c r="Q12">
        <f>L14*100/L15</f>
        <v>45.159145250448915</v>
      </c>
      <c r="R12">
        <f>M14*100/M15</f>
        <v>69.027948406056396</v>
      </c>
      <c r="S12">
        <f>100-SUM(S4:S10)</f>
        <v>78.916968187027805</v>
      </c>
      <c r="Z12" t="s">
        <v>42</v>
      </c>
      <c r="AA12">
        <f>V14*100/V15</f>
        <v>91.202195163779791</v>
      </c>
      <c r="AB12">
        <f>W14*100/W15</f>
        <v>96.131861713921083</v>
      </c>
      <c r="AC12">
        <f>X14*100/X15</f>
        <v>98.893742065291534</v>
      </c>
    </row>
    <row r="13" spans="1:29" x14ac:dyDescent="0.25">
      <c r="A13" t="s">
        <v>44</v>
      </c>
      <c r="B13">
        <f>B14</f>
        <v>675874</v>
      </c>
      <c r="C13">
        <f t="shared" ref="C13:D13" si="4">C14</f>
        <v>526780</v>
      </c>
      <c r="D13">
        <f t="shared" si="4"/>
        <v>3344964</v>
      </c>
      <c r="K13" t="s">
        <v>43</v>
      </c>
      <c r="L13">
        <v>744802</v>
      </c>
      <c r="M13">
        <v>744802</v>
      </c>
      <c r="N13">
        <f>67635+96639+1+4497+21736+753902</f>
        <v>944410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44</v>
      </c>
      <c r="B14">
        <v>675874</v>
      </c>
      <c r="C14">
        <f>2107120/4</f>
        <v>526780</v>
      </c>
      <c r="D14">
        <f>13379856/4</f>
        <v>3344964</v>
      </c>
      <c r="K14" t="s">
        <v>38</v>
      </c>
      <c r="L14">
        <f>L15-SUM(L4:L11)</f>
        <v>564343</v>
      </c>
      <c r="M14">
        <f t="shared" ref="M14:N14" si="5">M15-SUM(M4:M11)</f>
        <v>682119</v>
      </c>
      <c r="N14">
        <f t="shared" si="5"/>
        <v>3193544</v>
      </c>
      <c r="U14" t="s">
        <v>37</v>
      </c>
      <c r="V14">
        <f>V15-SUM(V4:V11)</f>
        <v>319080</v>
      </c>
      <c r="W14">
        <f t="shared" ref="W14" si="6">W15-SUM(W4:W11)</f>
        <v>533304</v>
      </c>
      <c r="X14">
        <f>X15-SUM(X4:X11)</f>
        <v>2525404</v>
      </c>
    </row>
    <row r="15" spans="1:29" x14ac:dyDescent="0.25">
      <c r="A15" t="s">
        <v>38</v>
      </c>
      <c r="B15">
        <f>B14-B12</f>
        <v>515129</v>
      </c>
      <c r="C15">
        <f>C14-C12</f>
        <v>519105</v>
      </c>
      <c r="D15">
        <f>D13-D12</f>
        <v>3314940</v>
      </c>
      <c r="K15" t="s">
        <v>44</v>
      </c>
      <c r="L15">
        <v>1249676</v>
      </c>
      <c r="M15">
        <f>3952712/4</f>
        <v>988178</v>
      </c>
      <c r="N15">
        <f>16186856/4</f>
        <v>4046714</v>
      </c>
      <c r="U15" t="s">
        <v>44</v>
      </c>
      <c r="V15">
        <v>349860</v>
      </c>
      <c r="W15">
        <f>2219052/4</f>
        <v>554763</v>
      </c>
      <c r="X15">
        <f>10214616/4</f>
        <v>2553654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>B22*100/B34</f>
        <v>5.8699870166297019E-2</v>
      </c>
      <c r="H22">
        <f>C22*100/C34</f>
        <v>9.6629134196128688E-2</v>
      </c>
      <c r="I22">
        <f t="shared" ref="I22:I23" si="7">D22*100/244518</f>
        <v>0</v>
      </c>
      <c r="K22" t="s">
        <v>5</v>
      </c>
      <c r="L22">
        <v>1213</v>
      </c>
      <c r="M22">
        <v>1946</v>
      </c>
      <c r="P22" t="s">
        <v>5</v>
      </c>
      <c r="Q22">
        <f>100*L22/L34</f>
        <v>0.19892093999573623</v>
      </c>
      <c r="R22">
        <f t="shared" ref="R22:S22" si="8">100*M22/M34</f>
        <v>0.34215625252749032</v>
      </c>
      <c r="S22">
        <f t="shared" si="8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>100*V22/V34</f>
        <v>0.10523736708800972</v>
      </c>
      <c r="AB22">
        <f t="shared" ref="AB22:AC22" si="9">100*W22/W34</f>
        <v>0.26491544759275443</v>
      </c>
      <c r="AC22">
        <f t="shared" si="9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>B23*100/B34</f>
        <v>6.4386721298992464E-2</v>
      </c>
      <c r="H23">
        <f>C23*100/C34</f>
        <v>6.0208259116315756E-2</v>
      </c>
      <c r="I23">
        <f t="shared" si="7"/>
        <v>0</v>
      </c>
      <c r="K23" t="s">
        <v>6</v>
      </c>
      <c r="L23">
        <v>809</v>
      </c>
      <c r="M23">
        <v>1252</v>
      </c>
      <c r="P23" t="s">
        <v>6</v>
      </c>
      <c r="Q23">
        <f>100*L23/L34</f>
        <v>0.13266862362452647</v>
      </c>
      <c r="R23">
        <f t="shared" ref="R23:S23" si="10">100*M23/M34</f>
        <v>0.22013341632292799</v>
      </c>
      <c r="S23">
        <f t="shared" si="10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>100*V23/V34</f>
        <v>0.43393809149894613</v>
      </c>
      <c r="AB23">
        <f t="shared" ref="AB23:AC23" si="11">100*W23/W34</f>
        <v>0.17043892106173103</v>
      </c>
      <c r="AC23">
        <f t="shared" si="11"/>
        <v>0</v>
      </c>
    </row>
    <row r="24" spans="1:29" x14ac:dyDescent="0.25">
      <c r="A24" t="s">
        <v>7</v>
      </c>
      <c r="B24">
        <v>91473</v>
      </c>
      <c r="C24">
        <v>8853</v>
      </c>
      <c r="D24">
        <v>55731</v>
      </c>
      <c r="F24" t="s">
        <v>7</v>
      </c>
      <c r="G24">
        <f>B24*100/B34</f>
        <v>8.8168361637466131</v>
      </c>
      <c r="H24">
        <f>C24*100/C34</f>
        <v>1.0076062721299497</v>
      </c>
      <c r="I24">
        <f>D24*100/D34</f>
        <v>1.1323082399393891</v>
      </c>
      <c r="K24" t="s">
        <v>7</v>
      </c>
      <c r="L24">
        <v>135176</v>
      </c>
      <c r="M24">
        <v>14829</v>
      </c>
      <c r="N24">
        <v>124830</v>
      </c>
      <c r="P24" t="s">
        <v>7</v>
      </c>
      <c r="Q24">
        <f>100*L24/L34</f>
        <v>22.167631479689728</v>
      </c>
      <c r="R24">
        <f t="shared" ref="R24:S24" si="12">100*M24/M34</f>
        <v>2.6073150404574275</v>
      </c>
      <c r="S24">
        <f t="shared" si="12"/>
        <v>4.6464641200881873</v>
      </c>
      <c r="U24" t="s">
        <v>7</v>
      </c>
      <c r="V24">
        <v>107068</v>
      </c>
      <c r="W24">
        <v>14829</v>
      </c>
      <c r="X24">
        <v>58007</v>
      </c>
      <c r="Z24" t="s">
        <v>7</v>
      </c>
      <c r="AA24">
        <f>100*V24/V34</f>
        <v>15.803021626057539</v>
      </c>
      <c r="AB24">
        <f t="shared" ref="AB24:AC24" si="13">100*W24/W34</f>
        <v>2.018721054652084</v>
      </c>
      <c r="AC24">
        <f t="shared" si="13"/>
        <v>2.0504585226391026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>B26*100/B34</f>
        <v>7.9194703324687392</v>
      </c>
      <c r="H26">
        <f>C26*100/C34</f>
        <v>0.34599831325822289</v>
      </c>
      <c r="I26">
        <f t="shared" ref="G26:I28" si="14">D26*100/244518</f>
        <v>0</v>
      </c>
      <c r="K26" t="s">
        <v>8</v>
      </c>
      <c r="L26">
        <v>22710</v>
      </c>
      <c r="M26">
        <v>6909</v>
      </c>
      <c r="P26" t="s">
        <v>8</v>
      </c>
      <c r="Q26">
        <f>100*L26/L34</f>
        <v>3.7242329326489445</v>
      </c>
      <c r="R26">
        <f t="shared" ref="R26:S26" si="15">100*M26/M34</f>
        <v>1.2147777742612695</v>
      </c>
      <c r="S26">
        <f t="shared" si="15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>100*V26/V34</f>
        <v>5.8193459637853575</v>
      </c>
      <c r="AB26">
        <f t="shared" ref="AB26:AC26" si="16">100*W26/W34</f>
        <v>0.94054513228075043</v>
      </c>
      <c r="AC26">
        <f t="shared" si="16"/>
        <v>0</v>
      </c>
    </row>
    <row r="27" spans="1:29" x14ac:dyDescent="0.25">
      <c r="A27" t="s">
        <v>9</v>
      </c>
      <c r="B27">
        <v>3457</v>
      </c>
      <c r="C27">
        <v>119</v>
      </c>
      <c r="F27" t="s">
        <v>9</v>
      </c>
      <c r="G27">
        <f t="shared" si="14"/>
        <v>1.4138018468987967</v>
      </c>
      <c r="H27">
        <f>C27*100/C34</f>
        <v>1.3544012920305435E-2</v>
      </c>
      <c r="I27">
        <f t="shared" si="14"/>
        <v>0</v>
      </c>
      <c r="K27" t="s">
        <v>9</v>
      </c>
      <c r="L27">
        <v>2223</v>
      </c>
      <c r="M27">
        <v>128</v>
      </c>
      <c r="P27" t="s">
        <v>9</v>
      </c>
      <c r="Q27">
        <f>100*L27/L34</f>
        <v>0.36455173092376064</v>
      </c>
      <c r="R27">
        <f t="shared" ref="R27:S27" si="17">100*M27/M34</f>
        <v>2.2505652787008612E-2</v>
      </c>
      <c r="S27">
        <f t="shared" si="17"/>
        <v>0</v>
      </c>
      <c r="U27" t="s">
        <v>9</v>
      </c>
      <c r="V27">
        <v>993</v>
      </c>
      <c r="W27">
        <v>128</v>
      </c>
      <c r="X27">
        <v>0</v>
      </c>
      <c r="Z27" t="s">
        <v>9</v>
      </c>
      <c r="AA27">
        <f>100*V27/V34</f>
        <v>0.14656480437362365</v>
      </c>
      <c r="AB27">
        <f t="shared" ref="AB27:AC27" si="18">100*W27/W34</f>
        <v>1.7425065412061957E-2</v>
      </c>
      <c r="AC27">
        <f t="shared" si="18"/>
        <v>0</v>
      </c>
    </row>
    <row r="28" spans="1:29" x14ac:dyDescent="0.25">
      <c r="A28" t="s">
        <v>10</v>
      </c>
      <c r="B28">
        <v>14933</v>
      </c>
      <c r="C28">
        <v>4130</v>
      </c>
      <c r="F28" t="s">
        <v>10</v>
      </c>
      <c r="G28">
        <f>B28*100/B34</f>
        <v>1.4393516604159498</v>
      </c>
      <c r="H28">
        <f>C28*100/C34</f>
        <v>0.47005691899883567</v>
      </c>
      <c r="I28">
        <f t="shared" si="14"/>
        <v>0</v>
      </c>
      <c r="K28" t="s">
        <v>10</v>
      </c>
      <c r="L28">
        <v>18267</v>
      </c>
      <c r="M28">
        <v>4726</v>
      </c>
      <c r="N28">
        <v>4595</v>
      </c>
      <c r="P28" t="s">
        <v>10</v>
      </c>
      <c r="Q28">
        <f>100*L28/L34</f>
        <v>2.9956214434477442</v>
      </c>
      <c r="R28">
        <f t="shared" ref="R28:S28" si="19">100*M28/M34</f>
        <v>0.83095089899533359</v>
      </c>
      <c r="S28">
        <f t="shared" si="19"/>
        <v>0.17103663087242826</v>
      </c>
      <c r="U28" t="s">
        <v>10</v>
      </c>
      <c r="V28">
        <v>10811</v>
      </c>
      <c r="W28">
        <v>4726</v>
      </c>
      <c r="X28">
        <v>1271</v>
      </c>
      <c r="Z28" t="s">
        <v>10</v>
      </c>
      <c r="AA28">
        <f>100*V28/V34</f>
        <v>1.5956818731956146</v>
      </c>
      <c r="AB28">
        <f t="shared" ref="AB28:AC28" si="20">100*W28/W34</f>
        <v>0.64336608701097509</v>
      </c>
      <c r="AC28">
        <f t="shared" si="20"/>
        <v>4.4927901499375922E-2</v>
      </c>
    </row>
    <row r="30" spans="1:29" x14ac:dyDescent="0.25">
      <c r="F30" t="s">
        <v>42</v>
      </c>
      <c r="G30">
        <f>B33*100/B34</f>
        <v>81.368044330450388</v>
      </c>
      <c r="H30">
        <f>C33*100/C34</f>
        <v>98.005957089380246</v>
      </c>
      <c r="I30">
        <f>D33*100/D34</f>
        <v>98.867691760060609</v>
      </c>
      <c r="P30" t="s">
        <v>42</v>
      </c>
      <c r="Q30">
        <f>L33*100/L34</f>
        <v>70.416372849669557</v>
      </c>
      <c r="R30">
        <f t="shared" ref="R30:S30" si="21">M33*100/M34</f>
        <v>94.762160964648544</v>
      </c>
      <c r="S30">
        <f t="shared" si="21"/>
        <v>95.182499249039381</v>
      </c>
      <c r="Z30" t="s">
        <v>42</v>
      </c>
      <c r="AA30">
        <f>V33*100/V34</f>
        <v>76.09621027400091</v>
      </c>
      <c r="AB30">
        <f t="shared" ref="AB30:AC30" si="22">W33*100/W34</f>
        <v>95.944588291989646</v>
      </c>
      <c r="AC30">
        <f t="shared" si="22"/>
        <v>97.904613575861518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43</v>
      </c>
      <c r="V32">
        <v>189892</v>
      </c>
      <c r="W32">
        <v>189892</v>
      </c>
      <c r="X32">
        <v>189892</v>
      </c>
    </row>
    <row r="33" spans="1:24" x14ac:dyDescent="0.25">
      <c r="A33" t="s">
        <v>37</v>
      </c>
      <c r="B33">
        <f>B34-SUM(B22:B29)</f>
        <v>844178</v>
      </c>
      <c r="C33">
        <f t="shared" ref="C33:D33" si="23">C34-SUM(C22:C29)</f>
        <v>861097</v>
      </c>
      <c r="D33">
        <f t="shared" si="23"/>
        <v>4866162</v>
      </c>
      <c r="K33" t="s">
        <v>37</v>
      </c>
      <c r="L33">
        <f>L34-SUM(L22:L29)</f>
        <v>429392</v>
      </c>
      <c r="M33">
        <f t="shared" ref="M33:N33" si="24">M34-SUM(M22:M29)</f>
        <v>538956</v>
      </c>
      <c r="N33">
        <f t="shared" si="24"/>
        <v>2557134</v>
      </c>
      <c r="U33" t="s">
        <v>37</v>
      </c>
      <c r="V33">
        <f>V34-SUM(V22:V29)</f>
        <v>515564</v>
      </c>
      <c r="W33">
        <f t="shared" ref="W33:X33" si="25">W34-SUM(W22:W29)</f>
        <v>704784</v>
      </c>
      <c r="X33">
        <f t="shared" si="25"/>
        <v>2769699</v>
      </c>
    </row>
    <row r="34" spans="1:24" x14ac:dyDescent="0.25">
      <c r="A34" t="s">
        <v>44</v>
      </c>
      <c r="B34">
        <v>1037481</v>
      </c>
      <c r="C34">
        <f>3514468/4</f>
        <v>878617</v>
      </c>
      <c r="D34">
        <f>19687572/4</f>
        <v>4921893</v>
      </c>
      <c r="K34" t="s">
        <v>44</v>
      </c>
      <c r="L34">
        <v>609790</v>
      </c>
      <c r="M34">
        <f>2274984/4</f>
        <v>568746</v>
      </c>
      <c r="N34">
        <f>10746236/4</f>
        <v>2686559</v>
      </c>
      <c r="U34" t="s">
        <v>44</v>
      </c>
      <c r="V34">
        <v>677516</v>
      </c>
      <c r="W34">
        <f>2938296/4</f>
        <v>734574</v>
      </c>
      <c r="X34">
        <f>11315908/4</f>
        <v>2828977</v>
      </c>
    </row>
    <row r="37" spans="1:24" x14ac:dyDescent="0.25">
      <c r="A37" t="s">
        <v>17</v>
      </c>
      <c r="K37" t="s">
        <v>18</v>
      </c>
    </row>
    <row r="38" spans="1:24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24" x14ac:dyDescent="0.25">
      <c r="A39" t="s">
        <v>5</v>
      </c>
      <c r="B39">
        <v>434</v>
      </c>
      <c r="C39">
        <v>2071</v>
      </c>
      <c r="F39" t="s">
        <v>5</v>
      </c>
      <c r="G39">
        <f>B39*100/B50</f>
        <v>2.1852090550229599E-2</v>
      </c>
      <c r="H39">
        <f t="shared" ref="H39:I39" si="26">C39*100/C50</f>
        <v>0.128304411664488</v>
      </c>
      <c r="I39">
        <f t="shared" si="26"/>
        <v>0</v>
      </c>
      <c r="K39" t="s">
        <v>5</v>
      </c>
      <c r="L39">
        <v>1102</v>
      </c>
      <c r="M39">
        <v>743</v>
      </c>
      <c r="P39" t="s">
        <v>5</v>
      </c>
      <c r="Q39">
        <f>L39*100/L50</f>
        <v>0.17699285604152748</v>
      </c>
      <c r="R39">
        <f t="shared" ref="R39:S39" si="27">M39*100/M50</f>
        <v>0.13504057578538908</v>
      </c>
      <c r="S39">
        <f t="shared" si="27"/>
        <v>0</v>
      </c>
    </row>
    <row r="40" spans="1:24" x14ac:dyDescent="0.25">
      <c r="A40" t="s">
        <v>6</v>
      </c>
      <c r="B40">
        <v>2179</v>
      </c>
      <c r="C40">
        <v>892</v>
      </c>
      <c r="F40" t="s">
        <v>6</v>
      </c>
      <c r="G40">
        <f>B40*100/B50</f>
        <v>0.10971360670265044</v>
      </c>
      <c r="H40">
        <f t="shared" ref="H40:I40" si="28">C40*100/C50</f>
        <v>5.5261967747331379E-2</v>
      </c>
      <c r="I40">
        <f t="shared" si="28"/>
        <v>0</v>
      </c>
      <c r="K40" t="s">
        <v>6</v>
      </c>
      <c r="L40">
        <v>1225</v>
      </c>
      <c r="M40">
        <v>371</v>
      </c>
      <c r="P40" t="s">
        <v>6</v>
      </c>
      <c r="Q40">
        <f>L40*100/L50</f>
        <v>0.1967479570334584</v>
      </c>
      <c r="R40">
        <f t="shared" ref="R40:S40" si="29">M40*100/M50</f>
        <v>6.7429412673458075E-2</v>
      </c>
      <c r="S40">
        <f t="shared" si="29"/>
        <v>0</v>
      </c>
    </row>
    <row r="41" spans="1:24" x14ac:dyDescent="0.25">
      <c r="A41" t="s">
        <v>7</v>
      </c>
      <c r="B41">
        <v>848704</v>
      </c>
      <c r="C41">
        <v>193487</v>
      </c>
      <c r="D41">
        <f>754560</f>
        <v>754560</v>
      </c>
      <c r="F41" t="s">
        <v>7</v>
      </c>
      <c r="G41">
        <f>B41*100/B50</f>
        <v>42.732619028437931</v>
      </c>
      <c r="H41">
        <f t="shared" ref="H41:I41" si="30">C41*100/C50</f>
        <v>11.98707662951559</v>
      </c>
      <c r="I41">
        <f t="shared" si="30"/>
        <v>14.405525783745292</v>
      </c>
      <c r="K41" t="s">
        <v>7</v>
      </c>
      <c r="L41">
        <v>67058</v>
      </c>
      <c r="M41">
        <v>11627</v>
      </c>
      <c r="N41">
        <v>48816</v>
      </c>
      <c r="P41" t="s">
        <v>7</v>
      </c>
      <c r="Q41">
        <f>L41*100/L50</f>
        <v>10.770224083877268</v>
      </c>
      <c r="R41">
        <f t="shared" ref="R41:S41" si="31">M41*100/M50</f>
        <v>2.1132123481247898</v>
      </c>
      <c r="S41">
        <f t="shared" si="31"/>
        <v>1.6815041774094377</v>
      </c>
    </row>
    <row r="43" spans="1:24" x14ac:dyDescent="0.25">
      <c r="A43" t="s">
        <v>8</v>
      </c>
      <c r="B43">
        <v>79051</v>
      </c>
      <c r="C43">
        <v>48535</v>
      </c>
      <c r="D43">
        <v>19019</v>
      </c>
      <c r="F43" t="s">
        <v>8</v>
      </c>
      <c r="G43">
        <f>B43*100/B50</f>
        <v>3.980252557802304</v>
      </c>
      <c r="H43">
        <f t="shared" ref="H43:I43" si="32">C43*100/C50</f>
        <v>3.0068829648169602</v>
      </c>
      <c r="I43">
        <f t="shared" si="32"/>
        <v>0.36309729495474408</v>
      </c>
      <c r="K43" t="s">
        <v>8</v>
      </c>
      <c r="L43">
        <v>60830</v>
      </c>
      <c r="M43">
        <v>4970</v>
      </c>
      <c r="N43">
        <v>53388</v>
      </c>
      <c r="P43" t="s">
        <v>8</v>
      </c>
      <c r="Q43">
        <f>L43*100/L50</f>
        <v>9.7699414092614489</v>
      </c>
      <c r="R43">
        <f t="shared" ref="R43:S43" si="33">M43*100/M50</f>
        <v>0.90329967921047605</v>
      </c>
      <c r="S43">
        <f t="shared" si="33"/>
        <v>1.8389901881255135</v>
      </c>
    </row>
    <row r="44" spans="1:24" x14ac:dyDescent="0.25">
      <c r="A44" t="s">
        <v>9</v>
      </c>
      <c r="B44">
        <v>6318</v>
      </c>
      <c r="C44">
        <v>630</v>
      </c>
      <c r="F44" t="s">
        <v>9</v>
      </c>
      <c r="G44">
        <f>B44*100/B50</f>
        <v>0.31811407395472491</v>
      </c>
      <c r="H44">
        <f t="shared" ref="H44:I44" si="34">C44*100/C50</f>
        <v>3.9030313543518796E-2</v>
      </c>
      <c r="I44">
        <f t="shared" si="34"/>
        <v>0</v>
      </c>
      <c r="K44" t="s">
        <v>9</v>
      </c>
      <c r="L44">
        <v>3375</v>
      </c>
      <c r="M44">
        <v>119</v>
      </c>
      <c r="P44" t="s">
        <v>9</v>
      </c>
      <c r="Q44">
        <f>L44*100/L50</f>
        <v>0.5420606979493241</v>
      </c>
      <c r="R44">
        <f t="shared" ref="R44:S44" si="35">M44*100/M50</f>
        <v>2.1628302178279005E-2</v>
      </c>
      <c r="S44">
        <f t="shared" si="35"/>
        <v>0</v>
      </c>
    </row>
    <row r="45" spans="1:24" x14ac:dyDescent="0.25">
      <c r="A45" t="s">
        <v>10</v>
      </c>
      <c r="B45">
        <v>83002</v>
      </c>
      <c r="C45">
        <v>30230</v>
      </c>
      <c r="D45">
        <f>22798+3029+83495</f>
        <v>109322</v>
      </c>
      <c r="F45" t="s">
        <v>10</v>
      </c>
      <c r="G45">
        <f>B45*100/B50</f>
        <v>4.1791871425118829</v>
      </c>
      <c r="H45">
        <f t="shared" ref="H45:I45" si="36">C45*100/C50</f>
        <v>1.8728355213024974</v>
      </c>
      <c r="I45">
        <f t="shared" si="36"/>
        <v>2.0870982953384791</v>
      </c>
      <c r="K45" t="s">
        <v>10</v>
      </c>
      <c r="L45">
        <v>7449</v>
      </c>
      <c r="M45">
        <v>3226</v>
      </c>
      <c r="N45">
        <v>2048</v>
      </c>
      <c r="P45" t="s">
        <v>10</v>
      </c>
      <c r="Q45">
        <f>L45*100/L50</f>
        <v>1.1963881893405972</v>
      </c>
      <c r="R45">
        <f t="shared" ref="R45:S45" si="37">M45*100/M50</f>
        <v>0.58632691451368124</v>
      </c>
      <c r="S45">
        <f t="shared" si="37"/>
        <v>7.0544914686466093E-2</v>
      </c>
    </row>
    <row r="47" spans="1:24" x14ac:dyDescent="0.25">
      <c r="F47" t="s">
        <v>42</v>
      </c>
      <c r="G47">
        <f>B49*100/B50</f>
        <v>48.658261500040282</v>
      </c>
      <c r="H47">
        <f t="shared" ref="H47:I47" si="38">C49*100/C50</f>
        <v>82.910608191409608</v>
      </c>
      <c r="I47">
        <f t="shared" si="38"/>
        <v>83.144278625961491</v>
      </c>
      <c r="P47" t="s">
        <v>42</v>
      </c>
      <c r="Q47">
        <f>L49*100/L50</f>
        <v>77.347644806496376</v>
      </c>
      <c r="R47">
        <f t="shared" ref="R47:S47" si="39">M49*100/M50</f>
        <v>96.173062767513926</v>
      </c>
      <c r="S47">
        <f t="shared" si="39"/>
        <v>96.408960719778577</v>
      </c>
    </row>
    <row r="48" spans="1:24" x14ac:dyDescent="0.25">
      <c r="A48" t="s">
        <v>43</v>
      </c>
      <c r="B48">
        <v>1097960</v>
      </c>
      <c r="C48">
        <v>1097960</v>
      </c>
      <c r="D48">
        <v>1097960</v>
      </c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37</v>
      </c>
      <c r="B49">
        <f>B50-SUM(B39:B46)</f>
        <v>966392</v>
      </c>
      <c r="C49">
        <f t="shared" ref="C49:D49" si="40">C50-SUM(C39:C46)</f>
        <v>1338285</v>
      </c>
      <c r="D49">
        <f t="shared" si="40"/>
        <v>4355089</v>
      </c>
      <c r="K49" t="s">
        <v>37</v>
      </c>
      <c r="L49">
        <f>L50-SUM(L39:L46)</f>
        <v>481585</v>
      </c>
      <c r="M49">
        <f t="shared" ref="M49:N49" si="41">M50-SUM(M39:M46)</f>
        <v>529149</v>
      </c>
      <c r="N49">
        <f t="shared" si="41"/>
        <v>2798863</v>
      </c>
    </row>
    <row r="50" spans="1:39" x14ac:dyDescent="0.25">
      <c r="A50" t="s">
        <v>44</v>
      </c>
      <c r="B50">
        <v>1986080</v>
      </c>
      <c r="C50">
        <f>6456520/4</f>
        <v>1614130</v>
      </c>
      <c r="D50">
        <f>20951960/4</f>
        <v>5237990</v>
      </c>
      <c r="K50" t="s">
        <v>44</v>
      </c>
      <c r="L50">
        <v>622624</v>
      </c>
      <c r="M50">
        <f>2200820/4</f>
        <v>550205</v>
      </c>
      <c r="N50">
        <f>11612460/4</f>
        <v>2903115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B55*100/B66</f>
        <v>2.7983868959604811E-2</v>
      </c>
      <c r="H55">
        <f t="shared" ref="H55:I55" si="42">C55*100/C66</f>
        <v>8.5616840011446857E-2</v>
      </c>
      <c r="I55">
        <f t="shared" si="42"/>
        <v>0</v>
      </c>
      <c r="K55" t="s">
        <v>5</v>
      </c>
      <c r="L55">
        <v>1078</v>
      </c>
      <c r="M55">
        <v>1486</v>
      </c>
      <c r="P55" t="s">
        <v>5</v>
      </c>
      <c r="Q55">
        <f>L55*100/L66</f>
        <v>0.11109141648769751</v>
      </c>
      <c r="R55">
        <f t="shared" ref="R55:S55" si="43">M55*100/M66</f>
        <v>0.15739441281609956</v>
      </c>
      <c r="S55">
        <f t="shared" si="43"/>
        <v>0</v>
      </c>
      <c r="U55" t="s">
        <v>5</v>
      </c>
      <c r="V55">
        <v>2325</v>
      </c>
      <c r="W55">
        <v>2080</v>
      </c>
      <c r="Z55" t="s">
        <v>5</v>
      </c>
      <c r="AA55">
        <f>V55*100/V66</f>
        <v>0.18076265513517548</v>
      </c>
      <c r="AB55">
        <f t="shared" ref="AB55:AC55" si="44">W55*100/W66</f>
        <v>0.14694205114148542</v>
      </c>
      <c r="AC55">
        <f t="shared" si="44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>AF55*100/AF66</f>
        <v>9.1616138977897041E-2</v>
      </c>
      <c r="AL55">
        <f t="shared" ref="AL55:AM55" si="45">AG55*100/AG66</f>
        <v>8.7322007685319669E-2</v>
      </c>
      <c r="AM55">
        <f t="shared" si="45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>B56*100/B66</f>
        <v>7.1204717416282579E-2</v>
      </c>
      <c r="H56">
        <f t="shared" ref="H56:I56" si="46">C56*100/C66</f>
        <v>4.1694228252149801E-2</v>
      </c>
      <c r="I56">
        <f t="shared" si="46"/>
        <v>0</v>
      </c>
      <c r="K56" t="s">
        <v>6</v>
      </c>
      <c r="L56">
        <v>1608</v>
      </c>
      <c r="M56">
        <v>515</v>
      </c>
      <c r="P56" t="s">
        <v>6</v>
      </c>
      <c r="Q56">
        <f>L56*100/L66</f>
        <v>0.16570964537311464</v>
      </c>
      <c r="R56">
        <f t="shared" ref="R56:S56" si="47">M56*100/M66</f>
        <v>5.4547861776777437E-2</v>
      </c>
      <c r="S56">
        <f t="shared" si="47"/>
        <v>0</v>
      </c>
      <c r="U56" t="s">
        <v>6</v>
      </c>
      <c r="V56">
        <v>3136</v>
      </c>
      <c r="W56">
        <v>690</v>
      </c>
      <c r="Z56" t="s">
        <v>6</v>
      </c>
      <c r="AA56">
        <f>V56*100/V66</f>
        <v>0.24381577914146679</v>
      </c>
      <c r="AB56">
        <f t="shared" ref="AB56:AC56" si="48">W56*100/W66</f>
        <v>4.8745199657511985E-2</v>
      </c>
      <c r="AC56">
        <f t="shared" si="48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>AF56*100/AF66</f>
        <v>0.11319514691897196</v>
      </c>
      <c r="AL56">
        <f t="shared" ref="AL56:AM56" si="49">AG56*100/AG66</f>
        <v>3.8991815814457938E-2</v>
      </c>
      <c r="AM56">
        <f t="shared" si="49"/>
        <v>0</v>
      </c>
    </row>
    <row r="57" spans="1:39" x14ac:dyDescent="0.25">
      <c r="A57" t="s">
        <v>7</v>
      </c>
      <c r="B57">
        <v>239260</v>
      </c>
      <c r="C57">
        <v>82462</v>
      </c>
      <c r="D57">
        <v>301097</v>
      </c>
      <c r="F57" t="s">
        <v>7</v>
      </c>
      <c r="G57">
        <f>B57*100/B66</f>
        <v>14.185212896769167</v>
      </c>
      <c r="H57">
        <f t="shared" ref="H57:I57" si="50">C57*100/C66</f>
        <v>4.8357094938520069</v>
      </c>
      <c r="I57">
        <f t="shared" si="50"/>
        <v>7.0068265461539445</v>
      </c>
      <c r="K57" t="s">
        <v>7</v>
      </c>
      <c r="L57">
        <v>83750</v>
      </c>
      <c r="M57">
        <v>12831</v>
      </c>
      <c r="N57">
        <v>60761</v>
      </c>
      <c r="P57" t="s">
        <v>7</v>
      </c>
      <c r="Q57">
        <f>L57*100/L66</f>
        <v>8.6307106965163882</v>
      </c>
      <c r="R57">
        <f t="shared" ref="R57:S57" si="51">M57*100/M66</f>
        <v>1.3590361445783132</v>
      </c>
      <c r="S57">
        <f t="shared" si="51"/>
        <v>1.4369323371144811</v>
      </c>
      <c r="U57" t="s">
        <v>7</v>
      </c>
      <c r="V57">
        <v>327658</v>
      </c>
      <c r="W57">
        <v>80651</v>
      </c>
      <c r="X57">
        <v>283012</v>
      </c>
      <c r="Z57" t="s">
        <v>7</v>
      </c>
      <c r="AA57">
        <f>V57*100/V66</f>
        <v>25.474550561841433</v>
      </c>
      <c r="AB57">
        <f t="shared" ref="AB57:AC57" si="52">W57*100/W66</f>
        <v>5.6976073877942017</v>
      </c>
      <c r="AC57">
        <f t="shared" si="52"/>
        <v>4.9594577141794698</v>
      </c>
      <c r="AE57" t="s">
        <v>7</v>
      </c>
      <c r="AF57">
        <v>202465</v>
      </c>
      <c r="AG57">
        <v>84140</v>
      </c>
      <c r="AH57">
        <v>275659</v>
      </c>
      <c r="AJ57" t="s">
        <v>7</v>
      </c>
      <c r="AK57">
        <f>AF57*100/AF66</f>
        <v>15.329802957156963</v>
      </c>
      <c r="AL57">
        <f t="shared" ref="AL57:AM57" si="53">AG57*100/AG66</f>
        <v>6.8923768542615349</v>
      </c>
      <c r="AM57">
        <f t="shared" si="53"/>
        <v>6.8160233257893434</v>
      </c>
    </row>
    <row r="59" spans="1:39" x14ac:dyDescent="0.25">
      <c r="A59" t="s">
        <v>8</v>
      </c>
      <c r="B59">
        <v>49878</v>
      </c>
      <c r="C59">
        <v>24265</v>
      </c>
      <c r="D59">
        <v>9456</v>
      </c>
      <c r="F59" t="s">
        <v>8</v>
      </c>
      <c r="G59">
        <f>B59*100/B66</f>
        <v>2.9571597795914593</v>
      </c>
      <c r="H59">
        <f t="shared" ref="H59:I59" si="54">C59*100/C66</f>
        <v>1.4229401526559986</v>
      </c>
      <c r="I59">
        <f t="shared" si="54"/>
        <v>0.22005052132844796</v>
      </c>
      <c r="K59" t="s">
        <v>8</v>
      </c>
      <c r="L59">
        <v>57826</v>
      </c>
      <c r="M59">
        <v>4504</v>
      </c>
      <c r="P59" t="s">
        <v>8</v>
      </c>
      <c r="Q59">
        <f>L59*100/L66</f>
        <v>5.9591579311851541</v>
      </c>
      <c r="R59">
        <f t="shared" ref="R59:S59" si="55">M59*100/M66</f>
        <v>0.47705547464583609</v>
      </c>
      <c r="S59">
        <f t="shared" si="55"/>
        <v>0</v>
      </c>
      <c r="U59" t="s">
        <v>8</v>
      </c>
      <c r="V59">
        <v>42235</v>
      </c>
      <c r="W59">
        <v>20857</v>
      </c>
      <c r="Z59" t="s">
        <v>8</v>
      </c>
      <c r="AA59">
        <f>V59*100/V66</f>
        <v>3.2836605331759725</v>
      </c>
      <c r="AB59">
        <f t="shared" ref="AB59:AC59" si="56">W59*100/W66</f>
        <v>1.473447288777866</v>
      </c>
      <c r="AC59">
        <f t="shared" si="56"/>
        <v>0</v>
      </c>
      <c r="AE59" t="s">
        <v>8</v>
      </c>
      <c r="AF59">
        <v>68600</v>
      </c>
      <c r="AG59">
        <v>22095</v>
      </c>
      <c r="AH59">
        <v>8024</v>
      </c>
      <c r="AJ59" t="s">
        <v>8</v>
      </c>
      <c r="AK59">
        <f>AF59*100/AF66</f>
        <v>5.1941050693254027</v>
      </c>
      <c r="AL59">
        <f t="shared" ref="AL59:AM59" si="57">AG59*100/AG66</f>
        <v>1.8099247277740507</v>
      </c>
      <c r="AM59">
        <f t="shared" si="57"/>
        <v>0.1984037204159258</v>
      </c>
    </row>
    <row r="60" spans="1:39" x14ac:dyDescent="0.25">
      <c r="A60" t="s">
        <v>9</v>
      </c>
      <c r="B60">
        <v>3873</v>
      </c>
      <c r="C60">
        <v>398</v>
      </c>
      <c r="F60" t="s">
        <v>9</v>
      </c>
      <c r="G60">
        <f>B60*100/B66</f>
        <v>0.22962187389946914</v>
      </c>
      <c r="H60">
        <f t="shared" ref="H60:I60" si="58">C60*100/C66</f>
        <v>2.3339385153805375E-2</v>
      </c>
      <c r="I60">
        <f t="shared" si="58"/>
        <v>0</v>
      </c>
      <c r="K60" t="s">
        <v>9</v>
      </c>
      <c r="L60">
        <v>3616</v>
      </c>
      <c r="M60">
        <v>389</v>
      </c>
      <c r="P60" t="s">
        <v>9</v>
      </c>
      <c r="Q60">
        <f>L60*100/L66</f>
        <v>0.37264059556541201</v>
      </c>
      <c r="R60">
        <f t="shared" ref="R60:S60" si="59">M60*100/M66</f>
        <v>4.1202171322653247E-2</v>
      </c>
      <c r="S60">
        <f t="shared" si="59"/>
        <v>0</v>
      </c>
      <c r="U60" t="s">
        <v>9</v>
      </c>
      <c r="V60">
        <v>4299</v>
      </c>
      <c r="W60">
        <v>719</v>
      </c>
      <c r="Z60" t="s">
        <v>9</v>
      </c>
      <c r="AA60">
        <f>V60*100/V66</f>
        <v>0.33423598039833091</v>
      </c>
      <c r="AB60">
        <f t="shared" ref="AB60:AC60" si="60">W60*100/W66</f>
        <v>5.0793910947465389E-2</v>
      </c>
      <c r="AC60">
        <f t="shared" si="60"/>
        <v>0</v>
      </c>
      <c r="AE60" t="s">
        <v>9</v>
      </c>
      <c r="AF60">
        <v>5108</v>
      </c>
      <c r="AG60">
        <v>462</v>
      </c>
      <c r="AH60">
        <v>0</v>
      </c>
      <c r="AJ60" t="s">
        <v>9</v>
      </c>
      <c r="AK60">
        <f>AF60*100/AF66</f>
        <v>0.38675639495793229</v>
      </c>
      <c r="AL60">
        <f t="shared" ref="AL60:AM60" si="61">AG60*100/AG66</f>
        <v>3.7844997702267999E-2</v>
      </c>
      <c r="AM60">
        <f t="shared" si="61"/>
        <v>0</v>
      </c>
    </row>
    <row r="61" spans="1:39" x14ac:dyDescent="0.25">
      <c r="A61" t="s">
        <v>10</v>
      </c>
      <c r="B61">
        <v>85355</v>
      </c>
      <c r="C61">
        <v>30622</v>
      </c>
      <c r="D61">
        <f>10764+1301+96668</f>
        <v>108733</v>
      </c>
      <c r="F61" t="s">
        <v>10</v>
      </c>
      <c r="G61">
        <f>B61*100/B66</f>
        <v>5.0605151166251456</v>
      </c>
      <c r="H61">
        <f t="shared" ref="H61:I61" si="62">C61*100/C66</f>
        <v>1.7957252567332367</v>
      </c>
      <c r="I61">
        <f t="shared" si="62"/>
        <v>2.5303250143407503</v>
      </c>
      <c r="K61" t="s">
        <v>10</v>
      </c>
      <c r="L61">
        <v>11991</v>
      </c>
      <c r="M61">
        <v>6489</v>
      </c>
      <c r="P61" t="s">
        <v>10</v>
      </c>
      <c r="Q61">
        <f>L61*100/L66</f>
        <v>1.2357116652170508</v>
      </c>
      <c r="R61">
        <f t="shared" ref="R61:S61" si="63">M61*100/M66</f>
        <v>0.68730305838739569</v>
      </c>
      <c r="S61">
        <f t="shared" si="63"/>
        <v>0</v>
      </c>
      <c r="U61" t="s">
        <v>10</v>
      </c>
      <c r="V61">
        <v>52312</v>
      </c>
      <c r="W61">
        <v>25575</v>
      </c>
      <c r="X61">
        <v>13062</v>
      </c>
      <c r="Z61" t="s">
        <v>10</v>
      </c>
      <c r="AA61">
        <f>V61*100/V66</f>
        <v>4.0671208668521723</v>
      </c>
      <c r="AB61">
        <f t="shared" ref="AB61:AC61" si="64">W61*100/W66</f>
        <v>1.8067514220882162</v>
      </c>
      <c r="AC61">
        <f t="shared" si="64"/>
        <v>0.22889643076128302</v>
      </c>
      <c r="AE61" t="s">
        <v>10</v>
      </c>
      <c r="AF61">
        <v>59183</v>
      </c>
      <c r="AG61">
        <v>27795</v>
      </c>
      <c r="AH61">
        <f>12950+3265+73086</f>
        <v>89301</v>
      </c>
      <c r="AJ61" t="s">
        <v>10</v>
      </c>
      <c r="AK61">
        <f>AF61*100/AF66</f>
        <v>4.4810892174618848</v>
      </c>
      <c r="AL61">
        <f t="shared" ref="AL61:AM61" si="65">AG61*100/AG66</f>
        <v>2.2768435305942401</v>
      </c>
      <c r="AM61">
        <f t="shared" si="65"/>
        <v>2.2080820833577506</v>
      </c>
    </row>
    <row r="63" spans="1:39" x14ac:dyDescent="0.25">
      <c r="F63" t="s">
        <v>42</v>
      </c>
      <c r="G63">
        <f>B65*100/B66</f>
        <v>77.468301746738874</v>
      </c>
      <c r="H63">
        <f t="shared" ref="H63:I63" si="66">C65*100/C66</f>
        <v>91.794974643341362</v>
      </c>
      <c r="I63">
        <f t="shared" si="66"/>
        <v>90.242797918176862</v>
      </c>
      <c r="P63" t="s">
        <v>42</v>
      </c>
      <c r="Q63">
        <f>L65*100/L66</f>
        <v>83.524978049655189</v>
      </c>
      <c r="R63">
        <f t="shared" ref="R63:S63" si="67">M65*100/M66</f>
        <v>97.223460876472927</v>
      </c>
      <c r="S63">
        <f t="shared" si="67"/>
        <v>98.563067662885516</v>
      </c>
      <c r="Z63" t="s">
        <v>42</v>
      </c>
      <c r="AA63">
        <f>V65*100/V66</f>
        <v>66.415853623455448</v>
      </c>
      <c r="AB63">
        <f t="shared" ref="AB63:AC63" si="68">W65*100/W66</f>
        <v>90.77571273959326</v>
      </c>
      <c r="AC63">
        <f t="shared" si="68"/>
        <v>94.811645855059254</v>
      </c>
      <c r="AJ63" t="s">
        <v>42</v>
      </c>
      <c r="AK63">
        <f>AF65*100/AF66</f>
        <v>74.403435075200946</v>
      </c>
      <c r="AL63">
        <f t="shared" ref="AL63:AM63" si="69">AG65*100/AG66</f>
        <v>88.856696066168126</v>
      </c>
      <c r="AM63">
        <f t="shared" si="69"/>
        <v>90.777490870436978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B66-SUM(B55:B62)</f>
        <v>1306647</v>
      </c>
      <c r="C65">
        <f t="shared" ref="C65:D65" si="70">C66-SUM(C55:C62)</f>
        <v>1565354</v>
      </c>
      <c r="D65">
        <f t="shared" si="70"/>
        <v>3877909</v>
      </c>
      <c r="K65" t="s">
        <v>37</v>
      </c>
      <c r="L65">
        <f>L66-SUM(L55:L62)</f>
        <v>810503</v>
      </c>
      <c r="M65">
        <f t="shared" ref="M65:N65" si="71">M66-SUM(M55:M62)</f>
        <v>917911</v>
      </c>
      <c r="N65">
        <f t="shared" si="71"/>
        <v>4167761</v>
      </c>
      <c r="U65" t="s">
        <v>37</v>
      </c>
      <c r="V65">
        <f>V66-SUM(V55:V62)</f>
        <v>854252</v>
      </c>
      <c r="W65">
        <f t="shared" ref="W65:X65" si="72">W66-SUM(W55:W62)</f>
        <v>1284952</v>
      </c>
      <c r="X65">
        <f t="shared" si="72"/>
        <v>5410437</v>
      </c>
      <c r="AE65" t="s">
        <v>37</v>
      </c>
      <c r="AF65">
        <f>AF66-SUM(AF55:AF62)</f>
        <v>982667</v>
      </c>
      <c r="AG65">
        <f t="shared" ref="AG65:AH65" si="73">AG66-SUM(AG55:AG62)</f>
        <v>1084735</v>
      </c>
      <c r="AH65">
        <f t="shared" si="73"/>
        <v>3671295</v>
      </c>
    </row>
    <row r="66" spans="1:43" x14ac:dyDescent="0.25">
      <c r="A66" t="s">
        <v>44</v>
      </c>
      <c r="B66">
        <v>1686686</v>
      </c>
      <c r="C66">
        <f>6821088/4</f>
        <v>1705272</v>
      </c>
      <c r="D66">
        <f>17188780/4</f>
        <v>4297195</v>
      </c>
      <c r="K66" t="s">
        <v>44</v>
      </c>
      <c r="L66">
        <v>970372</v>
      </c>
      <c r="M66">
        <f>3776500/4</f>
        <v>944125</v>
      </c>
      <c r="N66">
        <f>16914088/4</f>
        <v>4228522</v>
      </c>
      <c r="U66" t="s">
        <v>44</v>
      </c>
      <c r="V66">
        <v>1286217</v>
      </c>
      <c r="W66">
        <f>5662096/4</f>
        <v>1415524</v>
      </c>
      <c r="X66">
        <f>22826044/4</f>
        <v>5706511</v>
      </c>
      <c r="AE66" t="s">
        <v>44</v>
      </c>
      <c r="AF66">
        <v>1320728</v>
      </c>
      <c r="AG66">
        <f>4883076/4</f>
        <v>1220769</v>
      </c>
      <c r="AH66">
        <f>16177116/4</f>
        <v>4044279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5.8442845855884377E-2</v>
      </c>
      <c r="G71">
        <f>Q4</f>
        <v>0.22213757806023321</v>
      </c>
      <c r="H71">
        <f>AA4</f>
        <v>0.22065969244840794</v>
      </c>
      <c r="I71">
        <f>G22</f>
        <v>5.8699870166297019E-2</v>
      </c>
      <c r="J71">
        <f>Q22</f>
        <v>0.19892093999573623</v>
      </c>
      <c r="K71">
        <f>AA22</f>
        <v>0.10523736708800972</v>
      </c>
      <c r="L71">
        <f>G39</f>
        <v>2.1852090550229599E-2</v>
      </c>
      <c r="M71">
        <f>Q39</f>
        <v>0.17699285604152748</v>
      </c>
      <c r="N71">
        <f>G55</f>
        <v>2.7983868959604811E-2</v>
      </c>
      <c r="O71">
        <f>Q55</f>
        <v>0.11109141648769751</v>
      </c>
      <c r="P71">
        <f>AA55</f>
        <v>0.18076265513517548</v>
      </c>
      <c r="Q71">
        <f>AK55</f>
        <v>9.1616138977897041E-2</v>
      </c>
      <c r="R71">
        <v>0</v>
      </c>
      <c r="S71">
        <f>F83</f>
        <v>0.12130301074452333</v>
      </c>
      <c r="T71">
        <f t="shared" ref="T71:AD79" si="74">G83</f>
        <v>0.210387197448233</v>
      </c>
      <c r="U71">
        <f t="shared" si="74"/>
        <v>0.9274230617398781</v>
      </c>
      <c r="V71">
        <f t="shared" si="74"/>
        <v>9.6629134196128688E-2</v>
      </c>
      <c r="W71">
        <f t="shared" si="74"/>
        <v>0.34215625252749032</v>
      </c>
      <c r="X71">
        <f t="shared" si="74"/>
        <v>0.26491544759275443</v>
      </c>
      <c r="Y71">
        <f t="shared" si="74"/>
        <v>0.128304411664488</v>
      </c>
      <c r="Z71">
        <f t="shared" si="74"/>
        <v>0.13504057578538908</v>
      </c>
      <c r="AA71">
        <f t="shared" si="74"/>
        <v>8.5616840011446857E-2</v>
      </c>
      <c r="AB71">
        <f t="shared" si="74"/>
        <v>0.15739441281609956</v>
      </c>
      <c r="AC71">
        <f t="shared" si="74"/>
        <v>0.14694205114148542</v>
      </c>
      <c r="AD71">
        <f t="shared" si="74"/>
        <v>8.7322007685319669E-2</v>
      </c>
      <c r="AF71">
        <f>F96</f>
        <v>0</v>
      </c>
      <c r="AG71">
        <f t="shared" ref="AG71:AQ79" si="75">G96</f>
        <v>0</v>
      </c>
      <c r="AH71">
        <f t="shared" si="75"/>
        <v>0</v>
      </c>
      <c r="AI71">
        <f t="shared" si="75"/>
        <v>0</v>
      </c>
      <c r="AJ71">
        <f t="shared" si="75"/>
        <v>0</v>
      </c>
      <c r="AK71">
        <f t="shared" si="75"/>
        <v>0</v>
      </c>
      <c r="AL71">
        <f t="shared" si="75"/>
        <v>0</v>
      </c>
      <c r="AM71">
        <f t="shared" si="75"/>
        <v>0</v>
      </c>
      <c r="AN71">
        <f t="shared" si="75"/>
        <v>0</v>
      </c>
      <c r="AO71">
        <f t="shared" si="75"/>
        <v>0</v>
      </c>
      <c r="AP71">
        <f t="shared" si="75"/>
        <v>0</v>
      </c>
      <c r="AQ71">
        <f>Q96</f>
        <v>0</v>
      </c>
    </row>
    <row r="72" spans="1:43" x14ac:dyDescent="0.25">
      <c r="E72" t="s">
        <v>6</v>
      </c>
      <c r="F72">
        <f t="shared" ref="F72:F79" si="76">G5</f>
        <v>0.21290950680156359</v>
      </c>
      <c r="G72">
        <f t="shared" ref="G72:G79" si="77">Q5</f>
        <v>0.13819582035663644</v>
      </c>
      <c r="H72">
        <f t="shared" ref="H72:H79" si="78">AA5</f>
        <v>9.6038415366146462E-2</v>
      </c>
      <c r="I72">
        <f t="shared" ref="I72:I79" si="79">G23</f>
        <v>6.4386721298992464E-2</v>
      </c>
      <c r="J72">
        <f t="shared" ref="J72:J79" si="80">Q23</f>
        <v>0.13266862362452647</v>
      </c>
      <c r="K72">
        <f t="shared" ref="K72:K79" si="81">AA23</f>
        <v>0.43393809149894613</v>
      </c>
      <c r="L72">
        <f t="shared" ref="L72:L79" si="82">G40</f>
        <v>0.10971360670265044</v>
      </c>
      <c r="M72">
        <f t="shared" ref="M72:M79" si="83">Q40</f>
        <v>0.1967479570334584</v>
      </c>
      <c r="N72">
        <f t="shared" ref="N72:N79" si="84">G56</f>
        <v>7.1204717416282579E-2</v>
      </c>
      <c r="O72">
        <f t="shared" ref="O72:O79" si="85">Q56</f>
        <v>0.16570964537311464</v>
      </c>
      <c r="P72">
        <f t="shared" ref="P72:P79" si="86">AA56</f>
        <v>0.24381577914146679</v>
      </c>
      <c r="Q72">
        <f t="shared" ref="Q72:Q79" si="87">AK56</f>
        <v>0.11319514691897196</v>
      </c>
      <c r="R72">
        <v>0</v>
      </c>
      <c r="S72">
        <f t="shared" ref="S72:S79" si="88">F84</f>
        <v>6.9099054633812981E-2</v>
      </c>
      <c r="T72">
        <f t="shared" si="74"/>
        <v>5.1812527702498945E-2</v>
      </c>
      <c r="U72">
        <f t="shared" si="74"/>
        <v>0.54798175076564226</v>
      </c>
      <c r="V72">
        <f t="shared" si="74"/>
        <v>6.0208259116315756E-2</v>
      </c>
      <c r="W72">
        <f t="shared" si="74"/>
        <v>0.22013341632292799</v>
      </c>
      <c r="X72">
        <f t="shared" si="74"/>
        <v>0.17043892106173103</v>
      </c>
      <c r="Y72">
        <f t="shared" si="74"/>
        <v>5.5261967747331379E-2</v>
      </c>
      <c r="Z72">
        <f t="shared" si="74"/>
        <v>6.7429412673458075E-2</v>
      </c>
      <c r="AA72">
        <f t="shared" si="74"/>
        <v>4.1694228252149801E-2</v>
      </c>
      <c r="AB72">
        <f t="shared" si="74"/>
        <v>5.4547861776777437E-2</v>
      </c>
      <c r="AC72">
        <f t="shared" si="74"/>
        <v>4.8745199657511985E-2</v>
      </c>
      <c r="AD72">
        <f t="shared" si="74"/>
        <v>3.8991815814457938E-2</v>
      </c>
      <c r="AF72">
        <f t="shared" ref="AF72:AF79" si="89">F97</f>
        <v>0</v>
      </c>
      <c r="AG72">
        <f t="shared" si="75"/>
        <v>0</v>
      </c>
      <c r="AH72">
        <f t="shared" si="75"/>
        <v>0</v>
      </c>
      <c r="AI72">
        <f t="shared" si="75"/>
        <v>0</v>
      </c>
      <c r="AJ72">
        <f t="shared" si="75"/>
        <v>0</v>
      </c>
      <c r="AK72">
        <f t="shared" si="75"/>
        <v>0</v>
      </c>
      <c r="AL72">
        <f t="shared" si="75"/>
        <v>0</v>
      </c>
      <c r="AM72">
        <f t="shared" si="75"/>
        <v>0</v>
      </c>
      <c r="AN72">
        <f t="shared" si="75"/>
        <v>0</v>
      </c>
      <c r="AO72">
        <f t="shared" si="75"/>
        <v>0</v>
      </c>
      <c r="AP72">
        <f t="shared" si="75"/>
        <v>0</v>
      </c>
      <c r="AQ72">
        <f t="shared" si="75"/>
        <v>0</v>
      </c>
    </row>
    <row r="73" spans="1:43" x14ac:dyDescent="0.25">
      <c r="E73" t="s">
        <v>7</v>
      </c>
      <c r="F73">
        <f t="shared" si="76"/>
        <v>15.852067101264437</v>
      </c>
      <c r="G73">
        <f t="shared" si="77"/>
        <v>44.851465499857561</v>
      </c>
      <c r="H73">
        <f t="shared" si="78"/>
        <v>3.8858400503058368</v>
      </c>
      <c r="I73">
        <f t="shared" si="79"/>
        <v>8.8168361637466131</v>
      </c>
      <c r="J73">
        <f t="shared" si="80"/>
        <v>22.167631479689728</v>
      </c>
      <c r="K73">
        <f t="shared" si="81"/>
        <v>15.803021626057539</v>
      </c>
      <c r="L73">
        <f t="shared" si="82"/>
        <v>42.732619028437931</v>
      </c>
      <c r="M73">
        <f t="shared" si="83"/>
        <v>10.770224083877268</v>
      </c>
      <c r="N73">
        <f t="shared" si="84"/>
        <v>14.185212896769167</v>
      </c>
      <c r="O73">
        <f t="shared" si="85"/>
        <v>8.6307106965163882</v>
      </c>
      <c r="P73">
        <f t="shared" si="86"/>
        <v>25.474550561841433</v>
      </c>
      <c r="Q73">
        <f t="shared" si="87"/>
        <v>15.329802957156963</v>
      </c>
      <c r="R73">
        <v>0</v>
      </c>
      <c r="S73">
        <f t="shared" si="88"/>
        <v>0.86032119670450657</v>
      </c>
      <c r="T73">
        <f t="shared" si="74"/>
        <v>24.162246073075902</v>
      </c>
      <c r="U73">
        <f t="shared" si="74"/>
        <v>0.76248776504561411</v>
      </c>
      <c r="V73">
        <f t="shared" si="74"/>
        <v>1.0076062721299497</v>
      </c>
      <c r="W73">
        <f t="shared" si="74"/>
        <v>2.6073150404574275</v>
      </c>
      <c r="X73">
        <f t="shared" si="74"/>
        <v>2.018721054652084</v>
      </c>
      <c r="Y73">
        <f t="shared" si="74"/>
        <v>11.98707662951559</v>
      </c>
      <c r="Z73">
        <f t="shared" si="74"/>
        <v>2.1132123481247898</v>
      </c>
      <c r="AA73">
        <f t="shared" si="74"/>
        <v>4.8357094938520069</v>
      </c>
      <c r="AB73">
        <f t="shared" si="74"/>
        <v>1.3590361445783132</v>
      </c>
      <c r="AC73">
        <f t="shared" si="74"/>
        <v>5.6976073877942017</v>
      </c>
      <c r="AD73">
        <f t="shared" si="74"/>
        <v>6.8923768542615349</v>
      </c>
      <c r="AF73">
        <f t="shared" si="89"/>
        <v>0.89758813547769123</v>
      </c>
      <c r="AG73">
        <f t="shared" si="75"/>
        <v>18.629979781126117</v>
      </c>
      <c r="AH73">
        <f t="shared" si="75"/>
        <v>1.1062579347084609</v>
      </c>
      <c r="AI73">
        <f t="shared" si="75"/>
        <v>1.1323082399393891</v>
      </c>
      <c r="AJ73">
        <f t="shared" si="75"/>
        <v>4.6464641200881873</v>
      </c>
      <c r="AK73">
        <f t="shared" si="75"/>
        <v>2.0504585226391026</v>
      </c>
      <c r="AL73">
        <f t="shared" si="75"/>
        <v>14.405525783745292</v>
      </c>
      <c r="AM73">
        <f t="shared" si="75"/>
        <v>1.6815041774094377</v>
      </c>
      <c r="AN73">
        <f t="shared" si="75"/>
        <v>7.0068265461539445</v>
      </c>
      <c r="AO73">
        <f t="shared" si="75"/>
        <v>1.4369323371144811</v>
      </c>
      <c r="AP73">
        <f t="shared" si="75"/>
        <v>4.9594577141794698</v>
      </c>
      <c r="AQ73">
        <f t="shared" si="75"/>
        <v>6.8160233257893434</v>
      </c>
    </row>
    <row r="74" spans="1:43" x14ac:dyDescent="0.25">
      <c r="F74">
        <f t="shared" si="76"/>
        <v>0</v>
      </c>
      <c r="G74">
        <f t="shared" si="77"/>
        <v>0</v>
      </c>
      <c r="H74">
        <f t="shared" si="78"/>
        <v>0</v>
      </c>
      <c r="I74">
        <f t="shared" si="79"/>
        <v>0</v>
      </c>
      <c r="J74">
        <f t="shared" si="80"/>
        <v>0</v>
      </c>
      <c r="K74">
        <f t="shared" si="81"/>
        <v>0</v>
      </c>
      <c r="L74">
        <f t="shared" si="82"/>
        <v>0</v>
      </c>
      <c r="M74">
        <f t="shared" si="83"/>
        <v>0</v>
      </c>
      <c r="N74">
        <f t="shared" si="84"/>
        <v>0</v>
      </c>
      <c r="O74">
        <f t="shared" si="85"/>
        <v>0</v>
      </c>
      <c r="P74">
        <f t="shared" si="86"/>
        <v>0</v>
      </c>
      <c r="Q74">
        <f t="shared" si="87"/>
        <v>0</v>
      </c>
      <c r="R74">
        <v>0</v>
      </c>
      <c r="S74">
        <f t="shared" si="88"/>
        <v>0</v>
      </c>
      <c r="T74">
        <f t="shared" si="74"/>
        <v>0</v>
      </c>
      <c r="U74">
        <f t="shared" si="74"/>
        <v>0</v>
      </c>
      <c r="V74">
        <f t="shared" si="74"/>
        <v>0</v>
      </c>
      <c r="W74">
        <f t="shared" si="74"/>
        <v>0</v>
      </c>
      <c r="X74">
        <f t="shared" si="74"/>
        <v>0</v>
      </c>
      <c r="Y74">
        <f t="shared" si="74"/>
        <v>0</v>
      </c>
      <c r="Z74">
        <f t="shared" si="74"/>
        <v>0</v>
      </c>
      <c r="AA74">
        <f t="shared" si="74"/>
        <v>0</v>
      </c>
      <c r="AB74">
        <f t="shared" si="74"/>
        <v>0</v>
      </c>
      <c r="AC74">
        <f t="shared" si="74"/>
        <v>0</v>
      </c>
      <c r="AD74">
        <f t="shared" si="74"/>
        <v>0</v>
      </c>
      <c r="AF74">
        <f t="shared" si="89"/>
        <v>0</v>
      </c>
      <c r="AG74">
        <f t="shared" si="75"/>
        <v>0</v>
      </c>
      <c r="AH74">
        <f t="shared" si="75"/>
        <v>0</v>
      </c>
      <c r="AI74">
        <f t="shared" si="75"/>
        <v>0</v>
      </c>
      <c r="AJ74">
        <f t="shared" si="75"/>
        <v>0</v>
      </c>
      <c r="AK74">
        <f t="shared" si="75"/>
        <v>0</v>
      </c>
      <c r="AL74">
        <f t="shared" si="75"/>
        <v>0</v>
      </c>
      <c r="AM74">
        <f t="shared" si="75"/>
        <v>0</v>
      </c>
      <c r="AN74">
        <f t="shared" si="75"/>
        <v>0</v>
      </c>
      <c r="AO74">
        <f t="shared" si="75"/>
        <v>0</v>
      </c>
      <c r="AP74">
        <f t="shared" si="75"/>
        <v>0</v>
      </c>
      <c r="AQ74">
        <f t="shared" si="75"/>
        <v>0</v>
      </c>
    </row>
    <row r="75" spans="1:43" x14ac:dyDescent="0.25">
      <c r="E75" t="s">
        <v>8</v>
      </c>
      <c r="F75">
        <f t="shared" si="76"/>
        <v>6.6188372388936401</v>
      </c>
      <c r="G75">
        <f t="shared" si="77"/>
        <v>4.3948191371203418</v>
      </c>
      <c r="H75">
        <f t="shared" si="78"/>
        <v>3.5502772537586464</v>
      </c>
      <c r="I75">
        <f t="shared" si="79"/>
        <v>7.9194703324687392</v>
      </c>
      <c r="J75">
        <f t="shared" si="80"/>
        <v>3.7242329326489445</v>
      </c>
      <c r="K75">
        <f t="shared" si="81"/>
        <v>5.8193459637853575</v>
      </c>
      <c r="L75">
        <f t="shared" si="82"/>
        <v>3.980252557802304</v>
      </c>
      <c r="M75">
        <f t="shared" si="83"/>
        <v>9.7699414092614489</v>
      </c>
      <c r="N75">
        <f t="shared" si="84"/>
        <v>2.9571597795914593</v>
      </c>
      <c r="O75">
        <f t="shared" si="85"/>
        <v>5.9591579311851541</v>
      </c>
      <c r="P75">
        <f t="shared" si="86"/>
        <v>3.2836605331759725</v>
      </c>
      <c r="Q75">
        <f t="shared" si="87"/>
        <v>5.1941050693254027</v>
      </c>
      <c r="R75">
        <v>0</v>
      </c>
      <c r="S75">
        <f t="shared" si="88"/>
        <v>0.18527658605110292</v>
      </c>
      <c r="T75">
        <f t="shared" si="74"/>
        <v>3.2102515943483865</v>
      </c>
      <c r="U75">
        <f t="shared" si="74"/>
        <v>1.4105122367569576</v>
      </c>
      <c r="V75">
        <f t="shared" si="74"/>
        <v>0.34599831325822289</v>
      </c>
      <c r="W75">
        <f t="shared" si="74"/>
        <v>1.2147777742612695</v>
      </c>
      <c r="X75">
        <f t="shared" si="74"/>
        <v>0.94054513228075043</v>
      </c>
      <c r="Y75">
        <f t="shared" si="74"/>
        <v>3.0068829648169602</v>
      </c>
      <c r="Z75">
        <f t="shared" si="74"/>
        <v>0.90329967921047605</v>
      </c>
      <c r="AA75">
        <f t="shared" si="74"/>
        <v>1.4229401526559986</v>
      </c>
      <c r="AB75">
        <f t="shared" si="74"/>
        <v>0.47705547464583609</v>
      </c>
      <c r="AC75">
        <f t="shared" si="74"/>
        <v>1.473447288777866</v>
      </c>
      <c r="AD75">
        <f t="shared" si="74"/>
        <v>1.8099247277740507</v>
      </c>
      <c r="AF75">
        <f t="shared" si="89"/>
        <v>0</v>
      </c>
      <c r="AG75">
        <f t="shared" si="75"/>
        <v>0</v>
      </c>
      <c r="AH75">
        <f t="shared" si="75"/>
        <v>0</v>
      </c>
      <c r="AI75">
        <f t="shared" si="75"/>
        <v>0</v>
      </c>
      <c r="AJ75">
        <f t="shared" si="75"/>
        <v>0</v>
      </c>
      <c r="AK75">
        <f t="shared" si="75"/>
        <v>0</v>
      </c>
      <c r="AL75">
        <f t="shared" si="75"/>
        <v>0.36309729495474408</v>
      </c>
      <c r="AM75">
        <f t="shared" si="75"/>
        <v>1.8389901881255135</v>
      </c>
      <c r="AN75">
        <f t="shared" si="75"/>
        <v>0.22005052132844796</v>
      </c>
      <c r="AO75">
        <f t="shared" si="75"/>
        <v>0</v>
      </c>
      <c r="AP75">
        <f t="shared" si="75"/>
        <v>0</v>
      </c>
      <c r="AQ75">
        <f t="shared" si="75"/>
        <v>0.1984037204159258</v>
      </c>
    </row>
    <row r="76" spans="1:43" x14ac:dyDescent="0.25">
      <c r="E76" t="s">
        <v>9</v>
      </c>
      <c r="F76">
        <f t="shared" si="76"/>
        <v>0.32446876192899859</v>
      </c>
      <c r="G76">
        <f t="shared" si="77"/>
        <v>0.42667059301771021</v>
      </c>
      <c r="H76">
        <f t="shared" si="78"/>
        <v>0.167495569656434</v>
      </c>
      <c r="I76">
        <f t="shared" si="79"/>
        <v>1.4138018468987967</v>
      </c>
      <c r="J76">
        <f t="shared" si="80"/>
        <v>0.36455173092376064</v>
      </c>
      <c r="K76">
        <f t="shared" si="81"/>
        <v>0.14656480437362365</v>
      </c>
      <c r="L76">
        <f t="shared" si="82"/>
        <v>0.31811407395472491</v>
      </c>
      <c r="M76">
        <f t="shared" si="83"/>
        <v>0.5420606979493241</v>
      </c>
      <c r="N76">
        <f t="shared" si="84"/>
        <v>0.22962187389946914</v>
      </c>
      <c r="O76">
        <f t="shared" si="85"/>
        <v>0.37264059556541201</v>
      </c>
      <c r="P76">
        <f t="shared" si="86"/>
        <v>0.33423598039833091</v>
      </c>
      <c r="Q76">
        <f t="shared" si="87"/>
        <v>0.38675639495793229</v>
      </c>
      <c r="R76">
        <v>0</v>
      </c>
      <c r="S76">
        <f t="shared" si="88"/>
        <v>1.7274763658453245E-2</v>
      </c>
      <c r="T76">
        <f t="shared" si="74"/>
        <v>0.19136228493247168</v>
      </c>
      <c r="U76">
        <f t="shared" si="74"/>
        <v>3.7854002519995024E-3</v>
      </c>
      <c r="V76">
        <f t="shared" si="74"/>
        <v>1.3544012920305435E-2</v>
      </c>
      <c r="W76">
        <f t="shared" si="74"/>
        <v>2.2505652787008612E-2</v>
      </c>
      <c r="X76">
        <f t="shared" si="74"/>
        <v>1.7425065412061957E-2</v>
      </c>
      <c r="Y76">
        <f t="shared" si="74"/>
        <v>3.9030313543518796E-2</v>
      </c>
      <c r="Z76">
        <f t="shared" si="74"/>
        <v>2.1628302178279005E-2</v>
      </c>
      <c r="AA76">
        <f t="shared" si="74"/>
        <v>2.3339385153805375E-2</v>
      </c>
      <c r="AB76">
        <f t="shared" si="74"/>
        <v>4.1202171322653247E-2</v>
      </c>
      <c r="AC76">
        <f t="shared" si="74"/>
        <v>5.0793910947465389E-2</v>
      </c>
      <c r="AD76">
        <f t="shared" si="74"/>
        <v>3.7844997702267999E-2</v>
      </c>
      <c r="AF76">
        <f t="shared" si="89"/>
        <v>0</v>
      </c>
      <c r="AG76">
        <f t="shared" si="75"/>
        <v>0</v>
      </c>
      <c r="AH76">
        <f t="shared" si="75"/>
        <v>0</v>
      </c>
      <c r="AI76">
        <f t="shared" si="75"/>
        <v>0</v>
      </c>
      <c r="AJ76">
        <f t="shared" si="75"/>
        <v>0</v>
      </c>
      <c r="AK76">
        <f t="shared" si="75"/>
        <v>0</v>
      </c>
      <c r="AL76">
        <f t="shared" si="75"/>
        <v>0</v>
      </c>
      <c r="AM76">
        <f t="shared" si="75"/>
        <v>0</v>
      </c>
      <c r="AN76">
        <f t="shared" si="75"/>
        <v>0</v>
      </c>
      <c r="AO76">
        <f t="shared" si="75"/>
        <v>0</v>
      </c>
      <c r="AP76">
        <f t="shared" si="75"/>
        <v>0</v>
      </c>
      <c r="AQ76">
        <f t="shared" si="75"/>
        <v>0</v>
      </c>
    </row>
    <row r="77" spans="1:43" x14ac:dyDescent="0.25">
      <c r="E77" t="s">
        <v>10</v>
      </c>
      <c r="F77">
        <f t="shared" si="76"/>
        <v>0.71655367716467866</v>
      </c>
      <c r="G77">
        <f t="shared" si="77"/>
        <v>4.8075661211385992</v>
      </c>
      <c r="H77">
        <f t="shared" si="78"/>
        <v>0.87749385468473107</v>
      </c>
      <c r="I77">
        <f t="shared" si="79"/>
        <v>1.4393516604159498</v>
      </c>
      <c r="J77">
        <f t="shared" si="80"/>
        <v>2.9956214434477442</v>
      </c>
      <c r="K77">
        <f t="shared" si="81"/>
        <v>1.5956818731956146</v>
      </c>
      <c r="L77">
        <f t="shared" si="82"/>
        <v>4.1791871425118829</v>
      </c>
      <c r="M77">
        <f t="shared" si="83"/>
        <v>1.1963881893405972</v>
      </c>
      <c r="N77">
        <f t="shared" si="84"/>
        <v>5.0605151166251456</v>
      </c>
      <c r="O77">
        <f t="shared" si="85"/>
        <v>1.2357116652170508</v>
      </c>
      <c r="P77">
        <f t="shared" si="86"/>
        <v>4.0671208668521723</v>
      </c>
      <c r="Q77">
        <f t="shared" si="87"/>
        <v>4.4810892174618848</v>
      </c>
      <c r="R77">
        <v>0</v>
      </c>
      <c r="S77">
        <f t="shared" si="88"/>
        <v>0.20369034511560805</v>
      </c>
      <c r="T77">
        <f t="shared" si="74"/>
        <v>3.1459919164361079</v>
      </c>
      <c r="U77">
        <f t="shared" si="74"/>
        <v>0.21594807151882875</v>
      </c>
      <c r="V77">
        <f t="shared" si="74"/>
        <v>0.47005691899883567</v>
      </c>
      <c r="W77">
        <f t="shared" si="74"/>
        <v>0.83095089899533359</v>
      </c>
      <c r="X77">
        <f t="shared" si="74"/>
        <v>0.64336608701097509</v>
      </c>
      <c r="Y77">
        <f t="shared" si="74"/>
        <v>1.8728355213024974</v>
      </c>
      <c r="Z77">
        <f t="shared" si="74"/>
        <v>0.58632691451368124</v>
      </c>
      <c r="AA77">
        <f t="shared" si="74"/>
        <v>1.7957252567332367</v>
      </c>
      <c r="AB77">
        <f t="shared" si="74"/>
        <v>0.68730305838739569</v>
      </c>
      <c r="AC77">
        <f t="shared" si="74"/>
        <v>1.8067514220882162</v>
      </c>
      <c r="AD77">
        <f t="shared" si="74"/>
        <v>2.2768435305942401</v>
      </c>
      <c r="AF77">
        <f t="shared" si="89"/>
        <v>0</v>
      </c>
      <c r="AG77">
        <f t="shared" si="75"/>
        <v>2.4530520318460853</v>
      </c>
      <c r="AH77">
        <f t="shared" si="75"/>
        <v>0</v>
      </c>
      <c r="AI77">
        <f t="shared" si="75"/>
        <v>0</v>
      </c>
      <c r="AJ77">
        <f t="shared" si="75"/>
        <v>0.17103663087242826</v>
      </c>
      <c r="AK77">
        <f t="shared" si="75"/>
        <v>4.4927901499375922E-2</v>
      </c>
      <c r="AL77">
        <f t="shared" si="75"/>
        <v>2.0870982953384791</v>
      </c>
      <c r="AM77">
        <f t="shared" si="75"/>
        <v>7.0544914686466093E-2</v>
      </c>
      <c r="AN77">
        <f t="shared" si="75"/>
        <v>2.5303250143407503</v>
      </c>
      <c r="AO77">
        <f t="shared" si="75"/>
        <v>0</v>
      </c>
      <c r="AP77">
        <f t="shared" si="75"/>
        <v>0.22889643076128302</v>
      </c>
      <c r="AQ77">
        <f t="shared" si="75"/>
        <v>2.2080820833577506</v>
      </c>
    </row>
    <row r="78" spans="1:43" x14ac:dyDescent="0.25">
      <c r="F78">
        <f t="shared" si="76"/>
        <v>0</v>
      </c>
      <c r="G78">
        <f t="shared" si="77"/>
        <v>0</v>
      </c>
      <c r="H78">
        <f t="shared" si="78"/>
        <v>0</v>
      </c>
      <c r="I78">
        <f t="shared" si="79"/>
        <v>0</v>
      </c>
      <c r="J78">
        <f t="shared" si="80"/>
        <v>0</v>
      </c>
      <c r="K78">
        <f t="shared" si="81"/>
        <v>0</v>
      </c>
      <c r="L78">
        <f t="shared" si="82"/>
        <v>0</v>
      </c>
      <c r="M78">
        <f t="shared" si="83"/>
        <v>0</v>
      </c>
      <c r="N78">
        <f t="shared" si="84"/>
        <v>0</v>
      </c>
      <c r="O78">
        <f t="shared" si="85"/>
        <v>0</v>
      </c>
      <c r="P78">
        <f t="shared" si="86"/>
        <v>0</v>
      </c>
      <c r="Q78">
        <f t="shared" si="87"/>
        <v>0</v>
      </c>
      <c r="R78">
        <v>0</v>
      </c>
      <c r="S78">
        <f t="shared" si="88"/>
        <v>0</v>
      </c>
      <c r="T78">
        <f t="shared" si="74"/>
        <v>0</v>
      </c>
      <c r="U78">
        <f t="shared" si="74"/>
        <v>0</v>
      </c>
      <c r="V78">
        <f t="shared" si="74"/>
        <v>0</v>
      </c>
      <c r="W78">
        <f t="shared" si="74"/>
        <v>0</v>
      </c>
      <c r="X78">
        <f t="shared" si="74"/>
        <v>0</v>
      </c>
      <c r="Y78">
        <f t="shared" si="74"/>
        <v>0</v>
      </c>
      <c r="Z78">
        <f t="shared" si="74"/>
        <v>0</v>
      </c>
      <c r="AA78">
        <f t="shared" si="74"/>
        <v>0</v>
      </c>
      <c r="AB78">
        <f t="shared" si="74"/>
        <v>0</v>
      </c>
      <c r="AC78">
        <f t="shared" si="74"/>
        <v>0</v>
      </c>
      <c r="AD78">
        <f t="shared" si="74"/>
        <v>0</v>
      </c>
      <c r="AF78">
        <f t="shared" si="89"/>
        <v>0</v>
      </c>
      <c r="AG78">
        <f t="shared" si="75"/>
        <v>0</v>
      </c>
      <c r="AH78">
        <f t="shared" si="75"/>
        <v>0</v>
      </c>
      <c r="AI78">
        <f t="shared" si="75"/>
        <v>0</v>
      </c>
      <c r="AJ78">
        <f t="shared" si="75"/>
        <v>0</v>
      </c>
      <c r="AK78">
        <f t="shared" si="75"/>
        <v>0</v>
      </c>
      <c r="AL78">
        <f t="shared" si="75"/>
        <v>0</v>
      </c>
      <c r="AM78">
        <f t="shared" si="75"/>
        <v>0</v>
      </c>
      <c r="AN78">
        <f t="shared" si="75"/>
        <v>0</v>
      </c>
      <c r="AO78">
        <f t="shared" si="75"/>
        <v>0</v>
      </c>
      <c r="AP78">
        <f t="shared" si="75"/>
        <v>0</v>
      </c>
      <c r="AQ78">
        <f t="shared" si="75"/>
        <v>0</v>
      </c>
    </row>
    <row r="79" spans="1:43" x14ac:dyDescent="0.25">
      <c r="E79" t="s">
        <v>42</v>
      </c>
      <c r="F79">
        <f t="shared" si="76"/>
        <v>76.216720868090803</v>
      </c>
      <c r="G79">
        <f t="shared" si="77"/>
        <v>45.159145250448915</v>
      </c>
      <c r="H79">
        <f t="shared" si="78"/>
        <v>91.202195163779791</v>
      </c>
      <c r="I79">
        <f t="shared" si="79"/>
        <v>81.368044330450388</v>
      </c>
      <c r="J79">
        <f t="shared" si="80"/>
        <v>70.416372849669557</v>
      </c>
      <c r="K79">
        <f t="shared" si="81"/>
        <v>76.09621027400091</v>
      </c>
      <c r="L79">
        <f t="shared" si="82"/>
        <v>48.658261500040282</v>
      </c>
      <c r="M79">
        <f t="shared" si="83"/>
        <v>77.347644806496376</v>
      </c>
      <c r="N79">
        <f t="shared" si="84"/>
        <v>77.468301746738874</v>
      </c>
      <c r="O79">
        <f t="shared" si="85"/>
        <v>83.524978049655189</v>
      </c>
      <c r="P79">
        <f t="shared" si="86"/>
        <v>66.415853623455448</v>
      </c>
      <c r="Q79">
        <f t="shared" si="87"/>
        <v>74.403435075200946</v>
      </c>
      <c r="R79">
        <v>0</v>
      </c>
      <c r="S79">
        <f t="shared" si="88"/>
        <v>98.54303504309199</v>
      </c>
      <c r="T79">
        <f t="shared" si="74"/>
        <v>69.027948406056396</v>
      </c>
      <c r="U79">
        <f t="shared" si="74"/>
        <v>96.131861713921083</v>
      </c>
      <c r="V79">
        <f t="shared" si="74"/>
        <v>98.005957089380246</v>
      </c>
      <c r="W79">
        <f t="shared" si="74"/>
        <v>94.762160964648544</v>
      </c>
      <c r="X79">
        <f t="shared" si="74"/>
        <v>95.944588291989646</v>
      </c>
      <c r="Y79">
        <f t="shared" si="74"/>
        <v>82.910608191409608</v>
      </c>
      <c r="Z79">
        <f t="shared" si="74"/>
        <v>96.173062767513926</v>
      </c>
      <c r="AA79">
        <f t="shared" si="74"/>
        <v>91.794974643341362</v>
      </c>
      <c r="AB79">
        <f t="shared" si="74"/>
        <v>97.223460876472927</v>
      </c>
      <c r="AC79">
        <f t="shared" si="74"/>
        <v>90.77571273959326</v>
      </c>
      <c r="AD79">
        <f t="shared" si="74"/>
        <v>88.856696066168126</v>
      </c>
      <c r="AF79">
        <f t="shared" si="89"/>
        <v>99.10241186452231</v>
      </c>
      <c r="AG79">
        <f t="shared" si="75"/>
        <v>78.916968187027805</v>
      </c>
      <c r="AH79">
        <f t="shared" si="75"/>
        <v>98.893742065291534</v>
      </c>
      <c r="AI79">
        <f t="shared" si="75"/>
        <v>98.867691760060609</v>
      </c>
      <c r="AJ79">
        <f t="shared" si="75"/>
        <v>95.182499249039381</v>
      </c>
      <c r="AK79">
        <f t="shared" si="75"/>
        <v>97.904613575861518</v>
      </c>
      <c r="AL79">
        <f t="shared" si="75"/>
        <v>83.144278625961491</v>
      </c>
      <c r="AM79">
        <f t="shared" si="75"/>
        <v>96.408960719778577</v>
      </c>
      <c r="AN79">
        <f t="shared" si="75"/>
        <v>90.242797918176862</v>
      </c>
      <c r="AO79">
        <f t="shared" si="75"/>
        <v>98.563067662885516</v>
      </c>
      <c r="AP79">
        <f t="shared" si="75"/>
        <v>94.811645855059254</v>
      </c>
      <c r="AQ79">
        <f t="shared" si="75"/>
        <v>90.777490870436978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0.12130301074452333</v>
      </c>
      <c r="G83">
        <f>R4</f>
        <v>0.210387197448233</v>
      </c>
      <c r="H83">
        <f>AB4</f>
        <v>0.9274230617398781</v>
      </c>
      <c r="I83">
        <f>H22</f>
        <v>9.6629134196128688E-2</v>
      </c>
      <c r="J83">
        <f>R22</f>
        <v>0.34215625252749032</v>
      </c>
      <c r="K83">
        <f>AB22</f>
        <v>0.26491544759275443</v>
      </c>
      <c r="L83">
        <f>H39</f>
        <v>0.128304411664488</v>
      </c>
      <c r="M83">
        <f>R39</f>
        <v>0.13504057578538908</v>
      </c>
      <c r="N83">
        <f>H55</f>
        <v>8.5616840011446857E-2</v>
      </c>
      <c r="O83">
        <f>R55</f>
        <v>0.15739441281609956</v>
      </c>
      <c r="P83">
        <f>AB55</f>
        <v>0.14694205114148542</v>
      </c>
      <c r="Q83">
        <f>AL55</f>
        <v>8.7322007685319669E-2</v>
      </c>
    </row>
    <row r="84" spans="5:17" x14ac:dyDescent="0.25">
      <c r="E84" t="s">
        <v>6</v>
      </c>
      <c r="F84">
        <f t="shared" ref="F84:F91" si="90">H5</f>
        <v>6.9099054633812981E-2</v>
      </c>
      <c r="G84">
        <f t="shared" ref="G84:G91" si="91">R5</f>
        <v>5.1812527702498945E-2</v>
      </c>
      <c r="H84">
        <f t="shared" ref="H84:H91" si="92">AB5</f>
        <v>0.54798175076564226</v>
      </c>
      <c r="I84">
        <f t="shared" ref="I84:I91" si="93">H23</f>
        <v>6.0208259116315756E-2</v>
      </c>
      <c r="J84">
        <f t="shared" ref="J84:J91" si="94">R23</f>
        <v>0.22013341632292799</v>
      </c>
      <c r="K84">
        <f t="shared" ref="K84:K91" si="95">AB23</f>
        <v>0.17043892106173103</v>
      </c>
      <c r="L84">
        <f t="shared" ref="L84:L91" si="96">H40</f>
        <v>5.5261967747331379E-2</v>
      </c>
      <c r="M84">
        <f t="shared" ref="M84:M91" si="97">R40</f>
        <v>6.7429412673458075E-2</v>
      </c>
      <c r="N84">
        <f t="shared" ref="N84:N91" si="98">H56</f>
        <v>4.1694228252149801E-2</v>
      </c>
      <c r="O84">
        <f t="shared" ref="O84:O91" si="99">R56</f>
        <v>5.4547861776777437E-2</v>
      </c>
      <c r="P84">
        <f t="shared" ref="P84:P91" si="100">AB56</f>
        <v>4.8745199657511985E-2</v>
      </c>
      <c r="Q84">
        <f t="shared" ref="Q84:Q91" si="101">AL56</f>
        <v>3.8991815814457938E-2</v>
      </c>
    </row>
    <row r="85" spans="5:17" x14ac:dyDescent="0.25">
      <c r="E85" t="s">
        <v>7</v>
      </c>
      <c r="F85">
        <f t="shared" si="90"/>
        <v>0.86032119670450657</v>
      </c>
      <c r="G85">
        <f t="shared" si="91"/>
        <v>24.162246073075902</v>
      </c>
      <c r="H85">
        <f t="shared" si="92"/>
        <v>0.76248776504561411</v>
      </c>
      <c r="I85">
        <f t="shared" si="93"/>
        <v>1.0076062721299497</v>
      </c>
      <c r="J85">
        <f t="shared" si="94"/>
        <v>2.6073150404574275</v>
      </c>
      <c r="K85">
        <f t="shared" si="95"/>
        <v>2.018721054652084</v>
      </c>
      <c r="L85">
        <f t="shared" si="96"/>
        <v>11.98707662951559</v>
      </c>
      <c r="M85">
        <f t="shared" si="97"/>
        <v>2.1132123481247898</v>
      </c>
      <c r="N85">
        <f t="shared" si="98"/>
        <v>4.8357094938520069</v>
      </c>
      <c r="O85">
        <f t="shared" si="99"/>
        <v>1.3590361445783132</v>
      </c>
      <c r="P85">
        <f t="shared" si="100"/>
        <v>5.6976073877942017</v>
      </c>
      <c r="Q85">
        <f t="shared" si="101"/>
        <v>6.8923768542615349</v>
      </c>
    </row>
    <row r="86" spans="5:17" x14ac:dyDescent="0.25">
      <c r="F86">
        <f t="shared" si="90"/>
        <v>0</v>
      </c>
      <c r="G86">
        <f t="shared" si="91"/>
        <v>0</v>
      </c>
      <c r="H86">
        <f t="shared" si="92"/>
        <v>0</v>
      </c>
      <c r="I86">
        <f t="shared" si="93"/>
        <v>0</v>
      </c>
      <c r="J86">
        <f t="shared" si="94"/>
        <v>0</v>
      </c>
      <c r="K86">
        <f t="shared" si="95"/>
        <v>0</v>
      </c>
      <c r="L86">
        <f t="shared" si="96"/>
        <v>0</v>
      </c>
      <c r="M86">
        <f t="shared" si="97"/>
        <v>0</v>
      </c>
      <c r="N86">
        <f t="shared" si="98"/>
        <v>0</v>
      </c>
      <c r="O86">
        <f t="shared" si="99"/>
        <v>0</v>
      </c>
      <c r="P86">
        <f t="shared" si="100"/>
        <v>0</v>
      </c>
      <c r="Q86">
        <f t="shared" si="101"/>
        <v>0</v>
      </c>
    </row>
    <row r="87" spans="5:17" x14ac:dyDescent="0.25">
      <c r="E87" t="s">
        <v>8</v>
      </c>
      <c r="F87">
        <f t="shared" si="90"/>
        <v>0.18527658605110292</v>
      </c>
      <c r="G87">
        <f t="shared" si="91"/>
        <v>3.2102515943483865</v>
      </c>
      <c r="H87">
        <f t="shared" si="92"/>
        <v>1.4105122367569576</v>
      </c>
      <c r="I87">
        <f t="shared" si="93"/>
        <v>0.34599831325822289</v>
      </c>
      <c r="J87">
        <f t="shared" si="94"/>
        <v>1.2147777742612695</v>
      </c>
      <c r="K87">
        <f t="shared" si="95"/>
        <v>0.94054513228075043</v>
      </c>
      <c r="L87">
        <f t="shared" si="96"/>
        <v>3.0068829648169602</v>
      </c>
      <c r="M87">
        <f t="shared" si="97"/>
        <v>0.90329967921047605</v>
      </c>
      <c r="N87">
        <f t="shared" si="98"/>
        <v>1.4229401526559986</v>
      </c>
      <c r="O87">
        <f t="shared" si="99"/>
        <v>0.47705547464583609</v>
      </c>
      <c r="P87">
        <f t="shared" si="100"/>
        <v>1.473447288777866</v>
      </c>
      <c r="Q87">
        <f t="shared" si="101"/>
        <v>1.8099247277740507</v>
      </c>
    </row>
    <row r="88" spans="5:17" x14ac:dyDescent="0.25">
      <c r="E88" t="s">
        <v>9</v>
      </c>
      <c r="F88">
        <f t="shared" si="90"/>
        <v>1.7274763658453245E-2</v>
      </c>
      <c r="G88">
        <f t="shared" si="91"/>
        <v>0.19136228493247168</v>
      </c>
      <c r="H88">
        <f t="shared" si="92"/>
        <v>3.7854002519995024E-3</v>
      </c>
      <c r="I88">
        <f t="shared" si="93"/>
        <v>1.3544012920305435E-2</v>
      </c>
      <c r="J88">
        <f t="shared" si="94"/>
        <v>2.2505652787008612E-2</v>
      </c>
      <c r="K88">
        <f t="shared" si="95"/>
        <v>1.7425065412061957E-2</v>
      </c>
      <c r="L88">
        <f t="shared" si="96"/>
        <v>3.9030313543518796E-2</v>
      </c>
      <c r="M88">
        <f t="shared" si="97"/>
        <v>2.1628302178279005E-2</v>
      </c>
      <c r="N88">
        <f t="shared" si="98"/>
        <v>2.3339385153805375E-2</v>
      </c>
      <c r="O88">
        <f t="shared" si="99"/>
        <v>4.1202171322653247E-2</v>
      </c>
      <c r="P88">
        <f t="shared" si="100"/>
        <v>5.0793910947465389E-2</v>
      </c>
      <c r="Q88">
        <f t="shared" si="101"/>
        <v>3.7844997702267999E-2</v>
      </c>
    </row>
    <row r="89" spans="5:17" x14ac:dyDescent="0.25">
      <c r="E89" t="s">
        <v>10</v>
      </c>
      <c r="F89">
        <f t="shared" si="90"/>
        <v>0.20369034511560805</v>
      </c>
      <c r="G89">
        <f t="shared" si="91"/>
        <v>3.1459919164361079</v>
      </c>
      <c r="H89">
        <f t="shared" si="92"/>
        <v>0.21594807151882875</v>
      </c>
      <c r="I89">
        <f t="shared" si="93"/>
        <v>0.47005691899883567</v>
      </c>
      <c r="J89">
        <f t="shared" si="94"/>
        <v>0.83095089899533359</v>
      </c>
      <c r="K89">
        <f t="shared" si="95"/>
        <v>0.64336608701097509</v>
      </c>
      <c r="L89">
        <f t="shared" si="96"/>
        <v>1.8728355213024974</v>
      </c>
      <c r="M89">
        <f t="shared" si="97"/>
        <v>0.58632691451368124</v>
      </c>
      <c r="N89">
        <f t="shared" si="98"/>
        <v>1.7957252567332367</v>
      </c>
      <c r="O89">
        <f t="shared" si="99"/>
        <v>0.68730305838739569</v>
      </c>
      <c r="P89">
        <f t="shared" si="100"/>
        <v>1.8067514220882162</v>
      </c>
      <c r="Q89">
        <f t="shared" si="101"/>
        <v>2.2768435305942401</v>
      </c>
    </row>
    <row r="90" spans="5:17" x14ac:dyDescent="0.25">
      <c r="F90">
        <f t="shared" si="90"/>
        <v>0</v>
      </c>
      <c r="G90">
        <f t="shared" si="91"/>
        <v>0</v>
      </c>
      <c r="H90">
        <f t="shared" si="92"/>
        <v>0</v>
      </c>
      <c r="I90">
        <f t="shared" si="93"/>
        <v>0</v>
      </c>
      <c r="J90">
        <f t="shared" si="94"/>
        <v>0</v>
      </c>
      <c r="K90">
        <f t="shared" si="95"/>
        <v>0</v>
      </c>
      <c r="L90">
        <f t="shared" si="96"/>
        <v>0</v>
      </c>
      <c r="M90">
        <f t="shared" si="97"/>
        <v>0</v>
      </c>
      <c r="N90">
        <f t="shared" si="98"/>
        <v>0</v>
      </c>
      <c r="O90">
        <f t="shared" si="99"/>
        <v>0</v>
      </c>
      <c r="P90">
        <f t="shared" si="100"/>
        <v>0</v>
      </c>
      <c r="Q90">
        <f t="shared" si="101"/>
        <v>0</v>
      </c>
    </row>
    <row r="91" spans="5:17" x14ac:dyDescent="0.25">
      <c r="E91" t="s">
        <v>42</v>
      </c>
      <c r="F91">
        <f t="shared" si="90"/>
        <v>98.54303504309199</v>
      </c>
      <c r="G91">
        <f t="shared" si="91"/>
        <v>69.027948406056396</v>
      </c>
      <c r="H91">
        <f t="shared" si="92"/>
        <v>96.131861713921083</v>
      </c>
      <c r="I91">
        <f t="shared" si="93"/>
        <v>98.005957089380246</v>
      </c>
      <c r="J91">
        <f t="shared" si="94"/>
        <v>94.762160964648544</v>
      </c>
      <c r="K91">
        <f t="shared" si="95"/>
        <v>95.944588291989646</v>
      </c>
      <c r="L91">
        <f t="shared" si="96"/>
        <v>82.910608191409608</v>
      </c>
      <c r="M91">
        <f t="shared" si="97"/>
        <v>96.173062767513926</v>
      </c>
      <c r="N91">
        <f t="shared" si="98"/>
        <v>91.794974643341362</v>
      </c>
      <c r="O91">
        <f t="shared" si="99"/>
        <v>97.223460876472927</v>
      </c>
      <c r="P91">
        <f t="shared" si="100"/>
        <v>90.77571273959326</v>
      </c>
      <c r="Q91">
        <f t="shared" si="101"/>
        <v>88.856696066168126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102">I5</f>
        <v>0</v>
      </c>
      <c r="G97">
        <f t="shared" ref="G97:G104" si="103">S5</f>
        <v>0</v>
      </c>
      <c r="H97">
        <f t="shared" ref="H97:H104" si="104">AC5</f>
        <v>0</v>
      </c>
      <c r="I97">
        <f t="shared" ref="I97:I104" si="105">I23</f>
        <v>0</v>
      </c>
      <c r="J97">
        <f t="shared" ref="J97:J104" si="106">S23</f>
        <v>0</v>
      </c>
      <c r="K97">
        <f t="shared" ref="K97:K104" si="107">AC23</f>
        <v>0</v>
      </c>
      <c r="L97">
        <f t="shared" ref="L97:L104" si="108">I40</f>
        <v>0</v>
      </c>
      <c r="M97">
        <f t="shared" ref="M97:M104" si="109">S40</f>
        <v>0</v>
      </c>
      <c r="N97">
        <f t="shared" ref="N97:N104" si="110">I56</f>
        <v>0</v>
      </c>
      <c r="O97">
        <f t="shared" ref="O97:O104" si="111">S56</f>
        <v>0</v>
      </c>
      <c r="P97">
        <f t="shared" ref="P97:P104" si="112">AC56</f>
        <v>0</v>
      </c>
      <c r="Q97">
        <f t="shared" ref="Q97:Q104" si="113">AM56</f>
        <v>0</v>
      </c>
    </row>
    <row r="98" spans="5:19" x14ac:dyDescent="0.25">
      <c r="E98" t="s">
        <v>7</v>
      </c>
      <c r="F98">
        <f t="shared" si="102"/>
        <v>0.89758813547769123</v>
      </c>
      <c r="G98">
        <f t="shared" si="103"/>
        <v>18.629979781126117</v>
      </c>
      <c r="H98">
        <f t="shared" si="104"/>
        <v>1.1062579347084609</v>
      </c>
      <c r="I98">
        <f t="shared" si="105"/>
        <v>1.1323082399393891</v>
      </c>
      <c r="J98">
        <f t="shared" si="106"/>
        <v>4.6464641200881873</v>
      </c>
      <c r="K98">
        <f t="shared" si="107"/>
        <v>2.0504585226391026</v>
      </c>
      <c r="L98">
        <f t="shared" si="108"/>
        <v>14.405525783745292</v>
      </c>
      <c r="M98">
        <f t="shared" si="109"/>
        <v>1.6815041774094377</v>
      </c>
      <c r="N98">
        <f t="shared" si="110"/>
        <v>7.0068265461539445</v>
      </c>
      <c r="O98">
        <f t="shared" si="111"/>
        <v>1.4369323371144811</v>
      </c>
      <c r="P98">
        <f t="shared" si="112"/>
        <v>4.9594577141794698</v>
      </c>
      <c r="Q98">
        <f t="shared" si="113"/>
        <v>6.8160233257893434</v>
      </c>
    </row>
    <row r="99" spans="5:19" x14ac:dyDescent="0.25">
      <c r="F99">
        <f t="shared" si="102"/>
        <v>0</v>
      </c>
      <c r="G99">
        <f t="shared" si="103"/>
        <v>0</v>
      </c>
      <c r="H99">
        <f t="shared" si="104"/>
        <v>0</v>
      </c>
      <c r="I99">
        <f t="shared" si="105"/>
        <v>0</v>
      </c>
      <c r="J99">
        <f t="shared" si="106"/>
        <v>0</v>
      </c>
      <c r="K99">
        <f t="shared" si="107"/>
        <v>0</v>
      </c>
      <c r="L99">
        <f t="shared" si="108"/>
        <v>0</v>
      </c>
      <c r="M99">
        <f t="shared" si="109"/>
        <v>0</v>
      </c>
      <c r="N99">
        <f t="shared" si="110"/>
        <v>0</v>
      </c>
      <c r="O99">
        <f t="shared" si="111"/>
        <v>0</v>
      </c>
      <c r="P99">
        <f t="shared" si="112"/>
        <v>0</v>
      </c>
      <c r="Q99">
        <f t="shared" si="113"/>
        <v>0</v>
      </c>
    </row>
    <row r="100" spans="5:19" x14ac:dyDescent="0.25">
      <c r="E100" t="s">
        <v>8</v>
      </c>
      <c r="F100">
        <f t="shared" si="102"/>
        <v>0</v>
      </c>
      <c r="G100">
        <f t="shared" si="103"/>
        <v>0</v>
      </c>
      <c r="H100">
        <f t="shared" si="104"/>
        <v>0</v>
      </c>
      <c r="I100">
        <f t="shared" si="105"/>
        <v>0</v>
      </c>
      <c r="J100">
        <f t="shared" si="106"/>
        <v>0</v>
      </c>
      <c r="K100">
        <f t="shared" si="107"/>
        <v>0</v>
      </c>
      <c r="L100">
        <f t="shared" si="108"/>
        <v>0.36309729495474408</v>
      </c>
      <c r="M100">
        <f t="shared" si="109"/>
        <v>1.8389901881255135</v>
      </c>
      <c r="N100">
        <f t="shared" si="110"/>
        <v>0.22005052132844796</v>
      </c>
      <c r="O100">
        <f t="shared" si="111"/>
        <v>0</v>
      </c>
      <c r="P100">
        <f t="shared" si="112"/>
        <v>0</v>
      </c>
      <c r="Q100">
        <f t="shared" si="113"/>
        <v>0.1984037204159258</v>
      </c>
    </row>
    <row r="101" spans="5:19" x14ac:dyDescent="0.25">
      <c r="E101" t="s">
        <v>9</v>
      </c>
      <c r="F101">
        <f t="shared" si="102"/>
        <v>0</v>
      </c>
      <c r="G101">
        <f t="shared" si="103"/>
        <v>0</v>
      </c>
      <c r="H101">
        <f t="shared" si="104"/>
        <v>0</v>
      </c>
      <c r="I101">
        <f t="shared" si="105"/>
        <v>0</v>
      </c>
      <c r="J101">
        <f t="shared" si="106"/>
        <v>0</v>
      </c>
      <c r="K101">
        <f t="shared" si="107"/>
        <v>0</v>
      </c>
      <c r="L101">
        <f t="shared" si="108"/>
        <v>0</v>
      </c>
      <c r="M101">
        <f t="shared" si="109"/>
        <v>0</v>
      </c>
      <c r="N101">
        <f t="shared" si="110"/>
        <v>0</v>
      </c>
      <c r="O101">
        <f t="shared" si="111"/>
        <v>0</v>
      </c>
      <c r="P101">
        <f t="shared" si="112"/>
        <v>0</v>
      </c>
      <c r="Q101">
        <f t="shared" si="113"/>
        <v>0</v>
      </c>
    </row>
    <row r="102" spans="5:19" x14ac:dyDescent="0.25">
      <c r="E102" t="s">
        <v>10</v>
      </c>
      <c r="F102">
        <f t="shared" si="102"/>
        <v>0</v>
      </c>
      <c r="G102">
        <f t="shared" si="103"/>
        <v>2.4530520318460853</v>
      </c>
      <c r="H102">
        <f t="shared" si="104"/>
        <v>0</v>
      </c>
      <c r="I102">
        <f t="shared" si="105"/>
        <v>0</v>
      </c>
      <c r="J102">
        <f t="shared" si="106"/>
        <v>0.17103663087242826</v>
      </c>
      <c r="K102">
        <f t="shared" si="107"/>
        <v>4.4927901499375922E-2</v>
      </c>
      <c r="L102">
        <f t="shared" si="108"/>
        <v>2.0870982953384791</v>
      </c>
      <c r="M102">
        <f t="shared" si="109"/>
        <v>7.0544914686466093E-2</v>
      </c>
      <c r="N102">
        <f t="shared" si="110"/>
        <v>2.5303250143407503</v>
      </c>
      <c r="O102">
        <f t="shared" si="111"/>
        <v>0</v>
      </c>
      <c r="P102">
        <f t="shared" si="112"/>
        <v>0.22889643076128302</v>
      </c>
      <c r="Q102">
        <f t="shared" si="113"/>
        <v>2.2080820833577506</v>
      </c>
    </row>
    <row r="103" spans="5:19" x14ac:dyDescent="0.25">
      <c r="F103">
        <f t="shared" si="102"/>
        <v>0</v>
      </c>
      <c r="G103">
        <f t="shared" si="103"/>
        <v>0</v>
      </c>
      <c r="H103">
        <f t="shared" si="104"/>
        <v>0</v>
      </c>
      <c r="I103">
        <f t="shared" si="105"/>
        <v>0</v>
      </c>
      <c r="J103">
        <f t="shared" si="106"/>
        <v>0</v>
      </c>
      <c r="K103">
        <f t="shared" si="107"/>
        <v>0</v>
      </c>
      <c r="L103">
        <f t="shared" si="108"/>
        <v>0</v>
      </c>
      <c r="M103">
        <f t="shared" si="109"/>
        <v>0</v>
      </c>
      <c r="N103">
        <f t="shared" si="110"/>
        <v>0</v>
      </c>
      <c r="O103">
        <f t="shared" si="111"/>
        <v>0</v>
      </c>
      <c r="P103">
        <f t="shared" si="112"/>
        <v>0</v>
      </c>
      <c r="Q103">
        <f t="shared" si="113"/>
        <v>0</v>
      </c>
    </row>
    <row r="104" spans="5:19" x14ac:dyDescent="0.25">
      <c r="E104" t="s">
        <v>42</v>
      </c>
      <c r="F104">
        <f t="shared" si="102"/>
        <v>99.10241186452231</v>
      </c>
      <c r="G104">
        <f t="shared" si="103"/>
        <v>78.916968187027805</v>
      </c>
      <c r="H104">
        <f t="shared" si="104"/>
        <v>98.893742065291534</v>
      </c>
      <c r="I104">
        <f t="shared" si="105"/>
        <v>98.867691760060609</v>
      </c>
      <c r="J104">
        <f t="shared" si="106"/>
        <v>95.182499249039381</v>
      </c>
      <c r="K104">
        <f t="shared" si="107"/>
        <v>97.904613575861518</v>
      </c>
      <c r="L104">
        <f t="shared" si="108"/>
        <v>83.144278625961491</v>
      </c>
      <c r="M104">
        <f t="shared" si="109"/>
        <v>96.408960719778577</v>
      </c>
      <c r="N104">
        <f t="shared" si="110"/>
        <v>90.242797918176862</v>
      </c>
      <c r="O104">
        <f t="shared" si="111"/>
        <v>98.563067662885516</v>
      </c>
      <c r="P104">
        <f t="shared" si="112"/>
        <v>94.811645855059254</v>
      </c>
      <c r="Q104">
        <f t="shared" si="113"/>
        <v>90.777490870436978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5.8442845855884377E-2</v>
      </c>
      <c r="G108">
        <f t="shared" ref="G108:L108" si="114">G71</f>
        <v>0.22213757806023321</v>
      </c>
      <c r="H108">
        <f t="shared" si="114"/>
        <v>0.22065969244840794</v>
      </c>
      <c r="I108">
        <f t="shared" si="114"/>
        <v>5.8699870166297019E-2</v>
      </c>
      <c r="J108">
        <f t="shared" si="114"/>
        <v>0.19892093999573623</v>
      </c>
      <c r="K108">
        <f t="shared" si="114"/>
        <v>0.10523736708800972</v>
      </c>
      <c r="L108">
        <f t="shared" si="114"/>
        <v>2.1852090550229599E-2</v>
      </c>
      <c r="M108">
        <v>0</v>
      </c>
      <c r="N108">
        <f t="shared" ref="N108:R116" si="115">M71</f>
        <v>0.17699285604152748</v>
      </c>
      <c r="O108">
        <f t="shared" si="115"/>
        <v>2.7983868959604811E-2</v>
      </c>
      <c r="P108">
        <f t="shared" si="115"/>
        <v>0.11109141648769751</v>
      </c>
      <c r="Q108">
        <f t="shared" si="115"/>
        <v>0.18076265513517548</v>
      </c>
      <c r="R108">
        <f t="shared" si="115"/>
        <v>9.1616138977897041E-2</v>
      </c>
      <c r="S108">
        <v>0</v>
      </c>
    </row>
    <row r="109" spans="5:19" x14ac:dyDescent="0.25">
      <c r="E109" t="s">
        <v>6</v>
      </c>
      <c r="F109">
        <f t="shared" ref="F109:L116" si="116">F72</f>
        <v>0.21290950680156359</v>
      </c>
      <c r="G109">
        <f t="shared" si="116"/>
        <v>0.13819582035663644</v>
      </c>
      <c r="H109">
        <f t="shared" si="116"/>
        <v>9.6038415366146462E-2</v>
      </c>
      <c r="I109">
        <f t="shared" si="116"/>
        <v>6.4386721298992464E-2</v>
      </c>
      <c r="J109">
        <f t="shared" si="116"/>
        <v>0.13266862362452647</v>
      </c>
      <c r="K109">
        <f t="shared" si="116"/>
        <v>0.43393809149894613</v>
      </c>
      <c r="L109">
        <f t="shared" si="116"/>
        <v>0.10971360670265044</v>
      </c>
      <c r="M109">
        <v>0</v>
      </c>
      <c r="N109">
        <f t="shared" si="115"/>
        <v>0.1967479570334584</v>
      </c>
      <c r="O109">
        <f t="shared" si="115"/>
        <v>7.1204717416282579E-2</v>
      </c>
      <c r="P109">
        <f t="shared" si="115"/>
        <v>0.16570964537311464</v>
      </c>
      <c r="Q109">
        <f t="shared" si="115"/>
        <v>0.24381577914146679</v>
      </c>
      <c r="R109">
        <f t="shared" si="115"/>
        <v>0.11319514691897196</v>
      </c>
      <c r="S109">
        <v>0</v>
      </c>
    </row>
    <row r="110" spans="5:19" x14ac:dyDescent="0.25">
      <c r="E110" t="s">
        <v>7</v>
      </c>
      <c r="F110">
        <f t="shared" si="116"/>
        <v>15.852067101264437</v>
      </c>
      <c r="G110">
        <f t="shared" si="116"/>
        <v>44.851465499857561</v>
      </c>
      <c r="H110">
        <f t="shared" si="116"/>
        <v>3.8858400503058368</v>
      </c>
      <c r="I110">
        <f t="shared" si="116"/>
        <v>8.8168361637466131</v>
      </c>
      <c r="J110">
        <f t="shared" si="116"/>
        <v>22.167631479689728</v>
      </c>
      <c r="K110">
        <f t="shared" si="116"/>
        <v>15.803021626057539</v>
      </c>
      <c r="L110">
        <f t="shared" si="116"/>
        <v>42.732619028437931</v>
      </c>
      <c r="M110">
        <v>0</v>
      </c>
      <c r="N110">
        <f t="shared" si="115"/>
        <v>10.770224083877268</v>
      </c>
      <c r="O110">
        <f t="shared" si="115"/>
        <v>14.185212896769167</v>
      </c>
      <c r="P110">
        <f t="shared" si="115"/>
        <v>8.6307106965163882</v>
      </c>
      <c r="Q110">
        <f t="shared" si="115"/>
        <v>25.474550561841433</v>
      </c>
      <c r="R110">
        <f t="shared" si="115"/>
        <v>15.329802957156963</v>
      </c>
      <c r="S110">
        <v>0</v>
      </c>
    </row>
    <row r="111" spans="5:19" x14ac:dyDescent="0.25">
      <c r="F111">
        <f t="shared" si="116"/>
        <v>0</v>
      </c>
      <c r="G111">
        <f t="shared" si="116"/>
        <v>0</v>
      </c>
      <c r="H111">
        <f t="shared" si="116"/>
        <v>0</v>
      </c>
      <c r="I111">
        <f t="shared" si="116"/>
        <v>0</v>
      </c>
      <c r="J111">
        <f t="shared" si="116"/>
        <v>0</v>
      </c>
      <c r="K111">
        <f t="shared" si="116"/>
        <v>0</v>
      </c>
      <c r="L111">
        <f t="shared" si="116"/>
        <v>0</v>
      </c>
      <c r="M111">
        <v>0</v>
      </c>
      <c r="N111">
        <f t="shared" si="115"/>
        <v>0</v>
      </c>
      <c r="O111">
        <f t="shared" si="115"/>
        <v>0</v>
      </c>
      <c r="P111">
        <f t="shared" si="115"/>
        <v>0</v>
      </c>
      <c r="Q111">
        <f t="shared" si="115"/>
        <v>0</v>
      </c>
      <c r="R111">
        <f t="shared" si="115"/>
        <v>0</v>
      </c>
      <c r="S111">
        <v>0</v>
      </c>
    </row>
    <row r="112" spans="5:19" x14ac:dyDescent="0.25">
      <c r="E112" t="s">
        <v>8</v>
      </c>
      <c r="F112">
        <f t="shared" si="116"/>
        <v>6.6188372388936401</v>
      </c>
      <c r="G112">
        <f t="shared" si="116"/>
        <v>4.3948191371203418</v>
      </c>
      <c r="H112">
        <f t="shared" si="116"/>
        <v>3.5502772537586464</v>
      </c>
      <c r="I112">
        <f t="shared" si="116"/>
        <v>7.9194703324687392</v>
      </c>
      <c r="J112">
        <f t="shared" si="116"/>
        <v>3.7242329326489445</v>
      </c>
      <c r="K112">
        <f t="shared" si="116"/>
        <v>5.8193459637853575</v>
      </c>
      <c r="L112">
        <f t="shared" si="116"/>
        <v>3.980252557802304</v>
      </c>
      <c r="M112">
        <v>0</v>
      </c>
      <c r="N112">
        <f t="shared" si="115"/>
        <v>9.7699414092614489</v>
      </c>
      <c r="O112">
        <f t="shared" si="115"/>
        <v>2.9571597795914593</v>
      </c>
      <c r="P112">
        <f t="shared" si="115"/>
        <v>5.9591579311851541</v>
      </c>
      <c r="Q112">
        <f t="shared" si="115"/>
        <v>3.2836605331759725</v>
      </c>
      <c r="R112">
        <f t="shared" si="115"/>
        <v>5.1941050693254027</v>
      </c>
      <c r="S112">
        <v>0</v>
      </c>
    </row>
    <row r="113" spans="5:19" x14ac:dyDescent="0.25">
      <c r="E113" t="s">
        <v>9</v>
      </c>
      <c r="F113">
        <f t="shared" si="116"/>
        <v>0.32446876192899859</v>
      </c>
      <c r="G113">
        <f t="shared" si="116"/>
        <v>0.42667059301771021</v>
      </c>
      <c r="H113">
        <f t="shared" si="116"/>
        <v>0.167495569656434</v>
      </c>
      <c r="I113">
        <f t="shared" si="116"/>
        <v>1.4138018468987967</v>
      </c>
      <c r="J113">
        <f t="shared" si="116"/>
        <v>0.36455173092376064</v>
      </c>
      <c r="K113">
        <f t="shared" si="116"/>
        <v>0.14656480437362365</v>
      </c>
      <c r="L113">
        <f t="shared" si="116"/>
        <v>0.31811407395472491</v>
      </c>
      <c r="M113">
        <v>0</v>
      </c>
      <c r="N113">
        <f t="shared" si="115"/>
        <v>0.5420606979493241</v>
      </c>
      <c r="O113">
        <f t="shared" si="115"/>
        <v>0.22962187389946914</v>
      </c>
      <c r="P113">
        <f t="shared" si="115"/>
        <v>0.37264059556541201</v>
      </c>
      <c r="Q113">
        <f t="shared" si="115"/>
        <v>0.33423598039833091</v>
      </c>
      <c r="R113">
        <f t="shared" si="115"/>
        <v>0.38675639495793229</v>
      </c>
      <c r="S113">
        <v>0</v>
      </c>
    </row>
    <row r="114" spans="5:19" x14ac:dyDescent="0.25">
      <c r="E114" t="s">
        <v>10</v>
      </c>
      <c r="F114">
        <f t="shared" si="116"/>
        <v>0.71655367716467866</v>
      </c>
      <c r="G114">
        <f t="shared" si="116"/>
        <v>4.8075661211385992</v>
      </c>
      <c r="H114">
        <f t="shared" si="116"/>
        <v>0.87749385468473107</v>
      </c>
      <c r="I114">
        <f t="shared" si="116"/>
        <v>1.4393516604159498</v>
      </c>
      <c r="J114">
        <f t="shared" si="116"/>
        <v>2.9956214434477442</v>
      </c>
      <c r="K114">
        <f t="shared" si="116"/>
        <v>1.5956818731956146</v>
      </c>
      <c r="L114">
        <f t="shared" si="116"/>
        <v>4.1791871425118829</v>
      </c>
      <c r="M114">
        <v>0</v>
      </c>
      <c r="N114">
        <f t="shared" si="115"/>
        <v>1.1963881893405972</v>
      </c>
      <c r="O114">
        <f t="shared" si="115"/>
        <v>5.0605151166251456</v>
      </c>
      <c r="P114">
        <f t="shared" si="115"/>
        <v>1.2357116652170508</v>
      </c>
      <c r="Q114">
        <f t="shared" si="115"/>
        <v>4.0671208668521723</v>
      </c>
      <c r="R114">
        <f t="shared" si="115"/>
        <v>4.4810892174618848</v>
      </c>
      <c r="S114">
        <v>0</v>
      </c>
    </row>
    <row r="115" spans="5:19" x14ac:dyDescent="0.25">
      <c r="F115">
        <f t="shared" si="116"/>
        <v>0</v>
      </c>
      <c r="G115">
        <f t="shared" si="116"/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v>0</v>
      </c>
      <c r="N115">
        <f t="shared" si="115"/>
        <v>0</v>
      </c>
      <c r="O115">
        <f t="shared" si="115"/>
        <v>0</v>
      </c>
      <c r="P115">
        <f t="shared" si="115"/>
        <v>0</v>
      </c>
      <c r="Q115">
        <f t="shared" si="115"/>
        <v>0</v>
      </c>
      <c r="R115">
        <f t="shared" si="115"/>
        <v>0</v>
      </c>
      <c r="S115">
        <v>0</v>
      </c>
    </row>
    <row r="116" spans="5:19" x14ac:dyDescent="0.25">
      <c r="E116" t="s">
        <v>42</v>
      </c>
      <c r="F116">
        <f t="shared" si="116"/>
        <v>76.216720868090803</v>
      </c>
      <c r="G116">
        <f t="shared" si="116"/>
        <v>45.159145250448915</v>
      </c>
      <c r="H116">
        <f t="shared" si="116"/>
        <v>91.202195163779791</v>
      </c>
      <c r="I116">
        <f t="shared" si="116"/>
        <v>81.368044330450388</v>
      </c>
      <c r="J116">
        <f t="shared" si="116"/>
        <v>70.416372849669557</v>
      </c>
      <c r="K116">
        <f t="shared" si="116"/>
        <v>76.09621027400091</v>
      </c>
      <c r="L116">
        <f t="shared" si="116"/>
        <v>48.658261500040282</v>
      </c>
      <c r="M116">
        <v>0</v>
      </c>
      <c r="N116">
        <f t="shared" si="115"/>
        <v>77.347644806496376</v>
      </c>
      <c r="O116">
        <f t="shared" si="115"/>
        <v>77.468301746738874</v>
      </c>
      <c r="P116">
        <f t="shared" si="115"/>
        <v>83.524978049655189</v>
      </c>
      <c r="Q116">
        <f t="shared" si="115"/>
        <v>66.415853623455448</v>
      </c>
      <c r="R116">
        <f t="shared" si="115"/>
        <v>74.403435075200946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390-1B3E-4984-AED2-1D3859932F14}">
  <dimension ref="A1:J27"/>
  <sheetViews>
    <sheetView workbookViewId="0">
      <selection activeCell="A16" sqref="A16:I27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713</v>
      </c>
      <c r="C4">
        <v>19</v>
      </c>
      <c r="E4" t="s">
        <v>5</v>
      </c>
      <c r="F4">
        <v>1946</v>
      </c>
      <c r="G4">
        <v>37</v>
      </c>
      <c r="I4">
        <v>0</v>
      </c>
    </row>
    <row r="5" spans="1:10" x14ac:dyDescent="0.25">
      <c r="A5" t="s">
        <v>6</v>
      </c>
      <c r="B5">
        <v>2940</v>
      </c>
      <c r="C5">
        <v>13</v>
      </c>
      <c r="E5" t="s">
        <v>6</v>
      </c>
      <c r="F5">
        <v>1252</v>
      </c>
      <c r="G5">
        <v>12</v>
      </c>
      <c r="I5">
        <v>0</v>
      </c>
    </row>
    <row r="6" spans="1:10" x14ac:dyDescent="0.25">
      <c r="A6" t="s">
        <v>7</v>
      </c>
      <c r="B6">
        <v>107791</v>
      </c>
      <c r="C6">
        <v>34</v>
      </c>
      <c r="E6" t="s">
        <v>7</v>
      </c>
      <c r="F6">
        <v>14829</v>
      </c>
      <c r="G6">
        <v>36</v>
      </c>
      <c r="I6">
        <v>30600</v>
      </c>
      <c r="J6">
        <v>2985</v>
      </c>
    </row>
    <row r="7" spans="1:10" x14ac:dyDescent="0.25">
      <c r="A7" t="s">
        <v>24</v>
      </c>
      <c r="B7">
        <v>565</v>
      </c>
      <c r="C7">
        <v>15</v>
      </c>
      <c r="E7" t="s">
        <v>24</v>
      </c>
      <c r="F7">
        <v>28</v>
      </c>
      <c r="G7">
        <v>11</v>
      </c>
      <c r="I7">
        <v>22</v>
      </c>
      <c r="J7">
        <v>2</v>
      </c>
    </row>
    <row r="8" spans="1:10" x14ac:dyDescent="0.25">
      <c r="A8" t="s">
        <v>8</v>
      </c>
      <c r="B8">
        <v>39427</v>
      </c>
      <c r="C8">
        <v>88</v>
      </c>
      <c r="E8" t="s">
        <v>8</v>
      </c>
      <c r="F8">
        <v>6909</v>
      </c>
      <c r="G8">
        <v>178</v>
      </c>
      <c r="I8">
        <v>0</v>
      </c>
    </row>
    <row r="9" spans="1:10" x14ac:dyDescent="0.25">
      <c r="A9" t="s">
        <v>9</v>
      </c>
      <c r="B9">
        <v>739</v>
      </c>
      <c r="C9">
        <v>24</v>
      </c>
      <c r="E9" t="s">
        <v>9</v>
      </c>
      <c r="F9">
        <v>128</v>
      </c>
      <c r="G9">
        <v>59</v>
      </c>
      <c r="I9">
        <v>0</v>
      </c>
    </row>
    <row r="10" spans="1:10" x14ac:dyDescent="0.25">
      <c r="A10" t="s">
        <v>10</v>
      </c>
      <c r="B10">
        <v>10088</v>
      </c>
      <c r="C10">
        <v>3</v>
      </c>
      <c r="E10" t="s">
        <v>10</v>
      </c>
      <c r="F10">
        <v>4726</v>
      </c>
      <c r="G10">
        <v>4</v>
      </c>
      <c r="I10">
        <v>667</v>
      </c>
      <c r="J10">
        <v>387</v>
      </c>
    </row>
    <row r="11" spans="1:10" x14ac:dyDescent="0.25">
      <c r="A11" t="s">
        <v>11</v>
      </c>
      <c r="B11">
        <v>18996</v>
      </c>
      <c r="C11">
        <v>196</v>
      </c>
      <c r="E11" t="s">
        <v>11</v>
      </c>
      <c r="F11">
        <v>8617</v>
      </c>
      <c r="G11">
        <v>401</v>
      </c>
      <c r="I11">
        <v>0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713</v>
      </c>
      <c r="C17">
        <v>1946</v>
      </c>
      <c r="D17">
        <v>0</v>
      </c>
      <c r="F17" t="s">
        <v>5</v>
      </c>
      <c r="G17">
        <f t="shared" ref="G17:I19" si="0">100*B17/189892</f>
        <v>0.37547658669138245</v>
      </c>
      <c r="H17">
        <f t="shared" si="0"/>
        <v>1.0247930402544605</v>
      </c>
      <c r="I17">
        <f t="shared" si="0"/>
        <v>0</v>
      </c>
    </row>
    <row r="18" spans="1:9" x14ac:dyDescent="0.25">
      <c r="A18" t="s">
        <v>6</v>
      </c>
      <c r="B18">
        <v>2940</v>
      </c>
      <c r="C18">
        <v>1252</v>
      </c>
      <c r="D18">
        <v>0</v>
      </c>
      <c r="F18" t="s">
        <v>6</v>
      </c>
      <c r="G18">
        <f t="shared" si="0"/>
        <v>1.5482484780822783</v>
      </c>
      <c r="H18">
        <f t="shared" si="0"/>
        <v>0.6593221410064668</v>
      </c>
      <c r="I18">
        <f t="shared" si="0"/>
        <v>0</v>
      </c>
    </row>
    <row r="19" spans="1:9" x14ac:dyDescent="0.25">
      <c r="A19" t="s">
        <v>7</v>
      </c>
      <c r="B19">
        <v>107791</v>
      </c>
      <c r="C19">
        <v>14829</v>
      </c>
      <c r="D19">
        <v>30600</v>
      </c>
      <c r="F19" t="s">
        <v>7</v>
      </c>
      <c r="G19">
        <f t="shared" si="0"/>
        <v>56.764371326859475</v>
      </c>
      <c r="H19">
        <f t="shared" si="0"/>
        <v>7.8091757420007166</v>
      </c>
      <c r="I19">
        <f t="shared" si="0"/>
        <v>16.11442293514208</v>
      </c>
    </row>
    <row r="21" spans="1:9" x14ac:dyDescent="0.25">
      <c r="A21" t="s">
        <v>8</v>
      </c>
      <c r="B21">
        <v>39427</v>
      </c>
      <c r="C21">
        <v>6909</v>
      </c>
      <c r="D21">
        <v>0</v>
      </c>
      <c r="F21" t="s">
        <v>8</v>
      </c>
      <c r="G21">
        <f t="shared" ref="G21:I23" si="1">100*B21/189892</f>
        <v>20.762854675289113</v>
      </c>
      <c r="H21">
        <f t="shared" si="1"/>
        <v>3.6383839234933539</v>
      </c>
      <c r="I21">
        <f t="shared" si="1"/>
        <v>0</v>
      </c>
    </row>
    <row r="22" spans="1:9" x14ac:dyDescent="0.25">
      <c r="A22" t="s">
        <v>9</v>
      </c>
      <c r="B22">
        <v>739</v>
      </c>
      <c r="C22">
        <v>128</v>
      </c>
      <c r="D22">
        <v>0</v>
      </c>
      <c r="F22" t="s">
        <v>9</v>
      </c>
      <c r="G22">
        <f t="shared" si="1"/>
        <v>0.38916858003496724</v>
      </c>
      <c r="H22">
        <f t="shared" si="1"/>
        <v>6.740673646072505E-2</v>
      </c>
      <c r="I22">
        <f t="shared" si="1"/>
        <v>0</v>
      </c>
    </row>
    <row r="23" spans="1:9" x14ac:dyDescent="0.25">
      <c r="A23" t="s">
        <v>10</v>
      </c>
      <c r="B23">
        <v>10088</v>
      </c>
      <c r="C23">
        <v>4726</v>
      </c>
      <c r="D23">
        <v>667</v>
      </c>
      <c r="F23" t="s">
        <v>10</v>
      </c>
      <c r="G23">
        <f t="shared" si="1"/>
        <v>5.3124934173108924</v>
      </c>
      <c r="H23">
        <f t="shared" si="1"/>
        <v>2.4887830977608325</v>
      </c>
      <c r="I23">
        <f t="shared" si="1"/>
        <v>0.35125229077580938</v>
      </c>
    </row>
    <row r="25" spans="1:9" x14ac:dyDescent="0.25">
      <c r="F25" t="s">
        <v>42</v>
      </c>
      <c r="G25">
        <f>B27*100/189892</f>
        <v>14.84738693573189</v>
      </c>
      <c r="H25">
        <f t="shared" ref="H25:I25" si="2">C27*100/189892</f>
        <v>84.31213531902344</v>
      </c>
      <c r="I25">
        <f t="shared" si="2"/>
        <v>83.534324774082108</v>
      </c>
    </row>
    <row r="26" spans="1:9" x14ac:dyDescent="0.25">
      <c r="A26" t="s">
        <v>43</v>
      </c>
      <c r="B26">
        <v>189892</v>
      </c>
      <c r="C26">
        <v>189892</v>
      </c>
      <c r="D26">
        <v>189892</v>
      </c>
    </row>
    <row r="27" spans="1:9" x14ac:dyDescent="0.25">
      <c r="A27" t="s">
        <v>37</v>
      </c>
      <c r="B27">
        <f>B26-SUM(B17:B24)</f>
        <v>28194</v>
      </c>
      <c r="C27">
        <f t="shared" ref="C27:D27" si="3">C26-SUM(C17:C24)</f>
        <v>160102</v>
      </c>
      <c r="D27">
        <f t="shared" si="3"/>
        <v>158625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8B9B-E35D-4853-92BF-AAD6C60D8E55}">
  <dimension ref="A1:J28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17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434</v>
      </c>
      <c r="C4">
        <v>23</v>
      </c>
      <c r="E4" t="s">
        <v>5</v>
      </c>
      <c r="F4">
        <v>2071</v>
      </c>
      <c r="G4">
        <v>77</v>
      </c>
    </row>
    <row r="5" spans="1:10" x14ac:dyDescent="0.25">
      <c r="A5" t="s">
        <v>6</v>
      </c>
      <c r="B5">
        <v>2179</v>
      </c>
      <c r="C5">
        <v>16</v>
      </c>
      <c r="E5" t="s">
        <v>6</v>
      </c>
      <c r="F5">
        <v>892</v>
      </c>
      <c r="G5">
        <v>21</v>
      </c>
    </row>
    <row r="6" spans="1:10" x14ac:dyDescent="0.25">
      <c r="A6" t="s">
        <v>7</v>
      </c>
      <c r="B6">
        <v>849905</v>
      </c>
      <c r="C6">
        <v>62</v>
      </c>
      <c r="E6" t="s">
        <v>7</v>
      </c>
      <c r="F6">
        <v>193487</v>
      </c>
      <c r="G6">
        <v>73</v>
      </c>
      <c r="I6">
        <v>401383</v>
      </c>
      <c r="J6">
        <v>5646</v>
      </c>
    </row>
    <row r="7" spans="1:10" x14ac:dyDescent="0.25">
      <c r="A7" t="s">
        <v>24</v>
      </c>
      <c r="B7">
        <v>676</v>
      </c>
      <c r="C7">
        <v>28</v>
      </c>
      <c r="E7" t="s">
        <v>24</v>
      </c>
      <c r="F7">
        <v>282</v>
      </c>
      <c r="G7">
        <v>31</v>
      </c>
      <c r="I7">
        <f>2+6</f>
        <v>8</v>
      </c>
      <c r="J7">
        <f>2+1</f>
        <v>3</v>
      </c>
    </row>
    <row r="8" spans="1:10" x14ac:dyDescent="0.25">
      <c r="A8" t="s">
        <v>8</v>
      </c>
      <c r="B8">
        <v>79051</v>
      </c>
      <c r="C8">
        <v>188</v>
      </c>
      <c r="E8" t="s">
        <v>8</v>
      </c>
      <c r="F8">
        <v>48535</v>
      </c>
      <c r="G8">
        <v>408</v>
      </c>
      <c r="I8">
        <v>10542</v>
      </c>
      <c r="J8">
        <v>1957</v>
      </c>
    </row>
    <row r="9" spans="1:10" x14ac:dyDescent="0.25">
      <c r="A9" t="s">
        <v>9</v>
      </c>
      <c r="B9">
        <v>4169</v>
      </c>
      <c r="C9">
        <v>45</v>
      </c>
      <c r="E9" t="s">
        <v>9</v>
      </c>
      <c r="F9">
        <v>630</v>
      </c>
      <c r="G9">
        <v>125</v>
      </c>
    </row>
    <row r="10" spans="1:10" x14ac:dyDescent="0.25">
      <c r="A10" t="s">
        <v>10</v>
      </c>
      <c r="B10">
        <v>81801</v>
      </c>
      <c r="C10">
        <v>3</v>
      </c>
      <c r="E10" t="s">
        <v>10</v>
      </c>
      <c r="F10">
        <v>30230</v>
      </c>
      <c r="G10">
        <v>6</v>
      </c>
      <c r="I10">
        <f>12099+1629+45027</f>
        <v>58755</v>
      </c>
      <c r="J10">
        <f>1565+616+2455</f>
        <v>4636</v>
      </c>
    </row>
    <row r="11" spans="1:10" x14ac:dyDescent="0.25">
      <c r="A11" t="s">
        <v>11</v>
      </c>
      <c r="B11">
        <v>45872</v>
      </c>
      <c r="C11">
        <v>336</v>
      </c>
      <c r="E11" t="s">
        <v>11</v>
      </c>
      <c r="F11">
        <v>57161</v>
      </c>
      <c r="G11">
        <v>526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434</v>
      </c>
      <c r="C17">
        <v>2071</v>
      </c>
      <c r="F17" t="s">
        <v>5</v>
      </c>
      <c r="G17">
        <f>B17*100/1097960</f>
        <v>3.9527851652154902E-2</v>
      </c>
      <c r="H17">
        <f t="shared" ref="H17:I23" si="0">C17*100/1097960</f>
        <v>0.18862253634012169</v>
      </c>
      <c r="I17">
        <f t="shared" si="0"/>
        <v>0</v>
      </c>
    </row>
    <row r="18" spans="1:9" x14ac:dyDescent="0.25">
      <c r="A18" t="s">
        <v>6</v>
      </c>
      <c r="B18">
        <v>2179</v>
      </c>
      <c r="C18">
        <v>892</v>
      </c>
      <c r="F18" t="s">
        <v>6</v>
      </c>
      <c r="G18">
        <f t="shared" ref="G18:G23" si="1">B18*100/1097960</f>
        <v>0.19845896025356116</v>
      </c>
      <c r="H18">
        <f t="shared" si="0"/>
        <v>8.1241575285074141E-2</v>
      </c>
      <c r="I18">
        <f t="shared" si="0"/>
        <v>0</v>
      </c>
    </row>
    <row r="19" spans="1:9" x14ac:dyDescent="0.25">
      <c r="A19" t="s">
        <v>7</v>
      </c>
      <c r="B19">
        <v>849905</v>
      </c>
      <c r="C19">
        <v>193487</v>
      </c>
      <c r="D19">
        <v>401383</v>
      </c>
      <c r="F19" t="s">
        <v>7</v>
      </c>
      <c r="G19">
        <f t="shared" si="1"/>
        <v>77.407646908812708</v>
      </c>
      <c r="H19">
        <f t="shared" si="0"/>
        <v>17.622408830922801</v>
      </c>
      <c r="I19">
        <f t="shared" si="0"/>
        <v>36.557160552296985</v>
      </c>
    </row>
    <row r="21" spans="1:9" x14ac:dyDescent="0.25">
      <c r="A21" t="s">
        <v>8</v>
      </c>
      <c r="B21">
        <v>79051</v>
      </c>
      <c r="C21">
        <v>48535</v>
      </c>
      <c r="D21">
        <v>10542</v>
      </c>
      <c r="F21" t="s">
        <v>8</v>
      </c>
      <c r="G21">
        <f t="shared" si="1"/>
        <v>7.199806914641699</v>
      </c>
      <c r="H21">
        <f t="shared" si="0"/>
        <v>4.4204706910998581</v>
      </c>
      <c r="I21">
        <f t="shared" si="0"/>
        <v>0.96014426755073046</v>
      </c>
    </row>
    <row r="22" spans="1:9" x14ac:dyDescent="0.25">
      <c r="A22" t="s">
        <v>9</v>
      </c>
      <c r="B22">
        <v>4169</v>
      </c>
      <c r="C22">
        <v>630</v>
      </c>
      <c r="F22" t="s">
        <v>9</v>
      </c>
      <c r="G22">
        <f t="shared" si="1"/>
        <v>0.37970417865860323</v>
      </c>
      <c r="H22">
        <f t="shared" si="0"/>
        <v>5.7379139495063569E-2</v>
      </c>
      <c r="I22">
        <f t="shared" si="0"/>
        <v>0</v>
      </c>
    </row>
    <row r="23" spans="1:9" x14ac:dyDescent="0.25">
      <c r="A23" t="s">
        <v>10</v>
      </c>
      <c r="B23">
        <v>81801</v>
      </c>
      <c r="C23">
        <v>30230</v>
      </c>
      <c r="D23">
        <f>12099+1629+45027</f>
        <v>58755</v>
      </c>
      <c r="F23" t="s">
        <v>10</v>
      </c>
      <c r="G23">
        <f t="shared" si="1"/>
        <v>7.4502714124376119</v>
      </c>
      <c r="H23">
        <f t="shared" si="0"/>
        <v>2.7532879157710664</v>
      </c>
      <c r="I23">
        <f t="shared" si="0"/>
        <v>5.3512878429086665</v>
      </c>
    </row>
    <row r="25" spans="1:9" x14ac:dyDescent="0.25">
      <c r="F25" t="s">
        <v>42</v>
      </c>
      <c r="G25">
        <f>B28*100/1097960</f>
        <v>7.3245837735436625</v>
      </c>
      <c r="H25">
        <f t="shared" ref="H25:I25" si="2">C28*100/1097960</f>
        <v>74.876589311086008</v>
      </c>
      <c r="I25">
        <f t="shared" si="2"/>
        <v>57.131407337243616</v>
      </c>
    </row>
    <row r="27" spans="1:9" x14ac:dyDescent="0.25">
      <c r="A27" t="s">
        <v>43</v>
      </c>
      <c r="B27">
        <v>1097960</v>
      </c>
      <c r="C27">
        <v>1097960</v>
      </c>
      <c r="D27">
        <v>1097960</v>
      </c>
    </row>
    <row r="28" spans="1:9" x14ac:dyDescent="0.25">
      <c r="A28" t="s">
        <v>37</v>
      </c>
      <c r="B28">
        <f>B27-SUM(B17:B24)</f>
        <v>80421</v>
      </c>
      <c r="C28">
        <f t="shared" ref="C28:D28" si="3">C27-SUM(C17:C24)</f>
        <v>822115</v>
      </c>
      <c r="D28">
        <f t="shared" si="3"/>
        <v>627280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82B-5F58-4FFA-88C3-AE8FFA44B901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1102</v>
      </c>
      <c r="C4">
        <v>14</v>
      </c>
      <c r="E4" t="s">
        <v>5</v>
      </c>
      <c r="F4">
        <v>743</v>
      </c>
      <c r="G4">
        <v>27</v>
      </c>
    </row>
    <row r="5" spans="1:10" x14ac:dyDescent="0.25">
      <c r="A5" t="s">
        <v>6</v>
      </c>
      <c r="B5">
        <v>1225</v>
      </c>
      <c r="C5">
        <v>13</v>
      </c>
      <c r="E5" t="s">
        <v>6</v>
      </c>
      <c r="F5">
        <v>371</v>
      </c>
      <c r="G5">
        <v>8</v>
      </c>
    </row>
    <row r="6" spans="1:10" x14ac:dyDescent="0.25">
      <c r="A6" t="s">
        <v>7</v>
      </c>
      <c r="B6">
        <v>67364</v>
      </c>
      <c r="C6">
        <v>32</v>
      </c>
      <c r="E6" t="s">
        <v>7</v>
      </c>
      <c r="F6">
        <v>11627</v>
      </c>
      <c r="G6">
        <v>25</v>
      </c>
      <c r="I6">
        <v>25712</v>
      </c>
      <c r="J6">
        <v>2206</v>
      </c>
    </row>
    <row r="7" spans="1:10" x14ac:dyDescent="0.25">
      <c r="A7" t="s">
        <v>24</v>
      </c>
      <c r="B7">
        <v>866</v>
      </c>
      <c r="C7">
        <v>8</v>
      </c>
      <c r="E7" t="s">
        <v>24</v>
      </c>
      <c r="F7">
        <v>23</v>
      </c>
      <c r="G7">
        <v>8</v>
      </c>
    </row>
    <row r="8" spans="1:10" x14ac:dyDescent="0.25">
      <c r="A8" t="s">
        <v>8</v>
      </c>
      <c r="B8">
        <v>60830</v>
      </c>
      <c r="C8">
        <v>79</v>
      </c>
      <c r="E8" t="s">
        <v>8</v>
      </c>
      <c r="F8">
        <v>4970</v>
      </c>
      <c r="G8">
        <v>151</v>
      </c>
      <c r="I8">
        <v>28894</v>
      </c>
      <c r="J8">
        <v>24</v>
      </c>
    </row>
    <row r="9" spans="1:10" x14ac:dyDescent="0.25">
      <c r="A9" t="s">
        <v>9</v>
      </c>
      <c r="B9">
        <v>924</v>
      </c>
      <c r="C9">
        <v>27</v>
      </c>
      <c r="E9" t="s">
        <v>9</v>
      </c>
      <c r="F9">
        <v>119</v>
      </c>
      <c r="G9">
        <v>56</v>
      </c>
    </row>
    <row r="10" spans="1:10" x14ac:dyDescent="0.25">
      <c r="A10" t="s">
        <v>10</v>
      </c>
      <c r="B10">
        <v>7143</v>
      </c>
      <c r="C10">
        <v>3</v>
      </c>
      <c r="E10" t="s">
        <v>10</v>
      </c>
      <c r="F10">
        <v>3226</v>
      </c>
      <c r="G10">
        <v>6</v>
      </c>
      <c r="I10">
        <v>1104</v>
      </c>
      <c r="J10">
        <v>314</v>
      </c>
    </row>
    <row r="11" spans="1:10" x14ac:dyDescent="0.25">
      <c r="A11" t="s">
        <v>11</v>
      </c>
      <c r="B11">
        <v>10521</v>
      </c>
      <c r="C11">
        <v>274</v>
      </c>
      <c r="E11" t="s">
        <v>11</v>
      </c>
      <c r="F11">
        <v>3100</v>
      </c>
      <c r="G11">
        <v>402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1102</v>
      </c>
      <c r="C16">
        <v>743</v>
      </c>
      <c r="F16" t="s">
        <v>5</v>
      </c>
      <c r="G16">
        <f>B16*100/158065</f>
        <v>0.697181539240186</v>
      </c>
      <c r="H16">
        <f t="shared" ref="H16:I22" si="0">C16*100/158065</f>
        <v>0.47005978553126876</v>
      </c>
      <c r="I16">
        <f t="shared" si="0"/>
        <v>0</v>
      </c>
    </row>
    <row r="17" spans="1:9" x14ac:dyDescent="0.25">
      <c r="A17" t="s">
        <v>6</v>
      </c>
      <c r="B17">
        <v>1225</v>
      </c>
      <c r="C17">
        <v>371</v>
      </c>
      <c r="F17" t="s">
        <v>6</v>
      </c>
      <c r="G17">
        <f t="shared" ref="G17:G22" si="1">B17*100/158065</f>
        <v>0.77499762755828294</v>
      </c>
      <c r="H17">
        <f t="shared" si="0"/>
        <v>0.2347135672033657</v>
      </c>
      <c r="I17">
        <f t="shared" si="0"/>
        <v>0</v>
      </c>
    </row>
    <row r="18" spans="1:9" x14ac:dyDescent="0.25">
      <c r="A18" t="s">
        <v>7</v>
      </c>
      <c r="B18">
        <v>67364</v>
      </c>
      <c r="C18">
        <v>11627</v>
      </c>
      <c r="D18">
        <v>25712</v>
      </c>
      <c r="F18" t="s">
        <v>7</v>
      </c>
      <c r="G18">
        <f t="shared" si="1"/>
        <v>42.617910353335652</v>
      </c>
      <c r="H18">
        <f t="shared" si="0"/>
        <v>7.3558346249960458</v>
      </c>
      <c r="I18">
        <f t="shared" si="0"/>
        <v>16.266725714104957</v>
      </c>
    </row>
    <row r="20" spans="1:9" x14ac:dyDescent="0.25">
      <c r="A20" t="s">
        <v>8</v>
      </c>
      <c r="B20">
        <v>60830</v>
      </c>
      <c r="C20">
        <v>4970</v>
      </c>
      <c r="D20">
        <v>28894</v>
      </c>
      <c r="F20" t="s">
        <v>8</v>
      </c>
      <c r="G20">
        <f t="shared" si="1"/>
        <v>38.484167905608452</v>
      </c>
      <c r="H20">
        <f t="shared" si="0"/>
        <v>3.1442760889507482</v>
      </c>
      <c r="I20">
        <f t="shared" si="0"/>
        <v>18.279821592382881</v>
      </c>
    </row>
    <row r="21" spans="1:9" x14ac:dyDescent="0.25">
      <c r="A21" t="s">
        <v>9</v>
      </c>
      <c r="B21">
        <v>924</v>
      </c>
      <c r="C21">
        <v>119</v>
      </c>
      <c r="F21" t="s">
        <v>9</v>
      </c>
      <c r="G21">
        <f t="shared" si="1"/>
        <v>0.58456963907253345</v>
      </c>
      <c r="H21">
        <f t="shared" si="0"/>
        <v>7.5285483819947485E-2</v>
      </c>
      <c r="I21">
        <f t="shared" si="0"/>
        <v>0</v>
      </c>
    </row>
    <row r="22" spans="1:9" x14ac:dyDescent="0.25">
      <c r="A22" t="s">
        <v>10</v>
      </c>
      <c r="B22">
        <v>7143</v>
      </c>
      <c r="C22">
        <v>3226</v>
      </c>
      <c r="D22">
        <v>1104</v>
      </c>
      <c r="F22" t="s">
        <v>10</v>
      </c>
      <c r="G22">
        <f t="shared" si="1"/>
        <v>4.5190269825704616</v>
      </c>
      <c r="H22">
        <f t="shared" si="0"/>
        <v>2.0409325277575681</v>
      </c>
      <c r="I22">
        <f t="shared" si="0"/>
        <v>0.69844684148926073</v>
      </c>
    </row>
    <row r="24" spans="1:9" x14ac:dyDescent="0.25">
      <c r="F24" t="s">
        <v>42</v>
      </c>
      <c r="G24">
        <f>B26*100/158065</f>
        <v>12.322145952614431</v>
      </c>
      <c r="H24">
        <f t="shared" ref="H24:I24" si="2">C26*100/158065</f>
        <v>86.678897921741054</v>
      </c>
      <c r="I24">
        <f t="shared" si="2"/>
        <v>64.755005852022904</v>
      </c>
    </row>
    <row r="25" spans="1:9" x14ac:dyDescent="0.25">
      <c r="A25" t="s">
        <v>43</v>
      </c>
      <c r="B25">
        <v>158065</v>
      </c>
      <c r="C25">
        <v>158065</v>
      </c>
      <c r="D25">
        <v>158065</v>
      </c>
    </row>
    <row r="26" spans="1:9" x14ac:dyDescent="0.25">
      <c r="A26" t="s">
        <v>37</v>
      </c>
      <c r="B26">
        <f>B25-SUM(B16:B23)</f>
        <v>19477</v>
      </c>
      <c r="C26">
        <f t="shared" ref="C26:D26" si="3">C25-SUM(C16:C23)</f>
        <v>137009</v>
      </c>
      <c r="D26">
        <f t="shared" si="3"/>
        <v>102355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732-D09D-4B64-B25C-F799B55D8CBD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19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472</v>
      </c>
      <c r="C4">
        <v>21</v>
      </c>
      <c r="E4" t="s">
        <v>5</v>
      </c>
      <c r="F4">
        <v>1460</v>
      </c>
      <c r="G4">
        <v>49</v>
      </c>
    </row>
    <row r="5" spans="1:10" x14ac:dyDescent="0.25">
      <c r="A5" t="s">
        <v>6</v>
      </c>
      <c r="B5">
        <v>1201</v>
      </c>
      <c r="C5">
        <v>18</v>
      </c>
      <c r="E5" t="s">
        <v>6</v>
      </c>
      <c r="F5">
        <v>711</v>
      </c>
      <c r="G5">
        <v>24</v>
      </c>
    </row>
    <row r="6" spans="1:10" x14ac:dyDescent="0.25">
      <c r="A6" t="s">
        <v>7</v>
      </c>
      <c r="B6">
        <v>239782</v>
      </c>
      <c r="C6">
        <v>53</v>
      </c>
      <c r="E6" t="s">
        <v>7</v>
      </c>
      <c r="F6">
        <v>82462</v>
      </c>
      <c r="G6">
        <v>55</v>
      </c>
      <c r="I6">
        <v>160304</v>
      </c>
      <c r="J6">
        <v>5494</v>
      </c>
    </row>
    <row r="7" spans="1:10" x14ac:dyDescent="0.25">
      <c r="A7" t="s">
        <v>24</v>
      </c>
      <c r="B7">
        <v>10702</v>
      </c>
      <c r="C7">
        <v>27</v>
      </c>
      <c r="E7" t="s">
        <v>24</v>
      </c>
      <c r="F7">
        <v>168</v>
      </c>
      <c r="G7">
        <v>17</v>
      </c>
      <c r="I7">
        <f>9</f>
        <v>9</v>
      </c>
      <c r="J7">
        <v>1</v>
      </c>
    </row>
    <row r="8" spans="1:10" x14ac:dyDescent="0.25">
      <c r="A8" t="s">
        <v>8</v>
      </c>
      <c r="B8">
        <v>49878</v>
      </c>
      <c r="C8">
        <v>200</v>
      </c>
      <c r="E8" t="s">
        <v>8</v>
      </c>
      <c r="F8">
        <v>24265</v>
      </c>
      <c r="G8">
        <v>352</v>
      </c>
      <c r="I8">
        <f>5278</f>
        <v>5278</v>
      </c>
      <c r="J8">
        <v>1506</v>
      </c>
    </row>
    <row r="9" spans="1:10" x14ac:dyDescent="0.25">
      <c r="A9" t="s">
        <v>9</v>
      </c>
      <c r="B9">
        <v>2212</v>
      </c>
      <c r="C9">
        <v>48</v>
      </c>
      <c r="E9" t="s">
        <v>9</v>
      </c>
      <c r="F9">
        <v>398</v>
      </c>
      <c r="G9">
        <v>107</v>
      </c>
    </row>
    <row r="10" spans="1:10" x14ac:dyDescent="0.25">
      <c r="A10" t="s">
        <v>10</v>
      </c>
      <c r="B10">
        <v>84833</v>
      </c>
      <c r="C10">
        <v>4</v>
      </c>
      <c r="E10" t="s">
        <v>10</v>
      </c>
      <c r="F10">
        <v>30622</v>
      </c>
      <c r="G10">
        <v>6</v>
      </c>
      <c r="I10">
        <f>697+5776+52296</f>
        <v>58769</v>
      </c>
      <c r="J10">
        <f>1312+307+2544</f>
        <v>4163</v>
      </c>
    </row>
    <row r="11" spans="1:10" x14ac:dyDescent="0.25">
      <c r="A11" t="s">
        <v>11</v>
      </c>
      <c r="B11">
        <v>74095</v>
      </c>
      <c r="C11">
        <v>289</v>
      </c>
      <c r="E11" t="s">
        <v>11</v>
      </c>
      <c r="F11">
        <v>108500</v>
      </c>
      <c r="G11">
        <v>446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472</v>
      </c>
      <c r="C16">
        <v>1460</v>
      </c>
      <c r="F16" t="s">
        <v>5</v>
      </c>
      <c r="G16">
        <f>B16*100/495537</f>
        <v>9.5250203314787799E-2</v>
      </c>
      <c r="H16">
        <f t="shared" ref="H16:I16" si="0">C16*100/495537</f>
        <v>0.29462986618557241</v>
      </c>
      <c r="I16">
        <f t="shared" si="0"/>
        <v>0</v>
      </c>
    </row>
    <row r="17" spans="1:9" x14ac:dyDescent="0.25">
      <c r="A17" t="s">
        <v>6</v>
      </c>
      <c r="B17">
        <v>1201</v>
      </c>
      <c r="C17">
        <v>711</v>
      </c>
      <c r="F17" t="s">
        <v>6</v>
      </c>
      <c r="G17">
        <f t="shared" ref="G17:G22" si="1">B17*100/495537</f>
        <v>0.2423633351293647</v>
      </c>
      <c r="H17">
        <f t="shared" ref="H17:H22" si="2">C17*100/495537</f>
        <v>0.14348070880680958</v>
      </c>
      <c r="I17">
        <f t="shared" ref="I17:I22" si="3">D17*100/495537</f>
        <v>0</v>
      </c>
    </row>
    <row r="18" spans="1:9" x14ac:dyDescent="0.25">
      <c r="A18" t="s">
        <v>7</v>
      </c>
      <c r="B18">
        <v>239782</v>
      </c>
      <c r="C18">
        <v>82462</v>
      </c>
      <c r="D18">
        <v>160304</v>
      </c>
      <c r="F18" t="s">
        <v>7</v>
      </c>
      <c r="G18">
        <f t="shared" si="1"/>
        <v>48.388314091581456</v>
      </c>
      <c r="H18">
        <f t="shared" si="2"/>
        <v>16.640937003694983</v>
      </c>
      <c r="I18">
        <f t="shared" si="3"/>
        <v>32.349552102063015</v>
      </c>
    </row>
    <row r="20" spans="1:9" x14ac:dyDescent="0.25">
      <c r="A20" t="s">
        <v>8</v>
      </c>
      <c r="B20">
        <v>49878</v>
      </c>
      <c r="C20">
        <v>24265</v>
      </c>
      <c r="D20">
        <f>5278</f>
        <v>5278</v>
      </c>
      <c r="F20" t="s">
        <v>8</v>
      </c>
      <c r="G20">
        <f t="shared" si="1"/>
        <v>10.065444154523275</v>
      </c>
      <c r="H20">
        <f t="shared" si="2"/>
        <v>4.8967080157485716</v>
      </c>
      <c r="I20">
        <f t="shared" si="3"/>
        <v>1.0651071463886652</v>
      </c>
    </row>
    <row r="21" spans="1:9" x14ac:dyDescent="0.25">
      <c r="A21" t="s">
        <v>9</v>
      </c>
      <c r="B21">
        <v>2212</v>
      </c>
      <c r="C21">
        <v>398</v>
      </c>
      <c r="F21" t="s">
        <v>9</v>
      </c>
      <c r="G21">
        <f t="shared" si="1"/>
        <v>0.44638442739896317</v>
      </c>
      <c r="H21">
        <f t="shared" si="2"/>
        <v>8.0316908727299879E-2</v>
      </c>
      <c r="I21">
        <f t="shared" si="3"/>
        <v>0</v>
      </c>
    </row>
    <row r="22" spans="1:9" x14ac:dyDescent="0.25">
      <c r="A22" t="s">
        <v>10</v>
      </c>
      <c r="B22">
        <v>84833</v>
      </c>
      <c r="C22">
        <v>30622</v>
      </c>
      <c r="D22">
        <f>697+5776+52296</f>
        <v>58769</v>
      </c>
      <c r="F22" t="s">
        <v>10</v>
      </c>
      <c r="G22">
        <f t="shared" si="1"/>
        <v>17.119407834329223</v>
      </c>
      <c r="H22">
        <f t="shared" si="2"/>
        <v>6.1795587413250672</v>
      </c>
      <c r="I22">
        <f t="shared" si="3"/>
        <v>11.859659319082127</v>
      </c>
    </row>
    <row r="24" spans="1:9" x14ac:dyDescent="0.25">
      <c r="F24" t="s">
        <v>42</v>
      </c>
      <c r="G24">
        <f>B26*100/495537</f>
        <v>23.64283595372293</v>
      </c>
      <c r="H24">
        <f t="shared" ref="H24:I24" si="4">C26*100/495537</f>
        <v>71.764368755511697</v>
      </c>
      <c r="I24">
        <f t="shared" si="4"/>
        <v>54.725681432466196</v>
      </c>
    </row>
    <row r="25" spans="1:9" x14ac:dyDescent="0.25">
      <c r="A25" t="s">
        <v>43</v>
      </c>
      <c r="B25">
        <v>495537</v>
      </c>
      <c r="C25">
        <v>495537</v>
      </c>
      <c r="D25">
        <v>495537</v>
      </c>
    </row>
    <row r="26" spans="1:9" x14ac:dyDescent="0.25">
      <c r="A26" t="s">
        <v>37</v>
      </c>
      <c r="B26">
        <f>B25-SUM(B16:B23)</f>
        <v>117159</v>
      </c>
      <c r="C26">
        <f t="shared" ref="C26:D26" si="5">C25-SUM(C16:C23)</f>
        <v>355619</v>
      </c>
      <c r="D26">
        <f t="shared" si="5"/>
        <v>271186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EC0B-7A1D-4861-9D02-5678C4502BFB}">
  <dimension ref="A1:M35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1078</v>
      </c>
      <c r="C4">
        <v>18</v>
      </c>
      <c r="E4" t="s">
        <v>5</v>
      </c>
      <c r="F4">
        <v>1486</v>
      </c>
      <c r="G4">
        <v>32</v>
      </c>
    </row>
    <row r="5" spans="1:10" x14ac:dyDescent="0.25">
      <c r="A5" t="s">
        <v>6</v>
      </c>
      <c r="B5">
        <v>1608</v>
      </c>
      <c r="C5">
        <v>12</v>
      </c>
      <c r="E5" t="s">
        <v>6</v>
      </c>
      <c r="F5">
        <v>515</v>
      </c>
      <c r="G5">
        <v>7</v>
      </c>
    </row>
    <row r="6" spans="1:10" x14ac:dyDescent="0.25">
      <c r="A6" t="s">
        <v>7</v>
      </c>
      <c r="B6">
        <v>83927</v>
      </c>
      <c r="C6">
        <v>32</v>
      </c>
      <c r="E6" t="s">
        <v>7</v>
      </c>
      <c r="F6">
        <v>12831</v>
      </c>
      <c r="G6">
        <v>24</v>
      </c>
      <c r="I6">
        <v>31820</v>
      </c>
      <c r="J6">
        <v>2144</v>
      </c>
    </row>
    <row r="7" spans="1:10" x14ac:dyDescent="0.25">
      <c r="A7" t="s">
        <v>24</v>
      </c>
      <c r="B7">
        <v>480</v>
      </c>
      <c r="C7">
        <v>7</v>
      </c>
      <c r="E7" t="s">
        <v>24</v>
      </c>
      <c r="F7">
        <v>67</v>
      </c>
      <c r="G7">
        <v>11</v>
      </c>
    </row>
    <row r="8" spans="1:10" x14ac:dyDescent="0.25">
      <c r="A8" t="s">
        <v>8</v>
      </c>
      <c r="B8">
        <v>57826</v>
      </c>
      <c r="C8">
        <v>79</v>
      </c>
      <c r="E8" t="s">
        <v>8</v>
      </c>
      <c r="F8">
        <v>4504</v>
      </c>
      <c r="G8">
        <v>98</v>
      </c>
    </row>
    <row r="9" spans="1:10" x14ac:dyDescent="0.25">
      <c r="A9" t="s">
        <v>9</v>
      </c>
      <c r="B9">
        <v>809</v>
      </c>
      <c r="C9">
        <v>39</v>
      </c>
      <c r="E9" t="s">
        <v>9</v>
      </c>
      <c r="F9">
        <v>389</v>
      </c>
      <c r="G9">
        <v>65</v>
      </c>
    </row>
    <row r="10" spans="1:10" x14ac:dyDescent="0.25">
      <c r="A10" t="s">
        <v>10</v>
      </c>
      <c r="B10">
        <v>11814</v>
      </c>
      <c r="C10">
        <v>3</v>
      </c>
      <c r="E10" t="s">
        <v>10</v>
      </c>
      <c r="F10">
        <v>6489</v>
      </c>
      <c r="G10">
        <v>4</v>
      </c>
    </row>
    <row r="11" spans="1:10" x14ac:dyDescent="0.25">
      <c r="A11" t="s">
        <v>11</v>
      </c>
      <c r="B11">
        <v>17670</v>
      </c>
      <c r="C11">
        <v>360</v>
      </c>
      <c r="E11" t="s">
        <v>11</v>
      </c>
      <c r="F11">
        <v>9449</v>
      </c>
      <c r="G11">
        <v>486</v>
      </c>
      <c r="I11">
        <v>10721</v>
      </c>
      <c r="J11">
        <v>1272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13" x14ac:dyDescent="0.25">
      <c r="A17" t="s">
        <v>5</v>
      </c>
      <c r="B17">
        <v>1078</v>
      </c>
      <c r="C17">
        <v>1486</v>
      </c>
      <c r="F17" t="s">
        <v>5</v>
      </c>
      <c r="G17">
        <f>B17*100/187073</f>
        <v>0.57624563673004658</v>
      </c>
      <c r="H17">
        <f t="shared" ref="H17:I17" si="0">C17*100/187073</f>
        <v>0.79434231556665047</v>
      </c>
      <c r="I17">
        <f t="shared" si="0"/>
        <v>0</v>
      </c>
    </row>
    <row r="18" spans="1:13" x14ac:dyDescent="0.25">
      <c r="A18" t="s">
        <v>6</v>
      </c>
      <c r="B18">
        <v>1608</v>
      </c>
      <c r="C18">
        <v>515</v>
      </c>
      <c r="F18" t="s">
        <v>6</v>
      </c>
      <c r="G18">
        <f t="shared" ref="G18:G23" si="1">B18*100/187073</f>
        <v>0.85955749894426237</v>
      </c>
      <c r="H18">
        <f t="shared" ref="H18:H23" si="2">C18*100/187073</f>
        <v>0.27529360196287012</v>
      </c>
      <c r="I18">
        <f t="shared" ref="I18:I23" si="3">D18*100/187073</f>
        <v>0</v>
      </c>
    </row>
    <row r="19" spans="1:13" x14ac:dyDescent="0.25">
      <c r="A19" t="s">
        <v>7</v>
      </c>
      <c r="B19">
        <v>83927</v>
      </c>
      <c r="C19">
        <v>12831</v>
      </c>
      <c r="D19">
        <v>31820</v>
      </c>
      <c r="F19" t="s">
        <v>7</v>
      </c>
      <c r="G19">
        <f t="shared" si="1"/>
        <v>44.863235207646213</v>
      </c>
      <c r="H19">
        <f t="shared" si="2"/>
        <v>6.8588198190011385</v>
      </c>
      <c r="I19">
        <f t="shared" si="3"/>
        <v>17.00940274652141</v>
      </c>
    </row>
    <row r="21" spans="1:13" x14ac:dyDescent="0.25">
      <c r="A21" t="s">
        <v>8</v>
      </c>
      <c r="B21">
        <v>57826</v>
      </c>
      <c r="C21">
        <v>4504</v>
      </c>
      <c r="F21" t="s">
        <v>8</v>
      </c>
      <c r="G21">
        <f t="shared" si="1"/>
        <v>30.910927819621218</v>
      </c>
      <c r="H21">
        <f t="shared" si="2"/>
        <v>2.4076162781374117</v>
      </c>
      <c r="I21">
        <f t="shared" si="3"/>
        <v>0</v>
      </c>
    </row>
    <row r="22" spans="1:13" x14ac:dyDescent="0.25">
      <c r="A22" t="s">
        <v>9</v>
      </c>
      <c r="B22">
        <v>809</v>
      </c>
      <c r="C22">
        <v>389</v>
      </c>
      <c r="F22" t="s">
        <v>9</v>
      </c>
      <c r="G22">
        <f t="shared" si="1"/>
        <v>0.43245150288924644</v>
      </c>
      <c r="H22">
        <f t="shared" si="2"/>
        <v>0.20794021585156597</v>
      </c>
      <c r="I22">
        <f t="shared" si="3"/>
        <v>0</v>
      </c>
    </row>
    <row r="23" spans="1:13" x14ac:dyDescent="0.25">
      <c r="A23" t="s">
        <v>10</v>
      </c>
      <c r="B23">
        <v>11814</v>
      </c>
      <c r="C23">
        <v>6489</v>
      </c>
      <c r="F23" t="s">
        <v>10</v>
      </c>
      <c r="G23">
        <f t="shared" si="1"/>
        <v>6.3151817739598979</v>
      </c>
      <c r="H23">
        <f t="shared" si="2"/>
        <v>3.4686993847321634</v>
      </c>
      <c r="I23">
        <f t="shared" si="3"/>
        <v>0</v>
      </c>
    </row>
    <row r="25" spans="1:13" x14ac:dyDescent="0.25">
      <c r="F25" t="s">
        <v>42</v>
      </c>
      <c r="G25">
        <f>B27*100/187073</f>
        <v>16.042400560209117</v>
      </c>
      <c r="H25">
        <f t="shared" ref="H25:I25" si="4">C27*100/187073</f>
        <v>85.987288384748197</v>
      </c>
      <c r="I25">
        <f t="shared" si="4"/>
        <v>82.990597253478583</v>
      </c>
    </row>
    <row r="26" spans="1:13" x14ac:dyDescent="0.25">
      <c r="A26" t="s">
        <v>43</v>
      </c>
      <c r="B26">
        <v>187073</v>
      </c>
      <c r="C26">
        <v>187073</v>
      </c>
      <c r="D26">
        <v>187073</v>
      </c>
    </row>
    <row r="27" spans="1:13" x14ac:dyDescent="0.25">
      <c r="A27" t="s">
        <v>37</v>
      </c>
      <c r="B27">
        <f>B26-SUM(B17:B24)</f>
        <v>30011</v>
      </c>
      <c r="C27">
        <f t="shared" ref="C27:D27" si="5">C26-SUM(C17:C24)</f>
        <v>160859</v>
      </c>
      <c r="D27">
        <f t="shared" si="5"/>
        <v>155253</v>
      </c>
    </row>
    <row r="29" spans="1:13" x14ac:dyDescent="0.25">
      <c r="M29" t="s">
        <v>29</v>
      </c>
    </row>
    <row r="30" spans="1:13" x14ac:dyDescent="0.25">
      <c r="M30" t="s">
        <v>30</v>
      </c>
    </row>
    <row r="31" spans="1:13" x14ac:dyDescent="0.25">
      <c r="M31" t="s">
        <v>31</v>
      </c>
    </row>
    <row r="32" spans="1:13" x14ac:dyDescent="0.25">
      <c r="M32" t="s">
        <v>32</v>
      </c>
    </row>
    <row r="33" spans="13:13" x14ac:dyDescent="0.25">
      <c r="M33" t="s">
        <v>33</v>
      </c>
    </row>
    <row r="34" spans="13:13" x14ac:dyDescent="0.25">
      <c r="M34" t="s">
        <v>48</v>
      </c>
    </row>
    <row r="35" spans="13:13" x14ac:dyDescent="0.25">
      <c r="M35" t="s">
        <v>49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4D15-9DC6-4AF3-A94C-621B40C3FCD8}">
  <dimension ref="A1:J26"/>
  <sheetViews>
    <sheetView workbookViewId="0">
      <selection activeCell="A15" sqref="A15:I26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21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2325</v>
      </c>
      <c r="C4">
        <v>17</v>
      </c>
      <c r="E4" t="s">
        <v>5</v>
      </c>
      <c r="F4">
        <v>2080</v>
      </c>
      <c r="G4">
        <v>50</v>
      </c>
    </row>
    <row r="5" spans="1:10" x14ac:dyDescent="0.25">
      <c r="A5" t="s">
        <v>6</v>
      </c>
      <c r="B5">
        <v>3136</v>
      </c>
      <c r="C5">
        <v>12</v>
      </c>
      <c r="E5" t="s">
        <v>6</v>
      </c>
      <c r="F5">
        <v>690</v>
      </c>
      <c r="G5">
        <v>12</v>
      </c>
    </row>
    <row r="6" spans="1:10" x14ac:dyDescent="0.25">
      <c r="A6" t="s">
        <v>7</v>
      </c>
      <c r="B6">
        <v>330245</v>
      </c>
      <c r="C6">
        <v>44</v>
      </c>
      <c r="E6" t="s">
        <v>7</v>
      </c>
      <c r="F6">
        <v>80651</v>
      </c>
      <c r="G6">
        <v>31</v>
      </c>
      <c r="I6">
        <v>150652</v>
      </c>
      <c r="J6">
        <v>4327</v>
      </c>
    </row>
    <row r="7" spans="1:10" x14ac:dyDescent="0.25">
      <c r="A7" t="s">
        <v>24</v>
      </c>
      <c r="B7">
        <v>805</v>
      </c>
      <c r="C7">
        <v>12</v>
      </c>
      <c r="E7" t="s">
        <v>24</v>
      </c>
      <c r="F7">
        <v>194</v>
      </c>
      <c r="G7">
        <v>25</v>
      </c>
      <c r="I7">
        <f>19</f>
        <v>19</v>
      </c>
      <c r="J7">
        <v>1</v>
      </c>
    </row>
    <row r="8" spans="1:10" x14ac:dyDescent="0.25">
      <c r="A8" t="s">
        <v>8</v>
      </c>
      <c r="B8">
        <v>42235</v>
      </c>
      <c r="C8">
        <v>112</v>
      </c>
      <c r="E8" t="s">
        <v>8</v>
      </c>
      <c r="F8">
        <v>20857</v>
      </c>
      <c r="G8">
        <v>157</v>
      </c>
    </row>
    <row r="9" spans="1:10" x14ac:dyDescent="0.25">
      <c r="A9" t="s">
        <v>9</v>
      </c>
      <c r="B9">
        <v>2490</v>
      </c>
      <c r="C9">
        <v>45</v>
      </c>
      <c r="E9" t="s">
        <v>9</v>
      </c>
      <c r="F9">
        <v>719</v>
      </c>
      <c r="G9">
        <v>85</v>
      </c>
    </row>
    <row r="10" spans="1:10" x14ac:dyDescent="0.25">
      <c r="A10" t="s">
        <v>10</v>
      </c>
      <c r="B10">
        <v>49725</v>
      </c>
      <c r="C10">
        <v>3</v>
      </c>
      <c r="E10" t="s">
        <v>10</v>
      </c>
      <c r="F10">
        <v>25575</v>
      </c>
      <c r="G10">
        <v>6</v>
      </c>
      <c r="I10">
        <v>7109</v>
      </c>
      <c r="J10">
        <v>711</v>
      </c>
    </row>
    <row r="11" spans="1:10" x14ac:dyDescent="0.25">
      <c r="A11" t="s">
        <v>11</v>
      </c>
      <c r="B11">
        <v>36370</v>
      </c>
      <c r="C11">
        <v>466</v>
      </c>
      <c r="E11" t="s">
        <v>11</v>
      </c>
      <c r="F11">
        <v>31986</v>
      </c>
      <c r="G11">
        <v>668</v>
      </c>
      <c r="I11">
        <v>16000</v>
      </c>
      <c r="J11">
        <v>2714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2325</v>
      </c>
      <c r="C16">
        <v>2080</v>
      </c>
      <c r="F16" t="s">
        <v>5</v>
      </c>
      <c r="G16">
        <f>B16*100/491411</f>
        <v>0.47312738217093225</v>
      </c>
      <c r="H16">
        <f t="shared" ref="H16:I22" si="0">C16*100/491411</f>
        <v>0.4232709483507695</v>
      </c>
      <c r="I16">
        <f t="shared" si="0"/>
        <v>0</v>
      </c>
    </row>
    <row r="17" spans="1:9" x14ac:dyDescent="0.25">
      <c r="A17" t="s">
        <v>6</v>
      </c>
      <c r="B17">
        <v>3136</v>
      </c>
      <c r="C17">
        <v>690</v>
      </c>
      <c r="F17" t="s">
        <v>6</v>
      </c>
      <c r="G17">
        <f t="shared" ref="G17:G22" si="1">B17*100/491411</f>
        <v>0.63816235289808332</v>
      </c>
      <c r="H17">
        <f t="shared" si="0"/>
        <v>0.14041199728943796</v>
      </c>
      <c r="I17">
        <f t="shared" si="0"/>
        <v>0</v>
      </c>
    </row>
    <row r="18" spans="1:9" x14ac:dyDescent="0.25">
      <c r="A18" t="s">
        <v>7</v>
      </c>
      <c r="B18">
        <v>330245</v>
      </c>
      <c r="C18">
        <v>80651</v>
      </c>
      <c r="D18">
        <v>150652</v>
      </c>
      <c r="F18" t="s">
        <v>7</v>
      </c>
      <c r="G18">
        <f t="shared" si="1"/>
        <v>67.203420354855709</v>
      </c>
      <c r="H18">
        <f t="shared" si="0"/>
        <v>16.412127526652842</v>
      </c>
      <c r="I18">
        <f t="shared" si="0"/>
        <v>30.657026399490448</v>
      </c>
    </row>
    <row r="20" spans="1:9" x14ac:dyDescent="0.25">
      <c r="A20" t="s">
        <v>8</v>
      </c>
      <c r="B20">
        <v>42235</v>
      </c>
      <c r="C20">
        <v>20857</v>
      </c>
      <c r="F20" t="s">
        <v>8</v>
      </c>
      <c r="G20">
        <f t="shared" si="1"/>
        <v>8.5946387036513219</v>
      </c>
      <c r="H20">
        <f t="shared" si="0"/>
        <v>4.2443087354576923</v>
      </c>
      <c r="I20">
        <f t="shared" si="0"/>
        <v>0</v>
      </c>
    </row>
    <row r="21" spans="1:9" x14ac:dyDescent="0.25">
      <c r="A21" t="s">
        <v>9</v>
      </c>
      <c r="B21">
        <v>2490</v>
      </c>
      <c r="C21">
        <v>719</v>
      </c>
      <c r="F21" t="s">
        <v>9</v>
      </c>
      <c r="G21">
        <f t="shared" si="1"/>
        <v>0.50670416413145003</v>
      </c>
      <c r="H21">
        <f t="shared" si="0"/>
        <v>0.14631337108855927</v>
      </c>
      <c r="I21">
        <f t="shared" si="0"/>
        <v>0</v>
      </c>
    </row>
    <row r="22" spans="1:9" x14ac:dyDescent="0.25">
      <c r="A22" t="s">
        <v>10</v>
      </c>
      <c r="B22">
        <v>49725</v>
      </c>
      <c r="C22">
        <v>25575</v>
      </c>
      <c r="D22">
        <v>7109</v>
      </c>
      <c r="F22" t="s">
        <v>10</v>
      </c>
      <c r="G22">
        <f t="shared" si="1"/>
        <v>10.118821109010584</v>
      </c>
      <c r="H22">
        <f t="shared" si="0"/>
        <v>5.2044012038802547</v>
      </c>
      <c r="I22">
        <f t="shared" si="0"/>
        <v>1.4466505633777023</v>
      </c>
    </row>
    <row r="24" spans="1:9" x14ac:dyDescent="0.25">
      <c r="F24" t="s">
        <v>42</v>
      </c>
      <c r="G24">
        <f>B26*100/491411</f>
        <v>12.465125933281916</v>
      </c>
      <c r="H24">
        <f t="shared" ref="H24:I24" si="2">C26*100/491411</f>
        <v>73.429166217280439</v>
      </c>
      <c r="I24">
        <f t="shared" si="2"/>
        <v>67.89632303713185</v>
      </c>
    </row>
    <row r="25" spans="1:9" x14ac:dyDescent="0.25">
      <c r="A25" t="s">
        <v>43</v>
      </c>
      <c r="B25">
        <v>491411</v>
      </c>
      <c r="C25">
        <v>491411</v>
      </c>
      <c r="D25">
        <v>491411</v>
      </c>
    </row>
    <row r="26" spans="1:9" x14ac:dyDescent="0.25">
      <c r="A26" t="s">
        <v>37</v>
      </c>
      <c r="B26">
        <f>B25-SUM(B16:B23)</f>
        <v>61255</v>
      </c>
      <c r="C26">
        <f t="shared" ref="C26:D26" si="3">C25-SUM(C16:C23)</f>
        <v>360839</v>
      </c>
      <c r="D26">
        <f t="shared" si="3"/>
        <v>333650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A1C1-5154-4867-BFD8-9A62B4A2C7D0}">
  <dimension ref="A1:J26"/>
  <sheetViews>
    <sheetView zoomScaleNormal="100" workbookViewId="0">
      <selection activeCell="A15" sqref="A15:I26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I2" t="s">
        <v>25</v>
      </c>
    </row>
    <row r="3" spans="1:10" x14ac:dyDescent="0.25">
      <c r="A3" t="s">
        <v>23</v>
      </c>
      <c r="B3" t="s">
        <v>3</v>
      </c>
      <c r="C3" t="s">
        <v>4</v>
      </c>
      <c r="E3" t="s">
        <v>0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1210</v>
      </c>
      <c r="C4">
        <v>23</v>
      </c>
      <c r="E4" t="s">
        <v>5</v>
      </c>
      <c r="F4">
        <v>1066</v>
      </c>
      <c r="G4">
        <v>56</v>
      </c>
    </row>
    <row r="5" spans="1:10" x14ac:dyDescent="0.25">
      <c r="A5" t="s">
        <v>6</v>
      </c>
      <c r="B5">
        <v>1495</v>
      </c>
      <c r="C5">
        <v>17</v>
      </c>
      <c r="E5" t="s">
        <v>6</v>
      </c>
      <c r="F5">
        <v>476</v>
      </c>
      <c r="G5">
        <v>18</v>
      </c>
    </row>
    <row r="6" spans="1:10" x14ac:dyDescent="0.25">
      <c r="A6" t="s">
        <v>7</v>
      </c>
      <c r="B6">
        <v>203694</v>
      </c>
      <c r="C6">
        <v>59</v>
      </c>
      <c r="E6" t="s">
        <v>7</v>
      </c>
      <c r="F6">
        <v>84140</v>
      </c>
      <c r="G6">
        <v>61</v>
      </c>
      <c r="I6">
        <v>146996</v>
      </c>
      <c r="J6">
        <v>5367</v>
      </c>
    </row>
    <row r="7" spans="1:10" x14ac:dyDescent="0.25">
      <c r="A7" t="s">
        <v>24</v>
      </c>
      <c r="B7">
        <v>268</v>
      </c>
      <c r="C7">
        <v>18</v>
      </c>
      <c r="E7" t="s">
        <v>24</v>
      </c>
      <c r="F7">
        <v>146</v>
      </c>
      <c r="G7">
        <v>22</v>
      </c>
      <c r="I7">
        <f>3+6</f>
        <v>9</v>
      </c>
      <c r="J7">
        <f>2+1</f>
        <v>3</v>
      </c>
    </row>
    <row r="8" spans="1:10" x14ac:dyDescent="0.25">
      <c r="A8" t="s">
        <v>8</v>
      </c>
      <c r="B8">
        <v>68600</v>
      </c>
      <c r="C8">
        <v>193</v>
      </c>
      <c r="E8" t="s">
        <v>8</v>
      </c>
      <c r="F8">
        <v>22095</v>
      </c>
      <c r="G8">
        <v>326</v>
      </c>
      <c r="I8">
        <f>4549</f>
        <v>4549</v>
      </c>
      <c r="J8">
        <v>1040</v>
      </c>
    </row>
    <row r="9" spans="1:10" x14ac:dyDescent="0.25">
      <c r="A9" t="s">
        <v>9</v>
      </c>
      <c r="B9">
        <v>2312</v>
      </c>
      <c r="C9">
        <v>57</v>
      </c>
      <c r="E9" t="s">
        <v>9</v>
      </c>
      <c r="F9">
        <v>462</v>
      </c>
      <c r="G9">
        <v>101</v>
      </c>
    </row>
    <row r="10" spans="1:10" x14ac:dyDescent="0.25">
      <c r="A10" t="s">
        <v>10</v>
      </c>
      <c r="B10">
        <v>57954</v>
      </c>
      <c r="C10">
        <v>4</v>
      </c>
      <c r="E10" t="s">
        <v>10</v>
      </c>
      <c r="F10">
        <v>27795</v>
      </c>
      <c r="G10">
        <v>6</v>
      </c>
      <c r="I10">
        <f>39780+7062+1723</f>
        <v>48565</v>
      </c>
      <c r="J10">
        <f>1211+358+2372</f>
        <v>3941</v>
      </c>
    </row>
    <row r="11" spans="1:10" x14ac:dyDescent="0.25">
      <c r="A11" t="s">
        <v>11</v>
      </c>
      <c r="B11">
        <v>46537</v>
      </c>
      <c r="C11">
        <v>333</v>
      </c>
      <c r="E11" t="s">
        <v>11</v>
      </c>
      <c r="F11">
        <v>48126</v>
      </c>
      <c r="G11">
        <v>502</v>
      </c>
    </row>
    <row r="15" spans="1:10" x14ac:dyDescent="0.25">
      <c r="B15" t="s">
        <v>26</v>
      </c>
      <c r="C15" t="s">
        <v>27</v>
      </c>
      <c r="D15" t="s">
        <v>28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1210</v>
      </c>
      <c r="C16">
        <v>1066</v>
      </c>
      <c r="D16">
        <v>0</v>
      </c>
      <c r="F16" t="s">
        <v>5</v>
      </c>
      <c r="G16">
        <f t="shared" ref="G16:I18" si="0">B16*100/408760</f>
        <v>0.29601722282023679</v>
      </c>
      <c r="H16">
        <f t="shared" si="0"/>
        <v>0.26078872688129956</v>
      </c>
      <c r="I16">
        <f t="shared" si="0"/>
        <v>0</v>
      </c>
    </row>
    <row r="17" spans="1:9" x14ac:dyDescent="0.25">
      <c r="A17" t="s">
        <v>6</v>
      </c>
      <c r="B17">
        <v>1495</v>
      </c>
      <c r="C17">
        <v>476</v>
      </c>
      <c r="D17">
        <v>0</v>
      </c>
      <c r="F17" t="s">
        <v>6</v>
      </c>
      <c r="G17">
        <f t="shared" si="0"/>
        <v>0.36574028769938349</v>
      </c>
      <c r="H17">
        <f t="shared" si="0"/>
        <v>0.11644975046482044</v>
      </c>
      <c r="I17">
        <f t="shared" si="0"/>
        <v>0</v>
      </c>
    </row>
    <row r="18" spans="1:9" x14ac:dyDescent="0.25">
      <c r="A18" t="s">
        <v>7</v>
      </c>
      <c r="B18">
        <v>203694</v>
      </c>
      <c r="C18">
        <v>84140</v>
      </c>
      <c r="D18">
        <v>146996</v>
      </c>
      <c r="F18" t="s">
        <v>7</v>
      </c>
      <c r="G18">
        <f t="shared" si="0"/>
        <v>49.83217535962423</v>
      </c>
      <c r="H18">
        <f t="shared" si="0"/>
        <v>20.584205890987377</v>
      </c>
      <c r="I18">
        <f t="shared" si="0"/>
        <v>35.961444368333495</v>
      </c>
    </row>
    <row r="20" spans="1:9" x14ac:dyDescent="0.25">
      <c r="A20" t="s">
        <v>8</v>
      </c>
      <c r="B20">
        <v>68600</v>
      </c>
      <c r="C20">
        <v>22095</v>
      </c>
      <c r="D20">
        <f>4549</f>
        <v>4549</v>
      </c>
      <c r="F20" t="s">
        <v>8</v>
      </c>
      <c r="G20">
        <f t="shared" ref="G20:I22" si="1">B20*100/408760</f>
        <v>16.782464037577061</v>
      </c>
      <c r="H20">
        <f t="shared" si="1"/>
        <v>5.4053723456306884</v>
      </c>
      <c r="I20">
        <f t="shared" si="1"/>
        <v>1.1128779724043449</v>
      </c>
    </row>
    <row r="21" spans="1:9" x14ac:dyDescent="0.25">
      <c r="A21" t="s">
        <v>9</v>
      </c>
      <c r="B21">
        <v>2312</v>
      </c>
      <c r="C21">
        <v>462</v>
      </c>
      <c r="D21">
        <v>0</v>
      </c>
      <c r="F21" t="s">
        <v>9</v>
      </c>
      <c r="G21">
        <f t="shared" si="1"/>
        <v>0.56561307368627067</v>
      </c>
      <c r="H21">
        <f t="shared" si="1"/>
        <v>0.11302475780409042</v>
      </c>
      <c r="I21">
        <f t="shared" si="1"/>
        <v>0</v>
      </c>
    </row>
    <row r="22" spans="1:9" x14ac:dyDescent="0.25">
      <c r="A22" t="s">
        <v>10</v>
      </c>
      <c r="B22">
        <v>57954</v>
      </c>
      <c r="C22">
        <v>27795</v>
      </c>
      <c r="D22">
        <f>39780+7062+1723</f>
        <v>48565</v>
      </c>
      <c r="F22" t="s">
        <v>10</v>
      </c>
      <c r="G22">
        <f t="shared" si="1"/>
        <v>14.178001761424797</v>
      </c>
      <c r="H22">
        <f t="shared" si="1"/>
        <v>6.7998336432136215</v>
      </c>
      <c r="I22">
        <f t="shared" si="1"/>
        <v>11.881054897739505</v>
      </c>
    </row>
    <row r="24" spans="1:9" x14ac:dyDescent="0.25">
      <c r="F24" t="s">
        <v>42</v>
      </c>
      <c r="G24">
        <f>B26*100/408760</f>
        <v>17.979988257168021</v>
      </c>
      <c r="H24">
        <f t="shared" ref="H24:I24" si="2">C26*100/408760</f>
        <v>66.720324885018101</v>
      </c>
      <c r="I24">
        <f t="shared" si="2"/>
        <v>51.044622761522653</v>
      </c>
    </row>
    <row r="25" spans="1:9" x14ac:dyDescent="0.25">
      <c r="A25" t="s">
        <v>43</v>
      </c>
      <c r="B25">
        <v>408760</v>
      </c>
      <c r="C25">
        <v>408760</v>
      </c>
      <c r="D25">
        <v>408760</v>
      </c>
    </row>
    <row r="26" spans="1:9" x14ac:dyDescent="0.25">
      <c r="A26" t="s">
        <v>37</v>
      </c>
      <c r="B26">
        <f>B25-SUM(B16:B23)</f>
        <v>73495</v>
      </c>
      <c r="C26">
        <f t="shared" ref="C26:D26" si="3">C25-SUM(C16:C23)</f>
        <v>272726</v>
      </c>
      <c r="D26">
        <f t="shared" si="3"/>
        <v>208650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8E70-F671-4EA5-875A-82AA990895E9}">
  <dimension ref="A2:T68"/>
  <sheetViews>
    <sheetView topLeftCell="A4" workbookViewId="0">
      <selection activeCell="H11" sqref="H11"/>
    </sheetView>
  </sheetViews>
  <sheetFormatPr defaultRowHeight="15" x14ac:dyDescent="0.25"/>
  <cols>
    <col min="15" max="15" width="9.140625" customWidth="1"/>
  </cols>
  <sheetData>
    <row r="2" spans="1:14" x14ac:dyDescent="0.25">
      <c r="A2" t="s">
        <v>1</v>
      </c>
      <c r="C2" t="s">
        <v>51</v>
      </c>
      <c r="F2" t="s">
        <v>12</v>
      </c>
      <c r="K2" t="s">
        <v>13</v>
      </c>
    </row>
    <row r="3" spans="1:14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26</v>
      </c>
      <c r="H3" t="s">
        <v>27</v>
      </c>
      <c r="I3" t="s">
        <v>28</v>
      </c>
      <c r="K3" t="s">
        <v>2</v>
      </c>
      <c r="L3" t="s">
        <v>26</v>
      </c>
      <c r="M3" t="s">
        <v>27</v>
      </c>
      <c r="N3" t="s">
        <v>28</v>
      </c>
    </row>
    <row r="4" spans="1:14" x14ac:dyDescent="0.25">
      <c r="A4" t="s">
        <v>5</v>
      </c>
      <c r="B4">
        <v>395</v>
      </c>
      <c r="C4">
        <v>639</v>
      </c>
      <c r="F4" t="s">
        <v>5</v>
      </c>
      <c r="G4">
        <v>2776</v>
      </c>
      <c r="H4">
        <v>2079</v>
      </c>
      <c r="K4" t="s">
        <v>5</v>
      </c>
      <c r="L4">
        <v>772</v>
      </c>
      <c r="M4">
        <v>5145</v>
      </c>
    </row>
    <row r="5" spans="1:14" x14ac:dyDescent="0.25">
      <c r="A5" t="s">
        <v>6</v>
      </c>
      <c r="B5">
        <v>1439</v>
      </c>
      <c r="C5">
        <v>364</v>
      </c>
      <c r="F5" t="s">
        <v>6</v>
      </c>
      <c r="G5">
        <v>1727</v>
      </c>
      <c r="H5">
        <v>512</v>
      </c>
      <c r="K5" t="s">
        <v>6</v>
      </c>
      <c r="L5">
        <v>336</v>
      </c>
      <c r="M5">
        <v>3040</v>
      </c>
    </row>
    <row r="6" spans="1:14" x14ac:dyDescent="0.25">
      <c r="A6" t="s">
        <v>7</v>
      </c>
      <c r="B6">
        <v>107140</v>
      </c>
      <c r="C6">
        <v>4532</v>
      </c>
      <c r="D6">
        <v>30024</v>
      </c>
      <c r="F6" t="s">
        <v>7</v>
      </c>
      <c r="G6">
        <v>560498</v>
      </c>
      <c r="H6">
        <v>238766</v>
      </c>
      <c r="I6">
        <v>753902</v>
      </c>
      <c r="K6" t="s">
        <v>7</v>
      </c>
      <c r="L6">
        <v>13595</v>
      </c>
      <c r="M6">
        <v>4230</v>
      </c>
      <c r="N6">
        <v>28250</v>
      </c>
    </row>
    <row r="8" spans="1:14" x14ac:dyDescent="0.25">
      <c r="A8" t="s">
        <v>8</v>
      </c>
      <c r="B8">
        <v>44735</v>
      </c>
      <c r="C8">
        <v>976</v>
      </c>
      <c r="F8" t="s">
        <v>8</v>
      </c>
      <c r="G8">
        <v>54921</v>
      </c>
      <c r="H8">
        <v>31723</v>
      </c>
      <c r="K8" t="s">
        <v>8</v>
      </c>
      <c r="L8">
        <v>12421</v>
      </c>
      <c r="M8">
        <v>7825</v>
      </c>
    </row>
    <row r="9" spans="1:14" x14ac:dyDescent="0.25">
      <c r="A9" t="s">
        <v>9</v>
      </c>
      <c r="B9">
        <v>2193</v>
      </c>
      <c r="C9">
        <v>91</v>
      </c>
      <c r="F9" t="s">
        <v>9</v>
      </c>
      <c r="G9">
        <v>5332</v>
      </c>
      <c r="H9">
        <v>1891</v>
      </c>
      <c r="K9" t="s">
        <v>9</v>
      </c>
      <c r="L9">
        <v>586</v>
      </c>
      <c r="M9">
        <v>21</v>
      </c>
    </row>
    <row r="10" spans="1:14" x14ac:dyDescent="0.25">
      <c r="A10" t="s">
        <v>10</v>
      </c>
      <c r="B10">
        <v>4843</v>
      </c>
      <c r="C10">
        <v>1073</v>
      </c>
      <c r="F10" t="s">
        <v>10</v>
      </c>
      <c r="G10">
        <v>60079</v>
      </c>
      <c r="H10">
        <v>31088</v>
      </c>
      <c r="I10">
        <f>67635+27136+4497</f>
        <v>99268</v>
      </c>
      <c r="K10" t="s">
        <v>10</v>
      </c>
      <c r="L10">
        <v>3070</v>
      </c>
      <c r="M10">
        <v>1198</v>
      </c>
    </row>
    <row r="11" spans="1:14" x14ac:dyDescent="0.25">
      <c r="A11" t="s">
        <v>42</v>
      </c>
      <c r="B11">
        <f>B13-SUM(B4:B10)</f>
        <v>25895</v>
      </c>
      <c r="C11">
        <f t="shared" ref="C11:D11" si="0">C13-SUM(C4:C10)</f>
        <v>-7675</v>
      </c>
      <c r="D11">
        <f t="shared" si="0"/>
        <v>-30024</v>
      </c>
      <c r="F11" t="s">
        <v>42</v>
      </c>
      <c r="G11">
        <f>G15-SUM(G4:G10)</f>
        <v>59469</v>
      </c>
      <c r="H11">
        <f t="shared" ref="H11:I11" si="1">H15-SUM(H4:H10)</f>
        <v>682119</v>
      </c>
      <c r="I11">
        <f t="shared" si="1"/>
        <v>91240</v>
      </c>
      <c r="K11" t="s">
        <v>42</v>
      </c>
      <c r="L11">
        <f>L15-SUM(L4:L10)</f>
        <v>15361</v>
      </c>
      <c r="M11">
        <f t="shared" ref="M11:N11" si="2">M15-SUM(M4:M10)</f>
        <v>24682</v>
      </c>
      <c r="N11">
        <f t="shared" si="2"/>
        <v>17891</v>
      </c>
    </row>
    <row r="13" spans="1:14" x14ac:dyDescent="0.25">
      <c r="A13" t="s">
        <v>43</v>
      </c>
      <c r="B13">
        <v>186640</v>
      </c>
      <c r="H13">
        <f>3952712 / 4</f>
        <v>988178</v>
      </c>
    </row>
    <row r="14" spans="1:14" x14ac:dyDescent="0.25">
      <c r="A14" t="s">
        <v>35</v>
      </c>
      <c r="B14">
        <f>SUM(B4:B11)</f>
        <v>186640</v>
      </c>
      <c r="C14">
        <f>SUM(C4:C10)</f>
        <v>7675</v>
      </c>
      <c r="D14">
        <f>SUM(D4:D11)</f>
        <v>0</v>
      </c>
    </row>
    <row r="15" spans="1:14" x14ac:dyDescent="0.25">
      <c r="A15" t="s">
        <v>44</v>
      </c>
      <c r="B15">
        <f>B16</f>
        <v>675874</v>
      </c>
      <c r="C15">
        <f t="shared" ref="C15:D15" si="3">C16</f>
        <v>526780</v>
      </c>
      <c r="D15">
        <f t="shared" si="3"/>
        <v>3344964</v>
      </c>
      <c r="F15" t="s">
        <v>43</v>
      </c>
      <c r="G15">
        <v>744802</v>
      </c>
      <c r="H15">
        <f>3952712/4</f>
        <v>988178</v>
      </c>
      <c r="I15">
        <f>67635+96639+1+4497+21736+753902</f>
        <v>944410</v>
      </c>
      <c r="K15" t="s">
        <v>43</v>
      </c>
      <c r="L15">
        <v>46141</v>
      </c>
      <c r="M15">
        <v>46141</v>
      </c>
      <c r="N15">
        <v>46141</v>
      </c>
    </row>
    <row r="16" spans="1:14" x14ac:dyDescent="0.25">
      <c r="A16" t="s">
        <v>44</v>
      </c>
      <c r="B16">
        <v>675874</v>
      </c>
      <c r="C16">
        <f>2107120/4</f>
        <v>526780</v>
      </c>
      <c r="D16">
        <f>13379856/4</f>
        <v>3344964</v>
      </c>
      <c r="F16" t="s">
        <v>38</v>
      </c>
      <c r="G16">
        <f>G17-SUM(G4:G11)</f>
        <v>504874</v>
      </c>
      <c r="H16">
        <f t="shared" ref="H16:I16" si="4">H17-SUM(H4:H11)</f>
        <v>0</v>
      </c>
      <c r="I16">
        <f t="shared" si="4"/>
        <v>3102304</v>
      </c>
      <c r="K16" t="s">
        <v>37</v>
      </c>
      <c r="L16">
        <f>L17-SUM(L4:L11)</f>
        <v>303719</v>
      </c>
      <c r="M16">
        <f t="shared" ref="M16" si="5">M17-SUM(M4:M11)</f>
        <v>508622</v>
      </c>
      <c r="N16">
        <f>N17-SUM(N4:N11)</f>
        <v>2507513</v>
      </c>
    </row>
    <row r="17" spans="1:14" x14ac:dyDescent="0.25">
      <c r="A17" t="s">
        <v>38</v>
      </c>
      <c r="B17">
        <f>B16-B14</f>
        <v>489234</v>
      </c>
      <c r="C17">
        <f>C16-C14</f>
        <v>519105</v>
      </c>
      <c r="D17">
        <f>D15-D14</f>
        <v>3344964</v>
      </c>
      <c r="F17" t="s">
        <v>44</v>
      </c>
      <c r="G17">
        <v>1249676</v>
      </c>
      <c r="H17">
        <f>3952712/4</f>
        <v>988178</v>
      </c>
      <c r="I17">
        <f>16186856/4</f>
        <v>4046714</v>
      </c>
      <c r="K17" t="s">
        <v>44</v>
      </c>
      <c r="L17">
        <v>349860</v>
      </c>
      <c r="M17">
        <f>2219052/4</f>
        <v>554763</v>
      </c>
      <c r="N17">
        <f>10214616/4</f>
        <v>2553654</v>
      </c>
    </row>
    <row r="22" spans="1:14" x14ac:dyDescent="0.25">
      <c r="A22" t="s">
        <v>14</v>
      </c>
      <c r="F22" t="s">
        <v>15</v>
      </c>
      <c r="K22" t="s">
        <v>16</v>
      </c>
    </row>
    <row r="23" spans="1:14" x14ac:dyDescent="0.25">
      <c r="A23" t="s">
        <v>2</v>
      </c>
      <c r="B23" t="s">
        <v>26</v>
      </c>
      <c r="C23" t="s">
        <v>27</v>
      </c>
      <c r="D23" t="s">
        <v>28</v>
      </c>
      <c r="F23" t="s">
        <v>2</v>
      </c>
      <c r="G23" t="s">
        <v>26</v>
      </c>
      <c r="H23" t="s">
        <v>27</v>
      </c>
      <c r="I23" t="s">
        <v>28</v>
      </c>
      <c r="K23" t="s">
        <v>2</v>
      </c>
      <c r="L23" t="s">
        <v>26</v>
      </c>
      <c r="M23" t="s">
        <v>27</v>
      </c>
      <c r="N23" t="s">
        <v>28</v>
      </c>
    </row>
    <row r="24" spans="1:14" x14ac:dyDescent="0.25">
      <c r="A24" t="s">
        <v>5</v>
      </c>
      <c r="B24">
        <v>609</v>
      </c>
      <c r="C24">
        <v>849</v>
      </c>
      <c r="F24" t="s">
        <v>5</v>
      </c>
      <c r="G24">
        <v>1213</v>
      </c>
      <c r="H24">
        <v>1946</v>
      </c>
      <c r="K24" t="s">
        <v>5</v>
      </c>
      <c r="L24">
        <v>713</v>
      </c>
      <c r="M24">
        <v>1946</v>
      </c>
      <c r="N24">
        <v>0</v>
      </c>
    </row>
    <row r="25" spans="1:14" x14ac:dyDescent="0.25">
      <c r="A25" t="s">
        <v>6</v>
      </c>
      <c r="B25">
        <v>668</v>
      </c>
      <c r="C25">
        <v>529</v>
      </c>
      <c r="F25" t="s">
        <v>6</v>
      </c>
      <c r="G25">
        <v>809</v>
      </c>
      <c r="H25">
        <v>1252</v>
      </c>
      <c r="K25" t="s">
        <v>6</v>
      </c>
      <c r="L25">
        <v>2940</v>
      </c>
      <c r="M25">
        <v>1252</v>
      </c>
      <c r="N25">
        <v>0</v>
      </c>
    </row>
    <row r="26" spans="1:14" x14ac:dyDescent="0.25">
      <c r="A26" t="s">
        <v>7</v>
      </c>
      <c r="B26">
        <v>91473</v>
      </c>
      <c r="C26">
        <v>8853</v>
      </c>
      <c r="D26">
        <v>55731</v>
      </c>
      <c r="F26" t="s">
        <v>7</v>
      </c>
      <c r="G26">
        <v>135176</v>
      </c>
      <c r="H26">
        <v>14829</v>
      </c>
      <c r="I26">
        <v>124830</v>
      </c>
      <c r="K26" t="s">
        <v>7</v>
      </c>
      <c r="L26">
        <v>107068</v>
      </c>
      <c r="M26">
        <v>14829</v>
      </c>
      <c r="N26">
        <v>58007</v>
      </c>
    </row>
    <row r="28" spans="1:14" x14ac:dyDescent="0.25">
      <c r="A28" t="s">
        <v>8</v>
      </c>
      <c r="B28">
        <v>82163</v>
      </c>
      <c r="C28">
        <v>3040</v>
      </c>
      <c r="F28" t="s">
        <v>8</v>
      </c>
      <c r="G28">
        <v>22710</v>
      </c>
      <c r="H28">
        <v>6909</v>
      </c>
      <c r="K28" t="s">
        <v>8</v>
      </c>
      <c r="L28">
        <v>39427</v>
      </c>
      <c r="M28">
        <v>6909</v>
      </c>
      <c r="N28">
        <v>0</v>
      </c>
    </row>
    <row r="29" spans="1:14" x14ac:dyDescent="0.25">
      <c r="A29" t="s">
        <v>9</v>
      </c>
      <c r="B29">
        <v>3457</v>
      </c>
      <c r="C29">
        <v>119</v>
      </c>
      <c r="F29" t="s">
        <v>9</v>
      </c>
      <c r="G29">
        <v>2223</v>
      </c>
      <c r="H29">
        <v>128</v>
      </c>
      <c r="K29" t="s">
        <v>9</v>
      </c>
      <c r="L29">
        <v>993</v>
      </c>
      <c r="M29">
        <v>128</v>
      </c>
      <c r="N29">
        <v>0</v>
      </c>
    </row>
    <row r="30" spans="1:14" x14ac:dyDescent="0.25">
      <c r="A30" t="s">
        <v>10</v>
      </c>
      <c r="B30">
        <v>14933</v>
      </c>
      <c r="C30">
        <v>4130</v>
      </c>
      <c r="F30" t="s">
        <v>10</v>
      </c>
      <c r="G30">
        <v>18267</v>
      </c>
      <c r="H30">
        <v>4726</v>
      </c>
      <c r="I30">
        <v>4595</v>
      </c>
      <c r="K30" t="s">
        <v>10</v>
      </c>
      <c r="L30">
        <v>10811</v>
      </c>
      <c r="M30">
        <v>4726</v>
      </c>
      <c r="N30">
        <v>1271</v>
      </c>
    </row>
    <row r="31" spans="1:14" x14ac:dyDescent="0.25">
      <c r="A31" t="s">
        <v>42</v>
      </c>
      <c r="B31">
        <f>B34-SUM(B24:B30)</f>
        <v>51215</v>
      </c>
      <c r="C31">
        <f t="shared" ref="C31:D31" si="6">C34-SUM(C24:C30)</f>
        <v>226998</v>
      </c>
      <c r="D31">
        <f t="shared" si="6"/>
        <v>188787</v>
      </c>
      <c r="F31" t="s">
        <v>42</v>
      </c>
      <c r="G31">
        <f>G34-SUM(G24:G30)</f>
        <v>27791</v>
      </c>
      <c r="H31">
        <f t="shared" ref="H31:I31" si="7">H34-SUM(H24:H30)</f>
        <v>178399</v>
      </c>
      <c r="I31">
        <f t="shared" si="7"/>
        <v>78764</v>
      </c>
      <c r="K31" t="s">
        <v>42</v>
      </c>
      <c r="L31">
        <f>L34-SUM(L24:L30)</f>
        <v>27940</v>
      </c>
      <c r="M31">
        <f t="shared" ref="M31:N31" si="8">M34-SUM(M24:M30)</f>
        <v>160102</v>
      </c>
      <c r="N31">
        <f t="shared" si="8"/>
        <v>130614</v>
      </c>
    </row>
    <row r="34" spans="1:14" x14ac:dyDescent="0.25">
      <c r="A34" t="s">
        <v>34</v>
      </c>
      <c r="B34">
        <v>244518</v>
      </c>
      <c r="C34">
        <v>244518</v>
      </c>
      <c r="D34">
        <v>244518</v>
      </c>
      <c r="F34" t="s">
        <v>43</v>
      </c>
      <c r="G34">
        <v>208189</v>
      </c>
      <c r="H34">
        <v>208189</v>
      </c>
      <c r="I34">
        <v>208189</v>
      </c>
      <c r="K34" t="s">
        <v>43</v>
      </c>
      <c r="L34">
        <v>189892</v>
      </c>
      <c r="M34">
        <v>189892</v>
      </c>
      <c r="N34">
        <v>189892</v>
      </c>
    </row>
    <row r="35" spans="1:14" x14ac:dyDescent="0.25">
      <c r="A35" t="s">
        <v>37</v>
      </c>
      <c r="B35">
        <f>B36-SUM(B24:B31)</f>
        <v>792963</v>
      </c>
      <c r="C35">
        <f t="shared" ref="C35:D35" si="9">C36-SUM(C24:C31)</f>
        <v>634099</v>
      </c>
      <c r="D35">
        <f t="shared" si="9"/>
        <v>4677375</v>
      </c>
      <c r="F35" t="s">
        <v>37</v>
      </c>
      <c r="G35">
        <f>G36-SUM(G24:G31)</f>
        <v>401601</v>
      </c>
      <c r="H35">
        <f t="shared" ref="H35:I35" si="10">H36-SUM(H24:H31)</f>
        <v>360557</v>
      </c>
      <c r="I35">
        <f t="shared" si="10"/>
        <v>2478370</v>
      </c>
      <c r="K35" t="s">
        <v>37</v>
      </c>
      <c r="L35">
        <f>L36-SUM(L24:L31)</f>
        <v>487624</v>
      </c>
      <c r="M35">
        <f t="shared" ref="M35:N35" si="11">M36-SUM(M24:M31)</f>
        <v>544682</v>
      </c>
      <c r="N35">
        <f t="shared" si="11"/>
        <v>2639085</v>
      </c>
    </row>
    <row r="36" spans="1:14" x14ac:dyDescent="0.25">
      <c r="A36" t="s">
        <v>44</v>
      </c>
      <c r="B36">
        <v>1037481</v>
      </c>
      <c r="C36">
        <f>3514468/4</f>
        <v>878617</v>
      </c>
      <c r="D36">
        <f>19687572/4</f>
        <v>4921893</v>
      </c>
      <c r="F36" t="s">
        <v>44</v>
      </c>
      <c r="G36">
        <v>609790</v>
      </c>
      <c r="H36">
        <f>2274984/4</f>
        <v>568746</v>
      </c>
      <c r="I36">
        <f>10746236/4</f>
        <v>2686559</v>
      </c>
      <c r="K36" t="s">
        <v>44</v>
      </c>
      <c r="L36">
        <v>677516</v>
      </c>
      <c r="M36">
        <f>2938296/4</f>
        <v>734574</v>
      </c>
      <c r="N36">
        <f>11315908/4</f>
        <v>2828977</v>
      </c>
    </row>
    <row r="39" spans="1:14" x14ac:dyDescent="0.25">
      <c r="A39" t="s">
        <v>17</v>
      </c>
      <c r="F39" t="s">
        <v>18</v>
      </c>
    </row>
    <row r="40" spans="1:14" x14ac:dyDescent="0.25">
      <c r="A40" t="s">
        <v>2</v>
      </c>
      <c r="B40" t="s">
        <v>26</v>
      </c>
      <c r="C40" t="s">
        <v>27</v>
      </c>
      <c r="D40" t="s">
        <v>28</v>
      </c>
      <c r="F40" t="s">
        <v>2</v>
      </c>
      <c r="G40" t="s">
        <v>26</v>
      </c>
      <c r="H40" t="s">
        <v>27</v>
      </c>
      <c r="I40" t="s">
        <v>28</v>
      </c>
    </row>
    <row r="41" spans="1:14" x14ac:dyDescent="0.25">
      <c r="A41" t="s">
        <v>5</v>
      </c>
      <c r="B41">
        <v>434</v>
      </c>
      <c r="C41">
        <v>2071</v>
      </c>
      <c r="F41" t="s">
        <v>5</v>
      </c>
      <c r="G41">
        <v>1102</v>
      </c>
      <c r="H41">
        <v>743</v>
      </c>
    </row>
    <row r="42" spans="1:14" x14ac:dyDescent="0.25">
      <c r="A42" t="s">
        <v>6</v>
      </c>
      <c r="B42">
        <v>2179</v>
      </c>
      <c r="C42">
        <v>892</v>
      </c>
      <c r="F42" t="s">
        <v>6</v>
      </c>
      <c r="G42">
        <v>1225</v>
      </c>
      <c r="H42">
        <v>371</v>
      </c>
    </row>
    <row r="43" spans="1:14" x14ac:dyDescent="0.25">
      <c r="A43" t="s">
        <v>7</v>
      </c>
      <c r="B43">
        <v>848704</v>
      </c>
      <c r="C43">
        <v>193487</v>
      </c>
      <c r="D43">
        <f>754560</f>
        <v>754560</v>
      </c>
      <c r="F43" t="s">
        <v>7</v>
      </c>
      <c r="G43">
        <v>67058</v>
      </c>
      <c r="H43">
        <v>11627</v>
      </c>
      <c r="I43">
        <v>48816</v>
      </c>
    </row>
    <row r="45" spans="1:14" x14ac:dyDescent="0.25">
      <c r="A45" t="s">
        <v>8</v>
      </c>
      <c r="B45">
        <v>79051</v>
      </c>
      <c r="C45">
        <v>48535</v>
      </c>
      <c r="D45">
        <v>19019</v>
      </c>
      <c r="F45" t="s">
        <v>8</v>
      </c>
      <c r="G45">
        <v>60830</v>
      </c>
      <c r="H45">
        <v>4970</v>
      </c>
      <c r="I45">
        <v>53388</v>
      </c>
    </row>
    <row r="46" spans="1:14" x14ac:dyDescent="0.25">
      <c r="A46" t="s">
        <v>9</v>
      </c>
      <c r="B46">
        <v>6318</v>
      </c>
      <c r="C46">
        <v>630</v>
      </c>
      <c r="F46" t="s">
        <v>9</v>
      </c>
      <c r="G46">
        <v>3375</v>
      </c>
      <c r="H46">
        <v>119</v>
      </c>
    </row>
    <row r="47" spans="1:14" x14ac:dyDescent="0.25">
      <c r="A47" t="s">
        <v>10</v>
      </c>
      <c r="B47">
        <v>83002</v>
      </c>
      <c r="C47">
        <v>30230</v>
      </c>
      <c r="D47">
        <f>22798+3029+83495</f>
        <v>109322</v>
      </c>
      <c r="F47" t="s">
        <v>10</v>
      </c>
      <c r="G47">
        <v>7449</v>
      </c>
      <c r="H47">
        <v>3226</v>
      </c>
      <c r="I47">
        <v>2048</v>
      </c>
    </row>
    <row r="48" spans="1:14" x14ac:dyDescent="0.25">
      <c r="A48" t="s">
        <v>42</v>
      </c>
      <c r="B48">
        <f>B50-SUM(B41:B47)</f>
        <v>78272</v>
      </c>
      <c r="C48">
        <f t="shared" ref="C48:D48" si="12">C50-SUM(C41:C47)</f>
        <v>822115</v>
      </c>
      <c r="D48">
        <f t="shared" si="12"/>
        <v>215059</v>
      </c>
      <c r="F48" t="s">
        <v>42</v>
      </c>
      <c r="G48">
        <f>G50-SUM(G41:G47)</f>
        <v>17026</v>
      </c>
      <c r="H48">
        <f t="shared" ref="H48:I48" si="13">H50-SUM(H41:H47)</f>
        <v>529149</v>
      </c>
      <c r="I48">
        <f t="shared" si="13"/>
        <v>53813</v>
      </c>
    </row>
    <row r="50" spans="1:20" x14ac:dyDescent="0.25">
      <c r="A50" t="s">
        <v>43</v>
      </c>
      <c r="B50">
        <v>1097960</v>
      </c>
      <c r="C50">
        <v>1097960</v>
      </c>
      <c r="D50">
        <v>1097960</v>
      </c>
      <c r="F50" t="s">
        <v>43</v>
      </c>
      <c r="G50">
        <v>158065</v>
      </c>
      <c r="H50">
        <f>H52</f>
        <v>550205</v>
      </c>
      <c r="I50">
        <v>158065</v>
      </c>
    </row>
    <row r="51" spans="1:20" x14ac:dyDescent="0.25">
      <c r="A51" t="s">
        <v>37</v>
      </c>
      <c r="B51">
        <f>B52-SUM(B41:B48)</f>
        <v>888120</v>
      </c>
      <c r="C51">
        <f t="shared" ref="C51:D51" si="14">C52-SUM(C41:C48)</f>
        <v>516170</v>
      </c>
      <c r="D51">
        <f t="shared" si="14"/>
        <v>4140030</v>
      </c>
      <c r="F51" t="s">
        <v>37</v>
      </c>
      <c r="G51">
        <f>G52-SUM(G41:G48)</f>
        <v>464559</v>
      </c>
      <c r="H51">
        <f t="shared" ref="H51:I51" si="15">H52-SUM(H41:H48)</f>
        <v>0</v>
      </c>
      <c r="I51">
        <f t="shared" si="15"/>
        <v>2745050</v>
      </c>
    </row>
    <row r="52" spans="1:20" x14ac:dyDescent="0.25">
      <c r="A52" t="s">
        <v>44</v>
      </c>
      <c r="B52">
        <v>1986080</v>
      </c>
      <c r="C52">
        <f>6456520/4</f>
        <v>1614130</v>
      </c>
      <c r="D52">
        <f>20951960/4</f>
        <v>5237990</v>
      </c>
      <c r="F52" t="s">
        <v>44</v>
      </c>
      <c r="G52">
        <v>622624</v>
      </c>
      <c r="H52">
        <f>2200820/4</f>
        <v>550205</v>
      </c>
      <c r="I52">
        <f>11612460/4</f>
        <v>2903115</v>
      </c>
    </row>
    <row r="55" spans="1:20" x14ac:dyDescent="0.25">
      <c r="A55" t="s">
        <v>19</v>
      </c>
      <c r="F55" t="s">
        <v>20</v>
      </c>
      <c r="K55" t="s">
        <v>21</v>
      </c>
      <c r="Q55" t="s">
        <v>22</v>
      </c>
    </row>
    <row r="56" spans="1:20" x14ac:dyDescent="0.25">
      <c r="A56" t="s">
        <v>2</v>
      </c>
      <c r="B56" t="s">
        <v>26</v>
      </c>
      <c r="C56" t="s">
        <v>27</v>
      </c>
      <c r="D56" t="s">
        <v>28</v>
      </c>
      <c r="F56" t="s">
        <v>2</v>
      </c>
      <c r="G56" t="s">
        <v>26</v>
      </c>
      <c r="H56" t="s">
        <v>27</v>
      </c>
      <c r="I56" t="s">
        <v>28</v>
      </c>
      <c r="K56" t="s">
        <v>2</v>
      </c>
      <c r="L56" t="s">
        <v>26</v>
      </c>
      <c r="M56" t="s">
        <v>27</v>
      </c>
      <c r="N56" t="s">
        <v>28</v>
      </c>
      <c r="R56" t="s">
        <v>26</v>
      </c>
      <c r="S56" t="s">
        <v>27</v>
      </c>
      <c r="T56" t="s">
        <v>28</v>
      </c>
    </row>
    <row r="57" spans="1:20" x14ac:dyDescent="0.25">
      <c r="A57" t="s">
        <v>5</v>
      </c>
      <c r="B57">
        <v>472</v>
      </c>
      <c r="C57">
        <v>1460</v>
      </c>
      <c r="F57" t="s">
        <v>5</v>
      </c>
      <c r="G57">
        <v>1078</v>
      </c>
      <c r="H57">
        <v>1486</v>
      </c>
      <c r="K57" t="s">
        <v>5</v>
      </c>
      <c r="L57">
        <v>2325</v>
      </c>
      <c r="M57">
        <v>2080</v>
      </c>
      <c r="Q57" t="s">
        <v>5</v>
      </c>
      <c r="R57">
        <v>1210</v>
      </c>
      <c r="S57">
        <v>1066</v>
      </c>
      <c r="T57">
        <v>0</v>
      </c>
    </row>
    <row r="58" spans="1:20" x14ac:dyDescent="0.25">
      <c r="A58" t="s">
        <v>6</v>
      </c>
      <c r="B58">
        <v>1201</v>
      </c>
      <c r="C58">
        <v>711</v>
      </c>
      <c r="F58" t="s">
        <v>6</v>
      </c>
      <c r="G58">
        <v>1608</v>
      </c>
      <c r="H58">
        <v>515</v>
      </c>
      <c r="K58" t="s">
        <v>6</v>
      </c>
      <c r="L58">
        <v>3136</v>
      </c>
      <c r="M58">
        <v>690</v>
      </c>
      <c r="Q58" t="s">
        <v>6</v>
      </c>
      <c r="R58">
        <v>1495</v>
      </c>
      <c r="S58">
        <v>476</v>
      </c>
      <c r="T58">
        <v>0</v>
      </c>
    </row>
    <row r="59" spans="1:20" x14ac:dyDescent="0.25">
      <c r="A59" t="s">
        <v>7</v>
      </c>
      <c r="B59">
        <v>239260</v>
      </c>
      <c r="C59">
        <v>82462</v>
      </c>
      <c r="D59">
        <v>301097</v>
      </c>
      <c r="F59" t="s">
        <v>7</v>
      </c>
      <c r="G59">
        <v>83750</v>
      </c>
      <c r="H59">
        <v>12831</v>
      </c>
      <c r="I59">
        <v>60761</v>
      </c>
      <c r="K59" t="s">
        <v>7</v>
      </c>
      <c r="L59">
        <v>327658</v>
      </c>
      <c r="M59">
        <v>80651</v>
      </c>
      <c r="N59">
        <v>283012</v>
      </c>
      <c r="Q59" t="s">
        <v>7</v>
      </c>
      <c r="R59">
        <v>202465</v>
      </c>
      <c r="S59">
        <v>84140</v>
      </c>
      <c r="T59">
        <v>275659</v>
      </c>
    </row>
    <row r="61" spans="1:20" x14ac:dyDescent="0.25">
      <c r="A61" t="s">
        <v>8</v>
      </c>
      <c r="B61">
        <v>49878</v>
      </c>
      <c r="C61">
        <v>24265</v>
      </c>
      <c r="D61">
        <v>9456</v>
      </c>
      <c r="F61" t="s">
        <v>8</v>
      </c>
      <c r="G61">
        <v>57826</v>
      </c>
      <c r="H61">
        <v>4504</v>
      </c>
      <c r="K61" t="s">
        <v>8</v>
      </c>
      <c r="L61">
        <v>42235</v>
      </c>
      <c r="M61">
        <v>20857</v>
      </c>
      <c r="Q61" t="s">
        <v>8</v>
      </c>
      <c r="R61">
        <v>68600</v>
      </c>
      <c r="S61">
        <v>22095</v>
      </c>
      <c r="T61">
        <v>8024</v>
      </c>
    </row>
    <row r="62" spans="1:20" x14ac:dyDescent="0.25">
      <c r="A62" t="s">
        <v>9</v>
      </c>
      <c r="B62">
        <v>3873</v>
      </c>
      <c r="C62">
        <v>398</v>
      </c>
      <c r="F62" t="s">
        <v>9</v>
      </c>
      <c r="G62">
        <v>3616</v>
      </c>
      <c r="H62">
        <v>389</v>
      </c>
      <c r="K62" t="s">
        <v>9</v>
      </c>
      <c r="L62">
        <v>4299</v>
      </c>
      <c r="M62">
        <v>719</v>
      </c>
      <c r="Q62" t="s">
        <v>9</v>
      </c>
      <c r="R62">
        <v>5108</v>
      </c>
      <c r="S62">
        <v>462</v>
      </c>
      <c r="T62">
        <v>0</v>
      </c>
    </row>
    <row r="63" spans="1:20" x14ac:dyDescent="0.25">
      <c r="A63" t="s">
        <v>10</v>
      </c>
      <c r="B63">
        <v>85355</v>
      </c>
      <c r="C63">
        <v>30622</v>
      </c>
      <c r="D63">
        <f>10764+1301+96668</f>
        <v>108733</v>
      </c>
      <c r="F63" t="s">
        <v>10</v>
      </c>
      <c r="G63">
        <v>11991</v>
      </c>
      <c r="H63">
        <v>6489</v>
      </c>
      <c r="K63" t="s">
        <v>10</v>
      </c>
      <c r="L63">
        <v>52312</v>
      </c>
      <c r="M63">
        <v>25575</v>
      </c>
      <c r="N63">
        <v>13062</v>
      </c>
      <c r="Q63" t="s">
        <v>10</v>
      </c>
      <c r="R63">
        <v>59183</v>
      </c>
      <c r="S63">
        <v>27795</v>
      </c>
      <c r="T63">
        <f>12950+3265+73086</f>
        <v>89301</v>
      </c>
    </row>
    <row r="64" spans="1:20" x14ac:dyDescent="0.25">
      <c r="A64" t="s">
        <v>42</v>
      </c>
      <c r="B64">
        <f>B66-SUM(B57:B63)</f>
        <v>115498</v>
      </c>
      <c r="C64">
        <f t="shared" ref="C64:D64" si="16">C66-SUM(C57:C63)</f>
        <v>355619</v>
      </c>
      <c r="D64">
        <f t="shared" si="16"/>
        <v>76251</v>
      </c>
      <c r="F64" t="s">
        <v>42</v>
      </c>
      <c r="G64">
        <f>G66-SUM(G57:G63)</f>
        <v>27204</v>
      </c>
      <c r="H64">
        <f t="shared" ref="H64:I64" si="17">H66-SUM(H57:H63)</f>
        <v>160859</v>
      </c>
      <c r="I64">
        <f t="shared" si="17"/>
        <v>126312</v>
      </c>
      <c r="K64" t="s">
        <v>42</v>
      </c>
      <c r="L64">
        <f>L66-SUM(L57:L63)</f>
        <v>59446</v>
      </c>
      <c r="M64">
        <f t="shared" ref="M64:N64" si="18">M66-SUM(M57:M63)</f>
        <v>360839</v>
      </c>
      <c r="N64">
        <f t="shared" si="18"/>
        <v>195337</v>
      </c>
      <c r="Q64" t="s">
        <v>42</v>
      </c>
      <c r="R64">
        <f>R66-SUM(R57:R63)</f>
        <v>70699</v>
      </c>
      <c r="S64">
        <f t="shared" ref="S64:T64" si="19">S66-SUM(S57:S63)</f>
        <v>272726</v>
      </c>
      <c r="T64">
        <f t="shared" si="19"/>
        <v>35776</v>
      </c>
    </row>
    <row r="66" spans="1:20" x14ac:dyDescent="0.25">
      <c r="A66" t="s">
        <v>43</v>
      </c>
      <c r="B66">
        <v>495537</v>
      </c>
      <c r="C66">
        <v>495537</v>
      </c>
      <c r="D66">
        <v>495537</v>
      </c>
      <c r="F66" t="s">
        <v>43</v>
      </c>
      <c r="G66">
        <v>187073</v>
      </c>
      <c r="H66">
        <v>187073</v>
      </c>
      <c r="I66">
        <v>187073</v>
      </c>
      <c r="K66" t="s">
        <v>43</v>
      </c>
      <c r="L66">
        <v>491411</v>
      </c>
      <c r="M66">
        <v>491411</v>
      </c>
      <c r="N66">
        <v>491411</v>
      </c>
      <c r="Q66" t="s">
        <v>43</v>
      </c>
      <c r="R66">
        <v>408760</v>
      </c>
      <c r="S66">
        <v>408760</v>
      </c>
      <c r="T66">
        <v>408760</v>
      </c>
    </row>
    <row r="67" spans="1:20" x14ac:dyDescent="0.25">
      <c r="A67" t="s">
        <v>37</v>
      </c>
      <c r="B67">
        <f>B68-SUM(B57:B64)</f>
        <v>1191149</v>
      </c>
      <c r="C67">
        <f t="shared" ref="C67:D67" si="20">C68-SUM(C57:C64)</f>
        <v>1209735</v>
      </c>
      <c r="D67">
        <f t="shared" si="20"/>
        <v>3801658</v>
      </c>
      <c r="F67" t="s">
        <v>37</v>
      </c>
      <c r="G67">
        <f>G68-SUM(G57:G64)</f>
        <v>783299</v>
      </c>
      <c r="H67">
        <f t="shared" ref="H67:I67" si="21">H68-SUM(H57:H64)</f>
        <v>757052</v>
      </c>
      <c r="I67">
        <f t="shared" si="21"/>
        <v>4041449</v>
      </c>
      <c r="K67" t="s">
        <v>37</v>
      </c>
      <c r="L67">
        <f>L68-SUM(L57:L64)</f>
        <v>794806</v>
      </c>
      <c r="M67">
        <f t="shared" ref="M67:N67" si="22">M68-SUM(M57:M64)</f>
        <v>924113</v>
      </c>
      <c r="N67">
        <f t="shared" si="22"/>
        <v>5215100</v>
      </c>
      <c r="Q67" t="s">
        <v>37</v>
      </c>
      <c r="R67">
        <f>R68-SUM(R57:R64)</f>
        <v>911968</v>
      </c>
      <c r="S67">
        <f t="shared" ref="S67:T67" si="23">S68-SUM(S57:S64)</f>
        <v>812009</v>
      </c>
      <c r="T67">
        <f t="shared" si="23"/>
        <v>3635519</v>
      </c>
    </row>
    <row r="68" spans="1:20" x14ac:dyDescent="0.25">
      <c r="A68" t="s">
        <v>44</v>
      </c>
      <c r="B68">
        <v>1686686</v>
      </c>
      <c r="C68">
        <f>6821088/4</f>
        <v>1705272</v>
      </c>
      <c r="D68">
        <f>17188780/4</f>
        <v>4297195</v>
      </c>
      <c r="F68" t="s">
        <v>44</v>
      </c>
      <c r="G68">
        <v>970372</v>
      </c>
      <c r="H68">
        <f>3776500/4</f>
        <v>944125</v>
      </c>
      <c r="I68">
        <f>16914088/4</f>
        <v>4228522</v>
      </c>
      <c r="K68" t="s">
        <v>44</v>
      </c>
      <c r="L68">
        <v>1286217</v>
      </c>
      <c r="M68">
        <f>5662096/4</f>
        <v>1415524</v>
      </c>
      <c r="N68">
        <f>22826044/4</f>
        <v>5706511</v>
      </c>
      <c r="Q68" t="s">
        <v>44</v>
      </c>
      <c r="R68">
        <v>1320728</v>
      </c>
      <c r="S68">
        <f>4883076/4</f>
        <v>1220769</v>
      </c>
      <c r="T68">
        <f>16177116/4</f>
        <v>4044279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DB8D-4732-4A1E-9505-6EA9CD879E31}">
  <dimension ref="A2:AQ116"/>
  <sheetViews>
    <sheetView zoomScale="85" zoomScaleNormal="85" workbookViewId="0">
      <selection activeCell="N6" sqref="N6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107140</v>
      </c>
      <c r="C6">
        <v>4532</v>
      </c>
      <c r="D6">
        <v>16044</v>
      </c>
      <c r="F6" t="s">
        <v>7</v>
      </c>
      <c r="G6">
        <f t="shared" si="0"/>
        <v>57.404629232747538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560498</v>
      </c>
      <c r="M6">
        <v>238766</v>
      </c>
      <c r="N6">
        <v>406153</v>
      </c>
      <c r="P6" t="s">
        <v>7</v>
      </c>
      <c r="Q6">
        <f t="shared" si="3"/>
        <v>75.254631432246427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13595</v>
      </c>
      <c r="W6">
        <v>4230</v>
      </c>
      <c r="X6">
        <v>15111</v>
      </c>
      <c r="Z6" t="s">
        <v>7</v>
      </c>
      <c r="AA6">
        <f t="shared" si="4"/>
        <v>29.464034156173469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2193</v>
      </c>
      <c r="C9">
        <v>91</v>
      </c>
      <c r="F9" t="s">
        <v>9</v>
      </c>
      <c r="G9">
        <f t="shared" si="5"/>
        <v>1.1749892841834548</v>
      </c>
      <c r="H9">
        <f t="shared" si="5"/>
        <v>4.8756965280754391E-2</v>
      </c>
      <c r="I9">
        <f t="shared" si="5"/>
        <v>0</v>
      </c>
      <c r="K9" t="s">
        <v>9</v>
      </c>
      <c r="L9">
        <v>5332</v>
      </c>
      <c r="M9">
        <v>1891</v>
      </c>
      <c r="P9" t="s">
        <v>9</v>
      </c>
      <c r="Q9">
        <f t="shared" si="3"/>
        <v>0.71589496268807007</v>
      </c>
      <c r="R9">
        <f t="shared" si="1"/>
        <v>0.25389298095332719</v>
      </c>
      <c r="S9">
        <f t="shared" si="1"/>
        <v>0</v>
      </c>
      <c r="U9" t="s">
        <v>9</v>
      </c>
      <c r="V9">
        <v>586</v>
      </c>
      <c r="W9">
        <v>21</v>
      </c>
      <c r="Z9" t="s">
        <v>9</v>
      </c>
      <c r="AA9">
        <f t="shared" si="4"/>
        <v>1.2700201556099782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4843</v>
      </c>
      <c r="C10">
        <v>1073</v>
      </c>
      <c r="F10" t="s">
        <v>10</v>
      </c>
      <c r="G10">
        <f t="shared" si="5"/>
        <v>2.5948349764252034</v>
      </c>
      <c r="H10">
        <f t="shared" si="5"/>
        <v>0.57490355765109302</v>
      </c>
      <c r="I10">
        <f t="shared" si="5"/>
        <v>0</v>
      </c>
      <c r="K10" t="s">
        <v>10</v>
      </c>
      <c r="L10">
        <v>60079</v>
      </c>
      <c r="M10">
        <v>31088</v>
      </c>
      <c r="N10">
        <f>36473+2401+14763</f>
        <v>53637</v>
      </c>
      <c r="P10" t="s">
        <v>10</v>
      </c>
      <c r="Q10">
        <f t="shared" si="3"/>
        <v>8.066439134159145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3070</v>
      </c>
      <c r="W10">
        <v>1198</v>
      </c>
      <c r="Z10" t="s">
        <v>10</v>
      </c>
      <c r="AA10">
        <f t="shared" si="4"/>
        <v>6.6535185626666085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13.874303471924561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7.9845381725612983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33.29143278212436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160745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59469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15361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25895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91473</v>
      </c>
      <c r="C24">
        <v>8853</v>
      </c>
      <c r="D24">
        <v>29812</v>
      </c>
      <c r="F24" t="s">
        <v>7</v>
      </c>
      <c r="G24">
        <f t="shared" si="10"/>
        <v>37.409515863862786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135176</v>
      </c>
      <c r="M24">
        <v>14829</v>
      </c>
      <c r="N24">
        <v>66877</v>
      </c>
      <c r="P24" t="s">
        <v>7</v>
      </c>
      <c r="Q24">
        <f t="shared" si="13"/>
        <v>64.92946313205789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107068</v>
      </c>
      <c r="W24">
        <v>14829</v>
      </c>
      <c r="X24">
        <v>30600</v>
      </c>
      <c r="Z24" t="s">
        <v>7</v>
      </c>
      <c r="AA24">
        <f t="shared" si="12"/>
        <v>56.383628588882104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3457</v>
      </c>
      <c r="C27">
        <v>119</v>
      </c>
      <c r="F27" t="s">
        <v>9</v>
      </c>
      <c r="G27">
        <f t="shared" si="14"/>
        <v>1.4138018468987967</v>
      </c>
      <c r="H27">
        <f t="shared" si="14"/>
        <v>4.8667173786796879E-2</v>
      </c>
      <c r="I27">
        <f t="shared" si="14"/>
        <v>0</v>
      </c>
      <c r="K27" t="s">
        <v>9</v>
      </c>
      <c r="L27">
        <v>2223</v>
      </c>
      <c r="M27">
        <v>128</v>
      </c>
      <c r="P27" t="s">
        <v>9</v>
      </c>
      <c r="Q27">
        <f t="shared" si="13"/>
        <v>1.0677797578162151</v>
      </c>
      <c r="R27">
        <f t="shared" si="11"/>
        <v>6.1482595141914322E-2</v>
      </c>
      <c r="S27">
        <f t="shared" si="11"/>
        <v>0</v>
      </c>
      <c r="U27" t="s">
        <v>9</v>
      </c>
      <c r="V27">
        <v>993</v>
      </c>
      <c r="W27">
        <v>128</v>
      </c>
      <c r="X27">
        <v>0</v>
      </c>
      <c r="Z27" t="s">
        <v>9</v>
      </c>
      <c r="AA27">
        <f t="shared" si="15"/>
        <v>0.52292882269921848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14933</v>
      </c>
      <c r="C28">
        <v>4130</v>
      </c>
      <c r="F28" t="s">
        <v>10</v>
      </c>
      <c r="G28">
        <f t="shared" si="14"/>
        <v>6.1071168584725868</v>
      </c>
      <c r="H28">
        <f t="shared" si="14"/>
        <v>1.6890372078947153</v>
      </c>
      <c r="I28">
        <f t="shared" si="14"/>
        <v>0</v>
      </c>
      <c r="K28" t="s">
        <v>10</v>
      </c>
      <c r="L28">
        <v>18267</v>
      </c>
      <c r="M28">
        <v>4726</v>
      </c>
      <c r="N28">
        <v>2470</v>
      </c>
      <c r="P28" t="s">
        <v>10</v>
      </c>
      <c r="Q28">
        <f t="shared" si="13"/>
        <v>8.7742387926355381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10811</v>
      </c>
      <c r="W28">
        <v>4726</v>
      </c>
      <c r="X28">
        <v>667</v>
      </c>
      <c r="Z28" t="s">
        <v>10</v>
      </c>
      <c r="AA28">
        <f t="shared" si="15"/>
        <v>5.6932361552882691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20.945288281435314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13.3489281374136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14.713626693067638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27940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51215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27791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848704</v>
      </c>
      <c r="C41">
        <v>193487</v>
      </c>
      <c r="D41">
        <v>401383</v>
      </c>
      <c r="F41" t="s">
        <v>7</v>
      </c>
      <c r="G41">
        <f t="shared" si="24"/>
        <v>77.298262231775297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67058</v>
      </c>
      <c r="M41">
        <v>11627</v>
      </c>
      <c r="N41">
        <v>25712</v>
      </c>
      <c r="P41" t="s">
        <v>7</v>
      </c>
      <c r="Q41">
        <f t="shared" si="25"/>
        <v>42.42431910922722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6318</v>
      </c>
      <c r="C44">
        <v>630</v>
      </c>
      <c r="F44" t="s">
        <v>9</v>
      </c>
      <c r="G44">
        <f t="shared" si="24"/>
        <v>0.57543079893620896</v>
      </c>
      <c r="H44">
        <f t="shared" si="22"/>
        <v>5.7379139495063569E-2</v>
      </c>
      <c r="I44">
        <f t="shared" si="22"/>
        <v>0</v>
      </c>
      <c r="K44" t="s">
        <v>9</v>
      </c>
      <c r="L44">
        <v>3375</v>
      </c>
      <c r="M44">
        <v>119</v>
      </c>
      <c r="P44" t="s">
        <v>9</v>
      </c>
      <c r="Q44">
        <f t="shared" si="25"/>
        <v>2.1351975453136367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83002</v>
      </c>
      <c r="C45">
        <v>30230</v>
      </c>
      <c r="D45">
        <f>12099+1629+45027</f>
        <v>58755</v>
      </c>
      <c r="F45" t="s">
        <v>10</v>
      </c>
      <c r="G45">
        <f t="shared" si="24"/>
        <v>7.559656089475026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7449</v>
      </c>
      <c r="M45">
        <v>3226</v>
      </c>
      <c r="N45">
        <v>1104</v>
      </c>
      <c r="P45" t="s">
        <v>10</v>
      </c>
      <c r="Q45">
        <f t="shared" si="25"/>
        <v>4.7126182266788978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7.1288571532660567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10.771518046373327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17026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78272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239260</v>
      </c>
      <c r="C57">
        <v>82462</v>
      </c>
      <c r="D57">
        <v>160304</v>
      </c>
      <c r="F57" t="s">
        <v>7</v>
      </c>
      <c r="G57">
        <f t="shared" si="34"/>
        <v>48.282973824356205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83750</v>
      </c>
      <c r="M57">
        <v>12831</v>
      </c>
      <c r="N57">
        <v>31820</v>
      </c>
      <c r="P57" t="s">
        <v>7</v>
      </c>
      <c r="Q57">
        <f t="shared" si="35"/>
        <v>44.768619736680336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327658</v>
      </c>
      <c r="W57">
        <v>80651</v>
      </c>
      <c r="X57">
        <v>150652</v>
      </c>
      <c r="Z57" t="s">
        <v>7</v>
      </c>
      <c r="AA57">
        <f t="shared" si="36"/>
        <v>66.67697711284444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202465</v>
      </c>
      <c r="AG57">
        <v>84140</v>
      </c>
      <c r="AH57">
        <v>146996</v>
      </c>
      <c r="AJ57" t="s">
        <v>7</v>
      </c>
      <c r="AK57">
        <f t="shared" si="33"/>
        <v>49.531509932478713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3873</v>
      </c>
      <c r="C60">
        <v>398</v>
      </c>
      <c r="F60" t="s">
        <v>9</v>
      </c>
      <c r="G60">
        <f t="shared" si="34"/>
        <v>0.78157635050460406</v>
      </c>
      <c r="H60">
        <f t="shared" si="30"/>
        <v>8.0316908727299879E-2</v>
      </c>
      <c r="I60">
        <f t="shared" si="30"/>
        <v>0</v>
      </c>
      <c r="K60" t="s">
        <v>9</v>
      </c>
      <c r="L60">
        <v>3616</v>
      </c>
      <c r="M60">
        <v>389</v>
      </c>
      <c r="P60" t="s">
        <v>9</v>
      </c>
      <c r="Q60">
        <f t="shared" si="35"/>
        <v>1.9329352712577443</v>
      </c>
      <c r="R60">
        <f t="shared" si="31"/>
        <v>0.20794021585156597</v>
      </c>
      <c r="S60">
        <f t="shared" si="31"/>
        <v>0</v>
      </c>
      <c r="U60" t="s">
        <v>9</v>
      </c>
      <c r="V60">
        <v>4299</v>
      </c>
      <c r="W60">
        <v>719</v>
      </c>
      <c r="Z60" t="s">
        <v>9</v>
      </c>
      <c r="AA60">
        <f t="shared" si="36"/>
        <v>0.87482779180767223</v>
      </c>
      <c r="AB60">
        <f t="shared" si="32"/>
        <v>0.14631337108855927</v>
      </c>
      <c r="AC60">
        <f t="shared" si="32"/>
        <v>0</v>
      </c>
      <c r="AE60" t="s">
        <v>9</v>
      </c>
      <c r="AF60">
        <v>5108</v>
      </c>
      <c r="AG60">
        <v>462</v>
      </c>
      <c r="AH60">
        <v>0</v>
      </c>
      <c r="AJ60" t="s">
        <v>9</v>
      </c>
      <c r="AK60">
        <f t="shared" si="37"/>
        <v>1.2496330365006361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85355</v>
      </c>
      <c r="C61">
        <v>30622</v>
      </c>
      <c r="D61">
        <f>697+5776+52296</f>
        <v>58769</v>
      </c>
      <c r="F61" t="s">
        <v>10</v>
      </c>
      <c r="G61">
        <f t="shared" si="34"/>
        <v>17.224748101554475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11991</v>
      </c>
      <c r="M61">
        <v>6489</v>
      </c>
      <c r="P61" t="s">
        <v>10</v>
      </c>
      <c r="Q61">
        <f t="shared" si="35"/>
        <v>6.4097972449257776</v>
      </c>
      <c r="R61">
        <f t="shared" si="31"/>
        <v>3.4686993847321634</v>
      </c>
      <c r="S61">
        <f t="shared" si="31"/>
        <v>0</v>
      </c>
      <c r="U61" t="s">
        <v>10</v>
      </c>
      <c r="V61">
        <v>52312</v>
      </c>
      <c r="W61">
        <v>25575</v>
      </c>
      <c r="X61">
        <v>7109</v>
      </c>
      <c r="Z61" t="s">
        <v>10</v>
      </c>
      <c r="AA61">
        <f t="shared" si="36"/>
        <v>10.645264351021853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59183</v>
      </c>
      <c r="AG61">
        <v>27795</v>
      </c>
      <c r="AH61">
        <f>39780+7062+1723</f>
        <v>48565</v>
      </c>
      <c r="AJ61" t="s">
        <v>10</v>
      </c>
      <c r="AK61">
        <f t="shared" si="37"/>
        <v>14.478667188570309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23.30764403061729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14.541916791840618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12.097002305605695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17.295968294353656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115498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27204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59446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70699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Q79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si="47"/>
        <v>0</v>
      </c>
      <c r="AH72">
        <f t="shared" si="47"/>
        <v>0</v>
      </c>
      <c r="AI72">
        <f t="shared" si="47"/>
        <v>0</v>
      </c>
      <c r="AJ72">
        <f t="shared" si="47"/>
        <v>0</v>
      </c>
      <c r="AK72">
        <f t="shared" si="47"/>
        <v>0</v>
      </c>
      <c r="AL72">
        <f t="shared" si="47"/>
        <v>0</v>
      </c>
      <c r="AM72">
        <f t="shared" si="47"/>
        <v>0</v>
      </c>
      <c r="AN72">
        <f t="shared" si="47"/>
        <v>0</v>
      </c>
      <c r="AO72">
        <f t="shared" si="47"/>
        <v>0</v>
      </c>
      <c r="AP72">
        <f t="shared" si="47"/>
        <v>0</v>
      </c>
      <c r="AQ72">
        <f t="shared" si="47"/>
        <v>0</v>
      </c>
    </row>
    <row r="73" spans="1:43" x14ac:dyDescent="0.25">
      <c r="E73" t="s">
        <v>7</v>
      </c>
      <c r="F73">
        <f t="shared" si="48"/>
        <v>57.404629232747538</v>
      </c>
      <c r="G73">
        <f t="shared" si="49"/>
        <v>75.254631432246427</v>
      </c>
      <c r="H73">
        <f t="shared" si="50"/>
        <v>29.464034156173469</v>
      </c>
      <c r="I73">
        <f t="shared" si="51"/>
        <v>37.409515863862786</v>
      </c>
      <c r="J73">
        <f t="shared" si="52"/>
        <v>64.92946313205789</v>
      </c>
      <c r="K73">
        <f t="shared" si="53"/>
        <v>56.383628588882104</v>
      </c>
      <c r="L73">
        <f t="shared" si="54"/>
        <v>77.298262231775297</v>
      </c>
      <c r="M73">
        <f t="shared" si="55"/>
        <v>42.42431910922722</v>
      </c>
      <c r="N73">
        <f t="shared" si="56"/>
        <v>48.282973824356205</v>
      </c>
      <c r="O73">
        <f t="shared" si="57"/>
        <v>44.768619736680336</v>
      </c>
      <c r="P73">
        <f t="shared" si="58"/>
        <v>66.67697711284444</v>
      </c>
      <c r="Q73">
        <f t="shared" si="59"/>
        <v>49.531509932478713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47"/>
        <v>54.531674189918931</v>
      </c>
      <c r="AH73">
        <f t="shared" si="47"/>
        <v>32.749615309594503</v>
      </c>
      <c r="AI73">
        <f t="shared" si="47"/>
        <v>12.192149453209989</v>
      </c>
      <c r="AJ73">
        <f t="shared" si="47"/>
        <v>32.123214963326596</v>
      </c>
      <c r="AK73">
        <f t="shared" si="47"/>
        <v>16.11442293514208</v>
      </c>
      <c r="AL73">
        <f t="shared" si="47"/>
        <v>36.557160552296985</v>
      </c>
      <c r="AM73">
        <f t="shared" si="47"/>
        <v>16.266725714104957</v>
      </c>
      <c r="AN73">
        <f t="shared" si="47"/>
        <v>32.349552102063015</v>
      </c>
      <c r="AO73">
        <f t="shared" si="47"/>
        <v>17.00940274652141</v>
      </c>
      <c r="AP73">
        <f t="shared" si="47"/>
        <v>30.657026399490448</v>
      </c>
      <c r="AQ73">
        <f t="shared" si="47"/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47"/>
        <v>0</v>
      </c>
      <c r="AH74">
        <f t="shared" si="47"/>
        <v>0</v>
      </c>
      <c r="AI74">
        <f t="shared" si="47"/>
        <v>0</v>
      </c>
      <c r="AJ74">
        <f t="shared" si="47"/>
        <v>0</v>
      </c>
      <c r="AK74">
        <f t="shared" si="47"/>
        <v>0</v>
      </c>
      <c r="AL74">
        <f t="shared" si="47"/>
        <v>0</v>
      </c>
      <c r="AM74">
        <f t="shared" si="47"/>
        <v>0</v>
      </c>
      <c r="AN74">
        <f t="shared" si="47"/>
        <v>0</v>
      </c>
      <c r="AO74">
        <f t="shared" si="47"/>
        <v>0</v>
      </c>
      <c r="AP74">
        <f t="shared" si="47"/>
        <v>0</v>
      </c>
      <c r="AQ74">
        <f t="shared" si="47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47"/>
        <v>0</v>
      </c>
      <c r="AH75">
        <f t="shared" si="47"/>
        <v>0</v>
      </c>
      <c r="AI75">
        <f t="shared" si="47"/>
        <v>0</v>
      </c>
      <c r="AJ75">
        <f t="shared" si="47"/>
        <v>0</v>
      </c>
      <c r="AK75">
        <f t="shared" si="47"/>
        <v>0</v>
      </c>
      <c r="AL75">
        <f t="shared" si="47"/>
        <v>0.96014426755073046</v>
      </c>
      <c r="AM75">
        <f t="shared" si="47"/>
        <v>18.279821592382881</v>
      </c>
      <c r="AN75">
        <f t="shared" si="47"/>
        <v>1.0651071463886652</v>
      </c>
      <c r="AO75">
        <f t="shared" si="47"/>
        <v>0</v>
      </c>
      <c r="AP75">
        <f t="shared" si="47"/>
        <v>0</v>
      </c>
      <c r="AQ75">
        <f t="shared" si="47"/>
        <v>1.1128779724043449</v>
      </c>
    </row>
    <row r="76" spans="1:43" x14ac:dyDescent="0.25">
      <c r="E76" t="s">
        <v>9</v>
      </c>
      <c r="F76">
        <f t="shared" si="48"/>
        <v>1.1749892841834548</v>
      </c>
      <c r="G76">
        <f t="shared" si="49"/>
        <v>0.71589496268807007</v>
      </c>
      <c r="H76">
        <f t="shared" si="50"/>
        <v>1.2700201556099782</v>
      </c>
      <c r="I76">
        <f t="shared" si="51"/>
        <v>1.4138018468987967</v>
      </c>
      <c r="J76">
        <f t="shared" si="52"/>
        <v>1.0677797578162151</v>
      </c>
      <c r="K76">
        <f t="shared" si="53"/>
        <v>0.52292882269921848</v>
      </c>
      <c r="L76">
        <f t="shared" si="54"/>
        <v>0.57543079893620896</v>
      </c>
      <c r="M76">
        <f t="shared" si="55"/>
        <v>2.1351975453136367</v>
      </c>
      <c r="N76">
        <f t="shared" si="56"/>
        <v>0.78157635050460406</v>
      </c>
      <c r="O76">
        <f t="shared" si="57"/>
        <v>1.9329352712577443</v>
      </c>
      <c r="P76">
        <f t="shared" si="58"/>
        <v>0.87482779180767223</v>
      </c>
      <c r="Q76">
        <f t="shared" si="59"/>
        <v>1.2496330365006361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0</v>
      </c>
      <c r="AN76">
        <f t="shared" si="47"/>
        <v>0</v>
      </c>
      <c r="AO76">
        <f t="shared" si="47"/>
        <v>0</v>
      </c>
      <c r="AP76">
        <f t="shared" si="47"/>
        <v>0</v>
      </c>
      <c r="AQ76">
        <f t="shared" si="47"/>
        <v>0</v>
      </c>
    </row>
    <row r="77" spans="1:43" x14ac:dyDescent="0.25">
      <c r="E77" t="s">
        <v>10</v>
      </c>
      <c r="F77">
        <f t="shared" si="48"/>
        <v>2.5948349764252034</v>
      </c>
      <c r="G77">
        <f t="shared" si="49"/>
        <v>8.066439134159145</v>
      </c>
      <c r="H77">
        <f t="shared" si="50"/>
        <v>6.6535185626666085</v>
      </c>
      <c r="I77">
        <f t="shared" si="51"/>
        <v>6.1071168584725868</v>
      </c>
      <c r="J77">
        <f t="shared" si="52"/>
        <v>8.7742387926355381</v>
      </c>
      <c r="K77">
        <f t="shared" si="53"/>
        <v>5.6932361552882691</v>
      </c>
      <c r="L77">
        <f t="shared" si="54"/>
        <v>7.559656089475026</v>
      </c>
      <c r="M77">
        <f t="shared" si="55"/>
        <v>4.7126182266788978</v>
      </c>
      <c r="N77">
        <f t="shared" si="56"/>
        <v>17.224748101554475</v>
      </c>
      <c r="O77">
        <f t="shared" si="57"/>
        <v>6.4097972449257776</v>
      </c>
      <c r="P77">
        <f t="shared" si="58"/>
        <v>10.645264351021853</v>
      </c>
      <c r="Q77">
        <f t="shared" si="59"/>
        <v>14.478667188570309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47"/>
        <v>7.2015112741372871</v>
      </c>
      <c r="AH77">
        <f t="shared" si="47"/>
        <v>0</v>
      </c>
      <c r="AI77">
        <f t="shared" si="47"/>
        <v>0</v>
      </c>
      <c r="AJ77">
        <f t="shared" si="47"/>
        <v>1.1864219531291278</v>
      </c>
      <c r="AK77">
        <f t="shared" si="47"/>
        <v>0.35125229077580938</v>
      </c>
      <c r="AL77">
        <f t="shared" si="47"/>
        <v>5.3512878429086665</v>
      </c>
      <c r="AM77">
        <f t="shared" si="47"/>
        <v>0.69844684148926073</v>
      </c>
      <c r="AN77">
        <f t="shared" si="47"/>
        <v>11.859659319082127</v>
      </c>
      <c r="AO77">
        <f t="shared" si="47"/>
        <v>0</v>
      </c>
      <c r="AP77">
        <f t="shared" si="47"/>
        <v>1.4466505633777023</v>
      </c>
      <c r="AQ77">
        <f t="shared" si="47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47"/>
        <v>0</v>
      </c>
      <c r="AH78">
        <f t="shared" si="47"/>
        <v>0</v>
      </c>
      <c r="AI78">
        <f t="shared" si="47"/>
        <v>0</v>
      </c>
      <c r="AJ78">
        <f t="shared" si="47"/>
        <v>0</v>
      </c>
      <c r="AK78">
        <f t="shared" si="47"/>
        <v>0</v>
      </c>
      <c r="AL78">
        <f t="shared" si="47"/>
        <v>0</v>
      </c>
      <c r="AM78">
        <f t="shared" si="47"/>
        <v>0</v>
      </c>
      <c r="AN78">
        <f t="shared" si="47"/>
        <v>0</v>
      </c>
      <c r="AO78">
        <f t="shared" si="47"/>
        <v>0</v>
      </c>
      <c r="AP78">
        <f t="shared" si="47"/>
        <v>0</v>
      </c>
      <c r="AQ78">
        <f t="shared" si="47"/>
        <v>0</v>
      </c>
    </row>
    <row r="79" spans="1:43" x14ac:dyDescent="0.25">
      <c r="E79" t="s">
        <v>42</v>
      </c>
      <c r="F79">
        <f t="shared" si="48"/>
        <v>13.874303471924561</v>
      </c>
      <c r="G79">
        <f t="shared" si="49"/>
        <v>7.9845381725612983</v>
      </c>
      <c r="H79">
        <f t="shared" si="50"/>
        <v>33.29143278212436</v>
      </c>
      <c r="I79">
        <f t="shared" si="51"/>
        <v>20.945288281435314</v>
      </c>
      <c r="J79">
        <f t="shared" si="52"/>
        <v>13.3489281374136</v>
      </c>
      <c r="K79">
        <f t="shared" si="53"/>
        <v>14.713626693067638</v>
      </c>
      <c r="L79">
        <f t="shared" si="54"/>
        <v>7.1288571532660567</v>
      </c>
      <c r="M79">
        <f t="shared" si="55"/>
        <v>10.771518046373327</v>
      </c>
      <c r="N79">
        <f t="shared" si="56"/>
        <v>23.30764403061729</v>
      </c>
      <c r="O79">
        <f t="shared" si="57"/>
        <v>14.541916791840618</v>
      </c>
      <c r="P79">
        <f t="shared" si="58"/>
        <v>12.097002305605695</v>
      </c>
      <c r="Q79">
        <f t="shared" si="59"/>
        <v>17.295968294353656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47"/>
        <v>38.26681453594378</v>
      </c>
      <c r="AH79">
        <f t="shared" si="47"/>
        <v>67.250384690405497</v>
      </c>
      <c r="AI79">
        <f t="shared" si="47"/>
        <v>87.807850546790007</v>
      </c>
      <c r="AJ79">
        <f t="shared" si="47"/>
        <v>66.690363083544284</v>
      </c>
      <c r="AK79">
        <f t="shared" si="47"/>
        <v>83.534324774082108</v>
      </c>
      <c r="AL79">
        <f t="shared" si="47"/>
        <v>57.131407337243616</v>
      </c>
      <c r="AM79">
        <f t="shared" si="47"/>
        <v>64.755005852022904</v>
      </c>
      <c r="AN79">
        <f t="shared" si="47"/>
        <v>54.725681432466196</v>
      </c>
      <c r="AO79">
        <f t="shared" si="47"/>
        <v>82.990597253478583</v>
      </c>
      <c r="AP79">
        <f t="shared" si="47"/>
        <v>67.89632303713185</v>
      </c>
      <c r="AQ79">
        <f t="shared" si="47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62">H5</f>
        <v>0.19502786112301757</v>
      </c>
      <c r="G84">
        <f t="shared" ref="G84:G91" si="63">R5</f>
        <v>6.8743102193603134E-2</v>
      </c>
      <c r="H84">
        <f t="shared" ref="H84:H91" si="64">AB5</f>
        <v>6.5885004659630262</v>
      </c>
      <c r="I84">
        <f t="shared" ref="I84:I91" si="65">H23</f>
        <v>0.21634399103542479</v>
      </c>
      <c r="J84">
        <f t="shared" ref="J84:J91" si="66">R23</f>
        <v>0.60137663373184946</v>
      </c>
      <c r="K84">
        <f t="shared" ref="K84:K91" si="67">AB23</f>
        <v>0.6593221410064668</v>
      </c>
      <c r="L84">
        <f t="shared" ref="L84:L91" si="68">H40</f>
        <v>8.1241575285074141E-2</v>
      </c>
      <c r="M84">
        <f t="shared" ref="M84:M91" si="69">R40</f>
        <v>0.2347135672033657</v>
      </c>
      <c r="N84">
        <f t="shared" ref="N84:N91" si="70">H56</f>
        <v>0.14348070880680958</v>
      </c>
      <c r="O84">
        <f t="shared" ref="O84:O91" si="71">R56</f>
        <v>0.27529360196287012</v>
      </c>
      <c r="P84">
        <f t="shared" ref="P84:P91" si="72">AB56</f>
        <v>0.14041199728943796</v>
      </c>
      <c r="Q84">
        <f t="shared" ref="Q84:Q91" si="73">AL56</f>
        <v>0.11644975046482044</v>
      </c>
    </row>
    <row r="85" spans="5:17" x14ac:dyDescent="0.25">
      <c r="E85" t="s">
        <v>7</v>
      </c>
      <c r="F85">
        <f t="shared" si="62"/>
        <v>2.4282040291470208</v>
      </c>
      <c r="G85">
        <f t="shared" si="63"/>
        <v>32.057647535855168</v>
      </c>
      <c r="H85">
        <f t="shared" si="64"/>
        <v>9.1675516352051325</v>
      </c>
      <c r="I85">
        <f t="shared" si="65"/>
        <v>3.6205923490295193</v>
      </c>
      <c r="J85">
        <f t="shared" si="66"/>
        <v>7.1228547137456832</v>
      </c>
      <c r="K85">
        <f t="shared" si="67"/>
        <v>7.8091757420007166</v>
      </c>
      <c r="L85">
        <f t="shared" si="68"/>
        <v>17.622408830922801</v>
      </c>
      <c r="M85">
        <f t="shared" si="69"/>
        <v>7.3558346249960458</v>
      </c>
      <c r="N85">
        <f t="shared" si="70"/>
        <v>16.640937003694983</v>
      </c>
      <c r="O85">
        <f t="shared" si="71"/>
        <v>6.8588198190011385</v>
      </c>
      <c r="P85">
        <f t="shared" si="72"/>
        <v>16.412127526652842</v>
      </c>
      <c r="Q85">
        <f t="shared" si="73"/>
        <v>20.584205890987377</v>
      </c>
    </row>
    <row r="86" spans="5:17" x14ac:dyDescent="0.25">
      <c r="F86">
        <f t="shared" si="62"/>
        <v>0</v>
      </c>
      <c r="G86">
        <f t="shared" si="63"/>
        <v>0</v>
      </c>
      <c r="H86">
        <f t="shared" si="64"/>
        <v>0</v>
      </c>
      <c r="I86">
        <f t="shared" si="65"/>
        <v>0</v>
      </c>
      <c r="J86">
        <f t="shared" si="66"/>
        <v>0</v>
      </c>
      <c r="K86">
        <f t="shared" si="67"/>
        <v>0</v>
      </c>
      <c r="L86">
        <f t="shared" si="68"/>
        <v>0</v>
      </c>
      <c r="M86">
        <f t="shared" si="69"/>
        <v>0</v>
      </c>
      <c r="N86">
        <f t="shared" si="70"/>
        <v>0</v>
      </c>
      <c r="O86">
        <f t="shared" si="71"/>
        <v>0</v>
      </c>
      <c r="P86">
        <f t="shared" si="72"/>
        <v>0</v>
      </c>
      <c r="Q86">
        <f t="shared" si="73"/>
        <v>0</v>
      </c>
    </row>
    <row r="87" spans="5:17" x14ac:dyDescent="0.25">
      <c r="E87" t="s">
        <v>8</v>
      </c>
      <c r="F87">
        <f t="shared" si="62"/>
        <v>0.52293184740677234</v>
      </c>
      <c r="G87">
        <f t="shared" si="63"/>
        <v>4.2592527947024843</v>
      </c>
      <c r="H87">
        <f t="shared" si="64"/>
        <v>16.958886890184434</v>
      </c>
      <c r="I87">
        <f t="shared" si="65"/>
        <v>1.2432622547215337</v>
      </c>
      <c r="J87">
        <f t="shared" si="66"/>
        <v>3.3186191393397344</v>
      </c>
      <c r="K87">
        <f t="shared" si="67"/>
        <v>3.6383839234933539</v>
      </c>
      <c r="L87">
        <f t="shared" si="68"/>
        <v>4.4204706910998581</v>
      </c>
      <c r="M87">
        <f t="shared" si="69"/>
        <v>3.1442760889507482</v>
      </c>
      <c r="N87">
        <f t="shared" si="70"/>
        <v>4.8967080157485716</v>
      </c>
      <c r="O87">
        <f t="shared" si="71"/>
        <v>2.4076162781374117</v>
      </c>
      <c r="P87">
        <f t="shared" si="72"/>
        <v>4.2443087354576923</v>
      </c>
      <c r="Q87">
        <f t="shared" si="73"/>
        <v>5.4053723456306884</v>
      </c>
    </row>
    <row r="88" spans="5:17" x14ac:dyDescent="0.25">
      <c r="E88" t="s">
        <v>9</v>
      </c>
      <c r="F88">
        <f t="shared" si="62"/>
        <v>4.8756965280754391E-2</v>
      </c>
      <c r="G88">
        <f t="shared" si="63"/>
        <v>0.25389298095332719</v>
      </c>
      <c r="H88">
        <f t="shared" si="64"/>
        <v>4.5512667692507745E-2</v>
      </c>
      <c r="I88">
        <f t="shared" si="65"/>
        <v>4.8667173786796879E-2</v>
      </c>
      <c r="J88">
        <f t="shared" si="66"/>
        <v>6.1482595141914322E-2</v>
      </c>
      <c r="K88">
        <f t="shared" si="67"/>
        <v>6.740673646072505E-2</v>
      </c>
      <c r="L88">
        <f t="shared" si="68"/>
        <v>5.7379139495063569E-2</v>
      </c>
      <c r="M88">
        <f t="shared" si="69"/>
        <v>7.5285483819947485E-2</v>
      </c>
      <c r="N88">
        <f t="shared" si="70"/>
        <v>8.0316908727299879E-2</v>
      </c>
      <c r="O88">
        <f t="shared" si="71"/>
        <v>0.20794021585156597</v>
      </c>
      <c r="P88">
        <f t="shared" si="72"/>
        <v>0.14631337108855927</v>
      </c>
      <c r="Q88">
        <f t="shared" si="73"/>
        <v>0.11302475780409042</v>
      </c>
    </row>
    <row r="89" spans="5:17" x14ac:dyDescent="0.25">
      <c r="E89" t="s">
        <v>10</v>
      </c>
      <c r="F89">
        <f t="shared" si="62"/>
        <v>0.57490355765109302</v>
      </c>
      <c r="G89">
        <f t="shared" si="63"/>
        <v>4.1739952363178405</v>
      </c>
      <c r="H89">
        <f t="shared" si="64"/>
        <v>2.596389328363061</v>
      </c>
      <c r="I89">
        <f t="shared" si="65"/>
        <v>1.6890372078947153</v>
      </c>
      <c r="J89">
        <f t="shared" si="66"/>
        <v>2.2700526925053679</v>
      </c>
      <c r="K89">
        <f t="shared" si="67"/>
        <v>2.4887830977608325</v>
      </c>
      <c r="L89">
        <f t="shared" si="68"/>
        <v>2.7532879157710664</v>
      </c>
      <c r="M89">
        <f t="shared" si="69"/>
        <v>2.0409325277575681</v>
      </c>
      <c r="N89">
        <f t="shared" si="70"/>
        <v>6.1795587413250672</v>
      </c>
      <c r="O89">
        <f t="shared" si="71"/>
        <v>3.4686993847321634</v>
      </c>
      <c r="P89">
        <f t="shared" si="72"/>
        <v>5.2044012038802547</v>
      </c>
      <c r="Q89">
        <f t="shared" si="73"/>
        <v>6.7998336432136215</v>
      </c>
    </row>
    <row r="90" spans="5:17" x14ac:dyDescent="0.25">
      <c r="F90">
        <f t="shared" si="62"/>
        <v>0</v>
      </c>
      <c r="G90">
        <f t="shared" si="63"/>
        <v>0</v>
      </c>
      <c r="H90">
        <f t="shared" si="64"/>
        <v>0</v>
      </c>
      <c r="I90">
        <f t="shared" si="65"/>
        <v>0</v>
      </c>
      <c r="J90">
        <f t="shared" si="66"/>
        <v>0</v>
      </c>
      <c r="K90">
        <f t="shared" si="67"/>
        <v>0</v>
      </c>
      <c r="L90">
        <f t="shared" si="68"/>
        <v>0</v>
      </c>
      <c r="M90">
        <f t="shared" si="69"/>
        <v>0</v>
      </c>
      <c r="N90">
        <f t="shared" si="70"/>
        <v>0</v>
      </c>
      <c r="O90">
        <f t="shared" si="71"/>
        <v>0</v>
      </c>
      <c r="P90">
        <f t="shared" si="72"/>
        <v>0</v>
      </c>
      <c r="Q90">
        <f t="shared" si="73"/>
        <v>0</v>
      </c>
    </row>
    <row r="91" spans="5:17" x14ac:dyDescent="0.25">
      <c r="E91" t="s">
        <v>42</v>
      </c>
      <c r="F91">
        <f t="shared" si="62"/>
        <v>95.887805400771541</v>
      </c>
      <c r="G91">
        <f t="shared" si="63"/>
        <v>58.907333761187537</v>
      </c>
      <c r="H91">
        <f t="shared" si="64"/>
        <v>53.492555427927442</v>
      </c>
      <c r="I91">
        <f t="shared" si="65"/>
        <v>92.834883321473271</v>
      </c>
      <c r="J91">
        <f t="shared" si="66"/>
        <v>85.690886646268538</v>
      </c>
      <c r="K91">
        <f t="shared" si="67"/>
        <v>84.31213531902344</v>
      </c>
      <c r="L91">
        <f t="shared" si="68"/>
        <v>74.876589311086008</v>
      </c>
      <c r="M91">
        <f t="shared" si="69"/>
        <v>86.678897921741054</v>
      </c>
      <c r="N91">
        <f t="shared" si="70"/>
        <v>71.764368755511697</v>
      </c>
      <c r="O91">
        <f t="shared" si="71"/>
        <v>85.987288384748197</v>
      </c>
      <c r="P91">
        <f t="shared" si="72"/>
        <v>73.429166217280439</v>
      </c>
      <c r="Q91">
        <f t="shared" si="73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74">I5</f>
        <v>0</v>
      </c>
      <c r="G97">
        <f t="shared" ref="G97:G104" si="75">S5</f>
        <v>0</v>
      </c>
      <c r="H97">
        <f t="shared" ref="H97:H104" si="76">AC5</f>
        <v>0</v>
      </c>
      <c r="I97">
        <f t="shared" ref="I97:I104" si="77">I23</f>
        <v>0</v>
      </c>
      <c r="J97">
        <f t="shared" ref="J97:J104" si="78">S23</f>
        <v>0</v>
      </c>
      <c r="K97">
        <f t="shared" ref="K97:K104" si="79">AC23</f>
        <v>0</v>
      </c>
      <c r="L97">
        <f t="shared" ref="L97:L104" si="80">I40</f>
        <v>0</v>
      </c>
      <c r="M97">
        <f t="shared" ref="M97:M104" si="81">S40</f>
        <v>0</v>
      </c>
      <c r="N97">
        <f t="shared" ref="N97:N104" si="82">I56</f>
        <v>0</v>
      </c>
      <c r="O97">
        <f t="shared" ref="O97:O104" si="83">S56</f>
        <v>0</v>
      </c>
      <c r="P97">
        <f t="shared" ref="P97:P104" si="84">AC56</f>
        <v>0</v>
      </c>
      <c r="Q97">
        <f t="shared" ref="Q97:Q104" si="85">AM56</f>
        <v>0</v>
      </c>
    </row>
    <row r="98" spans="5:19" x14ac:dyDescent="0.25">
      <c r="E98" t="s">
        <v>7</v>
      </c>
      <c r="F98">
        <f t="shared" si="74"/>
        <v>8.5962280325760823</v>
      </c>
      <c r="G98">
        <f t="shared" si="75"/>
        <v>54.531674189918931</v>
      </c>
      <c r="H98">
        <f t="shared" si="76"/>
        <v>32.749615309594503</v>
      </c>
      <c r="I98">
        <f t="shared" si="77"/>
        <v>12.192149453209989</v>
      </c>
      <c r="J98">
        <f t="shared" si="78"/>
        <v>32.123214963326596</v>
      </c>
      <c r="K98">
        <f t="shared" si="79"/>
        <v>16.11442293514208</v>
      </c>
      <c r="L98">
        <f t="shared" si="80"/>
        <v>36.557160552296985</v>
      </c>
      <c r="M98">
        <f t="shared" si="81"/>
        <v>16.266725714104957</v>
      </c>
      <c r="N98">
        <f t="shared" si="82"/>
        <v>32.349552102063015</v>
      </c>
      <c r="O98">
        <f t="shared" si="83"/>
        <v>17.00940274652141</v>
      </c>
      <c r="P98">
        <f t="shared" si="84"/>
        <v>30.657026399490448</v>
      </c>
      <c r="Q98">
        <f t="shared" si="85"/>
        <v>35.961444368333495</v>
      </c>
    </row>
    <row r="99" spans="5:19" x14ac:dyDescent="0.25">
      <c r="F99">
        <f t="shared" si="74"/>
        <v>0</v>
      </c>
      <c r="G99">
        <f t="shared" si="75"/>
        <v>0</v>
      </c>
      <c r="H99">
        <f t="shared" si="76"/>
        <v>0</v>
      </c>
      <c r="I99">
        <f t="shared" si="77"/>
        <v>0</v>
      </c>
      <c r="J99">
        <f t="shared" si="78"/>
        <v>0</v>
      </c>
      <c r="K99">
        <f t="shared" si="79"/>
        <v>0</v>
      </c>
      <c r="L99">
        <f t="shared" si="80"/>
        <v>0</v>
      </c>
      <c r="M99">
        <f t="shared" si="81"/>
        <v>0</v>
      </c>
      <c r="N99">
        <f t="shared" si="82"/>
        <v>0</v>
      </c>
      <c r="O99">
        <f t="shared" si="83"/>
        <v>0</v>
      </c>
      <c r="P99">
        <f t="shared" si="84"/>
        <v>0</v>
      </c>
      <c r="Q99">
        <f t="shared" si="85"/>
        <v>0</v>
      </c>
    </row>
    <row r="100" spans="5:19" x14ac:dyDescent="0.25">
      <c r="E100" t="s">
        <v>8</v>
      </c>
      <c r="F100">
        <f t="shared" si="74"/>
        <v>0</v>
      </c>
      <c r="G100">
        <f t="shared" si="75"/>
        <v>0</v>
      </c>
      <c r="H100">
        <f t="shared" si="76"/>
        <v>0</v>
      </c>
      <c r="I100">
        <f t="shared" si="77"/>
        <v>0</v>
      </c>
      <c r="J100">
        <f t="shared" si="78"/>
        <v>0</v>
      </c>
      <c r="K100">
        <f t="shared" si="79"/>
        <v>0</v>
      </c>
      <c r="L100">
        <f t="shared" si="80"/>
        <v>0.96014426755073046</v>
      </c>
      <c r="M100">
        <f t="shared" si="81"/>
        <v>18.279821592382881</v>
      </c>
      <c r="N100">
        <f t="shared" si="82"/>
        <v>1.0651071463886652</v>
      </c>
      <c r="O100">
        <f t="shared" si="83"/>
        <v>0</v>
      </c>
      <c r="P100">
        <f t="shared" si="84"/>
        <v>0</v>
      </c>
      <c r="Q100">
        <f t="shared" si="85"/>
        <v>1.1128779724043449</v>
      </c>
    </row>
    <row r="101" spans="5:19" x14ac:dyDescent="0.25">
      <c r="E101" t="s">
        <v>9</v>
      </c>
      <c r="F101">
        <f t="shared" si="74"/>
        <v>0</v>
      </c>
      <c r="G101">
        <f t="shared" si="75"/>
        <v>0</v>
      </c>
      <c r="H101">
        <f t="shared" si="76"/>
        <v>0</v>
      </c>
      <c r="I101">
        <f t="shared" si="77"/>
        <v>0</v>
      </c>
      <c r="J101">
        <f t="shared" si="78"/>
        <v>0</v>
      </c>
      <c r="K101">
        <f t="shared" si="79"/>
        <v>0</v>
      </c>
      <c r="L101">
        <f t="shared" si="80"/>
        <v>0</v>
      </c>
      <c r="M101">
        <f t="shared" si="81"/>
        <v>0</v>
      </c>
      <c r="N101">
        <f t="shared" si="82"/>
        <v>0</v>
      </c>
      <c r="O101">
        <f t="shared" si="83"/>
        <v>0</v>
      </c>
      <c r="P101">
        <f t="shared" si="84"/>
        <v>0</v>
      </c>
      <c r="Q101">
        <f t="shared" si="85"/>
        <v>0</v>
      </c>
    </row>
    <row r="102" spans="5:19" x14ac:dyDescent="0.25">
      <c r="E102" t="s">
        <v>10</v>
      </c>
      <c r="F102">
        <f t="shared" si="74"/>
        <v>0</v>
      </c>
      <c r="G102">
        <f t="shared" si="75"/>
        <v>7.2015112741372871</v>
      </c>
      <c r="H102">
        <f t="shared" si="76"/>
        <v>0</v>
      </c>
      <c r="I102">
        <f t="shared" si="77"/>
        <v>0</v>
      </c>
      <c r="J102">
        <f t="shared" si="78"/>
        <v>1.1864219531291278</v>
      </c>
      <c r="K102">
        <f t="shared" si="79"/>
        <v>0.35125229077580938</v>
      </c>
      <c r="L102">
        <f t="shared" si="80"/>
        <v>5.3512878429086665</v>
      </c>
      <c r="M102">
        <f t="shared" si="81"/>
        <v>0.69844684148926073</v>
      </c>
      <c r="N102">
        <f t="shared" si="82"/>
        <v>11.859659319082127</v>
      </c>
      <c r="O102">
        <f t="shared" si="83"/>
        <v>0</v>
      </c>
      <c r="P102">
        <f t="shared" si="84"/>
        <v>1.4466505633777023</v>
      </c>
      <c r="Q102">
        <f t="shared" si="85"/>
        <v>11.881054897739505</v>
      </c>
    </row>
    <row r="103" spans="5:19" x14ac:dyDescent="0.25">
      <c r="F103">
        <f t="shared" si="74"/>
        <v>0</v>
      </c>
      <c r="G103">
        <f t="shared" si="75"/>
        <v>0</v>
      </c>
      <c r="H103">
        <f t="shared" si="76"/>
        <v>0</v>
      </c>
      <c r="I103">
        <f t="shared" si="77"/>
        <v>0</v>
      </c>
      <c r="J103">
        <f t="shared" si="78"/>
        <v>0</v>
      </c>
      <c r="K103">
        <f t="shared" si="79"/>
        <v>0</v>
      </c>
      <c r="L103">
        <f t="shared" si="80"/>
        <v>0</v>
      </c>
      <c r="M103">
        <f t="shared" si="81"/>
        <v>0</v>
      </c>
      <c r="N103">
        <f t="shared" si="82"/>
        <v>0</v>
      </c>
      <c r="O103">
        <f t="shared" si="83"/>
        <v>0</v>
      </c>
      <c r="P103">
        <f t="shared" si="84"/>
        <v>0</v>
      </c>
      <c r="Q103">
        <f t="shared" si="85"/>
        <v>0</v>
      </c>
    </row>
    <row r="104" spans="5:19" x14ac:dyDescent="0.25">
      <c r="E104" t="s">
        <v>42</v>
      </c>
      <c r="F104">
        <f t="shared" si="74"/>
        <v>91.403771967423921</v>
      </c>
      <c r="G104">
        <f t="shared" si="75"/>
        <v>38.26681453594378</v>
      </c>
      <c r="H104">
        <f t="shared" si="76"/>
        <v>67.250384690405497</v>
      </c>
      <c r="I104">
        <f t="shared" si="77"/>
        <v>87.807850546790007</v>
      </c>
      <c r="J104">
        <f t="shared" si="78"/>
        <v>66.690363083544284</v>
      </c>
      <c r="K104">
        <f t="shared" si="79"/>
        <v>83.534324774082108</v>
      </c>
      <c r="L104">
        <f t="shared" si="80"/>
        <v>57.131407337243616</v>
      </c>
      <c r="M104">
        <f t="shared" si="81"/>
        <v>64.755005852022904</v>
      </c>
      <c r="N104">
        <f t="shared" si="82"/>
        <v>54.725681432466196</v>
      </c>
      <c r="O104">
        <f t="shared" si="83"/>
        <v>82.990597253478583</v>
      </c>
      <c r="P104">
        <f t="shared" si="84"/>
        <v>67.89632303713185</v>
      </c>
      <c r="Q104">
        <f t="shared" si="85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86">G71</f>
        <v>0.37271650720594196</v>
      </c>
      <c r="H108">
        <f t="shared" si="86"/>
        <v>1.6731323551721895</v>
      </c>
      <c r="I108">
        <f t="shared" si="86"/>
        <v>0.24906141879125462</v>
      </c>
      <c r="J108">
        <f t="shared" si="86"/>
        <v>0.58264365552454744</v>
      </c>
      <c r="K108">
        <f t="shared" si="86"/>
        <v>0.37547658669138245</v>
      </c>
      <c r="L108">
        <f t="shared" si="86"/>
        <v>3.9527851652154902E-2</v>
      </c>
      <c r="M108">
        <v>0</v>
      </c>
      <c r="N108">
        <f t="shared" ref="N108:R116" si="87">M71</f>
        <v>0.697181539240186</v>
      </c>
      <c r="O108">
        <f t="shared" si="87"/>
        <v>9.5250203314787799E-2</v>
      </c>
      <c r="P108">
        <f t="shared" si="87"/>
        <v>0.57624563673004658</v>
      </c>
      <c r="Q108">
        <f t="shared" si="87"/>
        <v>0.47312738217093225</v>
      </c>
      <c r="R108">
        <f t="shared" si="87"/>
        <v>0.29601722282023679</v>
      </c>
      <c r="S108">
        <v>0</v>
      </c>
    </row>
    <row r="109" spans="5:19" x14ac:dyDescent="0.25">
      <c r="E109" t="s">
        <v>6</v>
      </c>
      <c r="F109">
        <f t="shared" ref="F109:L116" si="88">F72</f>
        <v>0.77100300042863268</v>
      </c>
      <c r="G109">
        <f t="shared" si="88"/>
        <v>0.23187370603193869</v>
      </c>
      <c r="H109">
        <f t="shared" si="88"/>
        <v>0.72820268308012392</v>
      </c>
      <c r="I109">
        <f t="shared" si="88"/>
        <v>0.27319052176117914</v>
      </c>
      <c r="J109">
        <f t="shared" si="88"/>
        <v>0.38858921460788032</v>
      </c>
      <c r="K109">
        <f t="shared" si="88"/>
        <v>1.5482484780822783</v>
      </c>
      <c r="L109">
        <f t="shared" si="88"/>
        <v>0.19845896025356116</v>
      </c>
      <c r="M109">
        <v>0</v>
      </c>
      <c r="N109">
        <f t="shared" si="87"/>
        <v>0.77499762755828294</v>
      </c>
      <c r="O109">
        <f t="shared" si="87"/>
        <v>0.2423633351293647</v>
      </c>
      <c r="P109">
        <f t="shared" si="87"/>
        <v>0.85955749894426237</v>
      </c>
      <c r="Q109">
        <f t="shared" si="87"/>
        <v>0.63816235289808332</v>
      </c>
      <c r="R109">
        <f t="shared" si="87"/>
        <v>0.36574028769938349</v>
      </c>
      <c r="S109">
        <v>0</v>
      </c>
    </row>
    <row r="110" spans="5:19" x14ac:dyDescent="0.25">
      <c r="E110" t="s">
        <v>7</v>
      </c>
      <c r="F110">
        <f t="shared" si="88"/>
        <v>57.404629232747538</v>
      </c>
      <c r="G110">
        <f t="shared" si="88"/>
        <v>75.254631432246427</v>
      </c>
      <c r="H110">
        <f t="shared" si="88"/>
        <v>29.464034156173469</v>
      </c>
      <c r="I110">
        <f t="shared" si="88"/>
        <v>37.409515863862786</v>
      </c>
      <c r="J110">
        <f t="shared" si="88"/>
        <v>64.92946313205789</v>
      </c>
      <c r="K110">
        <f t="shared" si="88"/>
        <v>56.383628588882104</v>
      </c>
      <c r="L110">
        <f t="shared" si="88"/>
        <v>77.298262231775297</v>
      </c>
      <c r="M110">
        <v>0</v>
      </c>
      <c r="N110">
        <f t="shared" si="87"/>
        <v>42.42431910922722</v>
      </c>
      <c r="O110">
        <f t="shared" si="87"/>
        <v>48.282973824356205</v>
      </c>
      <c r="P110">
        <f t="shared" si="87"/>
        <v>44.768619736680336</v>
      </c>
      <c r="Q110">
        <f t="shared" si="87"/>
        <v>66.67697711284444</v>
      </c>
      <c r="R110">
        <f t="shared" si="87"/>
        <v>49.531509932478713</v>
      </c>
      <c r="S110">
        <v>0</v>
      </c>
    </row>
    <row r="111" spans="5:19" x14ac:dyDescent="0.25">
      <c r="F111">
        <f t="shared" si="88"/>
        <v>0</v>
      </c>
      <c r="G111">
        <f t="shared" si="88"/>
        <v>0</v>
      </c>
      <c r="H111">
        <f t="shared" si="88"/>
        <v>0</v>
      </c>
      <c r="I111">
        <f t="shared" si="88"/>
        <v>0</v>
      </c>
      <c r="J111">
        <f t="shared" si="88"/>
        <v>0</v>
      </c>
      <c r="K111">
        <f t="shared" si="88"/>
        <v>0</v>
      </c>
      <c r="L111">
        <f t="shared" si="88"/>
        <v>0</v>
      </c>
      <c r="M111">
        <v>0</v>
      </c>
      <c r="N111">
        <f t="shared" si="87"/>
        <v>0</v>
      </c>
      <c r="O111">
        <f t="shared" si="87"/>
        <v>0</v>
      </c>
      <c r="P111">
        <f t="shared" si="87"/>
        <v>0</v>
      </c>
      <c r="Q111">
        <f t="shared" si="87"/>
        <v>0</v>
      </c>
      <c r="R111">
        <f t="shared" si="87"/>
        <v>0</v>
      </c>
      <c r="S111">
        <v>0</v>
      </c>
    </row>
    <row r="112" spans="5:19" x14ac:dyDescent="0.25">
      <c r="E112" t="s">
        <v>8</v>
      </c>
      <c r="F112">
        <f t="shared" si="88"/>
        <v>23.968602657522503</v>
      </c>
      <c r="G112">
        <f t="shared" si="88"/>
        <v>7.3739060851071825</v>
      </c>
      <c r="H112">
        <f t="shared" si="88"/>
        <v>26.919659305173273</v>
      </c>
      <c r="I112">
        <f t="shared" si="88"/>
        <v>33.602025208778088</v>
      </c>
      <c r="J112">
        <f t="shared" si="88"/>
        <v>10.90835730994433</v>
      </c>
      <c r="K112">
        <f t="shared" si="88"/>
        <v>20.762854675289113</v>
      </c>
      <c r="L112">
        <f t="shared" si="88"/>
        <v>7.199806914641699</v>
      </c>
      <c r="M112">
        <v>0</v>
      </c>
      <c r="N112">
        <f t="shared" si="87"/>
        <v>38.484167905608452</v>
      </c>
      <c r="O112">
        <f t="shared" si="87"/>
        <v>10.065444154523275</v>
      </c>
      <c r="P112">
        <f t="shared" si="87"/>
        <v>30.910927819621218</v>
      </c>
      <c r="Q112">
        <f t="shared" si="87"/>
        <v>8.5946387036513219</v>
      </c>
      <c r="R112">
        <f t="shared" si="87"/>
        <v>16.782464037577061</v>
      </c>
      <c r="S112">
        <v>0</v>
      </c>
    </row>
    <row r="113" spans="5:19" x14ac:dyDescent="0.25">
      <c r="E113" t="s">
        <v>9</v>
      </c>
      <c r="F113">
        <f t="shared" si="88"/>
        <v>1.1749892841834548</v>
      </c>
      <c r="G113">
        <f t="shared" si="88"/>
        <v>0.71589496268807007</v>
      </c>
      <c r="H113">
        <f t="shared" si="88"/>
        <v>1.2700201556099782</v>
      </c>
      <c r="I113">
        <f t="shared" si="88"/>
        <v>1.4138018468987967</v>
      </c>
      <c r="J113">
        <f t="shared" si="88"/>
        <v>1.0677797578162151</v>
      </c>
      <c r="K113">
        <f t="shared" si="88"/>
        <v>0.52292882269921848</v>
      </c>
      <c r="L113">
        <f t="shared" si="88"/>
        <v>0.57543079893620896</v>
      </c>
      <c r="M113">
        <v>0</v>
      </c>
      <c r="N113">
        <f t="shared" si="87"/>
        <v>2.1351975453136367</v>
      </c>
      <c r="O113">
        <f t="shared" si="87"/>
        <v>0.78157635050460406</v>
      </c>
      <c r="P113">
        <f t="shared" si="87"/>
        <v>1.9329352712577443</v>
      </c>
      <c r="Q113">
        <f t="shared" si="87"/>
        <v>0.87482779180767223</v>
      </c>
      <c r="R113">
        <f t="shared" si="87"/>
        <v>1.2496330365006361</v>
      </c>
      <c r="S113">
        <v>0</v>
      </c>
    </row>
    <row r="114" spans="5:19" x14ac:dyDescent="0.25">
      <c r="E114" t="s">
        <v>10</v>
      </c>
      <c r="F114">
        <f t="shared" si="88"/>
        <v>2.5948349764252034</v>
      </c>
      <c r="G114">
        <f t="shared" si="88"/>
        <v>8.066439134159145</v>
      </c>
      <c r="H114">
        <f t="shared" si="88"/>
        <v>6.6535185626666085</v>
      </c>
      <c r="I114">
        <f t="shared" si="88"/>
        <v>6.1071168584725868</v>
      </c>
      <c r="J114">
        <f t="shared" si="88"/>
        <v>8.7742387926355381</v>
      </c>
      <c r="K114">
        <f t="shared" si="88"/>
        <v>5.6932361552882691</v>
      </c>
      <c r="L114">
        <f t="shared" si="88"/>
        <v>7.559656089475026</v>
      </c>
      <c r="M114">
        <v>0</v>
      </c>
      <c r="N114">
        <f t="shared" si="87"/>
        <v>4.7126182266788978</v>
      </c>
      <c r="O114">
        <f t="shared" si="87"/>
        <v>17.224748101554475</v>
      </c>
      <c r="P114">
        <f t="shared" si="87"/>
        <v>6.4097972449257776</v>
      </c>
      <c r="Q114">
        <f t="shared" si="87"/>
        <v>10.645264351021853</v>
      </c>
      <c r="R114">
        <f t="shared" si="87"/>
        <v>14.478667188570309</v>
      </c>
      <c r="S114">
        <v>0</v>
      </c>
    </row>
    <row r="115" spans="5:19" x14ac:dyDescent="0.25">
      <c r="F115">
        <f t="shared" si="88"/>
        <v>0</v>
      </c>
      <c r="G115">
        <f t="shared" si="88"/>
        <v>0</v>
      </c>
      <c r="H115">
        <f t="shared" si="88"/>
        <v>0</v>
      </c>
      <c r="I115">
        <f t="shared" si="88"/>
        <v>0</v>
      </c>
      <c r="J115">
        <f t="shared" si="88"/>
        <v>0</v>
      </c>
      <c r="K115">
        <f t="shared" si="88"/>
        <v>0</v>
      </c>
      <c r="L115">
        <f t="shared" si="88"/>
        <v>0</v>
      </c>
      <c r="M115">
        <v>0</v>
      </c>
      <c r="N115">
        <f t="shared" si="87"/>
        <v>0</v>
      </c>
      <c r="O115">
        <f t="shared" si="87"/>
        <v>0</v>
      </c>
      <c r="P115">
        <f t="shared" si="87"/>
        <v>0</v>
      </c>
      <c r="Q115">
        <f t="shared" si="87"/>
        <v>0</v>
      </c>
      <c r="R115">
        <f t="shared" si="87"/>
        <v>0</v>
      </c>
      <c r="S115">
        <v>0</v>
      </c>
    </row>
    <row r="116" spans="5:19" x14ac:dyDescent="0.25">
      <c r="E116" t="s">
        <v>42</v>
      </c>
      <c r="F116">
        <f t="shared" si="88"/>
        <v>13.874303471924561</v>
      </c>
      <c r="G116">
        <f t="shared" si="88"/>
        <v>7.9845381725612983</v>
      </c>
      <c r="H116">
        <f t="shared" si="88"/>
        <v>33.29143278212436</v>
      </c>
      <c r="I116">
        <f t="shared" si="88"/>
        <v>20.945288281435314</v>
      </c>
      <c r="J116">
        <f t="shared" si="88"/>
        <v>13.3489281374136</v>
      </c>
      <c r="K116">
        <f t="shared" si="88"/>
        <v>14.713626693067638</v>
      </c>
      <c r="L116">
        <f t="shared" si="88"/>
        <v>7.1288571532660567</v>
      </c>
      <c r="M116">
        <v>0</v>
      </c>
      <c r="N116">
        <f t="shared" si="87"/>
        <v>10.771518046373327</v>
      </c>
      <c r="O116">
        <f t="shared" si="87"/>
        <v>23.30764403061729</v>
      </c>
      <c r="P116">
        <f t="shared" si="87"/>
        <v>14.541916791840618</v>
      </c>
      <c r="Q116">
        <f t="shared" si="87"/>
        <v>12.097002305605695</v>
      </c>
      <c r="R116">
        <f t="shared" si="87"/>
        <v>17.295968294353656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EEA7-65FD-4CED-919E-05077EB5C449}">
  <dimension ref="A2:AQ116"/>
  <sheetViews>
    <sheetView zoomScale="85" zoomScaleNormal="85" workbookViewId="0">
      <selection activeCell="F71" sqref="F71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107162</v>
      </c>
      <c r="C6">
        <v>4532</v>
      </c>
      <c r="D6">
        <v>16044</v>
      </c>
      <c r="F6" t="s">
        <v>7</v>
      </c>
      <c r="G6">
        <f t="shared" si="0"/>
        <v>57.416416630947275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561824</v>
      </c>
      <c r="M6">
        <v>238766</v>
      </c>
      <c r="N6">
        <v>406153</v>
      </c>
      <c r="P6" t="s">
        <v>7</v>
      </c>
      <c r="Q6">
        <f t="shared" si="3"/>
        <v>75.432665325818135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13789</v>
      </c>
      <c r="W6">
        <v>4230</v>
      </c>
      <c r="X6">
        <v>15111</v>
      </c>
      <c r="Z6" t="s">
        <v>7</v>
      </c>
      <c r="AA6">
        <f t="shared" si="4"/>
        <v>29.884484514856634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335</v>
      </c>
      <c r="C9">
        <v>91</v>
      </c>
      <c r="F9" t="s">
        <v>9</v>
      </c>
      <c r="G9">
        <f t="shared" si="5"/>
        <v>0.17948992713244749</v>
      </c>
      <c r="H9">
        <f t="shared" si="5"/>
        <v>4.8756965280754391E-2</v>
      </c>
      <c r="I9">
        <f t="shared" si="5"/>
        <v>0</v>
      </c>
      <c r="K9" t="s">
        <v>9</v>
      </c>
      <c r="L9">
        <v>2743</v>
      </c>
      <c r="M9">
        <v>1891</v>
      </c>
      <c r="P9" t="s">
        <v>9</v>
      </c>
      <c r="Q9">
        <f t="shared" si="3"/>
        <v>0.36828579944736989</v>
      </c>
      <c r="R9">
        <f t="shared" si="1"/>
        <v>0.25389298095332719</v>
      </c>
      <c r="S9">
        <f t="shared" si="1"/>
        <v>0</v>
      </c>
      <c r="U9" t="s">
        <v>9</v>
      </c>
      <c r="V9">
        <v>233</v>
      </c>
      <c r="W9">
        <v>21</v>
      </c>
      <c r="Z9" t="s">
        <v>9</v>
      </c>
      <c r="AA9">
        <f t="shared" si="4"/>
        <v>0.50497388439782409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4821</v>
      </c>
      <c r="C10">
        <v>1073</v>
      </c>
      <c r="F10" t="s">
        <v>10</v>
      </c>
      <c r="G10">
        <f t="shared" si="5"/>
        <v>2.5830475782254609</v>
      </c>
      <c r="H10">
        <f t="shared" si="5"/>
        <v>0.57490355765109302</v>
      </c>
      <c r="I10">
        <f t="shared" si="5"/>
        <v>0</v>
      </c>
      <c r="K10" t="s">
        <v>10</v>
      </c>
      <c r="L10">
        <v>58753</v>
      </c>
      <c r="M10">
        <v>31088</v>
      </c>
      <c r="N10">
        <f>36473+2401+14763</f>
        <v>53637</v>
      </c>
      <c r="P10" t="s">
        <v>10</v>
      </c>
      <c r="Q10">
        <f t="shared" si="3"/>
        <v>7.8884052405874314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2876</v>
      </c>
      <c r="W10">
        <v>1198</v>
      </c>
      <c r="Z10" t="s">
        <v>10</v>
      </c>
      <c r="AA10">
        <f t="shared" si="4"/>
        <v>6.233068203983442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14.869802828975567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8.3321473358019986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34.05647905333651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158887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62058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15714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27753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91627</v>
      </c>
      <c r="C24">
        <v>8853</v>
      </c>
      <c r="D24">
        <v>29812</v>
      </c>
      <c r="F24" t="s">
        <v>7</v>
      </c>
      <c r="G24">
        <f t="shared" si="10"/>
        <v>37.472496912292755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135931</v>
      </c>
      <c r="M24">
        <v>14829</v>
      </c>
      <c r="N24">
        <v>66877</v>
      </c>
      <c r="P24" t="s">
        <v>7</v>
      </c>
      <c r="Q24">
        <f t="shared" si="13"/>
        <v>65.292114376840274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107791</v>
      </c>
      <c r="W24">
        <v>14829</v>
      </c>
      <c r="X24">
        <v>30600</v>
      </c>
      <c r="Z24" t="s">
        <v>7</v>
      </c>
      <c r="AA24">
        <f t="shared" si="12"/>
        <v>56.764371326859475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969</v>
      </c>
      <c r="C27">
        <v>119</v>
      </c>
      <c r="F27" t="s">
        <v>9</v>
      </c>
      <c r="G27">
        <f t="shared" si="14"/>
        <v>0.39628984369248887</v>
      </c>
      <c r="H27">
        <f t="shared" si="14"/>
        <v>4.8667173786796879E-2</v>
      </c>
      <c r="I27">
        <f t="shared" si="14"/>
        <v>0</v>
      </c>
      <c r="K27" t="s">
        <v>9</v>
      </c>
      <c r="L27">
        <v>1061</v>
      </c>
      <c r="M27">
        <v>128</v>
      </c>
      <c r="P27" t="s">
        <v>9</v>
      </c>
      <c r="Q27">
        <f t="shared" si="13"/>
        <v>0.50963307379352418</v>
      </c>
      <c r="R27">
        <f t="shared" si="11"/>
        <v>6.1482595141914322E-2</v>
      </c>
      <c r="S27">
        <f t="shared" si="11"/>
        <v>0</v>
      </c>
      <c r="U27" t="s">
        <v>9</v>
      </c>
      <c r="V27">
        <v>739</v>
      </c>
      <c r="W27">
        <v>128</v>
      </c>
      <c r="X27">
        <v>0</v>
      </c>
      <c r="Z27" t="s">
        <v>9</v>
      </c>
      <c r="AA27">
        <f t="shared" si="15"/>
        <v>0.38916858003496724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14779</v>
      </c>
      <c r="C28">
        <v>4130</v>
      </c>
      <c r="F28" t="s">
        <v>10</v>
      </c>
      <c r="G28">
        <f t="shared" si="14"/>
        <v>6.0441358100426141</v>
      </c>
      <c r="H28">
        <f t="shared" si="14"/>
        <v>1.6890372078947153</v>
      </c>
      <c r="I28">
        <f t="shared" si="14"/>
        <v>0</v>
      </c>
      <c r="K28" t="s">
        <v>10</v>
      </c>
      <c r="L28">
        <v>17512</v>
      </c>
      <c r="M28">
        <v>4726</v>
      </c>
      <c r="N28">
        <v>2470</v>
      </c>
      <c r="P28" t="s">
        <v>10</v>
      </c>
      <c r="Q28">
        <f t="shared" si="13"/>
        <v>8.4115875478531521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10088</v>
      </c>
      <c r="W28">
        <v>4726</v>
      </c>
      <c r="X28">
        <v>667</v>
      </c>
      <c r="Z28" t="s">
        <v>10</v>
      </c>
      <c r="AA28">
        <f t="shared" si="15"/>
        <v>5.3124934173108924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21.96280028464162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13.907074821436291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14.84738693573189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28194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53703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28953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849905</v>
      </c>
      <c r="C41">
        <v>193487</v>
      </c>
      <c r="D41">
        <v>401383</v>
      </c>
      <c r="F41" t="s">
        <v>7</v>
      </c>
      <c r="G41">
        <f t="shared" si="24"/>
        <v>77.407646908812708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67364</v>
      </c>
      <c r="M41">
        <v>11627</v>
      </c>
      <c r="N41">
        <v>25712</v>
      </c>
      <c r="P41" t="s">
        <v>7</v>
      </c>
      <c r="Q41">
        <f t="shared" si="25"/>
        <v>42.617910353335652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4169</v>
      </c>
      <c r="C44">
        <v>630</v>
      </c>
      <c r="F44" t="s">
        <v>9</v>
      </c>
      <c r="G44">
        <f t="shared" si="24"/>
        <v>0.37970417865860323</v>
      </c>
      <c r="H44">
        <f t="shared" si="22"/>
        <v>5.7379139495063569E-2</v>
      </c>
      <c r="I44">
        <f t="shared" si="22"/>
        <v>0</v>
      </c>
      <c r="K44" t="s">
        <v>9</v>
      </c>
      <c r="L44">
        <v>924</v>
      </c>
      <c r="M44">
        <v>119</v>
      </c>
      <c r="P44" t="s">
        <v>9</v>
      </c>
      <c r="Q44">
        <f t="shared" si="25"/>
        <v>0.58456963907253345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81801</v>
      </c>
      <c r="C45">
        <v>30230</v>
      </c>
      <c r="D45">
        <f>12099+1629+45027</f>
        <v>58755</v>
      </c>
      <c r="F45" t="s">
        <v>10</v>
      </c>
      <c r="G45">
        <f t="shared" si="24"/>
        <v>7.4502714124376119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7143</v>
      </c>
      <c r="M45">
        <v>3226</v>
      </c>
      <c r="N45">
        <v>1104</v>
      </c>
      <c r="P45" t="s">
        <v>10</v>
      </c>
      <c r="Q45">
        <f t="shared" si="25"/>
        <v>4.5190269825704616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7.3245837735436625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12.322145952614431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19477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80421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239782</v>
      </c>
      <c r="C57">
        <v>82462</v>
      </c>
      <c r="D57">
        <v>160304</v>
      </c>
      <c r="F57" t="s">
        <v>7</v>
      </c>
      <c r="G57">
        <f t="shared" si="34"/>
        <v>48.388314091581456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83927</v>
      </c>
      <c r="M57">
        <v>12831</v>
      </c>
      <c r="N57">
        <v>31820</v>
      </c>
      <c r="P57" t="s">
        <v>7</v>
      </c>
      <c r="Q57">
        <f t="shared" si="35"/>
        <v>44.863235207646213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330245</v>
      </c>
      <c r="W57">
        <v>80651</v>
      </c>
      <c r="X57">
        <v>150652</v>
      </c>
      <c r="Z57" t="s">
        <v>7</v>
      </c>
      <c r="AA57">
        <f t="shared" si="36"/>
        <v>67.203420354855709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203694</v>
      </c>
      <c r="AG57">
        <v>84140</v>
      </c>
      <c r="AH57">
        <v>146996</v>
      </c>
      <c r="AJ57" t="s">
        <v>7</v>
      </c>
      <c r="AK57">
        <f t="shared" si="33"/>
        <v>49.83217535962423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2212</v>
      </c>
      <c r="C60">
        <v>398</v>
      </c>
      <c r="F60" t="s">
        <v>9</v>
      </c>
      <c r="G60">
        <f t="shared" si="34"/>
        <v>0.44638442739896317</v>
      </c>
      <c r="H60">
        <f t="shared" si="30"/>
        <v>8.0316908727299879E-2</v>
      </c>
      <c r="I60">
        <f t="shared" si="30"/>
        <v>0</v>
      </c>
      <c r="K60" t="s">
        <v>9</v>
      </c>
      <c r="L60">
        <v>809</v>
      </c>
      <c r="M60">
        <v>389</v>
      </c>
      <c r="P60" t="s">
        <v>9</v>
      </c>
      <c r="Q60">
        <f t="shared" si="35"/>
        <v>0.43245150288924644</v>
      </c>
      <c r="R60">
        <f t="shared" si="31"/>
        <v>0.20794021585156597</v>
      </c>
      <c r="S60">
        <f t="shared" si="31"/>
        <v>0</v>
      </c>
      <c r="U60" t="s">
        <v>9</v>
      </c>
      <c r="V60">
        <v>2490</v>
      </c>
      <c r="W60">
        <v>719</v>
      </c>
      <c r="Z60" t="s">
        <v>9</v>
      </c>
      <c r="AA60">
        <f t="shared" si="36"/>
        <v>0.50670416413145003</v>
      </c>
      <c r="AB60">
        <f t="shared" si="32"/>
        <v>0.14631337108855927</v>
      </c>
      <c r="AC60">
        <f t="shared" si="32"/>
        <v>0</v>
      </c>
      <c r="AE60" t="s">
        <v>9</v>
      </c>
      <c r="AF60">
        <v>2312</v>
      </c>
      <c r="AG60">
        <v>462</v>
      </c>
      <c r="AH60">
        <v>0</v>
      </c>
      <c r="AJ60" t="s">
        <v>9</v>
      </c>
      <c r="AK60">
        <f t="shared" si="37"/>
        <v>0.56561307368627067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84833</v>
      </c>
      <c r="C61">
        <v>30622</v>
      </c>
      <c r="D61">
        <f>697+5776+52296</f>
        <v>58769</v>
      </c>
      <c r="F61" t="s">
        <v>10</v>
      </c>
      <c r="G61">
        <f t="shared" si="34"/>
        <v>17.119407834329223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11814</v>
      </c>
      <c r="M61">
        <v>6489</v>
      </c>
      <c r="P61" t="s">
        <v>10</v>
      </c>
      <c r="Q61">
        <f t="shared" si="35"/>
        <v>6.3151817739598979</v>
      </c>
      <c r="R61">
        <f t="shared" si="31"/>
        <v>3.4686993847321634</v>
      </c>
      <c r="S61">
        <f t="shared" si="31"/>
        <v>0</v>
      </c>
      <c r="U61" t="s">
        <v>10</v>
      </c>
      <c r="V61">
        <v>49725</v>
      </c>
      <c r="W61">
        <v>25575</v>
      </c>
      <c r="X61">
        <v>7109</v>
      </c>
      <c r="Z61" t="s">
        <v>10</v>
      </c>
      <c r="AA61">
        <f t="shared" si="36"/>
        <v>10.118821109010584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57954</v>
      </c>
      <c r="AG61">
        <v>27795</v>
      </c>
      <c r="AH61">
        <f>39780+7062+1723</f>
        <v>48565</v>
      </c>
      <c r="AJ61" t="s">
        <v>10</v>
      </c>
      <c r="AK61">
        <f t="shared" si="37"/>
        <v>14.178001761424797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23.64283595372293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16.042400560209117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12.465125933281916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17.979988257168021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117159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30011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61255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73495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P71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ref="AG72:AG79" si="62">G97</f>
        <v>0</v>
      </c>
      <c r="AH72">
        <f t="shared" ref="AH72:AH79" si="63">H97</f>
        <v>0</v>
      </c>
      <c r="AI72">
        <f t="shared" ref="AI72:AI79" si="64">I97</f>
        <v>0</v>
      </c>
      <c r="AJ72">
        <f t="shared" ref="AJ72:AJ79" si="65">J97</f>
        <v>0</v>
      </c>
      <c r="AK72">
        <f t="shared" ref="AK72:AK79" si="66">K97</f>
        <v>0</v>
      </c>
      <c r="AL72">
        <f t="shared" ref="AL72:AL79" si="67">L97</f>
        <v>0</v>
      </c>
      <c r="AM72">
        <f t="shared" ref="AM72:AM79" si="68">M97</f>
        <v>0</v>
      </c>
      <c r="AN72">
        <f t="shared" ref="AN72:AN79" si="69">N97</f>
        <v>0</v>
      </c>
      <c r="AO72">
        <f t="shared" ref="AO72:AO79" si="70">O97</f>
        <v>0</v>
      </c>
      <c r="AP72">
        <f t="shared" ref="AP72:AQ79" si="71">P97</f>
        <v>0</v>
      </c>
      <c r="AQ72">
        <f t="shared" si="71"/>
        <v>0</v>
      </c>
    </row>
    <row r="73" spans="1:43" x14ac:dyDescent="0.25">
      <c r="E73" t="s">
        <v>7</v>
      </c>
      <c r="F73">
        <f t="shared" si="48"/>
        <v>57.416416630947275</v>
      </c>
      <c r="G73">
        <f t="shared" si="49"/>
        <v>75.432665325818135</v>
      </c>
      <c r="H73">
        <f t="shared" si="50"/>
        <v>29.884484514856634</v>
      </c>
      <c r="I73">
        <f t="shared" si="51"/>
        <v>37.472496912292755</v>
      </c>
      <c r="J73">
        <f t="shared" si="52"/>
        <v>65.292114376840274</v>
      </c>
      <c r="K73">
        <f t="shared" si="53"/>
        <v>56.764371326859475</v>
      </c>
      <c r="L73">
        <f t="shared" si="54"/>
        <v>77.407646908812708</v>
      </c>
      <c r="M73">
        <f t="shared" si="55"/>
        <v>42.617910353335652</v>
      </c>
      <c r="N73">
        <f t="shared" si="56"/>
        <v>48.388314091581456</v>
      </c>
      <c r="O73">
        <f t="shared" si="57"/>
        <v>44.863235207646213</v>
      </c>
      <c r="P73">
        <f t="shared" si="58"/>
        <v>67.203420354855709</v>
      </c>
      <c r="Q73">
        <f t="shared" si="59"/>
        <v>49.83217535962423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62"/>
        <v>54.531674189918931</v>
      </c>
      <c r="AH73">
        <f t="shared" si="63"/>
        <v>32.749615309594503</v>
      </c>
      <c r="AI73">
        <f t="shared" si="64"/>
        <v>12.192149453209989</v>
      </c>
      <c r="AJ73">
        <f t="shared" si="65"/>
        <v>32.123214963326596</v>
      </c>
      <c r="AK73">
        <f t="shared" si="66"/>
        <v>16.11442293514208</v>
      </c>
      <c r="AL73">
        <f t="shared" si="67"/>
        <v>36.557160552296985</v>
      </c>
      <c r="AM73">
        <f t="shared" si="68"/>
        <v>16.266725714104957</v>
      </c>
      <c r="AN73">
        <f t="shared" si="69"/>
        <v>32.349552102063015</v>
      </c>
      <c r="AO73">
        <f t="shared" si="70"/>
        <v>17.00940274652141</v>
      </c>
      <c r="AP73">
        <f t="shared" si="71"/>
        <v>30.657026399490448</v>
      </c>
      <c r="AQ73">
        <f t="shared" ref="AQ73:AQ79" si="72">Q98</f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0</v>
      </c>
      <c r="AN74">
        <f t="shared" si="69"/>
        <v>0</v>
      </c>
      <c r="AO74">
        <f t="shared" si="70"/>
        <v>0</v>
      </c>
      <c r="AP74">
        <f t="shared" si="71"/>
        <v>0</v>
      </c>
      <c r="AQ74">
        <f t="shared" si="72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0</v>
      </c>
      <c r="AL75">
        <f t="shared" si="67"/>
        <v>0.96014426755073046</v>
      </c>
      <c r="AM75">
        <f t="shared" si="68"/>
        <v>18.279821592382881</v>
      </c>
      <c r="AN75">
        <f t="shared" si="69"/>
        <v>1.0651071463886652</v>
      </c>
      <c r="AO75">
        <f t="shared" si="70"/>
        <v>0</v>
      </c>
      <c r="AP75">
        <f t="shared" si="71"/>
        <v>0</v>
      </c>
      <c r="AQ75">
        <f t="shared" si="72"/>
        <v>1.1128779724043449</v>
      </c>
    </row>
    <row r="76" spans="1:43" x14ac:dyDescent="0.25">
      <c r="E76" t="s">
        <v>9</v>
      </c>
      <c r="F76">
        <f t="shared" si="48"/>
        <v>0.17948992713244749</v>
      </c>
      <c r="G76">
        <f t="shared" si="49"/>
        <v>0.36828579944736989</v>
      </c>
      <c r="H76">
        <f t="shared" si="50"/>
        <v>0.50497388439782409</v>
      </c>
      <c r="I76">
        <f t="shared" si="51"/>
        <v>0.39628984369248887</v>
      </c>
      <c r="J76">
        <f t="shared" si="52"/>
        <v>0.50963307379352418</v>
      </c>
      <c r="K76">
        <f t="shared" si="53"/>
        <v>0.38916858003496724</v>
      </c>
      <c r="L76">
        <f t="shared" si="54"/>
        <v>0.37970417865860323</v>
      </c>
      <c r="M76">
        <f t="shared" si="55"/>
        <v>0.58456963907253345</v>
      </c>
      <c r="N76">
        <f t="shared" si="56"/>
        <v>0.44638442739896317</v>
      </c>
      <c r="O76">
        <f t="shared" si="57"/>
        <v>0.43245150288924644</v>
      </c>
      <c r="P76">
        <f t="shared" si="58"/>
        <v>0.50670416413145003</v>
      </c>
      <c r="Q76">
        <f t="shared" si="59"/>
        <v>0.56561307368627067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0</v>
      </c>
      <c r="AL76">
        <f t="shared" si="67"/>
        <v>0</v>
      </c>
      <c r="AM76">
        <f t="shared" si="68"/>
        <v>0</v>
      </c>
      <c r="AN76">
        <f t="shared" si="69"/>
        <v>0</v>
      </c>
      <c r="AO76">
        <f t="shared" si="70"/>
        <v>0</v>
      </c>
      <c r="AP76">
        <f t="shared" si="71"/>
        <v>0</v>
      </c>
      <c r="AQ76">
        <f t="shared" si="72"/>
        <v>0</v>
      </c>
    </row>
    <row r="77" spans="1:43" x14ac:dyDescent="0.25">
      <c r="E77" t="s">
        <v>10</v>
      </c>
      <c r="F77">
        <f t="shared" si="48"/>
        <v>2.5830475782254609</v>
      </c>
      <c r="G77">
        <f t="shared" si="49"/>
        <v>7.8884052405874314</v>
      </c>
      <c r="H77">
        <f t="shared" si="50"/>
        <v>6.233068203983442</v>
      </c>
      <c r="I77">
        <f t="shared" si="51"/>
        <v>6.0441358100426141</v>
      </c>
      <c r="J77">
        <f t="shared" si="52"/>
        <v>8.4115875478531521</v>
      </c>
      <c r="K77">
        <f t="shared" si="53"/>
        <v>5.3124934173108924</v>
      </c>
      <c r="L77">
        <f t="shared" si="54"/>
        <v>7.4502714124376119</v>
      </c>
      <c r="M77">
        <f t="shared" si="55"/>
        <v>4.5190269825704616</v>
      </c>
      <c r="N77">
        <f t="shared" si="56"/>
        <v>17.119407834329223</v>
      </c>
      <c r="O77">
        <f t="shared" si="57"/>
        <v>6.3151817739598979</v>
      </c>
      <c r="P77">
        <f t="shared" si="58"/>
        <v>10.118821109010584</v>
      </c>
      <c r="Q77">
        <f t="shared" si="59"/>
        <v>14.178001761424797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62"/>
        <v>7.2015112741372871</v>
      </c>
      <c r="AH77">
        <f t="shared" si="63"/>
        <v>0</v>
      </c>
      <c r="AI77">
        <f t="shared" si="64"/>
        <v>0</v>
      </c>
      <c r="AJ77">
        <f t="shared" si="65"/>
        <v>1.1864219531291278</v>
      </c>
      <c r="AK77">
        <f t="shared" si="66"/>
        <v>0.35125229077580938</v>
      </c>
      <c r="AL77">
        <f t="shared" si="67"/>
        <v>5.3512878429086665</v>
      </c>
      <c r="AM77">
        <f t="shared" si="68"/>
        <v>0.69844684148926073</v>
      </c>
      <c r="AN77">
        <f t="shared" si="69"/>
        <v>11.859659319082127</v>
      </c>
      <c r="AO77">
        <f t="shared" si="70"/>
        <v>0</v>
      </c>
      <c r="AP77">
        <f t="shared" si="71"/>
        <v>1.4466505633777023</v>
      </c>
      <c r="AQ77">
        <f t="shared" si="72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0</v>
      </c>
      <c r="AN78">
        <f t="shared" si="69"/>
        <v>0</v>
      </c>
      <c r="AO78">
        <f t="shared" si="70"/>
        <v>0</v>
      </c>
      <c r="AP78">
        <f t="shared" si="71"/>
        <v>0</v>
      </c>
      <c r="AQ78">
        <f t="shared" si="72"/>
        <v>0</v>
      </c>
    </row>
    <row r="79" spans="1:43" x14ac:dyDescent="0.25">
      <c r="E79" t="s">
        <v>42</v>
      </c>
      <c r="F79">
        <f t="shared" si="48"/>
        <v>14.869802828975567</v>
      </c>
      <c r="G79">
        <f t="shared" si="49"/>
        <v>8.3321473358019986</v>
      </c>
      <c r="H79">
        <f t="shared" si="50"/>
        <v>34.05647905333651</v>
      </c>
      <c r="I79">
        <f t="shared" si="51"/>
        <v>21.96280028464162</v>
      </c>
      <c r="J79">
        <f t="shared" si="52"/>
        <v>13.907074821436291</v>
      </c>
      <c r="K79">
        <f t="shared" si="53"/>
        <v>14.84738693573189</v>
      </c>
      <c r="L79">
        <f t="shared" si="54"/>
        <v>7.3245837735436625</v>
      </c>
      <c r="M79">
        <f t="shared" si="55"/>
        <v>12.322145952614431</v>
      </c>
      <c r="N79">
        <f t="shared" si="56"/>
        <v>23.64283595372293</v>
      </c>
      <c r="O79">
        <f t="shared" si="57"/>
        <v>16.042400560209117</v>
      </c>
      <c r="P79">
        <f t="shared" si="58"/>
        <v>12.465125933281916</v>
      </c>
      <c r="Q79">
        <f t="shared" si="59"/>
        <v>17.979988257168021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62"/>
        <v>38.26681453594378</v>
      </c>
      <c r="AH79">
        <f t="shared" si="63"/>
        <v>67.250384690405497</v>
      </c>
      <c r="AI79">
        <f t="shared" si="64"/>
        <v>87.807850546790007</v>
      </c>
      <c r="AJ79">
        <f t="shared" si="65"/>
        <v>66.690363083544284</v>
      </c>
      <c r="AK79">
        <f t="shared" si="66"/>
        <v>83.534324774082108</v>
      </c>
      <c r="AL79">
        <f t="shared" si="67"/>
        <v>57.131407337243616</v>
      </c>
      <c r="AM79">
        <f t="shared" si="68"/>
        <v>64.755005852022904</v>
      </c>
      <c r="AN79">
        <f t="shared" si="69"/>
        <v>54.725681432466196</v>
      </c>
      <c r="AO79">
        <f t="shared" si="70"/>
        <v>82.990597253478583</v>
      </c>
      <c r="AP79">
        <f t="shared" si="71"/>
        <v>67.89632303713185</v>
      </c>
      <c r="AQ79">
        <f t="shared" si="72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73">H5</f>
        <v>0.19502786112301757</v>
      </c>
      <c r="G84">
        <f t="shared" ref="G84:G91" si="74">R5</f>
        <v>6.8743102193603134E-2</v>
      </c>
      <c r="H84">
        <f t="shared" ref="H84:H91" si="75">AB5</f>
        <v>6.5885004659630262</v>
      </c>
      <c r="I84">
        <f t="shared" ref="I84:I91" si="76">H23</f>
        <v>0.21634399103542479</v>
      </c>
      <c r="J84">
        <f t="shared" ref="J84:J91" si="77">R23</f>
        <v>0.60137663373184946</v>
      </c>
      <c r="K84">
        <f t="shared" ref="K84:K91" si="78">AB23</f>
        <v>0.6593221410064668</v>
      </c>
      <c r="L84">
        <f t="shared" ref="L84:L91" si="79">H40</f>
        <v>8.1241575285074141E-2</v>
      </c>
      <c r="M84">
        <f t="shared" ref="M84:M91" si="80">R40</f>
        <v>0.2347135672033657</v>
      </c>
      <c r="N84">
        <f t="shared" ref="N84:N91" si="81">H56</f>
        <v>0.14348070880680958</v>
      </c>
      <c r="O84">
        <f t="shared" ref="O84:O91" si="82">R56</f>
        <v>0.27529360196287012</v>
      </c>
      <c r="P84">
        <f t="shared" ref="P84:P91" si="83">AB56</f>
        <v>0.14041199728943796</v>
      </c>
      <c r="Q84">
        <f t="shared" ref="Q84:Q91" si="84">AL56</f>
        <v>0.11644975046482044</v>
      </c>
    </row>
    <row r="85" spans="5:17" x14ac:dyDescent="0.25">
      <c r="E85" t="s">
        <v>7</v>
      </c>
      <c r="F85">
        <f t="shared" si="73"/>
        <v>2.4282040291470208</v>
      </c>
      <c r="G85">
        <f t="shared" si="74"/>
        <v>32.057647535855168</v>
      </c>
      <c r="H85">
        <f t="shared" si="75"/>
        <v>9.1675516352051325</v>
      </c>
      <c r="I85">
        <f t="shared" si="76"/>
        <v>3.6205923490295193</v>
      </c>
      <c r="J85">
        <f t="shared" si="77"/>
        <v>7.1228547137456832</v>
      </c>
      <c r="K85">
        <f t="shared" si="78"/>
        <v>7.8091757420007166</v>
      </c>
      <c r="L85">
        <f t="shared" si="79"/>
        <v>17.622408830922801</v>
      </c>
      <c r="M85">
        <f t="shared" si="80"/>
        <v>7.3558346249960458</v>
      </c>
      <c r="N85">
        <f t="shared" si="81"/>
        <v>16.640937003694983</v>
      </c>
      <c r="O85">
        <f t="shared" si="82"/>
        <v>6.8588198190011385</v>
      </c>
      <c r="P85">
        <f t="shared" si="83"/>
        <v>16.412127526652842</v>
      </c>
      <c r="Q85">
        <f t="shared" si="84"/>
        <v>20.584205890987377</v>
      </c>
    </row>
    <row r="86" spans="5:17" x14ac:dyDescent="0.25">
      <c r="F86">
        <f t="shared" si="73"/>
        <v>0</v>
      </c>
      <c r="G86">
        <f t="shared" si="74"/>
        <v>0</v>
      </c>
      <c r="H86">
        <f t="shared" si="75"/>
        <v>0</v>
      </c>
      <c r="I86">
        <f t="shared" si="76"/>
        <v>0</v>
      </c>
      <c r="J86">
        <f t="shared" si="77"/>
        <v>0</v>
      </c>
      <c r="K86">
        <f t="shared" si="78"/>
        <v>0</v>
      </c>
      <c r="L86">
        <f t="shared" si="79"/>
        <v>0</v>
      </c>
      <c r="M86">
        <f t="shared" si="80"/>
        <v>0</v>
      </c>
      <c r="N86">
        <f t="shared" si="81"/>
        <v>0</v>
      </c>
      <c r="O86">
        <f t="shared" si="82"/>
        <v>0</v>
      </c>
      <c r="P86">
        <f t="shared" si="83"/>
        <v>0</v>
      </c>
      <c r="Q86">
        <f t="shared" si="84"/>
        <v>0</v>
      </c>
    </row>
    <row r="87" spans="5:17" x14ac:dyDescent="0.25">
      <c r="E87" t="s">
        <v>8</v>
      </c>
      <c r="F87">
        <f t="shared" si="73"/>
        <v>0.52293184740677234</v>
      </c>
      <c r="G87">
        <f t="shared" si="74"/>
        <v>4.2592527947024843</v>
      </c>
      <c r="H87">
        <f t="shared" si="75"/>
        <v>16.958886890184434</v>
      </c>
      <c r="I87">
        <f t="shared" si="76"/>
        <v>1.2432622547215337</v>
      </c>
      <c r="J87">
        <f t="shared" si="77"/>
        <v>3.3186191393397344</v>
      </c>
      <c r="K87">
        <f t="shared" si="78"/>
        <v>3.6383839234933539</v>
      </c>
      <c r="L87">
        <f t="shared" si="79"/>
        <v>4.4204706910998581</v>
      </c>
      <c r="M87">
        <f t="shared" si="80"/>
        <v>3.1442760889507482</v>
      </c>
      <c r="N87">
        <f t="shared" si="81"/>
        <v>4.8967080157485716</v>
      </c>
      <c r="O87">
        <f t="shared" si="82"/>
        <v>2.4076162781374117</v>
      </c>
      <c r="P87">
        <f t="shared" si="83"/>
        <v>4.2443087354576923</v>
      </c>
      <c r="Q87">
        <f t="shared" si="84"/>
        <v>5.4053723456306884</v>
      </c>
    </row>
    <row r="88" spans="5:17" x14ac:dyDescent="0.25">
      <c r="E88" t="s">
        <v>9</v>
      </c>
      <c r="F88">
        <f t="shared" si="73"/>
        <v>4.8756965280754391E-2</v>
      </c>
      <c r="G88">
        <f t="shared" si="74"/>
        <v>0.25389298095332719</v>
      </c>
      <c r="H88">
        <f t="shared" si="75"/>
        <v>4.5512667692507745E-2</v>
      </c>
      <c r="I88">
        <f t="shared" si="76"/>
        <v>4.8667173786796879E-2</v>
      </c>
      <c r="J88">
        <f t="shared" si="77"/>
        <v>6.1482595141914322E-2</v>
      </c>
      <c r="K88">
        <f t="shared" si="78"/>
        <v>6.740673646072505E-2</v>
      </c>
      <c r="L88">
        <f t="shared" si="79"/>
        <v>5.7379139495063569E-2</v>
      </c>
      <c r="M88">
        <f t="shared" si="80"/>
        <v>7.5285483819947485E-2</v>
      </c>
      <c r="N88">
        <f t="shared" si="81"/>
        <v>8.0316908727299879E-2</v>
      </c>
      <c r="O88">
        <f t="shared" si="82"/>
        <v>0.20794021585156597</v>
      </c>
      <c r="P88">
        <f t="shared" si="83"/>
        <v>0.14631337108855927</v>
      </c>
      <c r="Q88">
        <f t="shared" si="84"/>
        <v>0.11302475780409042</v>
      </c>
    </row>
    <row r="89" spans="5:17" x14ac:dyDescent="0.25">
      <c r="E89" t="s">
        <v>10</v>
      </c>
      <c r="F89">
        <f t="shared" si="73"/>
        <v>0.57490355765109302</v>
      </c>
      <c r="G89">
        <f t="shared" si="74"/>
        <v>4.1739952363178405</v>
      </c>
      <c r="H89">
        <f t="shared" si="75"/>
        <v>2.596389328363061</v>
      </c>
      <c r="I89">
        <f t="shared" si="76"/>
        <v>1.6890372078947153</v>
      </c>
      <c r="J89">
        <f t="shared" si="77"/>
        <v>2.2700526925053679</v>
      </c>
      <c r="K89">
        <f t="shared" si="78"/>
        <v>2.4887830977608325</v>
      </c>
      <c r="L89">
        <f t="shared" si="79"/>
        <v>2.7532879157710664</v>
      </c>
      <c r="M89">
        <f t="shared" si="80"/>
        <v>2.0409325277575681</v>
      </c>
      <c r="N89">
        <f t="shared" si="81"/>
        <v>6.1795587413250672</v>
      </c>
      <c r="O89">
        <f t="shared" si="82"/>
        <v>3.4686993847321634</v>
      </c>
      <c r="P89">
        <f t="shared" si="83"/>
        <v>5.2044012038802547</v>
      </c>
      <c r="Q89">
        <f t="shared" si="84"/>
        <v>6.7998336432136215</v>
      </c>
    </row>
    <row r="90" spans="5:17" x14ac:dyDescent="0.25">
      <c r="F90">
        <f t="shared" si="73"/>
        <v>0</v>
      </c>
      <c r="G90">
        <f t="shared" si="74"/>
        <v>0</v>
      </c>
      <c r="H90">
        <f t="shared" si="75"/>
        <v>0</v>
      </c>
      <c r="I90">
        <f t="shared" si="76"/>
        <v>0</v>
      </c>
      <c r="J90">
        <f t="shared" si="77"/>
        <v>0</v>
      </c>
      <c r="K90">
        <f t="shared" si="78"/>
        <v>0</v>
      </c>
      <c r="L90">
        <f t="shared" si="79"/>
        <v>0</v>
      </c>
      <c r="M90">
        <f t="shared" si="80"/>
        <v>0</v>
      </c>
      <c r="N90">
        <f t="shared" si="81"/>
        <v>0</v>
      </c>
      <c r="O90">
        <f t="shared" si="82"/>
        <v>0</v>
      </c>
      <c r="P90">
        <f t="shared" si="83"/>
        <v>0</v>
      </c>
      <c r="Q90">
        <f t="shared" si="84"/>
        <v>0</v>
      </c>
    </row>
    <row r="91" spans="5:17" x14ac:dyDescent="0.25">
      <c r="E91" t="s">
        <v>42</v>
      </c>
      <c r="F91">
        <f t="shared" si="73"/>
        <v>95.887805400771541</v>
      </c>
      <c r="G91">
        <f t="shared" si="74"/>
        <v>58.907333761187537</v>
      </c>
      <c r="H91">
        <f t="shared" si="75"/>
        <v>53.492555427927442</v>
      </c>
      <c r="I91">
        <f t="shared" si="76"/>
        <v>92.834883321473271</v>
      </c>
      <c r="J91">
        <f t="shared" si="77"/>
        <v>85.690886646268538</v>
      </c>
      <c r="K91">
        <f t="shared" si="78"/>
        <v>84.31213531902344</v>
      </c>
      <c r="L91">
        <f t="shared" si="79"/>
        <v>74.876589311086008</v>
      </c>
      <c r="M91">
        <f t="shared" si="80"/>
        <v>86.678897921741054</v>
      </c>
      <c r="N91">
        <f t="shared" si="81"/>
        <v>71.764368755511697</v>
      </c>
      <c r="O91">
        <f t="shared" si="82"/>
        <v>85.987288384748197</v>
      </c>
      <c r="P91">
        <f t="shared" si="83"/>
        <v>73.429166217280439</v>
      </c>
      <c r="Q91">
        <f t="shared" si="84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85">I5</f>
        <v>0</v>
      </c>
      <c r="G97">
        <f t="shared" ref="G97:G104" si="86">S5</f>
        <v>0</v>
      </c>
      <c r="H97">
        <f t="shared" ref="H97:H104" si="87">AC5</f>
        <v>0</v>
      </c>
      <c r="I97">
        <f t="shared" ref="I97:I104" si="88">I23</f>
        <v>0</v>
      </c>
      <c r="J97">
        <f t="shared" ref="J97:J104" si="89">S23</f>
        <v>0</v>
      </c>
      <c r="K97">
        <f t="shared" ref="K97:K104" si="90">AC23</f>
        <v>0</v>
      </c>
      <c r="L97">
        <f t="shared" ref="L97:L104" si="91">I40</f>
        <v>0</v>
      </c>
      <c r="M97">
        <f t="shared" ref="M97:M104" si="92">S40</f>
        <v>0</v>
      </c>
      <c r="N97">
        <f t="shared" ref="N97:N104" si="93">I56</f>
        <v>0</v>
      </c>
      <c r="O97">
        <f t="shared" ref="O97:O104" si="94">S56</f>
        <v>0</v>
      </c>
      <c r="P97">
        <f t="shared" ref="P97:P104" si="95">AC56</f>
        <v>0</v>
      </c>
      <c r="Q97">
        <f t="shared" ref="Q97:Q104" si="96">AM56</f>
        <v>0</v>
      </c>
    </row>
    <row r="98" spans="5:19" x14ac:dyDescent="0.25">
      <c r="E98" t="s">
        <v>7</v>
      </c>
      <c r="F98">
        <f t="shared" si="85"/>
        <v>8.5962280325760823</v>
      </c>
      <c r="G98">
        <f t="shared" si="86"/>
        <v>54.531674189918931</v>
      </c>
      <c r="H98">
        <f t="shared" si="87"/>
        <v>32.749615309594503</v>
      </c>
      <c r="I98">
        <f t="shared" si="88"/>
        <v>12.192149453209989</v>
      </c>
      <c r="J98">
        <f t="shared" si="89"/>
        <v>32.123214963326596</v>
      </c>
      <c r="K98">
        <f t="shared" si="90"/>
        <v>16.11442293514208</v>
      </c>
      <c r="L98">
        <f t="shared" si="91"/>
        <v>36.557160552296985</v>
      </c>
      <c r="M98">
        <f t="shared" si="92"/>
        <v>16.266725714104957</v>
      </c>
      <c r="N98">
        <f t="shared" si="93"/>
        <v>32.349552102063015</v>
      </c>
      <c r="O98">
        <f t="shared" si="94"/>
        <v>17.00940274652141</v>
      </c>
      <c r="P98">
        <f t="shared" si="95"/>
        <v>30.657026399490448</v>
      </c>
      <c r="Q98">
        <f t="shared" si="96"/>
        <v>35.961444368333495</v>
      </c>
    </row>
    <row r="99" spans="5:19" x14ac:dyDescent="0.25">
      <c r="F99">
        <f t="shared" si="85"/>
        <v>0</v>
      </c>
      <c r="G99">
        <f t="shared" si="86"/>
        <v>0</v>
      </c>
      <c r="H99">
        <f t="shared" si="87"/>
        <v>0</v>
      </c>
      <c r="I99">
        <f t="shared" si="88"/>
        <v>0</v>
      </c>
      <c r="J99">
        <f t="shared" si="89"/>
        <v>0</v>
      </c>
      <c r="K99">
        <f t="shared" si="90"/>
        <v>0</v>
      </c>
      <c r="L99">
        <f t="shared" si="91"/>
        <v>0</v>
      </c>
      <c r="M99">
        <f t="shared" si="92"/>
        <v>0</v>
      </c>
      <c r="N99">
        <f t="shared" si="93"/>
        <v>0</v>
      </c>
      <c r="O99">
        <f t="shared" si="94"/>
        <v>0</v>
      </c>
      <c r="P99">
        <f t="shared" si="95"/>
        <v>0</v>
      </c>
      <c r="Q99">
        <f t="shared" si="96"/>
        <v>0</v>
      </c>
    </row>
    <row r="100" spans="5:19" x14ac:dyDescent="0.25">
      <c r="E100" t="s">
        <v>8</v>
      </c>
      <c r="F100">
        <f t="shared" si="85"/>
        <v>0</v>
      </c>
      <c r="G100">
        <f t="shared" si="86"/>
        <v>0</v>
      </c>
      <c r="H100">
        <f t="shared" si="87"/>
        <v>0</v>
      </c>
      <c r="I100">
        <f t="shared" si="88"/>
        <v>0</v>
      </c>
      <c r="J100">
        <f t="shared" si="89"/>
        <v>0</v>
      </c>
      <c r="K100">
        <f t="shared" si="90"/>
        <v>0</v>
      </c>
      <c r="L100">
        <f t="shared" si="91"/>
        <v>0.96014426755073046</v>
      </c>
      <c r="M100">
        <f t="shared" si="92"/>
        <v>18.279821592382881</v>
      </c>
      <c r="N100">
        <f t="shared" si="93"/>
        <v>1.0651071463886652</v>
      </c>
      <c r="O100">
        <f t="shared" si="94"/>
        <v>0</v>
      </c>
      <c r="P100">
        <f t="shared" si="95"/>
        <v>0</v>
      </c>
      <c r="Q100">
        <f t="shared" si="96"/>
        <v>1.1128779724043449</v>
      </c>
    </row>
    <row r="101" spans="5:19" x14ac:dyDescent="0.25">
      <c r="E101" t="s">
        <v>9</v>
      </c>
      <c r="F101">
        <f t="shared" si="85"/>
        <v>0</v>
      </c>
      <c r="G101">
        <f t="shared" si="86"/>
        <v>0</v>
      </c>
      <c r="H101">
        <f t="shared" si="87"/>
        <v>0</v>
      </c>
      <c r="I101">
        <f t="shared" si="88"/>
        <v>0</v>
      </c>
      <c r="J101">
        <f t="shared" si="89"/>
        <v>0</v>
      </c>
      <c r="K101">
        <f t="shared" si="90"/>
        <v>0</v>
      </c>
      <c r="L101">
        <f t="shared" si="91"/>
        <v>0</v>
      </c>
      <c r="M101">
        <f t="shared" si="92"/>
        <v>0</v>
      </c>
      <c r="N101">
        <f t="shared" si="93"/>
        <v>0</v>
      </c>
      <c r="O101">
        <f t="shared" si="94"/>
        <v>0</v>
      </c>
      <c r="P101">
        <f t="shared" si="95"/>
        <v>0</v>
      </c>
      <c r="Q101">
        <f t="shared" si="96"/>
        <v>0</v>
      </c>
    </row>
    <row r="102" spans="5:19" x14ac:dyDescent="0.25">
      <c r="E102" t="s">
        <v>10</v>
      </c>
      <c r="F102">
        <f t="shared" si="85"/>
        <v>0</v>
      </c>
      <c r="G102">
        <f t="shared" si="86"/>
        <v>7.2015112741372871</v>
      </c>
      <c r="H102">
        <f t="shared" si="87"/>
        <v>0</v>
      </c>
      <c r="I102">
        <f t="shared" si="88"/>
        <v>0</v>
      </c>
      <c r="J102">
        <f t="shared" si="89"/>
        <v>1.1864219531291278</v>
      </c>
      <c r="K102">
        <f t="shared" si="90"/>
        <v>0.35125229077580938</v>
      </c>
      <c r="L102">
        <f t="shared" si="91"/>
        <v>5.3512878429086665</v>
      </c>
      <c r="M102">
        <f t="shared" si="92"/>
        <v>0.69844684148926073</v>
      </c>
      <c r="N102">
        <f t="shared" si="93"/>
        <v>11.859659319082127</v>
      </c>
      <c r="O102">
        <f t="shared" si="94"/>
        <v>0</v>
      </c>
      <c r="P102">
        <f t="shared" si="95"/>
        <v>1.4466505633777023</v>
      </c>
      <c r="Q102">
        <f t="shared" si="96"/>
        <v>11.881054897739505</v>
      </c>
    </row>
    <row r="103" spans="5:19" x14ac:dyDescent="0.25">
      <c r="F103">
        <f t="shared" si="85"/>
        <v>0</v>
      </c>
      <c r="G103">
        <f t="shared" si="86"/>
        <v>0</v>
      </c>
      <c r="H103">
        <f t="shared" si="87"/>
        <v>0</v>
      </c>
      <c r="I103">
        <f t="shared" si="88"/>
        <v>0</v>
      </c>
      <c r="J103">
        <f t="shared" si="89"/>
        <v>0</v>
      </c>
      <c r="K103">
        <f t="shared" si="90"/>
        <v>0</v>
      </c>
      <c r="L103">
        <f t="shared" si="91"/>
        <v>0</v>
      </c>
      <c r="M103">
        <f t="shared" si="92"/>
        <v>0</v>
      </c>
      <c r="N103">
        <f t="shared" si="93"/>
        <v>0</v>
      </c>
      <c r="O103">
        <f t="shared" si="94"/>
        <v>0</v>
      </c>
      <c r="P103">
        <f t="shared" si="95"/>
        <v>0</v>
      </c>
      <c r="Q103">
        <f t="shared" si="96"/>
        <v>0</v>
      </c>
    </row>
    <row r="104" spans="5:19" x14ac:dyDescent="0.25">
      <c r="E104" t="s">
        <v>42</v>
      </c>
      <c r="F104">
        <f t="shared" si="85"/>
        <v>91.403771967423921</v>
      </c>
      <c r="G104">
        <f t="shared" si="86"/>
        <v>38.26681453594378</v>
      </c>
      <c r="H104">
        <f t="shared" si="87"/>
        <v>67.250384690405497</v>
      </c>
      <c r="I104">
        <f t="shared" si="88"/>
        <v>87.807850546790007</v>
      </c>
      <c r="J104">
        <f t="shared" si="89"/>
        <v>66.690363083544284</v>
      </c>
      <c r="K104">
        <f t="shared" si="90"/>
        <v>83.534324774082108</v>
      </c>
      <c r="L104">
        <f t="shared" si="91"/>
        <v>57.131407337243616</v>
      </c>
      <c r="M104">
        <f t="shared" si="92"/>
        <v>64.755005852022904</v>
      </c>
      <c r="N104">
        <f t="shared" si="93"/>
        <v>54.725681432466196</v>
      </c>
      <c r="O104">
        <f t="shared" si="94"/>
        <v>82.990597253478583</v>
      </c>
      <c r="P104">
        <f t="shared" si="95"/>
        <v>67.89632303713185</v>
      </c>
      <c r="Q104">
        <f t="shared" si="96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97">G71</f>
        <v>0.37271650720594196</v>
      </c>
      <c r="H108">
        <f t="shared" si="97"/>
        <v>1.6731323551721895</v>
      </c>
      <c r="I108">
        <f t="shared" si="97"/>
        <v>0.24906141879125462</v>
      </c>
      <c r="J108">
        <f t="shared" si="97"/>
        <v>0.58264365552454744</v>
      </c>
      <c r="K108">
        <f t="shared" si="97"/>
        <v>0.37547658669138245</v>
      </c>
      <c r="L108">
        <f t="shared" si="97"/>
        <v>3.9527851652154902E-2</v>
      </c>
      <c r="M108">
        <v>0</v>
      </c>
      <c r="N108">
        <f t="shared" ref="N108:R116" si="98">M71</f>
        <v>0.697181539240186</v>
      </c>
      <c r="O108">
        <f t="shared" si="98"/>
        <v>9.5250203314787799E-2</v>
      </c>
      <c r="P108">
        <f t="shared" si="98"/>
        <v>0.57624563673004658</v>
      </c>
      <c r="Q108">
        <f t="shared" si="98"/>
        <v>0.47312738217093225</v>
      </c>
      <c r="R108">
        <f t="shared" si="98"/>
        <v>0.29601722282023679</v>
      </c>
      <c r="S108">
        <v>0</v>
      </c>
    </row>
    <row r="109" spans="5:19" x14ac:dyDescent="0.25">
      <c r="E109" t="s">
        <v>6</v>
      </c>
      <c r="F109">
        <f t="shared" ref="F109:L116" si="99">F72</f>
        <v>0.77100300042863268</v>
      </c>
      <c r="G109">
        <f t="shared" si="99"/>
        <v>0.23187370603193869</v>
      </c>
      <c r="H109">
        <f t="shared" si="99"/>
        <v>0.72820268308012392</v>
      </c>
      <c r="I109">
        <f t="shared" si="99"/>
        <v>0.27319052176117914</v>
      </c>
      <c r="J109">
        <f t="shared" si="99"/>
        <v>0.38858921460788032</v>
      </c>
      <c r="K109">
        <f t="shared" si="99"/>
        <v>1.5482484780822783</v>
      </c>
      <c r="L109">
        <f t="shared" si="99"/>
        <v>0.19845896025356116</v>
      </c>
      <c r="M109">
        <v>0</v>
      </c>
      <c r="N109">
        <f t="shared" si="98"/>
        <v>0.77499762755828294</v>
      </c>
      <c r="O109">
        <f t="shared" si="98"/>
        <v>0.2423633351293647</v>
      </c>
      <c r="P109">
        <f t="shared" si="98"/>
        <v>0.85955749894426237</v>
      </c>
      <c r="Q109">
        <f t="shared" si="98"/>
        <v>0.63816235289808332</v>
      </c>
      <c r="R109">
        <f t="shared" si="98"/>
        <v>0.36574028769938349</v>
      </c>
      <c r="S109">
        <v>0</v>
      </c>
    </row>
    <row r="110" spans="5:19" x14ac:dyDescent="0.25">
      <c r="E110" t="s">
        <v>7</v>
      </c>
      <c r="F110">
        <f t="shared" si="99"/>
        <v>57.416416630947275</v>
      </c>
      <c r="G110">
        <f t="shared" si="99"/>
        <v>75.432665325818135</v>
      </c>
      <c r="H110">
        <f t="shared" si="99"/>
        <v>29.884484514856634</v>
      </c>
      <c r="I110">
        <f t="shared" si="99"/>
        <v>37.472496912292755</v>
      </c>
      <c r="J110">
        <f t="shared" si="99"/>
        <v>65.292114376840274</v>
      </c>
      <c r="K110">
        <f t="shared" si="99"/>
        <v>56.764371326859475</v>
      </c>
      <c r="L110">
        <f t="shared" si="99"/>
        <v>77.407646908812708</v>
      </c>
      <c r="M110">
        <v>0</v>
      </c>
      <c r="N110">
        <f t="shared" si="98"/>
        <v>42.617910353335652</v>
      </c>
      <c r="O110">
        <f t="shared" si="98"/>
        <v>48.388314091581456</v>
      </c>
      <c r="P110">
        <f t="shared" si="98"/>
        <v>44.863235207646213</v>
      </c>
      <c r="Q110">
        <f t="shared" si="98"/>
        <v>67.203420354855709</v>
      </c>
      <c r="R110">
        <f t="shared" si="98"/>
        <v>49.83217535962423</v>
      </c>
      <c r="S110">
        <v>0</v>
      </c>
    </row>
    <row r="111" spans="5:19" x14ac:dyDescent="0.25">
      <c r="F111">
        <f t="shared" si="99"/>
        <v>0</v>
      </c>
      <c r="G111">
        <f t="shared" si="99"/>
        <v>0</v>
      </c>
      <c r="H111">
        <f t="shared" si="99"/>
        <v>0</v>
      </c>
      <c r="I111">
        <f t="shared" si="99"/>
        <v>0</v>
      </c>
      <c r="J111">
        <f t="shared" si="99"/>
        <v>0</v>
      </c>
      <c r="K111">
        <f t="shared" si="99"/>
        <v>0</v>
      </c>
      <c r="L111">
        <f t="shared" si="99"/>
        <v>0</v>
      </c>
      <c r="M111">
        <v>0</v>
      </c>
      <c r="N111">
        <f t="shared" si="98"/>
        <v>0</v>
      </c>
      <c r="O111">
        <f t="shared" si="98"/>
        <v>0</v>
      </c>
      <c r="P111">
        <f t="shared" si="98"/>
        <v>0</v>
      </c>
      <c r="Q111">
        <f t="shared" si="98"/>
        <v>0</v>
      </c>
      <c r="R111">
        <f t="shared" si="98"/>
        <v>0</v>
      </c>
      <c r="S111">
        <v>0</v>
      </c>
    </row>
    <row r="112" spans="5:19" x14ac:dyDescent="0.25">
      <c r="E112" t="s">
        <v>8</v>
      </c>
      <c r="F112">
        <f t="shared" si="99"/>
        <v>23.968602657522503</v>
      </c>
      <c r="G112">
        <f t="shared" si="99"/>
        <v>7.3739060851071825</v>
      </c>
      <c r="H112">
        <f t="shared" si="99"/>
        <v>26.919659305173273</v>
      </c>
      <c r="I112">
        <f t="shared" si="99"/>
        <v>33.602025208778088</v>
      </c>
      <c r="J112">
        <f t="shared" si="99"/>
        <v>10.90835730994433</v>
      </c>
      <c r="K112">
        <f t="shared" si="99"/>
        <v>20.762854675289113</v>
      </c>
      <c r="L112">
        <f t="shared" si="99"/>
        <v>7.199806914641699</v>
      </c>
      <c r="M112">
        <v>0</v>
      </c>
      <c r="N112">
        <f t="shared" si="98"/>
        <v>38.484167905608452</v>
      </c>
      <c r="O112">
        <f t="shared" si="98"/>
        <v>10.065444154523275</v>
      </c>
      <c r="P112">
        <f t="shared" si="98"/>
        <v>30.910927819621218</v>
      </c>
      <c r="Q112">
        <f t="shared" si="98"/>
        <v>8.5946387036513219</v>
      </c>
      <c r="R112">
        <f t="shared" si="98"/>
        <v>16.782464037577061</v>
      </c>
      <c r="S112">
        <v>0</v>
      </c>
    </row>
    <row r="113" spans="5:19" x14ac:dyDescent="0.25">
      <c r="E113" t="s">
        <v>9</v>
      </c>
      <c r="F113">
        <f t="shared" si="99"/>
        <v>0.17948992713244749</v>
      </c>
      <c r="G113">
        <f t="shared" si="99"/>
        <v>0.36828579944736989</v>
      </c>
      <c r="H113">
        <f t="shared" si="99"/>
        <v>0.50497388439782409</v>
      </c>
      <c r="I113">
        <f t="shared" si="99"/>
        <v>0.39628984369248887</v>
      </c>
      <c r="J113">
        <f t="shared" si="99"/>
        <v>0.50963307379352418</v>
      </c>
      <c r="K113">
        <f t="shared" si="99"/>
        <v>0.38916858003496724</v>
      </c>
      <c r="L113">
        <f t="shared" si="99"/>
        <v>0.37970417865860323</v>
      </c>
      <c r="M113">
        <v>0</v>
      </c>
      <c r="N113">
        <f t="shared" si="98"/>
        <v>0.58456963907253345</v>
      </c>
      <c r="O113">
        <f t="shared" si="98"/>
        <v>0.44638442739896317</v>
      </c>
      <c r="P113">
        <f t="shared" si="98"/>
        <v>0.43245150288924644</v>
      </c>
      <c r="Q113">
        <f t="shared" si="98"/>
        <v>0.50670416413145003</v>
      </c>
      <c r="R113">
        <f t="shared" si="98"/>
        <v>0.56561307368627067</v>
      </c>
      <c r="S113">
        <v>0</v>
      </c>
    </row>
    <row r="114" spans="5:19" x14ac:dyDescent="0.25">
      <c r="E114" t="s">
        <v>10</v>
      </c>
      <c r="F114">
        <f t="shared" si="99"/>
        <v>2.5830475782254609</v>
      </c>
      <c r="G114">
        <f t="shared" si="99"/>
        <v>7.8884052405874314</v>
      </c>
      <c r="H114">
        <f t="shared" si="99"/>
        <v>6.233068203983442</v>
      </c>
      <c r="I114">
        <f t="shared" si="99"/>
        <v>6.0441358100426141</v>
      </c>
      <c r="J114">
        <f t="shared" si="99"/>
        <v>8.4115875478531521</v>
      </c>
      <c r="K114">
        <f t="shared" si="99"/>
        <v>5.3124934173108924</v>
      </c>
      <c r="L114">
        <f t="shared" si="99"/>
        <v>7.4502714124376119</v>
      </c>
      <c r="M114">
        <v>0</v>
      </c>
      <c r="N114">
        <f t="shared" si="98"/>
        <v>4.5190269825704616</v>
      </c>
      <c r="O114">
        <f t="shared" si="98"/>
        <v>17.119407834329223</v>
      </c>
      <c r="P114">
        <f t="shared" si="98"/>
        <v>6.3151817739598979</v>
      </c>
      <c r="Q114">
        <f t="shared" si="98"/>
        <v>10.118821109010584</v>
      </c>
      <c r="R114">
        <f t="shared" si="98"/>
        <v>14.178001761424797</v>
      </c>
      <c r="S114">
        <v>0</v>
      </c>
    </row>
    <row r="115" spans="5:19" x14ac:dyDescent="0.25">
      <c r="F115">
        <f t="shared" si="99"/>
        <v>0</v>
      </c>
      <c r="G115">
        <f t="shared" si="99"/>
        <v>0</v>
      </c>
      <c r="H115">
        <f t="shared" si="99"/>
        <v>0</v>
      </c>
      <c r="I115">
        <f t="shared" si="99"/>
        <v>0</v>
      </c>
      <c r="J115">
        <f t="shared" si="99"/>
        <v>0</v>
      </c>
      <c r="K115">
        <f t="shared" si="99"/>
        <v>0</v>
      </c>
      <c r="L115">
        <f t="shared" si="99"/>
        <v>0</v>
      </c>
      <c r="M115">
        <v>0</v>
      </c>
      <c r="N115">
        <f t="shared" si="98"/>
        <v>0</v>
      </c>
      <c r="O115">
        <f t="shared" si="98"/>
        <v>0</v>
      </c>
      <c r="P115">
        <f t="shared" si="98"/>
        <v>0</v>
      </c>
      <c r="Q115">
        <f t="shared" si="98"/>
        <v>0</v>
      </c>
      <c r="R115">
        <f t="shared" si="98"/>
        <v>0</v>
      </c>
      <c r="S115">
        <v>0</v>
      </c>
    </row>
    <row r="116" spans="5:19" x14ac:dyDescent="0.25">
      <c r="E116" t="s">
        <v>42</v>
      </c>
      <c r="F116">
        <f t="shared" si="99"/>
        <v>14.869802828975567</v>
      </c>
      <c r="G116">
        <f t="shared" si="99"/>
        <v>8.3321473358019986</v>
      </c>
      <c r="H116">
        <f t="shared" si="99"/>
        <v>34.05647905333651</v>
      </c>
      <c r="I116">
        <f t="shared" si="99"/>
        <v>21.96280028464162</v>
      </c>
      <c r="J116">
        <f t="shared" si="99"/>
        <v>13.907074821436291</v>
      </c>
      <c r="K116">
        <f t="shared" si="99"/>
        <v>14.84738693573189</v>
      </c>
      <c r="L116">
        <f t="shared" si="99"/>
        <v>7.3245837735436625</v>
      </c>
      <c r="M116">
        <v>0</v>
      </c>
      <c r="N116">
        <f t="shared" si="98"/>
        <v>12.322145952614431</v>
      </c>
      <c r="O116">
        <f t="shared" si="98"/>
        <v>23.64283595372293</v>
      </c>
      <c r="P116">
        <f t="shared" si="98"/>
        <v>16.042400560209117</v>
      </c>
      <c r="Q116">
        <f t="shared" si="98"/>
        <v>12.465125933281916</v>
      </c>
      <c r="R116">
        <f t="shared" si="98"/>
        <v>17.979988257168021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A935-851D-4D09-A341-DB415CA7F074}">
  <dimension ref="A1:J38"/>
  <sheetViews>
    <sheetView topLeftCell="A16" zoomScale="115" zoomScaleNormal="115" workbookViewId="0">
      <selection activeCell="F29" sqref="F29:I38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395</v>
      </c>
      <c r="C4">
        <v>10</v>
      </c>
      <c r="E4" t="s">
        <v>5</v>
      </c>
      <c r="F4">
        <v>639</v>
      </c>
      <c r="G4">
        <v>19</v>
      </c>
    </row>
    <row r="5" spans="1:10" x14ac:dyDescent="0.25">
      <c r="A5" t="s">
        <v>6</v>
      </c>
      <c r="B5">
        <v>1439</v>
      </c>
      <c r="C5">
        <v>10</v>
      </c>
      <c r="E5" t="s">
        <v>6</v>
      </c>
      <c r="F5">
        <v>364</v>
      </c>
      <c r="G5">
        <v>4</v>
      </c>
    </row>
    <row r="6" spans="1:10" x14ac:dyDescent="0.25">
      <c r="A6" t="s">
        <v>7</v>
      </c>
      <c r="B6">
        <v>107162</v>
      </c>
      <c r="C6">
        <v>28</v>
      </c>
      <c r="E6" t="s">
        <v>7</v>
      </c>
      <c r="F6">
        <v>4532</v>
      </c>
      <c r="G6">
        <v>17</v>
      </c>
      <c r="I6">
        <v>16044</v>
      </c>
      <c r="J6">
        <v>1190</v>
      </c>
    </row>
    <row r="7" spans="1:10" x14ac:dyDescent="0.25">
      <c r="A7" t="s">
        <v>24</v>
      </c>
      <c r="B7">
        <v>8549</v>
      </c>
      <c r="C7">
        <v>5</v>
      </c>
      <c r="E7" t="s">
        <v>24</v>
      </c>
      <c r="F7">
        <v>14</v>
      </c>
      <c r="G7">
        <v>7</v>
      </c>
    </row>
    <row r="8" spans="1:10" x14ac:dyDescent="0.25">
      <c r="A8" t="s">
        <v>8</v>
      </c>
      <c r="B8">
        <v>44735</v>
      </c>
      <c r="C8">
        <v>65</v>
      </c>
      <c r="E8" t="s">
        <v>8</v>
      </c>
      <c r="F8">
        <v>976</v>
      </c>
      <c r="G8">
        <v>46</v>
      </c>
    </row>
    <row r="9" spans="1:10" x14ac:dyDescent="0.25">
      <c r="A9" t="s">
        <v>9</v>
      </c>
      <c r="B9">
        <v>335</v>
      </c>
      <c r="C9">
        <v>26</v>
      </c>
      <c r="E9" t="s">
        <v>9</v>
      </c>
      <c r="F9">
        <v>91</v>
      </c>
      <c r="G9">
        <v>28</v>
      </c>
    </row>
    <row r="10" spans="1:10" x14ac:dyDescent="0.25">
      <c r="A10" t="s">
        <v>10</v>
      </c>
      <c r="B10">
        <v>4821</v>
      </c>
      <c r="C10">
        <v>3</v>
      </c>
      <c r="E10" t="s">
        <v>10</v>
      </c>
      <c r="F10">
        <v>1073</v>
      </c>
      <c r="G10">
        <v>3</v>
      </c>
    </row>
    <row r="11" spans="1:10" x14ac:dyDescent="0.25">
      <c r="A11" t="s">
        <v>11</v>
      </c>
      <c r="B11">
        <v>10791</v>
      </c>
      <c r="C11">
        <v>178</v>
      </c>
      <c r="E11" t="s">
        <v>11</v>
      </c>
      <c r="F11">
        <v>2503</v>
      </c>
      <c r="G11">
        <v>246</v>
      </c>
    </row>
    <row r="16" spans="1:10" x14ac:dyDescent="0.25">
      <c r="G16" t="s">
        <v>44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F17" t="s">
        <v>2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395</v>
      </c>
      <c r="C18">
        <v>639</v>
      </c>
      <c r="F18" t="s">
        <v>5</v>
      </c>
      <c r="G18">
        <f>B18*100/675874</f>
        <v>5.8442845855884377E-2</v>
      </c>
      <c r="H18">
        <f>C18*100/675874</f>
        <v>9.4544249371924349E-2</v>
      </c>
      <c r="I18">
        <f>D18*100/675874</f>
        <v>0</v>
      </c>
    </row>
    <row r="19" spans="1:9" x14ac:dyDescent="0.25">
      <c r="A19" t="s">
        <v>6</v>
      </c>
      <c r="B19">
        <v>1439</v>
      </c>
      <c r="C19">
        <v>364</v>
      </c>
      <c r="F19" t="s">
        <v>6</v>
      </c>
      <c r="G19">
        <f t="shared" ref="G19:I25" si="0">B19*100/675874</f>
        <v>0.21290950680156359</v>
      </c>
      <c r="H19">
        <f t="shared" ref="H19:H25" si="1">C19*100/675874</f>
        <v>5.3856192130485862E-2</v>
      </c>
      <c r="I19">
        <f t="shared" si="0"/>
        <v>0</v>
      </c>
    </row>
    <row r="20" spans="1:9" x14ac:dyDescent="0.25">
      <c r="A20" t="s">
        <v>7</v>
      </c>
      <c r="B20">
        <v>107162</v>
      </c>
      <c r="C20">
        <v>4532</v>
      </c>
      <c r="D20">
        <v>16044</v>
      </c>
      <c r="F20" t="s">
        <v>7</v>
      </c>
      <c r="G20">
        <f t="shared" si="0"/>
        <v>15.855322145843752</v>
      </c>
      <c r="H20">
        <f t="shared" si="1"/>
        <v>0.67053918333890639</v>
      </c>
      <c r="I20">
        <f t="shared" si="0"/>
        <v>2.373815237751415</v>
      </c>
    </row>
    <row r="21" spans="1:9" x14ac:dyDescent="0.25">
      <c r="A21" t="s">
        <v>24</v>
      </c>
      <c r="B21">
        <v>8549</v>
      </c>
      <c r="C21">
        <v>5</v>
      </c>
      <c r="F21" t="s">
        <v>24</v>
      </c>
      <c r="G21">
        <f t="shared" si="0"/>
        <v>1.2648807322074824</v>
      </c>
      <c r="H21">
        <f t="shared" si="1"/>
        <v>7.3978285893524533E-4</v>
      </c>
      <c r="I21">
        <f t="shared" si="0"/>
        <v>0</v>
      </c>
    </row>
    <row r="22" spans="1:9" x14ac:dyDescent="0.25">
      <c r="A22" t="s">
        <v>8</v>
      </c>
      <c r="B22">
        <v>44735</v>
      </c>
      <c r="C22">
        <v>976</v>
      </c>
      <c r="F22" t="s">
        <v>8</v>
      </c>
      <c r="G22">
        <f t="shared" si="0"/>
        <v>6.6188372388936401</v>
      </c>
      <c r="H22">
        <f t="shared" si="1"/>
        <v>0.14440561406415989</v>
      </c>
      <c r="I22">
        <f t="shared" si="0"/>
        <v>0</v>
      </c>
    </row>
    <row r="23" spans="1:9" x14ac:dyDescent="0.25">
      <c r="A23" t="s">
        <v>9</v>
      </c>
      <c r="B23">
        <v>335</v>
      </c>
      <c r="C23">
        <v>91</v>
      </c>
      <c r="F23" t="s">
        <v>9</v>
      </c>
      <c r="G23">
        <f t="shared" si="0"/>
        <v>4.9565451548661439E-2</v>
      </c>
      <c r="H23">
        <f t="shared" si="1"/>
        <v>1.3464048032621466E-2</v>
      </c>
      <c r="I23">
        <f t="shared" si="0"/>
        <v>0</v>
      </c>
    </row>
    <row r="24" spans="1:9" x14ac:dyDescent="0.25">
      <c r="A24" t="s">
        <v>10</v>
      </c>
      <c r="B24">
        <v>4821</v>
      </c>
      <c r="C24">
        <v>1073</v>
      </c>
      <c r="F24" t="s">
        <v>10</v>
      </c>
      <c r="G24">
        <f t="shared" si="0"/>
        <v>0.71329863258536352</v>
      </c>
      <c r="H24">
        <f t="shared" si="1"/>
        <v>0.15875740152750364</v>
      </c>
      <c r="I24">
        <f t="shared" si="0"/>
        <v>0</v>
      </c>
    </row>
    <row r="25" spans="1:9" x14ac:dyDescent="0.25">
      <c r="A25" t="s">
        <v>11</v>
      </c>
      <c r="B25">
        <v>10791</v>
      </c>
      <c r="C25">
        <v>178</v>
      </c>
      <c r="F25" t="s">
        <v>11</v>
      </c>
      <c r="G25">
        <f t="shared" si="0"/>
        <v>1.5965993661540465</v>
      </c>
      <c r="H25">
        <f t="shared" si="1"/>
        <v>2.6336269778094733E-2</v>
      </c>
      <c r="I25">
        <f t="shared" si="0"/>
        <v>0</v>
      </c>
    </row>
    <row r="26" spans="1:9" x14ac:dyDescent="0.25">
      <c r="F26" t="s">
        <v>42</v>
      </c>
      <c r="G26">
        <f>B32*100/675874</f>
        <v>73.630144080109602</v>
      </c>
      <c r="H26">
        <f t="shared" ref="H26:I26" si="2">C32*100/675874</f>
        <v>98.83735725889737</v>
      </c>
      <c r="I26">
        <f t="shared" si="2"/>
        <v>97.626184762248585</v>
      </c>
    </row>
    <row r="28" spans="1:9" x14ac:dyDescent="0.25">
      <c r="A28" t="s">
        <v>35</v>
      </c>
      <c r="B28">
        <f>SUM(B18:B25)</f>
        <v>178227</v>
      </c>
      <c r="C28">
        <f>SUM(C18:C25)</f>
        <v>7858</v>
      </c>
      <c r="D28">
        <f>SUM(D18:D25)</f>
        <v>16044</v>
      </c>
    </row>
    <row r="29" spans="1:9" x14ac:dyDescent="0.25">
      <c r="A29" t="s">
        <v>36</v>
      </c>
      <c r="B29">
        <v>186640</v>
      </c>
      <c r="C29">
        <v>186640</v>
      </c>
      <c r="D29">
        <v>186640</v>
      </c>
      <c r="F29" t="s">
        <v>2</v>
      </c>
      <c r="G29" t="s">
        <v>39</v>
      </c>
      <c r="H29" t="s">
        <v>40</v>
      </c>
      <c r="I29" t="s">
        <v>41</v>
      </c>
    </row>
    <row r="30" spans="1:9" x14ac:dyDescent="0.25">
      <c r="A30" t="s">
        <v>44</v>
      </c>
      <c r="B30">
        <f>675874</f>
        <v>675874</v>
      </c>
      <c r="C30">
        <f t="shared" ref="C30:D30" si="3">675874</f>
        <v>675874</v>
      </c>
      <c r="D30">
        <f t="shared" si="3"/>
        <v>675874</v>
      </c>
      <c r="F30" t="s">
        <v>5</v>
      </c>
      <c r="G30">
        <f>B18*100/186640</f>
        <v>0.21163737676810973</v>
      </c>
      <c r="H30">
        <f t="shared" ref="H30:I37" si="4">C18*100/186640</f>
        <v>0.34237033861980282</v>
      </c>
      <c r="I30">
        <f t="shared" si="4"/>
        <v>0</v>
      </c>
    </row>
    <row r="31" spans="1:9" x14ac:dyDescent="0.25">
      <c r="A31" t="s">
        <v>38</v>
      </c>
      <c r="B31">
        <f>B29-B28</f>
        <v>8413</v>
      </c>
      <c r="C31">
        <f>C29-C28</f>
        <v>178782</v>
      </c>
      <c r="D31">
        <f>D29-D28</f>
        <v>170596</v>
      </c>
      <c r="F31" t="s">
        <v>6</v>
      </c>
      <c r="G31">
        <f t="shared" ref="G31:G37" si="5">B19*100/186640</f>
        <v>0.77100300042863268</v>
      </c>
      <c r="H31">
        <f t="shared" si="4"/>
        <v>0.19502786112301757</v>
      </c>
      <c r="I31">
        <f t="shared" si="4"/>
        <v>0</v>
      </c>
    </row>
    <row r="32" spans="1:9" x14ac:dyDescent="0.25">
      <c r="A32" t="s">
        <v>45</v>
      </c>
      <c r="B32">
        <f>B30-SUM(B18:B25)</f>
        <v>497647</v>
      </c>
      <c r="C32">
        <f t="shared" ref="C32:D32" si="6">C30-SUM(C18:C25)</f>
        <v>668016</v>
      </c>
      <c r="D32">
        <f t="shared" si="6"/>
        <v>659830</v>
      </c>
      <c r="F32" t="s">
        <v>7</v>
      </c>
      <c r="G32">
        <f t="shared" si="5"/>
        <v>57.416416630947275</v>
      </c>
      <c r="H32">
        <f t="shared" si="4"/>
        <v>2.4282040291470208</v>
      </c>
      <c r="I32">
        <f t="shared" si="4"/>
        <v>8.5962280325760823</v>
      </c>
    </row>
    <row r="33" spans="6:9" x14ac:dyDescent="0.25">
      <c r="F33" t="s">
        <v>24</v>
      </c>
      <c r="G33">
        <f t="shared" si="5"/>
        <v>4.5804757822546076</v>
      </c>
      <c r="H33">
        <f t="shared" si="4"/>
        <v>2.6789541363051866E-3</v>
      </c>
      <c r="I33">
        <f t="shared" si="4"/>
        <v>0</v>
      </c>
    </row>
    <row r="34" spans="6:9" x14ac:dyDescent="0.25">
      <c r="F34" t="s">
        <v>8</v>
      </c>
      <c r="G34">
        <f t="shared" si="5"/>
        <v>23.968602657522503</v>
      </c>
      <c r="H34">
        <f t="shared" si="4"/>
        <v>0.52293184740677234</v>
      </c>
      <c r="I34">
        <f t="shared" si="4"/>
        <v>0</v>
      </c>
    </row>
    <row r="35" spans="6:9" x14ac:dyDescent="0.25">
      <c r="F35" t="s">
        <v>9</v>
      </c>
      <c r="G35">
        <f t="shared" si="5"/>
        <v>0.17948992713244749</v>
      </c>
      <c r="H35">
        <f t="shared" si="4"/>
        <v>4.8756965280754391E-2</v>
      </c>
      <c r="I35">
        <f t="shared" si="4"/>
        <v>0</v>
      </c>
    </row>
    <row r="36" spans="6:9" x14ac:dyDescent="0.25">
      <c r="F36" t="s">
        <v>10</v>
      </c>
      <c r="G36">
        <f t="shared" si="5"/>
        <v>2.5830475782254609</v>
      </c>
      <c r="H36">
        <f t="shared" si="4"/>
        <v>0.57490355765109302</v>
      </c>
      <c r="I36">
        <f t="shared" si="4"/>
        <v>0</v>
      </c>
    </row>
    <row r="37" spans="6:9" x14ac:dyDescent="0.25">
      <c r="F37" t="s">
        <v>11</v>
      </c>
      <c r="G37">
        <f t="shared" si="5"/>
        <v>5.7817188169738536</v>
      </c>
      <c r="H37">
        <f t="shared" si="4"/>
        <v>9.5370767252464642E-2</v>
      </c>
      <c r="I37">
        <f t="shared" si="4"/>
        <v>0</v>
      </c>
    </row>
    <row r="38" spans="6:9" x14ac:dyDescent="0.25">
      <c r="F38" t="s">
        <v>42</v>
      </c>
      <c r="G38">
        <f>B31*100/186640</f>
        <v>4.507608229747107</v>
      </c>
      <c r="H38">
        <f t="shared" ref="H38:I38" si="7">C31*100/186640</f>
        <v>95.789755679382765</v>
      </c>
      <c r="I38">
        <f t="shared" si="7"/>
        <v>91.403771967423921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201-EE2A-4AFF-908F-AED616643A6C}">
  <dimension ref="A1:J38"/>
  <sheetViews>
    <sheetView topLeftCell="C1" zoomScaleNormal="100" workbookViewId="0">
      <selection activeCell="W38" sqref="W38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2776</v>
      </c>
      <c r="C4">
        <v>40</v>
      </c>
      <c r="E4" t="s">
        <v>5</v>
      </c>
      <c r="F4">
        <v>2079</v>
      </c>
      <c r="G4">
        <v>97</v>
      </c>
    </row>
    <row r="5" spans="1:10" x14ac:dyDescent="0.25">
      <c r="A5" t="s">
        <v>6</v>
      </c>
      <c r="B5">
        <v>1727</v>
      </c>
      <c r="C5">
        <v>19</v>
      </c>
      <c r="E5" t="s">
        <v>6</v>
      </c>
      <c r="F5">
        <v>512</v>
      </c>
      <c r="G5">
        <v>12</v>
      </c>
    </row>
    <row r="6" spans="1:10" x14ac:dyDescent="0.25">
      <c r="A6" t="s">
        <v>7</v>
      </c>
      <c r="B6">
        <v>561824</v>
      </c>
      <c r="C6">
        <v>48</v>
      </c>
      <c r="E6" t="s">
        <v>7</v>
      </c>
      <c r="F6">
        <v>238766</v>
      </c>
      <c r="G6">
        <v>41</v>
      </c>
      <c r="I6">
        <v>406153</v>
      </c>
      <c r="J6">
        <v>5579</v>
      </c>
    </row>
    <row r="7" spans="1:10" x14ac:dyDescent="0.25">
      <c r="A7" t="s">
        <v>24</v>
      </c>
      <c r="B7">
        <v>7796</v>
      </c>
      <c r="C7">
        <v>32</v>
      </c>
      <c r="E7" t="s">
        <v>24</v>
      </c>
      <c r="F7">
        <v>630</v>
      </c>
      <c r="G7">
        <v>50</v>
      </c>
    </row>
    <row r="8" spans="1:10" x14ac:dyDescent="0.25">
      <c r="A8" t="s">
        <v>8</v>
      </c>
      <c r="B8">
        <v>54921</v>
      </c>
      <c r="C8">
        <v>179</v>
      </c>
      <c r="E8" t="s">
        <v>8</v>
      </c>
      <c r="F8">
        <v>31723</v>
      </c>
      <c r="G8">
        <v>315</v>
      </c>
    </row>
    <row r="9" spans="1:10" x14ac:dyDescent="0.25">
      <c r="A9" t="s">
        <v>9</v>
      </c>
      <c r="B9">
        <v>2743</v>
      </c>
      <c r="C9">
        <v>127</v>
      </c>
      <c r="E9" t="s">
        <v>9</v>
      </c>
      <c r="F9">
        <v>1891</v>
      </c>
      <c r="G9">
        <v>223</v>
      </c>
    </row>
    <row r="10" spans="1:10" x14ac:dyDescent="0.25">
      <c r="A10" t="s">
        <v>10</v>
      </c>
      <c r="B10">
        <v>58753</v>
      </c>
      <c r="C10">
        <v>4</v>
      </c>
      <c r="E10" t="s">
        <v>10</v>
      </c>
      <c r="F10">
        <v>31088</v>
      </c>
      <c r="G10">
        <v>6</v>
      </c>
      <c r="I10">
        <f>36473+2401+14763</f>
        <v>53637</v>
      </c>
      <c r="J10">
        <f>2192+419+1503</f>
        <v>4114</v>
      </c>
    </row>
    <row r="11" spans="1:10" x14ac:dyDescent="0.25">
      <c r="A11" t="s">
        <v>11</v>
      </c>
      <c r="B11">
        <v>35089</v>
      </c>
      <c r="C11">
        <v>1020</v>
      </c>
      <c r="E11" t="s">
        <v>11</v>
      </c>
      <c r="F11">
        <v>32222</v>
      </c>
      <c r="G11">
        <v>1604</v>
      </c>
      <c r="I11">
        <v>7213</v>
      </c>
      <c r="J11">
        <v>2387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2776</v>
      </c>
      <c r="C17">
        <v>2079</v>
      </c>
      <c r="F17" t="s">
        <v>5</v>
      </c>
      <c r="G17">
        <f>100*B17/744802</f>
        <v>0.37271650720594196</v>
      </c>
      <c r="H17">
        <f t="shared" ref="H17:I17" si="0">100*C17/744802</f>
        <v>0.27913458879004083</v>
      </c>
      <c r="I17">
        <f t="shared" si="0"/>
        <v>0</v>
      </c>
    </row>
    <row r="18" spans="1:9" x14ac:dyDescent="0.25">
      <c r="A18" t="s">
        <v>6</v>
      </c>
      <c r="B18">
        <v>1727</v>
      </c>
      <c r="C18">
        <v>512</v>
      </c>
      <c r="F18" t="s">
        <v>6</v>
      </c>
      <c r="G18">
        <f t="shared" ref="G18:G24" si="1">100*B18/744802</f>
        <v>0.23187370603193869</v>
      </c>
      <c r="H18">
        <f t="shared" ref="H18:H24" si="2">100*C18/744802</f>
        <v>6.8743102193603134E-2</v>
      </c>
      <c r="I18">
        <f t="shared" ref="I18:I24" si="3">100*D18/744802</f>
        <v>0</v>
      </c>
    </row>
    <row r="19" spans="1:9" x14ac:dyDescent="0.25">
      <c r="A19" t="s">
        <v>7</v>
      </c>
      <c r="B19">
        <v>561824</v>
      </c>
      <c r="C19">
        <v>238766</v>
      </c>
      <c r="D19">
        <v>406153</v>
      </c>
      <c r="F19" t="s">
        <v>7</v>
      </c>
      <c r="G19">
        <f t="shared" si="1"/>
        <v>75.432665325818135</v>
      </c>
      <c r="H19">
        <f t="shared" si="2"/>
        <v>32.057647535855168</v>
      </c>
      <c r="I19">
        <f t="shared" si="3"/>
        <v>54.531674189918931</v>
      </c>
    </row>
    <row r="20" spans="1:9" x14ac:dyDescent="0.25">
      <c r="A20" t="s">
        <v>24</v>
      </c>
      <c r="B20">
        <v>7796</v>
      </c>
      <c r="C20">
        <v>630</v>
      </c>
      <c r="F20" t="s">
        <v>24</v>
      </c>
      <c r="G20">
        <f t="shared" si="1"/>
        <v>1.0467211419947853</v>
      </c>
      <c r="H20">
        <f t="shared" si="2"/>
        <v>8.4586239027285098E-2</v>
      </c>
      <c r="I20">
        <f t="shared" si="3"/>
        <v>0</v>
      </c>
    </row>
    <row r="21" spans="1:9" x14ac:dyDescent="0.25">
      <c r="A21" t="s">
        <v>8</v>
      </c>
      <c r="B21">
        <v>54921</v>
      </c>
      <c r="C21">
        <v>31723</v>
      </c>
      <c r="F21" t="s">
        <v>8</v>
      </c>
      <c r="G21">
        <f t="shared" si="1"/>
        <v>7.3739060851071825</v>
      </c>
      <c r="H21">
        <f t="shared" si="2"/>
        <v>4.2592527947024843</v>
      </c>
      <c r="I21">
        <f t="shared" si="3"/>
        <v>0</v>
      </c>
    </row>
    <row r="22" spans="1:9" x14ac:dyDescent="0.25">
      <c r="A22" t="s">
        <v>9</v>
      </c>
      <c r="B22">
        <v>2743</v>
      </c>
      <c r="C22">
        <v>1891</v>
      </c>
      <c r="F22" t="s">
        <v>9</v>
      </c>
      <c r="G22">
        <f t="shared" si="1"/>
        <v>0.36828579944736989</v>
      </c>
      <c r="H22">
        <f t="shared" si="2"/>
        <v>0.25389298095332719</v>
      </c>
      <c r="I22">
        <f t="shared" si="3"/>
        <v>0</v>
      </c>
    </row>
    <row r="23" spans="1:9" x14ac:dyDescent="0.25">
      <c r="A23" t="s">
        <v>10</v>
      </c>
      <c r="B23">
        <v>58753</v>
      </c>
      <c r="C23">
        <v>31088</v>
      </c>
      <c r="D23">
        <f>36473+2401+14763</f>
        <v>53637</v>
      </c>
      <c r="F23" t="s">
        <v>10</v>
      </c>
      <c r="G23">
        <f t="shared" si="1"/>
        <v>7.8884052405874314</v>
      </c>
      <c r="H23">
        <f t="shared" si="2"/>
        <v>4.1739952363178405</v>
      </c>
      <c r="I23">
        <f t="shared" si="3"/>
        <v>7.2015112741372871</v>
      </c>
    </row>
    <row r="24" spans="1:9" x14ac:dyDescent="0.25">
      <c r="A24" t="s">
        <v>11</v>
      </c>
      <c r="B24">
        <v>35089</v>
      </c>
      <c r="C24">
        <v>32222</v>
      </c>
      <c r="D24">
        <v>7213</v>
      </c>
      <c r="F24" t="s">
        <v>11</v>
      </c>
      <c r="G24">
        <f t="shared" si="1"/>
        <v>4.7111849860768364</v>
      </c>
      <c r="H24">
        <f t="shared" si="2"/>
        <v>4.326250466566953</v>
      </c>
      <c r="I24">
        <f t="shared" si="3"/>
        <v>0.96844530492667846</v>
      </c>
    </row>
    <row r="25" spans="1:9" x14ac:dyDescent="0.25">
      <c r="F25" t="s">
        <v>42</v>
      </c>
      <c r="G25">
        <f>B27*100/744802</f>
        <v>2.5742412077303767</v>
      </c>
      <c r="H25">
        <f t="shared" ref="H25:I25" si="4">C27*100/744802</f>
        <v>54.496497055593302</v>
      </c>
      <c r="I25">
        <f t="shared" si="4"/>
        <v>37.298369231017105</v>
      </c>
    </row>
    <row r="26" spans="1:9" x14ac:dyDescent="0.25">
      <c r="A26" t="s">
        <v>43</v>
      </c>
      <c r="B26">
        <v>744802</v>
      </c>
      <c r="C26">
        <v>744802</v>
      </c>
      <c r="D26">
        <v>744802</v>
      </c>
    </row>
    <row r="27" spans="1:9" x14ac:dyDescent="0.25">
      <c r="A27" t="s">
        <v>38</v>
      </c>
      <c r="B27">
        <f>B26-SUM(B17:B24)</f>
        <v>19173</v>
      </c>
      <c r="C27">
        <f t="shared" ref="C27:D27" si="5">C26-SUM(C17:C24)</f>
        <v>405891</v>
      </c>
      <c r="D27">
        <f t="shared" si="5"/>
        <v>277799</v>
      </c>
    </row>
    <row r="29" spans="1:9" x14ac:dyDescent="0.25">
      <c r="A29" t="s">
        <v>44</v>
      </c>
      <c r="B29">
        <f>1249676</f>
        <v>1249676</v>
      </c>
      <c r="C29">
        <f t="shared" ref="C29:D29" si="6">1249676</f>
        <v>1249676</v>
      </c>
      <c r="D29">
        <f t="shared" si="6"/>
        <v>1249676</v>
      </c>
      <c r="F29" t="s">
        <v>2</v>
      </c>
      <c r="G29" t="s">
        <v>46</v>
      </c>
      <c r="H29" t="s">
        <v>47</v>
      </c>
      <c r="I29" t="s">
        <v>41</v>
      </c>
    </row>
    <row r="30" spans="1:9" x14ac:dyDescent="0.25">
      <c r="A30" t="s">
        <v>37</v>
      </c>
      <c r="B30">
        <f>B29-SUM(B17:B24)</f>
        <v>524047</v>
      </c>
      <c r="C30">
        <f t="shared" ref="C30:D30" si="7">C29-SUM(C17:C24)</f>
        <v>910765</v>
      </c>
      <c r="D30">
        <f t="shared" si="7"/>
        <v>782673</v>
      </c>
      <c r="F30" t="s">
        <v>5</v>
      </c>
      <c r="G30">
        <f>B17*100/1249676</f>
        <v>0.22213757806023321</v>
      </c>
      <c r="H30">
        <f t="shared" ref="H30:I37" si="8">C17*100/1249676</f>
        <v>0.16636312132104641</v>
      </c>
      <c r="I30">
        <f t="shared" si="8"/>
        <v>0</v>
      </c>
    </row>
    <row r="31" spans="1:9" x14ac:dyDescent="0.25">
      <c r="F31" t="s">
        <v>6</v>
      </c>
      <c r="G31">
        <f t="shared" ref="G31:G37" si="9">B18*100/1249676</f>
        <v>0.13819582035663644</v>
      </c>
      <c r="H31">
        <f t="shared" si="8"/>
        <v>4.0970619584596329E-2</v>
      </c>
      <c r="I31">
        <f t="shared" si="8"/>
        <v>0</v>
      </c>
    </row>
    <row r="32" spans="1:9" x14ac:dyDescent="0.25">
      <c r="F32" t="s">
        <v>7</v>
      </c>
      <c r="G32">
        <f t="shared" si="9"/>
        <v>44.957573002922359</v>
      </c>
      <c r="H32">
        <f t="shared" si="8"/>
        <v>19.106232335421343</v>
      </c>
      <c r="I32">
        <f t="shared" si="8"/>
        <v>32.500664172153421</v>
      </c>
    </row>
    <row r="33" spans="6:9" x14ac:dyDescent="0.25">
      <c r="F33" t="s">
        <v>24</v>
      </c>
      <c r="G33">
        <f t="shared" si="9"/>
        <v>0.62384169976858006</v>
      </c>
      <c r="H33">
        <f t="shared" si="8"/>
        <v>5.0413067066983765E-2</v>
      </c>
      <c r="I33">
        <f t="shared" si="8"/>
        <v>0</v>
      </c>
    </row>
    <row r="34" spans="6:9" x14ac:dyDescent="0.25">
      <c r="F34" t="s">
        <v>8</v>
      </c>
      <c r="G34">
        <f t="shared" si="9"/>
        <v>4.3948191371203418</v>
      </c>
      <c r="H34">
        <f t="shared" si="8"/>
        <v>2.5384979786760726</v>
      </c>
      <c r="I34">
        <f t="shared" si="8"/>
        <v>0</v>
      </c>
    </row>
    <row r="35" spans="6:9" x14ac:dyDescent="0.25">
      <c r="F35" t="s">
        <v>9</v>
      </c>
      <c r="G35">
        <f t="shared" si="9"/>
        <v>0.21949689359481978</v>
      </c>
      <c r="H35">
        <f t="shared" si="8"/>
        <v>0.15131922194232744</v>
      </c>
      <c r="I35">
        <f t="shared" si="8"/>
        <v>0</v>
      </c>
    </row>
    <row r="36" spans="6:9" x14ac:dyDescent="0.25">
      <c r="F36" t="s">
        <v>10</v>
      </c>
      <c r="G36">
        <f t="shared" si="9"/>
        <v>4.7014586180738052</v>
      </c>
      <c r="H36">
        <f t="shared" si="8"/>
        <v>2.4876848079022085</v>
      </c>
      <c r="I36">
        <f t="shared" si="8"/>
        <v>4.2920725051933459</v>
      </c>
    </row>
    <row r="37" spans="6:9" x14ac:dyDescent="0.25">
      <c r="F37" t="s">
        <v>11</v>
      </c>
      <c r="G37">
        <f t="shared" si="9"/>
        <v>2.8078477941482434</v>
      </c>
      <c r="H37">
        <f t="shared" si="8"/>
        <v>2.5784283286227789</v>
      </c>
      <c r="I37">
        <f t="shared" si="8"/>
        <v>0.57718960754627602</v>
      </c>
    </row>
    <row r="38" spans="6:9" x14ac:dyDescent="0.25">
      <c r="F38" t="s">
        <v>42</v>
      </c>
      <c r="G38">
        <f>B30*100/1249676</f>
        <v>41.934629455954983</v>
      </c>
      <c r="H38">
        <f t="shared" ref="H38:I38" si="10">C30*100/1249676</f>
        <v>72.880090519462641</v>
      </c>
      <c r="I38">
        <f t="shared" si="10"/>
        <v>62.630073715106953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1F3-E8EB-42CA-9E27-635FDC98FD12}">
  <dimension ref="A1:J28"/>
  <sheetViews>
    <sheetView zoomScale="115" zoomScaleNormal="115" workbookViewId="0">
      <selection activeCell="G26" sqref="G26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772</v>
      </c>
      <c r="C4">
        <v>10</v>
      </c>
      <c r="E4" t="s">
        <v>5</v>
      </c>
      <c r="F4">
        <v>5145</v>
      </c>
      <c r="G4">
        <v>8</v>
      </c>
    </row>
    <row r="5" spans="1:10" x14ac:dyDescent="0.25">
      <c r="A5" t="s">
        <v>6</v>
      </c>
      <c r="B5">
        <v>336</v>
      </c>
      <c r="C5">
        <v>10</v>
      </c>
      <c r="E5" t="s">
        <v>6</v>
      </c>
      <c r="F5">
        <v>3040</v>
      </c>
      <c r="G5">
        <v>10</v>
      </c>
    </row>
    <row r="6" spans="1:10" x14ac:dyDescent="0.25">
      <c r="A6" t="s">
        <v>7</v>
      </c>
      <c r="B6">
        <v>13789</v>
      </c>
      <c r="C6">
        <v>33</v>
      </c>
      <c r="E6" t="s">
        <v>7</v>
      </c>
      <c r="F6">
        <v>4230</v>
      </c>
      <c r="G6">
        <v>20</v>
      </c>
      <c r="I6">
        <v>15111</v>
      </c>
      <c r="J6">
        <v>2092</v>
      </c>
    </row>
    <row r="7" spans="1:10" x14ac:dyDescent="0.25">
      <c r="A7" t="s">
        <v>24</v>
      </c>
      <c r="B7">
        <v>46</v>
      </c>
      <c r="C7">
        <v>2</v>
      </c>
      <c r="E7" t="s">
        <v>24</v>
      </c>
      <c r="F7">
        <v>4</v>
      </c>
      <c r="G7">
        <v>3</v>
      </c>
    </row>
    <row r="8" spans="1:10" x14ac:dyDescent="0.25">
      <c r="A8" t="s">
        <v>8</v>
      </c>
      <c r="B8">
        <v>12421</v>
      </c>
      <c r="C8">
        <v>69</v>
      </c>
      <c r="E8" t="s">
        <v>8</v>
      </c>
      <c r="F8">
        <v>7825</v>
      </c>
      <c r="G8">
        <v>99</v>
      </c>
    </row>
    <row r="9" spans="1:10" x14ac:dyDescent="0.25">
      <c r="A9" t="s">
        <v>9</v>
      </c>
      <c r="B9">
        <v>233</v>
      </c>
      <c r="C9">
        <v>7</v>
      </c>
      <c r="E9" t="s">
        <v>9</v>
      </c>
      <c r="F9">
        <v>21</v>
      </c>
      <c r="G9">
        <v>12</v>
      </c>
    </row>
    <row r="10" spans="1:10" x14ac:dyDescent="0.25">
      <c r="A10" t="s">
        <v>10</v>
      </c>
      <c r="B10">
        <v>2876</v>
      </c>
      <c r="C10">
        <v>3</v>
      </c>
      <c r="E10" t="s">
        <v>10</v>
      </c>
      <c r="F10">
        <v>1198</v>
      </c>
      <c r="G10">
        <v>4</v>
      </c>
    </row>
    <row r="11" spans="1:10" x14ac:dyDescent="0.25">
      <c r="A11" t="s">
        <v>11</v>
      </c>
      <c r="B11">
        <v>10772</v>
      </c>
      <c r="C11">
        <v>63</v>
      </c>
      <c r="E11" t="s">
        <v>11</v>
      </c>
      <c r="F11">
        <v>6673</v>
      </c>
      <c r="G11">
        <v>72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772</v>
      </c>
      <c r="C18">
        <v>5145</v>
      </c>
      <c r="F18" t="s">
        <v>5</v>
      </c>
      <c r="G18">
        <f>100*B18/46141</f>
        <v>1.6731323551721895</v>
      </c>
      <c r="H18">
        <f t="shared" ref="H18:I18" si="0">100*C18/46141</f>
        <v>11.150603584664399</v>
      </c>
      <c r="I18">
        <f t="shared" si="0"/>
        <v>0</v>
      </c>
    </row>
    <row r="19" spans="1:9" x14ac:dyDescent="0.25">
      <c r="A19" t="s">
        <v>6</v>
      </c>
      <c r="B19">
        <v>336</v>
      </c>
      <c r="C19">
        <v>3040</v>
      </c>
      <c r="F19" t="s">
        <v>6</v>
      </c>
      <c r="G19">
        <f t="shared" ref="G19:G25" si="1">100*B19/46141</f>
        <v>0.72820268308012392</v>
      </c>
      <c r="H19">
        <f t="shared" ref="H19:H25" si="2">100*C19/46141</f>
        <v>6.5885004659630262</v>
      </c>
      <c r="I19">
        <f t="shared" ref="I19:I25" si="3">100*D19/46141</f>
        <v>0</v>
      </c>
    </row>
    <row r="20" spans="1:9" x14ac:dyDescent="0.25">
      <c r="A20" t="s">
        <v>7</v>
      </c>
      <c r="B20">
        <v>13789</v>
      </c>
      <c r="C20">
        <v>4230</v>
      </c>
      <c r="D20">
        <v>15111</v>
      </c>
      <c r="F20" t="s">
        <v>7</v>
      </c>
      <c r="G20">
        <f t="shared" si="1"/>
        <v>29.884484514856634</v>
      </c>
      <c r="H20">
        <f t="shared" si="2"/>
        <v>9.1675516352051325</v>
      </c>
      <c r="I20">
        <f t="shared" si="3"/>
        <v>32.749615309594503</v>
      </c>
    </row>
    <row r="21" spans="1:9" x14ac:dyDescent="0.25">
      <c r="A21" t="s">
        <v>24</v>
      </c>
      <c r="B21">
        <v>46</v>
      </c>
      <c r="C21">
        <v>4</v>
      </c>
      <c r="F21" t="s">
        <v>24</v>
      </c>
      <c r="G21">
        <f t="shared" si="1"/>
        <v>9.9694414945493165E-2</v>
      </c>
      <c r="H21">
        <f t="shared" si="2"/>
        <v>8.6690795604776657E-3</v>
      </c>
      <c r="I21">
        <f t="shared" si="3"/>
        <v>0</v>
      </c>
    </row>
    <row r="22" spans="1:9" x14ac:dyDescent="0.25">
      <c r="A22" t="s">
        <v>8</v>
      </c>
      <c r="B22">
        <v>12421</v>
      </c>
      <c r="C22">
        <v>7825</v>
      </c>
      <c r="F22" t="s">
        <v>8</v>
      </c>
      <c r="G22">
        <f t="shared" si="1"/>
        <v>26.919659305173273</v>
      </c>
      <c r="H22">
        <f t="shared" si="2"/>
        <v>16.958886890184434</v>
      </c>
      <c r="I22">
        <f t="shared" si="3"/>
        <v>0</v>
      </c>
    </row>
    <row r="23" spans="1:9" x14ac:dyDescent="0.25">
      <c r="A23" t="s">
        <v>9</v>
      </c>
      <c r="B23">
        <v>233</v>
      </c>
      <c r="C23">
        <v>21</v>
      </c>
      <c r="F23" t="s">
        <v>9</v>
      </c>
      <c r="G23">
        <f t="shared" si="1"/>
        <v>0.50497388439782409</v>
      </c>
      <c r="H23">
        <f t="shared" si="2"/>
        <v>4.5512667692507745E-2</v>
      </c>
      <c r="I23">
        <f t="shared" si="3"/>
        <v>0</v>
      </c>
    </row>
    <row r="24" spans="1:9" x14ac:dyDescent="0.25">
      <c r="A24" t="s">
        <v>10</v>
      </c>
      <c r="B24">
        <v>2876</v>
      </c>
      <c r="C24">
        <v>1198</v>
      </c>
      <c r="F24" t="s">
        <v>10</v>
      </c>
      <c r="G24">
        <f t="shared" si="1"/>
        <v>6.233068203983442</v>
      </c>
      <c r="H24">
        <f t="shared" si="2"/>
        <v>2.596389328363061</v>
      </c>
      <c r="I24">
        <f t="shared" si="3"/>
        <v>0</v>
      </c>
    </row>
    <row r="25" spans="1:9" x14ac:dyDescent="0.25">
      <c r="A25" t="s">
        <v>11</v>
      </c>
      <c r="B25">
        <v>10772</v>
      </c>
      <c r="C25">
        <v>6673</v>
      </c>
      <c r="F25" t="s">
        <v>11</v>
      </c>
      <c r="G25">
        <f t="shared" si="1"/>
        <v>23.345831256366356</v>
      </c>
      <c r="H25">
        <f t="shared" si="2"/>
        <v>14.462191976766867</v>
      </c>
      <c r="I25">
        <f t="shared" si="3"/>
        <v>0</v>
      </c>
    </row>
    <row r="26" spans="1:9" x14ac:dyDescent="0.25">
      <c r="F26" t="s">
        <v>42</v>
      </c>
      <c r="G26">
        <f>B28*100/46141</f>
        <v>10.610953382024663</v>
      </c>
      <c r="H26">
        <f t="shared" ref="H26:I26" si="4">C28*100/46141</f>
        <v>39.021694371600098</v>
      </c>
      <c r="I26">
        <f t="shared" si="4"/>
        <v>67.250384690405497</v>
      </c>
    </row>
    <row r="27" spans="1:9" x14ac:dyDescent="0.25">
      <c r="A27" t="s">
        <v>43</v>
      </c>
      <c r="B27">
        <v>46141</v>
      </c>
      <c r="C27">
        <v>46141</v>
      </c>
      <c r="D27">
        <v>46141</v>
      </c>
    </row>
    <row r="28" spans="1:9" x14ac:dyDescent="0.25">
      <c r="A28" t="s">
        <v>37</v>
      </c>
      <c r="B28">
        <f>B27-SUM(B18:B25)</f>
        <v>4896</v>
      </c>
      <c r="C28">
        <f t="shared" ref="C28:D28" si="5">C27-SUM(C18:C25)</f>
        <v>18005</v>
      </c>
      <c r="D28">
        <f t="shared" si="5"/>
        <v>31030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540-20CD-40C7-960E-05772017A935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609</v>
      </c>
      <c r="C4">
        <v>12</v>
      </c>
      <c r="E4" t="s">
        <v>5</v>
      </c>
      <c r="F4">
        <v>849</v>
      </c>
      <c r="G4">
        <v>16</v>
      </c>
    </row>
    <row r="5" spans="1:10" x14ac:dyDescent="0.25">
      <c r="A5" t="s">
        <v>6</v>
      </c>
      <c r="B5">
        <v>668</v>
      </c>
      <c r="C5">
        <v>14</v>
      </c>
      <c r="E5" t="s">
        <v>6</v>
      </c>
      <c r="F5">
        <v>529</v>
      </c>
      <c r="G5">
        <v>10</v>
      </c>
    </row>
    <row r="6" spans="1:10" x14ac:dyDescent="0.25">
      <c r="A6" t="s">
        <v>7</v>
      </c>
      <c r="B6">
        <v>91627</v>
      </c>
      <c r="C6">
        <v>36</v>
      </c>
      <c r="E6" t="s">
        <v>7</v>
      </c>
      <c r="F6">
        <v>8853</v>
      </c>
      <c r="G6">
        <v>19</v>
      </c>
      <c r="I6">
        <v>29812</v>
      </c>
      <c r="J6">
        <v>2095</v>
      </c>
    </row>
    <row r="7" spans="1:10" x14ac:dyDescent="0.25">
      <c r="A7" t="s">
        <v>24</v>
      </c>
      <c r="B7">
        <v>18351</v>
      </c>
      <c r="C7">
        <v>7</v>
      </c>
      <c r="E7" t="s">
        <v>24</v>
      </c>
      <c r="F7">
        <v>47</v>
      </c>
      <c r="G7">
        <v>9</v>
      </c>
    </row>
    <row r="8" spans="1:10" x14ac:dyDescent="0.25">
      <c r="A8" t="s">
        <v>8</v>
      </c>
      <c r="B8">
        <v>82163</v>
      </c>
      <c r="C8">
        <v>84</v>
      </c>
      <c r="E8" t="s">
        <v>8</v>
      </c>
      <c r="F8">
        <v>3040</v>
      </c>
      <c r="G8">
        <v>89</v>
      </c>
    </row>
    <row r="9" spans="1:10" x14ac:dyDescent="0.25">
      <c r="A9" t="s">
        <v>9</v>
      </c>
      <c r="B9">
        <v>969</v>
      </c>
      <c r="C9">
        <v>27</v>
      </c>
      <c r="E9" t="s">
        <v>9</v>
      </c>
      <c r="F9">
        <v>119</v>
      </c>
      <c r="G9">
        <v>35</v>
      </c>
    </row>
    <row r="10" spans="1:10" x14ac:dyDescent="0.25">
      <c r="A10" t="s">
        <v>10</v>
      </c>
      <c r="B10">
        <v>14779</v>
      </c>
      <c r="C10">
        <v>3</v>
      </c>
      <c r="E10" t="s">
        <v>10</v>
      </c>
      <c r="F10">
        <v>4130</v>
      </c>
      <c r="G10">
        <v>3</v>
      </c>
    </row>
    <row r="11" spans="1:10" x14ac:dyDescent="0.25">
      <c r="A11" t="s">
        <v>11</v>
      </c>
      <c r="B11">
        <v>21579</v>
      </c>
      <c r="C11">
        <v>225</v>
      </c>
      <c r="E11" t="s">
        <v>11</v>
      </c>
      <c r="F11">
        <v>4044</v>
      </c>
      <c r="G11">
        <v>240</v>
      </c>
      <c r="I11">
        <v>13160</v>
      </c>
      <c r="J11">
        <v>1689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609</v>
      </c>
      <c r="C16">
        <v>849</v>
      </c>
      <c r="F16" t="s">
        <v>5</v>
      </c>
      <c r="G16">
        <f t="shared" ref="G16:I23" si="0">B16*100/244518</f>
        <v>0.24906141879125462</v>
      </c>
      <c r="H16">
        <f t="shared" si="0"/>
        <v>0.34721370205874413</v>
      </c>
      <c r="I16">
        <f t="shared" si="0"/>
        <v>0</v>
      </c>
    </row>
    <row r="17" spans="1:9" x14ac:dyDescent="0.25">
      <c r="A17" t="s">
        <v>6</v>
      </c>
      <c r="B17">
        <v>668</v>
      </c>
      <c r="C17">
        <v>529</v>
      </c>
      <c r="F17" t="s">
        <v>6</v>
      </c>
      <c r="G17">
        <f t="shared" si="0"/>
        <v>0.27319052176117914</v>
      </c>
      <c r="H17">
        <f t="shared" si="0"/>
        <v>0.21634399103542479</v>
      </c>
      <c r="I17">
        <f t="shared" si="0"/>
        <v>0</v>
      </c>
    </row>
    <row r="18" spans="1:9" x14ac:dyDescent="0.25">
      <c r="A18" t="s">
        <v>7</v>
      </c>
      <c r="B18">
        <v>91627</v>
      </c>
      <c r="C18">
        <v>8853</v>
      </c>
      <c r="D18">
        <v>29812</v>
      </c>
      <c r="F18" t="s">
        <v>7</v>
      </c>
      <c r="G18">
        <f t="shared" si="0"/>
        <v>37.472496912292755</v>
      </c>
      <c r="H18">
        <f t="shared" si="0"/>
        <v>3.6205923490295193</v>
      </c>
      <c r="I18">
        <f t="shared" si="0"/>
        <v>12.192149453209989</v>
      </c>
    </row>
    <row r="19" spans="1:9" x14ac:dyDescent="0.25">
      <c r="A19" t="s">
        <v>24</v>
      </c>
      <c r="B19">
        <v>18351</v>
      </c>
      <c r="C19">
        <v>47</v>
      </c>
      <c r="F19" t="s">
        <v>24</v>
      </c>
      <c r="G19">
        <f t="shared" si="0"/>
        <v>7.5049689593404167</v>
      </c>
      <c r="H19">
        <f t="shared" si="0"/>
        <v>1.922148880655003E-2</v>
      </c>
      <c r="I19">
        <f t="shared" si="0"/>
        <v>0</v>
      </c>
    </row>
    <row r="20" spans="1:9" x14ac:dyDescent="0.25">
      <c r="A20" t="s">
        <v>8</v>
      </c>
      <c r="B20">
        <v>82163</v>
      </c>
      <c r="C20">
        <v>3040</v>
      </c>
      <c r="F20" t="s">
        <v>8</v>
      </c>
      <c r="G20">
        <f t="shared" si="0"/>
        <v>33.602025208778088</v>
      </c>
      <c r="H20">
        <f t="shared" si="0"/>
        <v>1.2432622547215337</v>
      </c>
      <c r="I20">
        <f t="shared" si="0"/>
        <v>0</v>
      </c>
    </row>
    <row r="21" spans="1:9" x14ac:dyDescent="0.25">
      <c r="A21" t="s">
        <v>9</v>
      </c>
      <c r="B21">
        <v>969</v>
      </c>
      <c r="C21">
        <v>119</v>
      </c>
      <c r="F21" t="s">
        <v>9</v>
      </c>
      <c r="G21">
        <f t="shared" si="0"/>
        <v>0.39628984369248887</v>
      </c>
      <c r="H21">
        <f t="shared" si="0"/>
        <v>4.8667173786796879E-2</v>
      </c>
      <c r="I21">
        <f t="shared" si="0"/>
        <v>0</v>
      </c>
    </row>
    <row r="22" spans="1:9" x14ac:dyDescent="0.25">
      <c r="A22" t="s">
        <v>10</v>
      </c>
      <c r="B22">
        <v>14779</v>
      </c>
      <c r="C22">
        <v>4130</v>
      </c>
      <c r="F22" t="s">
        <v>10</v>
      </c>
      <c r="G22">
        <f t="shared" si="0"/>
        <v>6.0441358100426141</v>
      </c>
      <c r="H22">
        <f t="shared" si="0"/>
        <v>1.6890372078947153</v>
      </c>
      <c r="I22">
        <f t="shared" si="0"/>
        <v>0</v>
      </c>
    </row>
    <row r="23" spans="1:9" x14ac:dyDescent="0.25">
      <c r="A23" t="s">
        <v>11</v>
      </c>
      <c r="B23">
        <v>21579</v>
      </c>
      <c r="C23">
        <v>4044</v>
      </c>
      <c r="D23">
        <v>13160</v>
      </c>
      <c r="F23" t="s">
        <v>11</v>
      </c>
      <c r="G23">
        <f t="shared" si="0"/>
        <v>8.8251171692881503</v>
      </c>
      <c r="H23">
        <f t="shared" si="0"/>
        <v>1.6538659730571983</v>
      </c>
      <c r="I23">
        <f t="shared" si="0"/>
        <v>5.3820168658340082</v>
      </c>
    </row>
    <row r="24" spans="1:9" x14ac:dyDescent="0.25">
      <c r="F24" t="s">
        <v>42</v>
      </c>
      <c r="G24">
        <f>B27*100/244518</f>
        <v>5.632714156013054</v>
      </c>
      <c r="H24">
        <f t="shared" ref="H24:I24" si="1">C27*100/244518</f>
        <v>91.161795859609512</v>
      </c>
      <c r="I24">
        <f t="shared" si="1"/>
        <v>82.425833680956003</v>
      </c>
    </row>
    <row r="26" spans="1:9" x14ac:dyDescent="0.25">
      <c r="A26" t="s">
        <v>34</v>
      </c>
      <c r="B26">
        <v>244518</v>
      </c>
      <c r="C26">
        <v>244518</v>
      </c>
      <c r="D26">
        <v>244518</v>
      </c>
    </row>
    <row r="27" spans="1:9" x14ac:dyDescent="0.25">
      <c r="A27" t="s">
        <v>37</v>
      </c>
      <c r="B27">
        <f>B26-SUM(B16:B23)</f>
        <v>13773</v>
      </c>
      <c r="C27">
        <f t="shared" ref="C27:D27" si="2">C26-SUM(C16:C23)</f>
        <v>222907</v>
      </c>
      <c r="D27">
        <f t="shared" si="2"/>
        <v>201546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2F9-1367-45DB-AA56-5D28B2EC867D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1213</v>
      </c>
      <c r="C4">
        <v>20</v>
      </c>
      <c r="E4" t="s">
        <v>5</v>
      </c>
      <c r="F4">
        <v>1946</v>
      </c>
      <c r="G4">
        <v>37</v>
      </c>
    </row>
    <row r="5" spans="1:10" x14ac:dyDescent="0.25">
      <c r="A5" t="s">
        <v>6</v>
      </c>
      <c r="B5">
        <v>809</v>
      </c>
      <c r="C5">
        <v>13</v>
      </c>
      <c r="E5" t="s">
        <v>6</v>
      </c>
      <c r="F5">
        <v>1252</v>
      </c>
      <c r="G5">
        <v>12</v>
      </c>
    </row>
    <row r="6" spans="1:10" x14ac:dyDescent="0.25">
      <c r="A6" t="s">
        <v>7</v>
      </c>
      <c r="B6">
        <v>135931</v>
      </c>
      <c r="C6">
        <v>27</v>
      </c>
      <c r="E6" t="s">
        <v>7</v>
      </c>
      <c r="F6">
        <v>14829</v>
      </c>
      <c r="G6">
        <v>36</v>
      </c>
      <c r="I6">
        <v>66877</v>
      </c>
      <c r="J6">
        <v>4595</v>
      </c>
    </row>
    <row r="7" spans="1:10" x14ac:dyDescent="0.25">
      <c r="A7" t="s">
        <v>24</v>
      </c>
      <c r="B7">
        <v>549</v>
      </c>
      <c r="C7">
        <v>18</v>
      </c>
      <c r="E7" t="s">
        <v>24</v>
      </c>
      <c r="F7">
        <v>28</v>
      </c>
      <c r="G7">
        <v>11</v>
      </c>
    </row>
    <row r="8" spans="1:10" x14ac:dyDescent="0.25">
      <c r="A8" t="s">
        <v>8</v>
      </c>
      <c r="B8">
        <v>22710</v>
      </c>
      <c r="C8">
        <v>108</v>
      </c>
      <c r="E8" t="s">
        <v>8</v>
      </c>
      <c r="F8">
        <v>6909</v>
      </c>
      <c r="G8">
        <v>178</v>
      </c>
    </row>
    <row r="9" spans="1:10" x14ac:dyDescent="0.25">
      <c r="A9" t="s">
        <v>9</v>
      </c>
      <c r="B9">
        <v>1061</v>
      </c>
      <c r="C9">
        <v>49</v>
      </c>
      <c r="E9" t="s">
        <v>9</v>
      </c>
      <c r="F9">
        <v>128</v>
      </c>
      <c r="G9">
        <v>59</v>
      </c>
    </row>
    <row r="10" spans="1:10" x14ac:dyDescent="0.25">
      <c r="A10" t="s">
        <v>10</v>
      </c>
      <c r="B10">
        <v>17512</v>
      </c>
      <c r="C10">
        <v>4</v>
      </c>
      <c r="E10" t="s">
        <v>10</v>
      </c>
      <c r="F10">
        <v>4726</v>
      </c>
      <c r="G10">
        <v>4</v>
      </c>
      <c r="I10">
        <v>2470</v>
      </c>
      <c r="J10">
        <v>555</v>
      </c>
    </row>
    <row r="11" spans="1:10" x14ac:dyDescent="0.25">
      <c r="A11" t="s">
        <v>11</v>
      </c>
      <c r="B11">
        <v>15790</v>
      </c>
      <c r="C11">
        <v>443</v>
      </c>
      <c r="E11" t="s">
        <v>11</v>
      </c>
      <c r="F11">
        <v>8617</v>
      </c>
      <c r="G11">
        <v>401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1213</v>
      </c>
      <c r="C16">
        <v>1946</v>
      </c>
      <c r="F16" t="s">
        <v>5</v>
      </c>
      <c r="G16">
        <f>100*B16/208189</f>
        <v>0.58264365552454744</v>
      </c>
      <c r="H16">
        <f t="shared" ref="H16:I23" si="0">100*C16/208189</f>
        <v>0.93472757926691608</v>
      </c>
      <c r="I16">
        <f t="shared" si="0"/>
        <v>0</v>
      </c>
    </row>
    <row r="17" spans="1:9" x14ac:dyDescent="0.25">
      <c r="A17" t="s">
        <v>6</v>
      </c>
      <c r="B17">
        <v>809</v>
      </c>
      <c r="C17">
        <v>1252</v>
      </c>
      <c r="F17" t="s">
        <v>6</v>
      </c>
      <c r="G17">
        <f t="shared" ref="G17:G22" si="1">100*B17/208189</f>
        <v>0.38858921460788032</v>
      </c>
      <c r="H17">
        <f t="shared" si="0"/>
        <v>0.60137663373184946</v>
      </c>
      <c r="I17">
        <f t="shared" si="0"/>
        <v>0</v>
      </c>
    </row>
    <row r="18" spans="1:9" x14ac:dyDescent="0.25">
      <c r="A18" t="s">
        <v>7</v>
      </c>
      <c r="B18">
        <v>135931</v>
      </c>
      <c r="C18">
        <v>14829</v>
      </c>
      <c r="D18">
        <v>66877</v>
      </c>
      <c r="F18" t="s">
        <v>7</v>
      </c>
      <c r="G18">
        <f t="shared" si="1"/>
        <v>65.292114376840274</v>
      </c>
      <c r="H18">
        <f t="shared" si="0"/>
        <v>7.1228547137456832</v>
      </c>
      <c r="I18">
        <f t="shared" si="0"/>
        <v>32.123214963326596</v>
      </c>
    </row>
    <row r="19" spans="1:9" x14ac:dyDescent="0.25">
      <c r="I19">
        <f t="shared" si="0"/>
        <v>0</v>
      </c>
    </row>
    <row r="20" spans="1:9" x14ac:dyDescent="0.25">
      <c r="A20" t="s">
        <v>8</v>
      </c>
      <c r="B20">
        <v>22710</v>
      </c>
      <c r="C20">
        <v>6909</v>
      </c>
      <c r="F20" t="s">
        <v>8</v>
      </c>
      <c r="G20">
        <f t="shared" si="1"/>
        <v>10.90835730994433</v>
      </c>
      <c r="H20">
        <f t="shared" si="0"/>
        <v>3.3186191393397344</v>
      </c>
      <c r="I20">
        <f t="shared" si="0"/>
        <v>0</v>
      </c>
    </row>
    <row r="21" spans="1:9" x14ac:dyDescent="0.25">
      <c r="A21" t="s">
        <v>9</v>
      </c>
      <c r="B21">
        <v>1061</v>
      </c>
      <c r="C21">
        <v>128</v>
      </c>
      <c r="F21" t="s">
        <v>9</v>
      </c>
      <c r="G21">
        <f t="shared" si="1"/>
        <v>0.50963307379352418</v>
      </c>
      <c r="H21">
        <f t="shared" si="0"/>
        <v>6.1482595141914322E-2</v>
      </c>
      <c r="I21">
        <f t="shared" si="0"/>
        <v>0</v>
      </c>
    </row>
    <row r="22" spans="1:9" x14ac:dyDescent="0.25">
      <c r="A22" t="s">
        <v>10</v>
      </c>
      <c r="B22">
        <v>17512</v>
      </c>
      <c r="C22">
        <v>4726</v>
      </c>
      <c r="D22">
        <v>2470</v>
      </c>
      <c r="F22" t="s">
        <v>10</v>
      </c>
      <c r="G22">
        <f t="shared" si="1"/>
        <v>8.4115875478531521</v>
      </c>
      <c r="H22">
        <f t="shared" si="0"/>
        <v>2.2700526925053679</v>
      </c>
      <c r="I22">
        <f t="shared" si="0"/>
        <v>1.1864219531291278</v>
      </c>
    </row>
    <row r="23" spans="1:9" x14ac:dyDescent="0.25">
      <c r="I23">
        <f t="shared" si="0"/>
        <v>0</v>
      </c>
    </row>
    <row r="24" spans="1:9" x14ac:dyDescent="0.25">
      <c r="F24" t="s">
        <v>42</v>
      </c>
      <c r="G24">
        <f>B27*100/208189</f>
        <v>13.907074821436291</v>
      </c>
      <c r="H24">
        <f t="shared" ref="H24:I24" si="2">C27*100/208189</f>
        <v>85.690886646268538</v>
      </c>
      <c r="I24">
        <f t="shared" si="2"/>
        <v>66.690363083544284</v>
      </c>
    </row>
    <row r="26" spans="1:9" x14ac:dyDescent="0.25">
      <c r="A26" t="s">
        <v>43</v>
      </c>
      <c r="B26">
        <v>208189</v>
      </c>
      <c r="C26">
        <v>208189</v>
      </c>
      <c r="D26">
        <v>208189</v>
      </c>
    </row>
    <row r="27" spans="1:9" x14ac:dyDescent="0.25">
      <c r="A27" t="s">
        <v>37</v>
      </c>
      <c r="B27">
        <f>B26-SUM(B16:B23)</f>
        <v>28953</v>
      </c>
      <c r="C27">
        <f t="shared" ref="C27:D27" si="3">C26-SUM(C16:C23)</f>
        <v>178399</v>
      </c>
      <c r="D27">
        <f t="shared" si="3"/>
        <v>138842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kneaddata putative</vt:lpstr>
      <vt:lpstr>Sheet1</vt:lpstr>
      <vt:lpstr>updated</vt:lpstr>
      <vt:lpstr>consolidateds</vt:lpstr>
      <vt:lpstr>501 cecq n</vt:lpstr>
      <vt:lpstr>501 cecq y</vt:lpstr>
      <vt:lpstr>501 colq n</vt:lpstr>
      <vt:lpstr>502 cecq n</vt:lpstr>
      <vt:lpstr>502 cecq y</vt:lpstr>
      <vt:lpstr>502 colq n</vt:lpstr>
      <vt:lpstr>503 cecm n</vt:lpstr>
      <vt:lpstr>503 cecq n</vt:lpstr>
      <vt:lpstr>504 cecm n</vt:lpstr>
      <vt:lpstr>504 cecq n</vt:lpstr>
      <vt:lpstr>504 cecq y</vt:lpstr>
      <vt:lpstr>504 colq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2019-07-17T19:55:53Z</dcterms:modified>
</cp:coreProperties>
</file>