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A9F43887-FD1A-4B91-BDA5-52B615D6F8D5}" xr6:coauthVersionLast="47" xr6:coauthVersionMax="47" xr10:uidLastSave="{00000000-0000-0000-0000-000000000000}"/>
  <bookViews>
    <workbookView xWindow="-120" yWindow="-120" windowWidth="29040" windowHeight="15840" activeTab="1" xr2:uid="{D3FA88B4-C151-4007-87D5-293FBDCB5EFE}"/>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8" i="2" l="1"/>
  <c r="AM22" i="2"/>
  <c r="AL22" i="2"/>
  <c r="AK22" i="2"/>
  <c r="Z26" i="2"/>
  <c r="AJ26" i="2" s="1"/>
  <c r="Y26" i="2"/>
  <c r="X26" i="2"/>
  <c r="AM16" i="2"/>
  <c r="AL16" i="2"/>
  <c r="AM15" i="2"/>
  <c r="AL15" i="2"/>
  <c r="X15" i="2"/>
  <c r="AK16" i="2"/>
  <c r="K22" i="2"/>
  <c r="AG22" i="2" s="1"/>
  <c r="G22" i="2"/>
  <c r="G21" i="2"/>
  <c r="I22" i="2"/>
  <c r="I21" i="2"/>
  <c r="J22" i="2"/>
  <c r="J21" i="2"/>
  <c r="M22" i="2"/>
  <c r="M21" i="2"/>
  <c r="N22" i="2"/>
  <c r="N21" i="2"/>
  <c r="AI22" i="2"/>
  <c r="AH22" i="2"/>
  <c r="AE22" i="2"/>
  <c r="X18" i="2"/>
  <c r="X16" i="2"/>
  <c r="Z22" i="2"/>
  <c r="Y22" i="2"/>
  <c r="X22" i="2"/>
  <c r="V61" i="2"/>
  <c r="V66" i="2" s="1"/>
  <c r="V68" i="2" s="1"/>
  <c r="U61" i="2"/>
  <c r="U66" i="2" s="1"/>
  <c r="U68" i="2" s="1"/>
  <c r="T61" i="2"/>
  <c r="T66" i="2" s="1"/>
  <c r="T68" i="2" s="1"/>
  <c r="S61" i="2"/>
  <c r="S66" i="2" s="1"/>
  <c r="S68" i="2" s="1"/>
  <c r="R61" i="2"/>
  <c r="R66" i="2" s="1"/>
  <c r="R68" i="2" s="1"/>
  <c r="Q61" i="2"/>
  <c r="Q66" i="2" s="1"/>
  <c r="Q68" i="2" s="1"/>
  <c r="P61" i="2"/>
  <c r="P66" i="2" s="1"/>
  <c r="P68" i="2" s="1"/>
  <c r="O61" i="2"/>
  <c r="O66" i="2" s="1"/>
  <c r="O68" i="2" s="1"/>
  <c r="N61" i="2"/>
  <c r="N66" i="2" s="1"/>
  <c r="N68" i="2" s="1"/>
  <c r="M61" i="2"/>
  <c r="M66" i="2" s="1"/>
  <c r="M68" i="2" s="1"/>
  <c r="L61" i="2"/>
  <c r="L66" i="2" s="1"/>
  <c r="L68" i="2" s="1"/>
  <c r="K61" i="2"/>
  <c r="K66" i="2" s="1"/>
  <c r="K68" i="2" s="1"/>
  <c r="J61" i="2"/>
  <c r="J66" i="2" s="1"/>
  <c r="J68" i="2" s="1"/>
  <c r="I61" i="2"/>
  <c r="I66" i="2" s="1"/>
  <c r="I68" i="2" s="1"/>
  <c r="H61" i="2"/>
  <c r="H66" i="2" s="1"/>
  <c r="H68" i="2" s="1"/>
  <c r="G61" i="2"/>
  <c r="G66" i="2" s="1"/>
  <c r="G68" i="2" s="1"/>
  <c r="F61" i="2"/>
  <c r="F66" i="2" s="1"/>
  <c r="F68" i="2" s="1"/>
  <c r="E61" i="2"/>
  <c r="E66" i="2" s="1"/>
  <c r="E68" i="2" s="1"/>
  <c r="D61" i="2"/>
  <c r="D66" i="2" s="1"/>
  <c r="D68" i="2" s="1"/>
  <c r="C61" i="2"/>
  <c r="C66" i="2" s="1"/>
  <c r="C68" i="2" s="1"/>
  <c r="W61" i="2"/>
  <c r="W66" i="2" s="1"/>
  <c r="W68" i="2" s="1"/>
  <c r="V54" i="2"/>
  <c r="U54" i="2"/>
  <c r="T54" i="2"/>
  <c r="S54" i="2"/>
  <c r="R54" i="2"/>
  <c r="Q54" i="2"/>
  <c r="P54" i="2"/>
  <c r="O54" i="2"/>
  <c r="N54" i="2"/>
  <c r="M54" i="2"/>
  <c r="L54" i="2"/>
  <c r="K54" i="2"/>
  <c r="J54" i="2"/>
  <c r="I54" i="2"/>
  <c r="H54" i="2"/>
  <c r="G54" i="2"/>
  <c r="F54" i="2"/>
  <c r="E54" i="2"/>
  <c r="D54" i="2"/>
  <c r="C54" i="2"/>
  <c r="W54" i="2"/>
  <c r="V47" i="2"/>
  <c r="U47" i="2"/>
  <c r="T47" i="2"/>
  <c r="S47" i="2"/>
  <c r="R47" i="2"/>
  <c r="Q47" i="2"/>
  <c r="P47" i="2"/>
  <c r="O47" i="2"/>
  <c r="N47" i="2"/>
  <c r="M47" i="2"/>
  <c r="L47" i="2"/>
  <c r="K47" i="2"/>
  <c r="J47" i="2"/>
  <c r="I47" i="2"/>
  <c r="I57" i="2" s="1"/>
  <c r="H47" i="2"/>
  <c r="G47" i="2"/>
  <c r="F47" i="2"/>
  <c r="E47" i="2"/>
  <c r="D47" i="2"/>
  <c r="C47" i="2"/>
  <c r="W47" i="2"/>
  <c r="V43" i="2"/>
  <c r="U43" i="2"/>
  <c r="T43" i="2"/>
  <c r="S43" i="2"/>
  <c r="R43" i="2"/>
  <c r="Q43" i="2"/>
  <c r="P43" i="2"/>
  <c r="O43" i="2"/>
  <c r="N43" i="2"/>
  <c r="M43" i="2"/>
  <c r="L43" i="2"/>
  <c r="K43" i="2"/>
  <c r="J43" i="2"/>
  <c r="I43" i="2"/>
  <c r="H43" i="2"/>
  <c r="G43" i="2"/>
  <c r="F43" i="2"/>
  <c r="E43" i="2"/>
  <c r="D43" i="2"/>
  <c r="C43" i="2"/>
  <c r="W43" i="2"/>
  <c r="N12" i="2"/>
  <c r="N11" i="2"/>
  <c r="N8" i="2"/>
  <c r="AG8" i="2" s="1"/>
  <c r="N7" i="2"/>
  <c r="AG7" i="2" s="1"/>
  <c r="N6" i="2"/>
  <c r="AG6" i="2" s="1"/>
  <c r="N5" i="2"/>
  <c r="N4" i="2"/>
  <c r="N3" i="2"/>
  <c r="AG3" i="2" s="1"/>
  <c r="AG12" i="2"/>
  <c r="AG5" i="2"/>
  <c r="J12" i="2"/>
  <c r="AF12" i="2" s="1"/>
  <c r="J11" i="2"/>
  <c r="AF11" i="2" s="1"/>
  <c r="AF13" i="2" s="1"/>
  <c r="J8" i="2"/>
  <c r="AF8" i="2" s="1"/>
  <c r="J7" i="2"/>
  <c r="AF7" i="2" s="1"/>
  <c r="J6" i="2"/>
  <c r="AF6" i="2" s="1"/>
  <c r="J5" i="2"/>
  <c r="AF5" i="2" s="1"/>
  <c r="J4" i="2"/>
  <c r="AF4" i="2" s="1"/>
  <c r="J3" i="2"/>
  <c r="AF3" i="2" s="1"/>
  <c r="F12" i="2"/>
  <c r="AE12" i="2" s="1"/>
  <c r="F11" i="2"/>
  <c r="AE11" i="2" s="1"/>
  <c r="AE13" i="2" s="1"/>
  <c r="F8" i="2"/>
  <c r="AE8" i="2" s="1"/>
  <c r="F7" i="2"/>
  <c r="AE7" i="2" s="1"/>
  <c r="F6" i="2"/>
  <c r="AE6" i="2" s="1"/>
  <c r="F5" i="2"/>
  <c r="AE5" i="2" s="1"/>
  <c r="F4" i="2"/>
  <c r="AE4" i="2" s="1"/>
  <c r="F3" i="2"/>
  <c r="AE3" i="2" s="1"/>
  <c r="R12" i="2"/>
  <c r="AH12" i="2" s="1"/>
  <c r="R11" i="2"/>
  <c r="AH11" i="2" s="1"/>
  <c r="V12" i="2"/>
  <c r="AI12" i="2" s="1"/>
  <c r="V11" i="2"/>
  <c r="AI11" i="2" s="1"/>
  <c r="R8" i="2"/>
  <c r="AH8" i="2" s="1"/>
  <c r="R7" i="2"/>
  <c r="AH7" i="2" s="1"/>
  <c r="R6" i="2"/>
  <c r="AH6" i="2" s="1"/>
  <c r="R5" i="2"/>
  <c r="AH5" i="2" s="1"/>
  <c r="R4" i="2"/>
  <c r="AH4" i="2" s="1"/>
  <c r="R3" i="2"/>
  <c r="AH3" i="2" s="1"/>
  <c r="V8" i="2"/>
  <c r="V7" i="2"/>
  <c r="AI7" i="2" s="1"/>
  <c r="V6" i="2"/>
  <c r="AI6" i="2" s="1"/>
  <c r="V5" i="2"/>
  <c r="AI5" i="2" s="1"/>
  <c r="V4" i="2"/>
  <c r="AI4" i="2" s="1"/>
  <c r="V3" i="2"/>
  <c r="AI3" i="2" s="1"/>
  <c r="AI16" i="2"/>
  <c r="AI8" i="2"/>
  <c r="U13" i="2"/>
  <c r="T13" i="2"/>
  <c r="S13" i="2"/>
  <c r="Q13" i="2"/>
  <c r="P13" i="2"/>
  <c r="O13" i="2"/>
  <c r="M13" i="2"/>
  <c r="L13" i="2"/>
  <c r="K13" i="2"/>
  <c r="I13" i="2"/>
  <c r="H13" i="2"/>
  <c r="G13" i="2"/>
  <c r="E13" i="2"/>
  <c r="D13" i="2"/>
  <c r="C13" i="2"/>
  <c r="W9" i="2"/>
  <c r="U9" i="2"/>
  <c r="T9" i="2"/>
  <c r="S9" i="2"/>
  <c r="Q9" i="2"/>
  <c r="P9" i="2"/>
  <c r="O9" i="2"/>
  <c r="M9" i="2"/>
  <c r="L9" i="2"/>
  <c r="K9" i="2"/>
  <c r="I9" i="2"/>
  <c r="H9" i="2"/>
  <c r="G9" i="2"/>
  <c r="E9" i="2"/>
  <c r="D9" i="2"/>
  <c r="C9" i="2"/>
  <c r="W13" i="2"/>
  <c r="C21" i="2"/>
  <c r="D21" i="2"/>
  <c r="E21" i="2"/>
  <c r="F21" i="2"/>
  <c r="H21" i="2"/>
  <c r="L21" i="2"/>
  <c r="O21" i="2"/>
  <c r="P21" i="2"/>
  <c r="Q21" i="2"/>
  <c r="S21" i="2"/>
  <c r="T21" i="2"/>
  <c r="X21" i="2" s="1"/>
  <c r="U21" i="2"/>
  <c r="Y21" i="2" s="1"/>
  <c r="V21" i="2"/>
  <c r="Z21" i="2" s="1"/>
  <c r="W21" i="2"/>
  <c r="Z16" i="2"/>
  <c r="Z33" i="2" s="1"/>
  <c r="Y16" i="2"/>
  <c r="X33" i="2"/>
  <c r="Z18" i="2"/>
  <c r="Z34" i="2" s="1"/>
  <c r="Y34" i="2"/>
  <c r="X34" i="2"/>
  <c r="Y36" i="2"/>
  <c r="X36" i="2"/>
  <c r="AH26" i="2"/>
  <c r="AH24" i="2"/>
  <c r="AH18" i="2"/>
  <c r="AH19" i="2" s="1"/>
  <c r="AH16" i="2"/>
  <c r="AI26" i="2"/>
  <c r="AI24" i="2"/>
  <c r="AI18" i="2"/>
  <c r="AI19" i="2" s="1"/>
  <c r="W19" i="2"/>
  <c r="V19" i="2"/>
  <c r="U19" i="2"/>
  <c r="T19" i="2"/>
  <c r="S19" i="2"/>
  <c r="R19" i="2"/>
  <c r="S33" i="2"/>
  <c r="T33" i="2"/>
  <c r="U33" i="2"/>
  <c r="W33" i="2"/>
  <c r="S34" i="2"/>
  <c r="T34" i="2"/>
  <c r="U34" i="2"/>
  <c r="V34" i="2"/>
  <c r="W34" i="2"/>
  <c r="S36" i="2"/>
  <c r="T36" i="2"/>
  <c r="U36" i="2"/>
  <c r="V36" i="2"/>
  <c r="W36" i="2"/>
  <c r="C8" i="1"/>
  <c r="C13" i="3"/>
  <c r="E57" i="2" l="1"/>
  <c r="M57" i="2"/>
  <c r="Q57" i="2"/>
  <c r="U57" i="2"/>
  <c r="AF22" i="2"/>
  <c r="W15" i="2"/>
  <c r="F57" i="2"/>
  <c r="J57" i="2"/>
  <c r="N57" i="2"/>
  <c r="R57" i="2"/>
  <c r="V57" i="2"/>
  <c r="AI13" i="2"/>
  <c r="AJ22" i="2"/>
  <c r="D57" i="2"/>
  <c r="H57" i="2"/>
  <c r="L57" i="2"/>
  <c r="P57" i="2"/>
  <c r="T57" i="2"/>
  <c r="C57" i="2"/>
  <c r="G57" i="2"/>
  <c r="K57" i="2"/>
  <c r="O57" i="2"/>
  <c r="AE9" i="2"/>
  <c r="AE15" i="2" s="1"/>
  <c r="W17" i="2"/>
  <c r="W20" i="2" s="1"/>
  <c r="J13" i="2"/>
  <c r="S57" i="2"/>
  <c r="W57" i="2"/>
  <c r="N13" i="2"/>
  <c r="AG11" i="2"/>
  <c r="AG13" i="2" s="1"/>
  <c r="N9" i="2"/>
  <c r="AG4" i="2"/>
  <c r="AG9" i="2" s="1"/>
  <c r="AF9" i="2"/>
  <c r="AF15" i="2" s="1"/>
  <c r="J9" i="2"/>
  <c r="J15" i="2" s="1"/>
  <c r="F13" i="2"/>
  <c r="F9" i="2"/>
  <c r="F15" i="2" s="1"/>
  <c r="E15" i="2"/>
  <c r="G15" i="2"/>
  <c r="L15" i="2"/>
  <c r="M15" i="2"/>
  <c r="R13" i="2"/>
  <c r="AH13" i="2"/>
  <c r="V13" i="2"/>
  <c r="AH9" i="2"/>
  <c r="R9" i="2"/>
  <c r="R15" i="2" s="1"/>
  <c r="R17" i="2" s="1"/>
  <c r="R20" i="2" s="1"/>
  <c r="R23" i="2" s="1"/>
  <c r="V9" i="2"/>
  <c r="P15" i="2"/>
  <c r="Q15" i="2"/>
  <c r="Q17" i="2" s="1"/>
  <c r="U15" i="2"/>
  <c r="Y15" i="2" s="1"/>
  <c r="Y32" i="2" s="1"/>
  <c r="AI9" i="2"/>
  <c r="I15" i="2"/>
  <c r="O15" i="2"/>
  <c r="C15" i="2"/>
  <c r="S15" i="2"/>
  <c r="W32" i="2" s="1"/>
  <c r="D15" i="2"/>
  <c r="H15" i="2"/>
  <c r="T15" i="2"/>
  <c r="X32" i="2" s="1"/>
  <c r="K15" i="2"/>
  <c r="Z36" i="2"/>
  <c r="AJ21" i="2"/>
  <c r="AJ16" i="2"/>
  <c r="AI21" i="2"/>
  <c r="AJ18" i="2"/>
  <c r="Y19" i="2"/>
  <c r="X19" i="2"/>
  <c r="Y33" i="2"/>
  <c r="Z19" i="2"/>
  <c r="U17" i="2"/>
  <c r="U38" i="2" s="1"/>
  <c r="Q19" i="2"/>
  <c r="S17" i="2" l="1"/>
  <c r="S20" i="2" s="1"/>
  <c r="V15" i="2"/>
  <c r="V17" i="2" s="1"/>
  <c r="AH15" i="2"/>
  <c r="AH17" i="2" s="1"/>
  <c r="AH20" i="2" s="1"/>
  <c r="N15" i="2"/>
  <c r="AG15" i="2"/>
  <c r="Z15" i="2"/>
  <c r="Z32" i="2" s="1"/>
  <c r="V32" i="2"/>
  <c r="T17" i="2"/>
  <c r="T20" i="2" s="1"/>
  <c r="T39" i="2" s="1"/>
  <c r="U32" i="2"/>
  <c r="AI15" i="2"/>
  <c r="AI17" i="2" s="1"/>
  <c r="AI20" i="2" s="1"/>
  <c r="T32" i="2"/>
  <c r="X17" i="2"/>
  <c r="X38" i="2" s="1"/>
  <c r="Y17" i="2"/>
  <c r="Y20" i="2" s="1"/>
  <c r="Y23" i="2" s="1"/>
  <c r="W23" i="2"/>
  <c r="W25" i="2" s="1"/>
  <c r="W27" i="2" s="1"/>
  <c r="S23" i="2"/>
  <c r="S25" i="2" s="1"/>
  <c r="S27" i="2" s="1"/>
  <c r="Z17" i="2"/>
  <c r="Q20" i="2"/>
  <c r="U20" i="2"/>
  <c r="U39" i="2" s="1"/>
  <c r="S38" i="2"/>
  <c r="W38" i="2"/>
  <c r="AQ35" i="2"/>
  <c r="C3" i="3"/>
  <c r="T38" i="2" l="1"/>
  <c r="T23" i="2"/>
  <c r="T25" i="2" s="1"/>
  <c r="T27" i="2" s="1"/>
  <c r="AI23" i="2"/>
  <c r="AI25" i="2" s="1"/>
  <c r="AI27" i="2" s="1"/>
  <c r="V38" i="2"/>
  <c r="V20" i="2"/>
  <c r="AJ15" i="2"/>
  <c r="AK15" i="2" s="1"/>
  <c r="X20" i="2"/>
  <c r="X39" i="2" s="1"/>
  <c r="Y38" i="2"/>
  <c r="Q23" i="2"/>
  <c r="Q25" i="2" s="1"/>
  <c r="Q27" i="2" s="1"/>
  <c r="U23" i="2"/>
  <c r="U25" i="2" s="1"/>
  <c r="U27" i="2" s="1"/>
  <c r="Z38" i="2"/>
  <c r="Z20" i="2"/>
  <c r="Z23" i="2" s="1"/>
  <c r="Y39" i="2"/>
  <c r="Y24" i="2"/>
  <c r="T40" i="2"/>
  <c r="S39" i="2"/>
  <c r="W39" i="2"/>
  <c r="Q39" i="2"/>
  <c r="R38" i="2"/>
  <c r="Q38" i="2"/>
  <c r="Q36" i="2"/>
  <c r="P36" i="2"/>
  <c r="O36" i="2"/>
  <c r="N36" i="2"/>
  <c r="M36" i="2"/>
  <c r="L36" i="2"/>
  <c r="K36" i="2"/>
  <c r="J36" i="2"/>
  <c r="I36" i="2"/>
  <c r="H36" i="2"/>
  <c r="G36" i="2"/>
  <c r="Q34" i="2"/>
  <c r="P34" i="2"/>
  <c r="O34" i="2"/>
  <c r="N34" i="2"/>
  <c r="M34" i="2"/>
  <c r="L34" i="2"/>
  <c r="K34" i="2"/>
  <c r="J34" i="2"/>
  <c r="I34" i="2"/>
  <c r="H34" i="2"/>
  <c r="G34" i="2"/>
  <c r="J33" i="2"/>
  <c r="P33" i="2"/>
  <c r="O33" i="2"/>
  <c r="N33" i="2"/>
  <c r="M33" i="2"/>
  <c r="L33" i="2"/>
  <c r="K33" i="2"/>
  <c r="I33" i="2"/>
  <c r="H33" i="2"/>
  <c r="G33" i="2"/>
  <c r="AG26" i="2"/>
  <c r="AG24" i="2"/>
  <c r="AG18" i="2"/>
  <c r="AG19" i="2" s="1"/>
  <c r="AG16" i="2"/>
  <c r="AF26" i="2"/>
  <c r="AF24" i="2"/>
  <c r="AF18" i="2"/>
  <c r="AF19" i="2" s="1"/>
  <c r="AF16" i="2"/>
  <c r="X23" i="2" l="1"/>
  <c r="X24" i="2" s="1"/>
  <c r="X40" i="2" s="1"/>
  <c r="V39" i="2"/>
  <c r="V23" i="2"/>
  <c r="U40" i="2"/>
  <c r="U37" i="2"/>
  <c r="X25" i="2"/>
  <c r="X35" i="2" s="1"/>
  <c r="AF17" i="2"/>
  <c r="Z39" i="2"/>
  <c r="Y40" i="2"/>
  <c r="Y25" i="2"/>
  <c r="AG36" i="2"/>
  <c r="U35" i="2"/>
  <c r="S40" i="2"/>
  <c r="W40" i="2"/>
  <c r="AG33" i="2"/>
  <c r="AI36" i="2"/>
  <c r="AK26" i="2"/>
  <c r="AK36" i="2" s="1"/>
  <c r="AH36" i="2"/>
  <c r="AG34" i="2"/>
  <c r="AH34" i="2"/>
  <c r="R34" i="2"/>
  <c r="R36" i="2"/>
  <c r="AG17" i="2"/>
  <c r="AE26" i="2"/>
  <c r="AF36" i="2" s="1"/>
  <c r="AE24" i="2"/>
  <c r="AE18" i="2"/>
  <c r="AE19" i="2" s="1"/>
  <c r="AE16" i="2"/>
  <c r="AF33" i="2" s="1"/>
  <c r="F17" i="2"/>
  <c r="F38" i="2" s="1"/>
  <c r="F19" i="2"/>
  <c r="C17" i="2"/>
  <c r="C38" i="2" s="1"/>
  <c r="C19" i="2"/>
  <c r="D17" i="2"/>
  <c r="D38" i="2" s="1"/>
  <c r="D19" i="2"/>
  <c r="E19" i="2"/>
  <c r="E17" i="2"/>
  <c r="E38" i="2" s="1"/>
  <c r="G19" i="2"/>
  <c r="H19" i="2"/>
  <c r="V25" i="2" l="1"/>
  <c r="V27" i="2" s="1"/>
  <c r="V40" i="2"/>
  <c r="X27" i="2"/>
  <c r="X37" i="2" s="1"/>
  <c r="Z24" i="2"/>
  <c r="Z25" i="2" s="1"/>
  <c r="Y27" i="2"/>
  <c r="Y37" i="2" s="1"/>
  <c r="Y35" i="2"/>
  <c r="AF32" i="2"/>
  <c r="AE21" i="2"/>
  <c r="AJ36" i="2"/>
  <c r="AL26" i="2"/>
  <c r="AL36" i="2" s="1"/>
  <c r="W37" i="2"/>
  <c r="W35" i="2"/>
  <c r="AF20" i="2"/>
  <c r="AF38" i="2"/>
  <c r="AG32" i="2"/>
  <c r="AF34" i="2"/>
  <c r="AF21" i="2"/>
  <c r="H17" i="2"/>
  <c r="H38" i="2" s="1"/>
  <c r="H32" i="2"/>
  <c r="G17" i="2"/>
  <c r="G38" i="2" s="1"/>
  <c r="G32" i="2"/>
  <c r="F20" i="2"/>
  <c r="C20" i="2"/>
  <c r="D20" i="2"/>
  <c r="E20" i="2"/>
  <c r="M19" i="2"/>
  <c r="I19" i="2"/>
  <c r="J19" i="2"/>
  <c r="N19" i="2"/>
  <c r="K19" i="2"/>
  <c r="O19" i="2"/>
  <c r="S32" i="2"/>
  <c r="AG21" i="2"/>
  <c r="L19" i="2"/>
  <c r="P19" i="2"/>
  <c r="C16" i="3"/>
  <c r="C4" i="1" a="1"/>
  <c r="C4" i="1" s="1"/>
  <c r="F39" i="2" l="1"/>
  <c r="F23" i="2"/>
  <c r="E39" i="2"/>
  <c r="E23" i="2"/>
  <c r="AF39" i="2"/>
  <c r="AF23" i="2"/>
  <c r="AF40" i="2" s="1"/>
  <c r="D39" i="2"/>
  <c r="D23" i="2"/>
  <c r="C39" i="2"/>
  <c r="C23" i="2"/>
  <c r="AE17" i="2"/>
  <c r="AE20" i="2" s="1"/>
  <c r="AE23" i="2" s="1"/>
  <c r="AE25" i="2" s="1"/>
  <c r="AE27" i="2" s="1"/>
  <c r="Z27" i="2"/>
  <c r="Z37" i="2" s="1"/>
  <c r="Z35" i="2"/>
  <c r="Z40" i="2"/>
  <c r="AJ24" i="2"/>
  <c r="AH21" i="2"/>
  <c r="AM26" i="2"/>
  <c r="AM36" i="2" s="1"/>
  <c r="AH32" i="2"/>
  <c r="AK18" i="2"/>
  <c r="AL18" i="2" s="1"/>
  <c r="AM18" i="2" s="1"/>
  <c r="AJ19" i="2"/>
  <c r="AG20" i="2"/>
  <c r="AG38" i="2"/>
  <c r="AI32" i="2"/>
  <c r="C6" i="1"/>
  <c r="AQ38" i="2"/>
  <c r="J17" i="2"/>
  <c r="J38" i="2" s="1"/>
  <c r="J32" i="2"/>
  <c r="P17" i="2"/>
  <c r="P38" i="2" s="1"/>
  <c r="P32" i="2"/>
  <c r="K17" i="2"/>
  <c r="K38" i="2" s="1"/>
  <c r="K32" i="2"/>
  <c r="M17" i="2"/>
  <c r="M38" i="2" s="1"/>
  <c r="M32" i="2"/>
  <c r="L17" i="2"/>
  <c r="L38" i="2" s="1"/>
  <c r="L32" i="2"/>
  <c r="O17" i="2"/>
  <c r="O38" i="2" s="1"/>
  <c r="O32" i="2"/>
  <c r="N17" i="2"/>
  <c r="N38" i="2" s="1"/>
  <c r="N32" i="2"/>
  <c r="I17" i="2"/>
  <c r="I38" i="2" s="1"/>
  <c r="I32" i="2"/>
  <c r="G20" i="2"/>
  <c r="H20" i="2"/>
  <c r="AE38" i="2" l="1"/>
  <c r="AF25" i="2"/>
  <c r="AF35" i="2" s="1"/>
  <c r="H39" i="2"/>
  <c r="H23" i="2"/>
  <c r="AH23" i="2"/>
  <c r="AH25" i="2" s="1"/>
  <c r="AH27" i="2" s="1"/>
  <c r="G39" i="2"/>
  <c r="G23" i="2"/>
  <c r="AG39" i="2"/>
  <c r="AG23" i="2"/>
  <c r="AE39" i="2"/>
  <c r="AE40" i="2"/>
  <c r="AK19" i="2"/>
  <c r="O20" i="2"/>
  <c r="AJ32" i="2"/>
  <c r="AI34" i="2"/>
  <c r="C9" i="1"/>
  <c r="C4" i="3"/>
  <c r="C5" i="3" s="1"/>
  <c r="C6" i="3" s="1"/>
  <c r="I20" i="2"/>
  <c r="M20" i="2"/>
  <c r="F25" i="2"/>
  <c r="F27" i="2" s="1"/>
  <c r="F40" i="2"/>
  <c r="C25" i="2"/>
  <c r="C40" i="2"/>
  <c r="L20" i="2"/>
  <c r="J20" i="2"/>
  <c r="P20" i="2"/>
  <c r="R32" i="2"/>
  <c r="K20" i="2"/>
  <c r="N20" i="2"/>
  <c r="Q32" i="2"/>
  <c r="D25" i="2"/>
  <c r="D27" i="2" s="1"/>
  <c r="D40" i="2"/>
  <c r="E25" i="2"/>
  <c r="E27" i="2" s="1"/>
  <c r="E40" i="2"/>
  <c r="AF27" i="2" l="1"/>
  <c r="AF37" i="2" s="1"/>
  <c r="N39" i="2"/>
  <c r="N23" i="2"/>
  <c r="J39" i="2"/>
  <c r="J23" i="2"/>
  <c r="K39" i="2"/>
  <c r="K23" i="2"/>
  <c r="L39" i="2"/>
  <c r="L23" i="2"/>
  <c r="L40" i="2" s="1"/>
  <c r="O39" i="2"/>
  <c r="O23" i="2"/>
  <c r="O25" i="2" s="1"/>
  <c r="S35" i="2" s="1"/>
  <c r="M39" i="2"/>
  <c r="M23" i="2"/>
  <c r="P39" i="2"/>
  <c r="P23" i="2"/>
  <c r="I39" i="2"/>
  <c r="I23" i="2"/>
  <c r="C27" i="2"/>
  <c r="R33" i="2"/>
  <c r="V33" i="2"/>
  <c r="AG25" i="2"/>
  <c r="AG40" i="2"/>
  <c r="AM19" i="2"/>
  <c r="AL19" i="2"/>
  <c r="AJ34" i="2"/>
  <c r="AK32" i="2"/>
  <c r="C7" i="3"/>
  <c r="Q33" i="2"/>
  <c r="H25" i="2"/>
  <c r="H40" i="2"/>
  <c r="R39" i="2"/>
  <c r="G25" i="2"/>
  <c r="G40" i="2"/>
  <c r="O40" i="2" l="1"/>
  <c r="AG27" i="2"/>
  <c r="AG37" i="2" s="1"/>
  <c r="AG35" i="2"/>
  <c r="AL32" i="2"/>
  <c r="AK34" i="2"/>
  <c r="AH33" i="2"/>
  <c r="AI33" i="2"/>
  <c r="J25" i="2"/>
  <c r="J40" i="2"/>
  <c r="L25" i="2"/>
  <c r="G27" i="2"/>
  <c r="G37" i="2" s="1"/>
  <c r="G35" i="2"/>
  <c r="M25" i="2"/>
  <c r="M40" i="2"/>
  <c r="N25" i="2"/>
  <c r="N40" i="2"/>
  <c r="O27" i="2"/>
  <c r="S37" i="2" s="1"/>
  <c r="H27" i="2"/>
  <c r="H37" i="2" s="1"/>
  <c r="H35" i="2"/>
  <c r="I25" i="2"/>
  <c r="I40" i="2"/>
  <c r="P25" i="2"/>
  <c r="T35" i="2" s="1"/>
  <c r="P40" i="2"/>
  <c r="K25" i="2"/>
  <c r="K40" i="2"/>
  <c r="AI38" i="2" l="1"/>
  <c r="AJ17" i="2"/>
  <c r="AJ33" i="2"/>
  <c r="AM32" i="2"/>
  <c r="AH38" i="2"/>
  <c r="AL34" i="2"/>
  <c r="K27" i="2"/>
  <c r="K37" i="2" s="1"/>
  <c r="K35" i="2"/>
  <c r="L27" i="2"/>
  <c r="L37" i="2" s="1"/>
  <c r="L35" i="2"/>
  <c r="I27" i="2"/>
  <c r="I37" i="2" s="1"/>
  <c r="I35" i="2"/>
  <c r="O35" i="2"/>
  <c r="M27" i="2"/>
  <c r="M35" i="2"/>
  <c r="P27" i="2"/>
  <c r="T37" i="2" s="1"/>
  <c r="P35" i="2"/>
  <c r="N27" i="2"/>
  <c r="N35" i="2"/>
  <c r="J27" i="2"/>
  <c r="J37" i="2" s="1"/>
  <c r="J35" i="2"/>
  <c r="N37" i="2" l="1"/>
  <c r="M37" i="2"/>
  <c r="O37" i="2"/>
  <c r="R40" i="2"/>
  <c r="R25" i="2"/>
  <c r="R27" i="2" s="1"/>
  <c r="AI39" i="2"/>
  <c r="AK17" i="2"/>
  <c r="AK33" i="2"/>
  <c r="AJ20" i="2"/>
  <c r="AJ23" i="2" s="1"/>
  <c r="AJ38" i="2"/>
  <c r="AM34" i="2"/>
  <c r="AH39" i="2"/>
  <c r="Q37" i="2"/>
  <c r="Q35" i="2"/>
  <c r="Q40" i="2"/>
  <c r="P37" i="2"/>
  <c r="V35" i="2" l="1"/>
  <c r="AL17" i="2"/>
  <c r="AL33" i="2"/>
  <c r="AI40" i="2"/>
  <c r="R35" i="2"/>
  <c r="AK20" i="2"/>
  <c r="AK23" i="2" s="1"/>
  <c r="AK38" i="2"/>
  <c r="AJ39" i="2"/>
  <c r="AH40" i="2"/>
  <c r="C9" i="3" l="1"/>
  <c r="C11" i="3" s="1"/>
  <c r="C18" i="3" s="1"/>
  <c r="AQ33" i="2" s="1"/>
  <c r="R37" i="2"/>
  <c r="V37" i="2"/>
  <c r="AJ40" i="2"/>
  <c r="AM17" i="2"/>
  <c r="AM33" i="2"/>
  <c r="AK39" i="2"/>
  <c r="AL20" i="2"/>
  <c r="AL23" i="2" s="1"/>
  <c r="AL38" i="2"/>
  <c r="AH35" i="2"/>
  <c r="AI35" i="2" l="1"/>
  <c r="AJ25" i="2"/>
  <c r="AJ35" i="2" s="1"/>
  <c r="AL39" i="2"/>
  <c r="AM20" i="2"/>
  <c r="AM23" i="2" s="1"/>
  <c r="AM38" i="2"/>
  <c r="AK24" i="2"/>
  <c r="AK40" i="2" s="1"/>
  <c r="AH37" i="2"/>
  <c r="AI37" i="2"/>
  <c r="AJ27" i="2" l="1"/>
  <c r="AJ37" i="2" s="1"/>
  <c r="AK25" i="2"/>
  <c r="AK27" i="2" s="1"/>
  <c r="AM39" i="2"/>
  <c r="AL24" i="2"/>
  <c r="AL40" i="2" s="1"/>
  <c r="AK37" i="2" l="1"/>
  <c r="AK35" i="2"/>
  <c r="AL25" i="2"/>
  <c r="AL27" i="2" s="1"/>
  <c r="AL37" i="2" s="1"/>
  <c r="AM24" i="2"/>
  <c r="AM40" i="2" s="1"/>
  <c r="AL35" i="2" l="1"/>
  <c r="AM25" i="2"/>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HY25" i="2" s="1"/>
  <c r="HZ25" i="2" s="1"/>
  <c r="IA25" i="2" s="1"/>
  <c r="IB25" i="2" s="1"/>
  <c r="IC25" i="2" s="1"/>
  <c r="ID25" i="2" s="1"/>
  <c r="IE25" i="2" s="1"/>
  <c r="IF25" i="2" s="1"/>
  <c r="IG25" i="2" s="1"/>
  <c r="IH25" i="2" s="1"/>
  <c r="II25" i="2" s="1"/>
  <c r="IJ25" i="2" s="1"/>
  <c r="IK25" i="2" s="1"/>
  <c r="IL25" i="2" s="1"/>
  <c r="IM25" i="2" s="1"/>
  <c r="IN25" i="2" s="1"/>
  <c r="IO25" i="2" s="1"/>
  <c r="IP25" i="2" s="1"/>
  <c r="IQ25" i="2" s="1"/>
  <c r="IR25" i="2" s="1"/>
  <c r="IS25" i="2" s="1"/>
  <c r="IT25" i="2" s="1"/>
  <c r="IU25" i="2" s="1"/>
  <c r="IV25" i="2" s="1"/>
  <c r="IW25" i="2" s="1"/>
  <c r="IX25" i="2" s="1"/>
  <c r="IY25" i="2" s="1"/>
  <c r="IZ25" i="2" s="1"/>
  <c r="JA25" i="2" s="1"/>
  <c r="JB25" i="2" s="1"/>
  <c r="JC25" i="2" s="1"/>
  <c r="JD25" i="2" s="1"/>
  <c r="JE25" i="2" s="1"/>
  <c r="JF25" i="2" s="1"/>
  <c r="JG25" i="2" s="1"/>
  <c r="JH25" i="2" s="1"/>
  <c r="JI25" i="2" s="1"/>
  <c r="JJ25" i="2" s="1"/>
  <c r="JK25" i="2" s="1"/>
  <c r="JL25" i="2" s="1"/>
  <c r="JM25" i="2" s="1"/>
  <c r="JN25" i="2" s="1"/>
  <c r="JO25" i="2" s="1"/>
  <c r="JP25" i="2" s="1"/>
  <c r="JQ25" i="2" s="1"/>
  <c r="JR25" i="2" s="1"/>
  <c r="JS25" i="2" s="1"/>
  <c r="JT25" i="2" s="1"/>
  <c r="JU25" i="2" s="1"/>
  <c r="JV25" i="2" s="1"/>
  <c r="JW25" i="2" s="1"/>
  <c r="JX25" i="2" s="1"/>
  <c r="JY25" i="2" s="1"/>
  <c r="JZ25" i="2" s="1"/>
  <c r="KA25" i="2" s="1"/>
  <c r="KB25" i="2" s="1"/>
  <c r="KC25" i="2" s="1"/>
  <c r="KD25" i="2" s="1"/>
  <c r="KE25" i="2" s="1"/>
  <c r="KF25" i="2" s="1"/>
  <c r="KG25" i="2" s="1"/>
  <c r="KH25" i="2" s="1"/>
  <c r="KI25" i="2" s="1"/>
  <c r="KJ25" i="2" s="1"/>
  <c r="KK25" i="2" s="1"/>
  <c r="KL25" i="2" s="1"/>
  <c r="KM25" i="2" s="1"/>
  <c r="KN25" i="2" s="1"/>
  <c r="KO25" i="2" s="1"/>
  <c r="KP25" i="2" s="1"/>
  <c r="KQ25" i="2" s="1"/>
  <c r="KR25" i="2" s="1"/>
  <c r="KS25" i="2" s="1"/>
  <c r="KT25" i="2" s="1"/>
  <c r="KU25" i="2" s="1"/>
  <c r="KV25" i="2" s="1"/>
  <c r="KW25" i="2" s="1"/>
  <c r="KX25" i="2" s="1"/>
  <c r="KY25" i="2" s="1"/>
  <c r="KZ25" i="2" s="1"/>
  <c r="LA25" i="2" s="1"/>
  <c r="LB25" i="2" s="1"/>
  <c r="LC25" i="2" s="1"/>
  <c r="LD25" i="2" s="1"/>
  <c r="LE25" i="2" s="1"/>
  <c r="LF25" i="2" s="1"/>
  <c r="LG25" i="2" s="1"/>
  <c r="LH25" i="2" s="1"/>
  <c r="LI25" i="2" s="1"/>
  <c r="LJ25" i="2" s="1"/>
  <c r="LK25" i="2" s="1"/>
  <c r="LL25" i="2" s="1"/>
  <c r="LM25" i="2" s="1"/>
  <c r="LN25" i="2" s="1"/>
  <c r="LO25" i="2" s="1"/>
  <c r="LP25" i="2" s="1"/>
  <c r="LQ25" i="2" s="1"/>
  <c r="LR25" i="2" s="1"/>
  <c r="LS25" i="2" s="1"/>
  <c r="LT25" i="2" s="1"/>
  <c r="LU25" i="2" s="1"/>
  <c r="LV25" i="2" s="1"/>
  <c r="LW25" i="2" s="1"/>
  <c r="LX25" i="2" s="1"/>
  <c r="LY25" i="2" s="1"/>
  <c r="LZ25" i="2" s="1"/>
  <c r="MA25" i="2" s="1"/>
  <c r="MB25" i="2" s="1"/>
  <c r="MC25" i="2" s="1"/>
  <c r="MD25" i="2" s="1"/>
  <c r="ME25" i="2" s="1"/>
  <c r="MF25" i="2" s="1"/>
  <c r="MG25" i="2" s="1"/>
  <c r="MH25" i="2" s="1"/>
  <c r="MI25" i="2" s="1"/>
  <c r="MJ25" i="2" s="1"/>
  <c r="MK25" i="2" s="1"/>
  <c r="ML25" i="2" s="1"/>
  <c r="MM25" i="2" s="1"/>
  <c r="MN25" i="2" s="1"/>
  <c r="MO25" i="2" s="1"/>
  <c r="MP25" i="2" s="1"/>
  <c r="MQ25" i="2" s="1"/>
  <c r="MR25" i="2" s="1"/>
  <c r="MS25" i="2" s="1"/>
  <c r="MT25" i="2" s="1"/>
  <c r="MU25" i="2" s="1"/>
  <c r="MV25" i="2" s="1"/>
  <c r="MW25" i="2" s="1"/>
  <c r="MX25" i="2" s="1"/>
  <c r="MY25" i="2" s="1"/>
  <c r="MZ25" i="2" s="1"/>
  <c r="NA25" i="2" s="1"/>
  <c r="NB25" i="2" s="1"/>
  <c r="NC25" i="2" s="1"/>
  <c r="ND25" i="2" s="1"/>
  <c r="NE25" i="2" s="1"/>
  <c r="NF25" i="2" s="1"/>
  <c r="NG25" i="2" s="1"/>
  <c r="NH25" i="2" s="1"/>
  <c r="NI25" i="2" s="1"/>
  <c r="NJ25" i="2" s="1"/>
  <c r="NK25" i="2" s="1"/>
  <c r="NL25" i="2" s="1"/>
  <c r="NM25" i="2" s="1"/>
  <c r="NN25" i="2" s="1"/>
  <c r="NO25" i="2" s="1"/>
  <c r="NP25" i="2" s="1"/>
  <c r="NQ25" i="2" s="1"/>
  <c r="NR25" i="2" s="1"/>
  <c r="NS25" i="2" s="1"/>
  <c r="NT25" i="2" s="1"/>
  <c r="NU25" i="2" s="1"/>
  <c r="NV25" i="2" s="1"/>
  <c r="NW25" i="2" s="1"/>
  <c r="NX25" i="2" s="1"/>
  <c r="NY25" i="2" s="1"/>
  <c r="NZ25" i="2" s="1"/>
  <c r="OA25" i="2" s="1"/>
  <c r="OB25" i="2" s="1"/>
  <c r="OC25" i="2" s="1"/>
  <c r="OD25" i="2" s="1"/>
  <c r="OE25" i="2" s="1"/>
  <c r="OF25" i="2" s="1"/>
  <c r="OG25" i="2" s="1"/>
  <c r="OH25" i="2" s="1"/>
  <c r="OI25" i="2" s="1"/>
  <c r="OJ25" i="2" s="1"/>
  <c r="OK25" i="2" s="1"/>
  <c r="OL25" i="2" s="1"/>
  <c r="OM25" i="2" s="1"/>
  <c r="ON25" i="2" s="1"/>
  <c r="OO25" i="2" s="1"/>
  <c r="OP25" i="2" s="1"/>
  <c r="OQ25" i="2" s="1"/>
  <c r="OR25" i="2" s="1"/>
  <c r="OS25" i="2" s="1"/>
  <c r="OT25" i="2" s="1"/>
  <c r="OU25" i="2" s="1"/>
  <c r="OV25" i="2" s="1"/>
  <c r="OW25" i="2" s="1"/>
  <c r="OX25" i="2" s="1"/>
  <c r="OY25" i="2" s="1"/>
  <c r="OZ25" i="2" s="1"/>
  <c r="PA25" i="2" s="1"/>
  <c r="PB25" i="2" s="1"/>
  <c r="PC25" i="2" s="1"/>
  <c r="PD25" i="2" s="1"/>
  <c r="PE25" i="2" s="1"/>
  <c r="PF25" i="2" s="1"/>
  <c r="PG25" i="2" s="1"/>
  <c r="PH25" i="2" s="1"/>
  <c r="AQ34" i="2" s="1"/>
  <c r="AQ36" i="2" s="1"/>
  <c r="AQ37" i="2" s="1"/>
  <c r="G4" i="1" s="1"/>
  <c r="AM35" i="2" l="1"/>
  <c r="AM27" i="2"/>
  <c r="AM37" i="2" s="1"/>
  <c r="AQ3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<sst xmlns="http://schemas.openxmlformats.org/spreadsheetml/2006/main" count="122" uniqueCount="115">
  <si>
    <t>Company</t>
  </si>
  <si>
    <t>Source</t>
  </si>
  <si>
    <t>Price</t>
  </si>
  <si>
    <t>Shares</t>
  </si>
  <si>
    <t>4Q20</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</si>
  <si>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</si>
  <si>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</si>
  <si>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</si>
  <si>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</si>
  <si>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</si>
  <si>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</si>
  <si>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</si>
  <si>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</si>
  <si>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</si>
  <si>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</si>
  <si>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</si>
  <si>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</si>
  <si>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</si>
  <si>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</si>
  <si>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</si>
  <si>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</si>
  <si>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</si>
  <si>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Sales</t>
  </si>
  <si>
    <t>Total Revenue</t>
  </si>
  <si>
    <t>COGS</t>
  </si>
  <si>
    <t>SG&amp;A</t>
  </si>
  <si>
    <t>Opex</t>
  </si>
  <si>
    <t>Operating Income</t>
  </si>
  <si>
    <t>Pretax Income</t>
  </si>
  <si>
    <t>Taxes</t>
  </si>
  <si>
    <t>Net Income</t>
  </si>
  <si>
    <t>EPS</t>
  </si>
  <si>
    <t>1Q17</t>
  </si>
  <si>
    <t>2Q17</t>
  </si>
  <si>
    <t>3Q17</t>
  </si>
  <si>
    <t>4Q17</t>
  </si>
  <si>
    <t>1Q18</t>
  </si>
  <si>
    <t>2Q18</t>
  </si>
  <si>
    <t>3Q18</t>
  </si>
  <si>
    <t>4Q18</t>
  </si>
  <si>
    <t>1Q19</t>
  </si>
  <si>
    <t>2Q19</t>
  </si>
  <si>
    <t>3Q19</t>
  </si>
  <si>
    <t>4Q19</t>
  </si>
  <si>
    <t>1Q20</t>
  </si>
  <si>
    <t>3Q20</t>
  </si>
  <si>
    <t>2Q20</t>
  </si>
  <si>
    <t xml:space="preserve">Gross Profit </t>
  </si>
  <si>
    <t>Revenue Y/Y</t>
  </si>
  <si>
    <t>COGS Y/Y</t>
  </si>
  <si>
    <t>SG&amp;A Y/Y</t>
  </si>
  <si>
    <t>NI Y/Y</t>
  </si>
  <si>
    <t>Shares Y/Y</t>
  </si>
  <si>
    <t>EPS Y/Y</t>
  </si>
  <si>
    <t>GM</t>
  </si>
  <si>
    <t>OM</t>
  </si>
  <si>
    <t>Maturity</t>
  </si>
  <si>
    <t>Discount (wacc)</t>
  </si>
  <si>
    <t>NPV</t>
  </si>
  <si>
    <t>Net Cash</t>
  </si>
  <si>
    <t>Value</t>
  </si>
  <si>
    <t>Model Share Price</t>
  </si>
  <si>
    <t>Actual Share Price</t>
  </si>
  <si>
    <t>Difference</t>
  </si>
  <si>
    <t>finviz</t>
  </si>
  <si>
    <t>Average Price</t>
  </si>
  <si>
    <t>1Q22 8K</t>
  </si>
  <si>
    <t>1Q21</t>
  </si>
  <si>
    <t>2Q21</t>
  </si>
  <si>
    <t>3Q21</t>
  </si>
  <si>
    <t>4Q21</t>
  </si>
  <si>
    <t>1Q22</t>
  </si>
  <si>
    <t>2Q22</t>
  </si>
  <si>
    <t>3Q22</t>
  </si>
  <si>
    <t>4Q22</t>
  </si>
  <si>
    <t>AVERAGE</t>
  </si>
  <si>
    <t>10K21</t>
  </si>
  <si>
    <t>EBITDA</t>
  </si>
  <si>
    <t>EBITDA Y/Y</t>
  </si>
  <si>
    <t>Other Expense/(Income)</t>
  </si>
  <si>
    <t>Apparel &amp; Accessories</t>
  </si>
  <si>
    <t>Beauty &amp; Household Essentials</t>
  </si>
  <si>
    <t>Food &amp; Beverage</t>
  </si>
  <si>
    <t>Hardlines (electronics, toys, entertainment, sports, luggage)</t>
  </si>
  <si>
    <t>Home Furnishings &amp; Décor</t>
  </si>
  <si>
    <t>Other</t>
  </si>
  <si>
    <t>Credit Card Profit Sharing</t>
  </si>
  <si>
    <t>Credit Card Profit Sharing &amp; Other Revenue</t>
  </si>
  <si>
    <t>Cash &amp; Equivalents</t>
  </si>
  <si>
    <t>Inventory</t>
  </si>
  <si>
    <t>OCA</t>
  </si>
  <si>
    <t>Total Current Assets</t>
  </si>
  <si>
    <t>Land</t>
  </si>
  <si>
    <t>Buildings &amp; Improvements</t>
  </si>
  <si>
    <t>Fixtures &amp; Equipment</t>
  </si>
  <si>
    <t>Computer Hardware &amp; Software</t>
  </si>
  <si>
    <t>Construction-In-Progress</t>
  </si>
  <si>
    <t>D&amp;A</t>
  </si>
  <si>
    <t>Net PP&amp;E</t>
  </si>
  <si>
    <t>Operating Lease Assets</t>
  </si>
  <si>
    <t>Other NCA</t>
  </si>
  <si>
    <t>Total Assets</t>
  </si>
  <si>
    <t>A/P</t>
  </si>
  <si>
    <t>Accrued &amp; OCL</t>
  </si>
  <si>
    <t>ST Debt</t>
  </si>
  <si>
    <t>Total Current Liabilities</t>
  </si>
  <si>
    <t>LT Debt</t>
  </si>
  <si>
    <t>Noncurrent Operating Lease Liabilities</t>
  </si>
  <si>
    <t>Deferred Income Taxes</t>
  </si>
  <si>
    <t>Other NCL</t>
  </si>
  <si>
    <t>Total Liabilities</t>
  </si>
  <si>
    <t>S/E</t>
  </si>
  <si>
    <t>L+S/E</t>
  </si>
  <si>
    <t>Using Net Income</t>
  </si>
  <si>
    <t>Interest Expense/(income)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</si>
</sst>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u/>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39">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14" fontId="5" fillId="0" borderId="0" xfId="0" applyNumberFormat="1" applyFont="1"/>
    <xf numFmtId="0" fontId="5" fillId="0" borderId="0" xfId="0" applyFont="1" applyAlignment="1">
      <alignment horizontal="right"/>
    </xf>
    <xf numFmtId="3" fontId="5" fillId="0" borderId="0" xfId="0" applyNumberFormat="1" applyFont="1" applyAlignment="1">
      <alignment horizontal="right"/>
    </xf>
    <xf numFmtId="0" fontId="7" fillId="0" borderId="0" xfId="0" applyFont="1"/>
    <xf numFmtId="3" fontId="7" fillId="0" borderId="0" xfId="0" applyNumberFormat="1" applyFont="1"/>
    <xf numFmtId="4" fontId="5" fillId="0" borderId="0" xfId="0" applyNumberFormat="1" applyFont="1"/>
    <xf numFmtId="9" fontId="5" fillId="0" borderId="0" xfId="0" applyNumberFormat="1" applyFont="1" applyAlignment="1">
      <alignment horizontal="right"/>
    </xf>
    <xf numFmtId="3" fontId="7" fillId="0" borderId="0" xfId="0" applyNumberFormat="1" applyFont="1" applyAlignment="1">
      <alignment horizontal="right"/>
    </xf>
    <xf numFmtId="2" fontId="5" fillId="0" borderId="0" xfId="0" applyNumberFormat="1" applyFont="1" applyAlignment="1">
      <alignment horizontal="right"/>
    </xf>
    <xf numFmtId="9" fontId="5" fillId="0" borderId="0" xfId="1" applyFont="1" applyAlignment="1">
      <alignment horizontal="right"/>
    </xf>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0" fontId="4" fillId="0" borderId="4" xfId="0" applyFont="1" applyBorder="1" applyAlignment="1">
      <alignment horizontal="right"/>
    </xf>
    <xf numFmtId="0" fontId="4" fillId="0" borderId="0" xfId="0" applyFont="1" applyAlignment="1">
      <alignment horizontal="right"/>
    </xf>
    <xf numFmtId="0" fontId="4" fillId="0" borderId="0" xfId="0" applyFont="1"/>
    <xf numFmtId="2" fontId="5" fillId="0" borderId="0" xfId="0" applyNumberFormat="1" applyFont="1"/>
    <xf numFmtId="0" fontId="3" fillId="0" borderId="0" xfId="0" applyFont="1"/>
    <xf numFmtId="3" fontId="3" fillId="0" borderId="0" xfId="0" applyNumberFormat="1" applyFont="1"/>
    <xf numFmtId="0" fontId="2" fillId="0" borderId="0" xfId="0" applyFont="1" applyAlignment="1">
      <alignment horizontal="left"/>
    </xf>
    <xf numFmtId="0" fontId="7" fillId="0" borderId="0" xfId="0" applyFont="1" applyAlignment="1">
      <alignment horizontal="right"/>
    </xf>
    <xf numFmtId="0" fontId="7" fillId="0" borderId="0" xfId="0" applyFont="1" applyAlignment="1">
      <alignment horizontal="left"/>
    </xf>
    <xf numFmtId="3" fontId="4" fillId="0" borderId="0" xfId="0" applyNumberFormat="1" applyFont="1" applyAlignment="1">
      <alignment horizontal="right"/>
    </xf>
    <xf numFmtId="0" fontId="2" fillId="0" borderId="0" xfId="0" applyFont="1"/>
    <xf numFmtId="14" fontId="2" fillId="0" borderId="0" xfId="0" applyNumberFormat="1" applyFont="1"/>
    <xf numFmtId="3" fontId="8" fillId="0" borderId="0" xfId="0" applyNumberFormat="1" applyFont="1"/>
    <xf numFmtId="0" fontId="1" fillId="0" borderId="0" xfId="0" applyFont="1"/>
  </cellXfs>
  <cellStyles count="2">
    <cellStyle name="Normal" xfId="0" builtinId="0"/>
    <cellStyle name="Percent" xfId="1"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23</xdr:col>
      <xdr:colOff>28575</xdr:colOff>
      <xdr:row>0</xdr:row>
      <xdr:rowOff>66675</xdr:rowOff>
    </xdr:from>
    <xdr:to>
      <xdr:col>23</xdr:col>
      <xdr:colOff>28575</xdr:colOff>
      <xdr:row>68</xdr:row>
      <xdr:rowOff>171450</xdr:rowOff>
    </xdr:to>
    <xdr:cxnSp macro="">
      <xdr:nvCxnSpPr>
        <xdr:cNvPr id="3" name="Straight Connector 2">
          <a:extLst>
            <a:ext uri="{FF2B5EF4-FFF2-40B4-BE49-F238E27FC236}">
              <a16:creationId xmlns:a16="http://schemas.microsoft.com/office/drawing/2014/main" id="{8109145B-0245-4FA9-997B-C392E4062955}"/>
            </a:ext>
          </a:extLst>
        </xdr:cNvPr>
        <xdr:cNvCxnSpPr/>
      </xdr:nvCxnSpPr>
      <xdr:spPr>
        <a:xfrm>
          <a:off x="18297525" y="66675"/>
          <a:ext cx="0" cy="12544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57150</xdr:colOff>
      <xdr:row>0</xdr:row>
      <xdr:rowOff>95250</xdr:rowOff>
    </xdr:from>
    <xdr:to>
      <xdr:col>35</xdr:col>
      <xdr:colOff>57150</xdr:colOff>
      <xdr:row>47</xdr:row>
      <xdr:rowOff>19050</xdr:rowOff>
    </xdr:to>
    <xdr:cxnSp macro="">
      <xdr:nvCxnSpPr>
        <xdr:cNvPr id="5" name="Straight Connector 4">
          <a:extLst>
            <a:ext uri="{FF2B5EF4-FFF2-40B4-BE49-F238E27FC236}">
              <a16:creationId xmlns:a16="http://schemas.microsoft.com/office/drawing/2014/main" id="{3832F9D8-2DC6-4E11-BF79-CACC8AD1E045}"/>
            </a:ext>
          </a:extLst>
        </xdr:cNvPr>
        <xdr:cNvCxnSpPr/>
      </xdr:nvCxnSpPr>
      <xdr:spPr>
        <a:xfrm>
          <a:off x="21469350" y="95250"/>
          <a:ext cx="0" cy="6153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2.8799999999999999E-2</v>
          </cell>
        </row>
      </sheetData>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https://www.bing.com/financeapi/forcetrigger?t=a246z2&amp;q=XNYS%3aTGT&amp;form=skydnc</v>
    <v>Learn more on Bing</v>
  </rv>
  <rv s="1">
    <v>en-US</v>
    <v>a246z2</v>
    <v>268435456</v>
    <v>1</v>
    <v>Powered by Refinitiv</v>
    <v>0</v>
    <v>TARGET CORPORATION (XNYS:TGT)</v>
    <v>2</v>
    <v>3</v>
    <v>Finance</v>
    <v>4</v>
    <v>268.98</v>
    <v>137.16</v>
    <v>1.0288999999999999</v>
    <v>3.96</v>
    <v>-1.8360000000000002E-4</v>
    <v>2.4840000000000001E-2</v>
    <v>-0.03</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164.04</v>
    <v>Diversified Retail</v>
    <v>Stock</v>
    <v>44771.998580508596</v>
    <v>0</v>
    <v>158.53</v>
    <v>75758717832</v>
    <v>TARGET CORPORATION</v>
    <v>TARGET CORPORATION</v>
    <v>160</v>
    <v>13.2149</v>
    <v>159.41999999999999</v>
    <v>163.38</v>
    <v>163.35</v>
    <v>463696400</v>
    <v>TGT</v>
    <v>TARGET CORPORATION (XNYS:TGT)</v>
    <v>5522969</v>
    <v>3649046</v>
    <v>1902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8FB6-9B3F-4613-8123-B39F0D5EDE91}">
  <dimension ref="B3:G9"/>
  <sheetViews>
    <sheetView workbookViewId="0">
      <selection activeCell="C9" sqref="C9"/>
    </sheetView>
  </sheetViews>
  <sheetFormatPr defaultRowHeight="14.25" x14ac:dyDescent="0.2"/>
  <cols>
    <col min="1" max="1" width="9.140625" style="1"/>
    <col min="2" max="2" width="11.5703125" style="1" bestFit="1" customWidth="1"/>
    <col min="3" max="3" width="41.140625" style="1" bestFit="1" customWidth="1"/>
    <col min="4" max="4" width="9.28515625" style="1" bestFit="1" customWidth="1"/>
    <col min="5" max="5" width="9.140625" style="1"/>
    <col min="6" max="6" width="14.140625" style="1" bestFit="1" customWidth="1"/>
    <col min="7" max="7" width="7.28515625" style="1" bestFit="1" customWidth="1"/>
    <col min="8" max="16384" width="9.140625" style="1"/>
  </cols>
  <sheetData>
    <row r="3" spans="2:7" x14ac:dyDescent="0.2">
      <c r="B3" s="15" t="s">
        <v>0</v>
      </c>
      <c r="C3" s="16" t="e" vm="1">
        <v>#VALUE!</v>
      </c>
      <c r="D3" s="17" t="s">
        <v>1</v>
      </c>
    </row>
    <row r="4" spans="2:7" x14ac:dyDescent="0.2">
      <c r="B4" s="18" t="s">
        <v>2</v>
      </c>
      <c r="C4" s="19" cm="1">
        <f t="array" ref="C4">_FV(C3,"Price")</f>
        <v>163.38</v>
      </c>
      <c r="D4" s="20"/>
      <c r="F4" s="1" t="s">
        <v>65</v>
      </c>
      <c r="G4" s="10" t="e">
        <f>AVERAGE(DCF!AQ37,#REF!)</f>
        <v>#REF!</v>
      </c>
    </row>
    <row r="5" spans="2:7" x14ac:dyDescent="0.2">
      <c r="B5" s="18" t="s">
        <v>3</v>
      </c>
      <c r="C5" s="7">
        <v>467.8</v>
      </c>
      <c r="D5" s="25" t="s">
        <v>66</v>
      </c>
    </row>
    <row r="6" spans="2:7" x14ac:dyDescent="0.2">
      <c r="B6" s="18" t="s">
        <v>5</v>
      </c>
      <c r="C6" s="7">
        <f>C5*C4</f>
        <v>76429.164000000004</v>
      </c>
      <c r="D6" s="21"/>
    </row>
    <row r="7" spans="2:7" x14ac:dyDescent="0.2">
      <c r="B7" s="18" t="s">
        <v>6</v>
      </c>
      <c r="C7" s="7">
        <v>1112</v>
      </c>
      <c r="D7" s="25" t="s">
        <v>66</v>
      </c>
    </row>
    <row r="8" spans="2:7" x14ac:dyDescent="0.2">
      <c r="B8" s="18" t="s">
        <v>7</v>
      </c>
      <c r="C8" s="7">
        <f>1089+13379</f>
        <v>14468</v>
      </c>
      <c r="D8" s="25" t="s">
        <v>66</v>
      </c>
    </row>
    <row r="9" spans="2:7" x14ac:dyDescent="0.2">
      <c r="B9" s="22" t="s">
        <v>8</v>
      </c>
      <c r="C9" s="23">
        <f>C6-C7+C8</f>
        <v>89785.164000000004</v>
      </c>
      <c r="D9"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A5FFC-C2FB-4DA3-BA4F-61AACB691A05}">
  <dimension ref="A1:PH68"/>
  <sheetViews>
    <sheetView tabSelected="1" workbookViewId="0">
      <pane xSplit="2" ySplit="2" topLeftCell="AA6" activePane="bottomRight" state="frozen"/>
      <selection pane="topRight" activeCell="C1" sqref="C1"/>
      <selection pane="bottomLeft" activeCell="A3" sqref="A3"/>
      <selection pane="bottomRight" activeCell="AQ39" sqref="AQ39"/>
    </sheetView>
  </sheetViews>
  <sheetFormatPr defaultRowHeight="14.25" x14ac:dyDescent="0.2"/>
  <cols>
    <col min="1" max="1" width="9.140625" style="1"/>
    <col min="2" max="2" width="57.7109375" style="1" bestFit="1" customWidth="1"/>
    <col min="3" max="3" width="10.140625" style="1" customWidth="1"/>
    <col min="4" max="4" width="10" style="1" customWidth="1"/>
    <col min="5" max="5" width="11.28515625" style="2" bestFit="1" customWidth="1"/>
    <col min="6" max="6" width="9" style="2" bestFit="1" customWidth="1"/>
    <col min="7" max="8" width="9.28515625" style="2" bestFit="1" customWidth="1"/>
    <col min="9" max="9" width="10.140625" style="2" bestFit="1" customWidth="1"/>
    <col min="10" max="10" width="9.28515625" style="2" bestFit="1" customWidth="1"/>
    <col min="11" max="11" width="9.85546875" style="2" bestFit="1" customWidth="1"/>
    <col min="12" max="13" width="10.140625" style="2" bestFit="1" customWidth="1"/>
    <col min="14" max="14" width="9.28515625" style="2" bestFit="1" customWidth="1"/>
    <col min="15" max="15" width="10.140625" style="2" bestFit="1" customWidth="1"/>
    <col min="16" max="16" width="9.28515625" style="2" bestFit="1" customWidth="1"/>
    <col min="17" max="17" width="11.28515625" style="2" bestFit="1" customWidth="1"/>
    <col min="18" max="18" width="10.140625" style="2" bestFit="1" customWidth="1"/>
    <col min="19" max="19" width="9.28515625" style="2" customWidth="1"/>
    <col min="20" max="20" width="10.140625" style="2" bestFit="1" customWidth="1"/>
    <col min="21" max="21" width="11.28515625" style="2" bestFit="1" customWidth="1"/>
    <col min="22" max="23" width="10.140625" style="2" bestFit="1" customWidth="1"/>
    <col min="24" max="30" width="9.140625" style="2"/>
    <col min="31" max="41" width="9.28515625" style="2" bestFit="1" customWidth="1"/>
    <col min="42" max="42" width="18.5703125" style="2" bestFit="1" customWidth="1"/>
    <col min="43" max="43" width="10.85546875" style="2" bestFit="1" customWidth="1"/>
    <col min="44" max="424" width="9.28515625" style="2" bestFit="1" customWidth="1"/>
    <col min="425" max="16384" width="9.140625" style="2"/>
  </cols>
  <sheetData>
    <row r="1" spans="1:39" s="1" customFormat="1" x14ac:dyDescent="0.2">
      <c r="B1" s="35"/>
      <c r="C1" s="36">
        <v>42854</v>
      </c>
      <c r="D1" s="5">
        <v>42945</v>
      </c>
      <c r="E1" s="5">
        <v>43036</v>
      </c>
      <c r="F1" s="5">
        <v>43134</v>
      </c>
      <c r="G1" s="5">
        <v>43225</v>
      </c>
      <c r="H1" s="5">
        <v>43316</v>
      </c>
      <c r="I1" s="5">
        <v>43407</v>
      </c>
      <c r="J1" s="5">
        <v>43498</v>
      </c>
      <c r="K1" s="5">
        <v>43589</v>
      </c>
      <c r="L1" s="5">
        <v>43680</v>
      </c>
      <c r="M1" s="5">
        <v>43771</v>
      </c>
      <c r="N1" s="5">
        <v>43862</v>
      </c>
      <c r="O1" s="5">
        <v>43953</v>
      </c>
      <c r="P1" s="5">
        <v>44044</v>
      </c>
      <c r="Q1" s="5">
        <v>44135</v>
      </c>
      <c r="R1" s="5">
        <v>44226</v>
      </c>
      <c r="S1" s="5">
        <v>44317</v>
      </c>
      <c r="T1" s="5">
        <v>44408</v>
      </c>
      <c r="U1" s="5">
        <v>44499</v>
      </c>
      <c r="V1" s="5">
        <v>44590</v>
      </c>
      <c r="W1" s="5">
        <v>44681</v>
      </c>
    </row>
    <row r="2" spans="1:39" s="6" customFormat="1" x14ac:dyDescent="0.2">
      <c r="C2" s="6" t="s">
        <v>32</v>
      </c>
      <c r="D2" s="6" t="s">
        <v>33</v>
      </c>
      <c r="E2" s="7" t="s">
        <v>34</v>
      </c>
      <c r="F2" s="7" t="s">
        <v>35</v>
      </c>
      <c r="G2" s="6" t="s">
        <v>36</v>
      </c>
      <c r="H2" s="6" t="s">
        <v>37</v>
      </c>
      <c r="I2" s="6" t="s">
        <v>38</v>
      </c>
      <c r="J2" s="6" t="s">
        <v>39</v>
      </c>
      <c r="K2" s="6" t="s">
        <v>40</v>
      </c>
      <c r="L2" s="6" t="s">
        <v>41</v>
      </c>
      <c r="M2" s="6" t="s">
        <v>42</v>
      </c>
      <c r="N2" s="6" t="s">
        <v>43</v>
      </c>
      <c r="O2" s="6" t="s">
        <v>44</v>
      </c>
      <c r="P2" s="6" t="s">
        <v>46</v>
      </c>
      <c r="Q2" s="6" t="s">
        <v>45</v>
      </c>
      <c r="R2" s="6" t="s">
        <v>4</v>
      </c>
      <c r="S2" s="26" t="s">
        <v>67</v>
      </c>
      <c r="T2" s="26" t="s">
        <v>68</v>
      </c>
      <c r="U2" s="26" t="s">
        <v>69</v>
      </c>
      <c r="V2" s="26" t="s">
        <v>70</v>
      </c>
      <c r="W2" s="26" t="s">
        <v>71</v>
      </c>
      <c r="X2" s="26" t="s">
        <v>72</v>
      </c>
      <c r="Y2" s="26" t="s">
        <v>73</v>
      </c>
      <c r="Z2" s="26" t="s">
        <v>74</v>
      </c>
      <c r="AA2" s="26"/>
      <c r="AB2" s="26"/>
      <c r="AC2" s="26"/>
      <c r="AE2" s="6">
        <v>2017</v>
      </c>
      <c r="AF2" s="6">
        <v>2018</v>
      </c>
      <c r="AG2" s="6">
        <v>2019</v>
      </c>
      <c r="AH2" s="6">
        <v>2020</v>
      </c>
      <c r="AI2" s="6">
        <v>2021</v>
      </c>
      <c r="AJ2" s="6">
        <v>2022</v>
      </c>
      <c r="AK2" s="6">
        <v>2023</v>
      </c>
      <c r="AL2" s="6">
        <v>2024</v>
      </c>
      <c r="AM2" s="6">
        <v>2025</v>
      </c>
    </row>
    <row r="3" spans="1:39" s="6" customFormat="1" x14ac:dyDescent="0.2">
      <c r="B3" s="31" t="s">
        <v>80</v>
      </c>
      <c r="C3" s="7">
        <v>4051</v>
      </c>
      <c r="D3" s="7">
        <v>3646</v>
      </c>
      <c r="E3" s="7">
        <v>3456</v>
      </c>
      <c r="F3" s="7">
        <f>14662-SUM(C3:E3)</f>
        <v>3509</v>
      </c>
      <c r="G3" s="7">
        <v>3113</v>
      </c>
      <c r="H3" s="7">
        <v>3470</v>
      </c>
      <c r="I3" s="7">
        <v>3219</v>
      </c>
      <c r="J3" s="7">
        <f>15004-SUM(G3:I3)</f>
        <v>5202</v>
      </c>
      <c r="K3" s="7">
        <v>3290</v>
      </c>
      <c r="L3" s="7">
        <v>3656</v>
      </c>
      <c r="M3" s="7">
        <v>3564</v>
      </c>
      <c r="N3" s="7">
        <f>14304-SUM(K3:M3)</f>
        <v>3794</v>
      </c>
      <c r="O3" s="7">
        <v>2619</v>
      </c>
      <c r="P3" s="7">
        <v>4084</v>
      </c>
      <c r="Q3" s="7">
        <v>3927</v>
      </c>
      <c r="R3" s="7">
        <f>14772-SUM(O3:Q3)</f>
        <v>4142</v>
      </c>
      <c r="S3" s="34">
        <v>4269</v>
      </c>
      <c r="T3" s="34">
        <v>4751</v>
      </c>
      <c r="U3" s="34">
        <v>4364</v>
      </c>
      <c r="V3" s="34">
        <f>17931-SUM(S3:U3)</f>
        <v>4547</v>
      </c>
      <c r="W3" s="34">
        <v>4239</v>
      </c>
      <c r="X3" s="34"/>
      <c r="Y3" s="34"/>
      <c r="Z3" s="34"/>
      <c r="AA3" s="26"/>
      <c r="AB3" s="26"/>
      <c r="AC3" s="26"/>
      <c r="AE3" s="7">
        <f>SUM(C3:F3)</f>
        <v>14662</v>
      </c>
      <c r="AF3" s="7">
        <f>SUM(G3:J3)</f>
        <v>15004</v>
      </c>
      <c r="AG3" s="7">
        <f>SUM(K3:N3)</f>
        <v>14304</v>
      </c>
      <c r="AH3" s="7">
        <f>SUM(O3:R3)</f>
        <v>14772</v>
      </c>
      <c r="AI3" s="7">
        <f>SUM(S3:V3)</f>
        <v>17931</v>
      </c>
    </row>
    <row r="4" spans="1:39" s="6" customFormat="1" x14ac:dyDescent="0.2">
      <c r="B4" s="31" t="s">
        <v>81</v>
      </c>
      <c r="C4" s="7">
        <v>3452</v>
      </c>
      <c r="D4" s="7">
        <v>4107</v>
      </c>
      <c r="E4" s="7">
        <v>4135</v>
      </c>
      <c r="F4" s="7">
        <f>17025-SUM(C4:E4)</f>
        <v>5331</v>
      </c>
      <c r="G4" s="7">
        <v>4617</v>
      </c>
      <c r="H4" s="7">
        <v>4784</v>
      </c>
      <c r="I4" s="7">
        <v>4788</v>
      </c>
      <c r="J4" s="7">
        <f>17726-SUM(G4:I4)</f>
        <v>3537</v>
      </c>
      <c r="K4" s="7">
        <v>4971</v>
      </c>
      <c r="L4" s="7">
        <v>5076</v>
      </c>
      <c r="M4" s="7">
        <v>5125</v>
      </c>
      <c r="N4" s="7">
        <f>20616-SUM(K4:M4)</f>
        <v>5444</v>
      </c>
      <c r="O4" s="7">
        <v>5911</v>
      </c>
      <c r="P4" s="7">
        <v>6158</v>
      </c>
      <c r="Q4" s="7">
        <v>6103</v>
      </c>
      <c r="R4" s="7">
        <f>24461-SUM(O4:Q4)</f>
        <v>6289</v>
      </c>
      <c r="S4" s="34">
        <v>6364</v>
      </c>
      <c r="T4" s="34">
        <v>6726</v>
      </c>
      <c r="U4" s="34">
        <v>6980</v>
      </c>
      <c r="V4" s="34">
        <f>27268-SUM(S4:U4)</f>
        <v>7198</v>
      </c>
      <c r="W4" s="34">
        <v>7053</v>
      </c>
      <c r="X4" s="34"/>
      <c r="Y4" s="34"/>
      <c r="Z4" s="34"/>
      <c r="AA4" s="26"/>
      <c r="AB4" s="26"/>
      <c r="AC4" s="26"/>
      <c r="AE4" s="7">
        <f t="shared" ref="AE4:AE8" si="0">SUM(C4:F4)</f>
        <v>17025</v>
      </c>
      <c r="AF4" s="7">
        <f t="shared" ref="AF4:AF8" si="1">SUM(G4:J4)</f>
        <v>17726</v>
      </c>
      <c r="AG4" s="7">
        <f t="shared" ref="AG4:AG8" si="2">SUM(K4:N4)</f>
        <v>20616</v>
      </c>
      <c r="AH4" s="7">
        <f t="shared" ref="AH4:AH8" si="3">SUM(O4:R4)</f>
        <v>24461</v>
      </c>
      <c r="AI4" s="7">
        <f>SUM(S4:V4)</f>
        <v>27268</v>
      </c>
    </row>
    <row r="5" spans="1:39" s="6" customFormat="1" x14ac:dyDescent="0.2">
      <c r="B5" s="31" t="s">
        <v>82</v>
      </c>
      <c r="C5" s="7">
        <v>3413</v>
      </c>
      <c r="D5" s="7">
        <v>3213</v>
      </c>
      <c r="E5" s="7">
        <v>3442</v>
      </c>
      <c r="F5" s="7">
        <f>14256-SUM(C5:E5)</f>
        <v>4188</v>
      </c>
      <c r="G5" s="7">
        <v>3587</v>
      </c>
      <c r="H5" s="7">
        <v>3372</v>
      </c>
      <c r="I5" s="7">
        <v>3611</v>
      </c>
      <c r="J5" s="7">
        <f>14585-SUM(G5:I5)</f>
        <v>4015</v>
      </c>
      <c r="K5" s="7">
        <v>3722</v>
      </c>
      <c r="L5" s="7">
        <v>3460</v>
      </c>
      <c r="M5" s="7">
        <v>3717</v>
      </c>
      <c r="N5" s="7">
        <f>15039-SUM(K5:M5)</f>
        <v>4140</v>
      </c>
      <c r="O5" s="7">
        <v>4575</v>
      </c>
      <c r="P5" s="7">
        <v>4186</v>
      </c>
      <c r="Q5" s="7">
        <v>4397</v>
      </c>
      <c r="R5" s="7">
        <f>18135-SUM(O5:Q5)</f>
        <v>4977</v>
      </c>
      <c r="S5" s="34">
        <v>4856</v>
      </c>
      <c r="T5" s="34">
        <v>4687</v>
      </c>
      <c r="U5" s="34">
        <v>5074</v>
      </c>
      <c r="V5" s="34">
        <f>20306-SUM(S5:U5)</f>
        <v>5689</v>
      </c>
      <c r="W5" s="34">
        <v>5505</v>
      </c>
      <c r="X5" s="34"/>
      <c r="Y5" s="34"/>
      <c r="Z5" s="34"/>
      <c r="AA5" s="26"/>
      <c r="AB5" s="26"/>
      <c r="AC5" s="26"/>
      <c r="AE5" s="7">
        <f t="shared" si="0"/>
        <v>14256</v>
      </c>
      <c r="AF5" s="7">
        <f t="shared" si="1"/>
        <v>14585</v>
      </c>
      <c r="AG5" s="7">
        <f t="shared" si="2"/>
        <v>15039</v>
      </c>
      <c r="AH5" s="7">
        <f t="shared" si="3"/>
        <v>18135</v>
      </c>
      <c r="AI5" s="7">
        <f t="shared" ref="AI5:AI8" si="4">SUM(S5:V5)</f>
        <v>20306</v>
      </c>
    </row>
    <row r="6" spans="1:39" s="6" customFormat="1" x14ac:dyDescent="0.2">
      <c r="B6" s="31" t="s">
        <v>83</v>
      </c>
      <c r="C6" s="7">
        <v>2747</v>
      </c>
      <c r="D6" s="7">
        <v>2311</v>
      </c>
      <c r="E6" s="7">
        <v>2278</v>
      </c>
      <c r="F6" s="7">
        <f>12062-SUM(C6:E6)</f>
        <v>4726</v>
      </c>
      <c r="G6" s="7">
        <v>2313</v>
      </c>
      <c r="H6" s="7">
        <v>2501</v>
      </c>
      <c r="I6" s="7">
        <v>2478</v>
      </c>
      <c r="J6" s="7">
        <f>12709-SUM(G6:I6)</f>
        <v>5417</v>
      </c>
      <c r="K6" s="7">
        <v>2385</v>
      </c>
      <c r="L6" s="7">
        <v>2503</v>
      </c>
      <c r="M6" s="7">
        <v>2460</v>
      </c>
      <c r="N6" s="7">
        <f>12595-SUM(K6:M6)</f>
        <v>5247</v>
      </c>
      <c r="O6" s="7">
        <v>2974</v>
      </c>
      <c r="P6" s="7">
        <v>3608</v>
      </c>
      <c r="Q6" s="7">
        <v>3377</v>
      </c>
      <c r="R6" s="7">
        <f>16626-SUM(O6:Q6)</f>
        <v>6667</v>
      </c>
      <c r="S6" s="34">
        <v>3946</v>
      </c>
      <c r="T6" s="34">
        <v>3867</v>
      </c>
      <c r="U6" s="34">
        <v>3841</v>
      </c>
      <c r="V6" s="34">
        <f>18614-SUM(S6:U6)</f>
        <v>6960</v>
      </c>
      <c r="W6" s="34">
        <v>3713</v>
      </c>
      <c r="X6" s="34"/>
      <c r="Y6" s="34"/>
      <c r="Z6" s="34"/>
      <c r="AA6" s="26"/>
      <c r="AB6" s="26"/>
      <c r="AC6" s="26"/>
      <c r="AE6" s="7">
        <f t="shared" si="0"/>
        <v>12062</v>
      </c>
      <c r="AF6" s="7">
        <f t="shared" si="1"/>
        <v>12709</v>
      </c>
      <c r="AG6" s="7">
        <f t="shared" si="2"/>
        <v>12595</v>
      </c>
      <c r="AH6" s="7">
        <f t="shared" si="3"/>
        <v>16626</v>
      </c>
      <c r="AI6" s="7">
        <f t="shared" si="4"/>
        <v>18614</v>
      </c>
    </row>
    <row r="7" spans="1:39" s="6" customFormat="1" x14ac:dyDescent="0.2">
      <c r="B7" s="31" t="s">
        <v>84</v>
      </c>
      <c r="C7" s="7">
        <v>2310</v>
      </c>
      <c r="D7" s="7">
        <v>3111</v>
      </c>
      <c r="E7" s="7">
        <v>3316</v>
      </c>
      <c r="F7" s="7">
        <f>13672-SUM(C7:E7)</f>
        <v>4935</v>
      </c>
      <c r="G7" s="7">
        <v>2903</v>
      </c>
      <c r="H7" s="7">
        <v>3402</v>
      </c>
      <c r="I7" s="7">
        <v>3476</v>
      </c>
      <c r="J7" s="7">
        <f>14298-SUM(G7:I7)</f>
        <v>4517</v>
      </c>
      <c r="K7" s="7">
        <v>3001</v>
      </c>
      <c r="L7" s="7">
        <v>3457</v>
      </c>
      <c r="M7" s="7">
        <v>3527</v>
      </c>
      <c r="N7" s="7">
        <f>14430-SUM(K7:M7)</f>
        <v>4445</v>
      </c>
      <c r="O7" s="7">
        <v>3264</v>
      </c>
      <c r="P7" s="7">
        <v>4625</v>
      </c>
      <c r="Q7" s="7">
        <v>4506</v>
      </c>
      <c r="R7" s="7">
        <f>18231-SUM(O7:Q7)</f>
        <v>5836</v>
      </c>
      <c r="S7" s="34">
        <v>4410</v>
      </c>
      <c r="T7" s="34">
        <v>4748</v>
      </c>
      <c r="U7" s="34">
        <v>4989</v>
      </c>
      <c r="V7" s="34">
        <f>20255-SUM(S7:U7)</f>
        <v>6108</v>
      </c>
      <c r="W7" s="34">
        <v>4271</v>
      </c>
      <c r="X7" s="34"/>
      <c r="Y7" s="34"/>
      <c r="Z7" s="34"/>
      <c r="AA7" s="26"/>
      <c r="AB7" s="26"/>
      <c r="AC7" s="26"/>
      <c r="AE7" s="7">
        <f t="shared" si="0"/>
        <v>13672</v>
      </c>
      <c r="AF7" s="7">
        <f t="shared" si="1"/>
        <v>14298</v>
      </c>
      <c r="AG7" s="7">
        <f t="shared" si="2"/>
        <v>14430</v>
      </c>
      <c r="AH7" s="7">
        <f t="shared" si="3"/>
        <v>18231</v>
      </c>
      <c r="AI7" s="7">
        <f t="shared" si="4"/>
        <v>20255</v>
      </c>
    </row>
    <row r="8" spans="1:39" s="6" customFormat="1" x14ac:dyDescent="0.2">
      <c r="B8" s="31" t="s">
        <v>85</v>
      </c>
      <c r="C8" s="7">
        <v>22</v>
      </c>
      <c r="D8" s="7">
        <v>22</v>
      </c>
      <c r="E8" s="7">
        <v>20</v>
      </c>
      <c r="F8" s="7">
        <f>109-SUM(C8:E8)</f>
        <v>45</v>
      </c>
      <c r="G8" s="7">
        <v>23</v>
      </c>
      <c r="H8" s="7">
        <v>23</v>
      </c>
      <c r="I8" s="7">
        <v>18</v>
      </c>
      <c r="J8" s="7">
        <f>111-SUM(G8:I8)</f>
        <v>47</v>
      </c>
      <c r="K8" s="7">
        <v>32</v>
      </c>
      <c r="L8" s="7">
        <v>31</v>
      </c>
      <c r="M8" s="7">
        <v>21</v>
      </c>
      <c r="N8" s="7">
        <f>146-SUM(K8:M8)</f>
        <v>62</v>
      </c>
      <c r="O8" s="7">
        <v>28</v>
      </c>
      <c r="P8" s="7">
        <v>35</v>
      </c>
      <c r="Q8" s="7">
        <v>26</v>
      </c>
      <c r="R8" s="7">
        <f>175-SUM(O8:Q8)</f>
        <v>86</v>
      </c>
      <c r="S8" s="34">
        <v>34</v>
      </c>
      <c r="T8" s="34">
        <v>47</v>
      </c>
      <c r="U8" s="34">
        <v>42</v>
      </c>
      <c r="V8" s="34">
        <f>237-SUM(S8:U8)</f>
        <v>114</v>
      </c>
      <c r="W8" s="34">
        <v>49</v>
      </c>
      <c r="X8" s="34"/>
      <c r="Y8" s="34"/>
      <c r="Z8" s="34"/>
      <c r="AA8" s="26"/>
      <c r="AB8" s="26"/>
      <c r="AC8" s="26"/>
      <c r="AE8" s="7">
        <f t="shared" si="0"/>
        <v>109</v>
      </c>
      <c r="AF8" s="7">
        <f t="shared" si="1"/>
        <v>111</v>
      </c>
      <c r="AG8" s="7">
        <f t="shared" si="2"/>
        <v>146</v>
      </c>
      <c r="AH8" s="7">
        <f t="shared" si="3"/>
        <v>175</v>
      </c>
      <c r="AI8" s="7">
        <f t="shared" si="4"/>
        <v>237</v>
      </c>
    </row>
    <row r="9" spans="1:39" s="32" customFormat="1" ht="15" x14ac:dyDescent="0.25">
      <c r="B9" s="33" t="s">
        <v>22</v>
      </c>
      <c r="C9" s="12">
        <f t="shared" ref="C9:V9" si="5">SUM(C3:C8)</f>
        <v>15995</v>
      </c>
      <c r="D9" s="12">
        <f t="shared" si="5"/>
        <v>16410</v>
      </c>
      <c r="E9" s="12">
        <f t="shared" si="5"/>
        <v>16647</v>
      </c>
      <c r="F9" s="12">
        <f t="shared" si="5"/>
        <v>22734</v>
      </c>
      <c r="G9" s="12">
        <f t="shared" si="5"/>
        <v>16556</v>
      </c>
      <c r="H9" s="12">
        <f t="shared" si="5"/>
        <v>17552</v>
      </c>
      <c r="I9" s="12">
        <f t="shared" si="5"/>
        <v>17590</v>
      </c>
      <c r="J9" s="12">
        <f t="shared" si="5"/>
        <v>22735</v>
      </c>
      <c r="K9" s="12">
        <f t="shared" si="5"/>
        <v>17401</v>
      </c>
      <c r="L9" s="12">
        <f t="shared" si="5"/>
        <v>18183</v>
      </c>
      <c r="M9" s="12">
        <f t="shared" si="5"/>
        <v>18414</v>
      </c>
      <c r="N9" s="12">
        <f t="shared" si="5"/>
        <v>23132</v>
      </c>
      <c r="O9" s="12">
        <f t="shared" si="5"/>
        <v>19371</v>
      </c>
      <c r="P9" s="12">
        <f t="shared" si="5"/>
        <v>22696</v>
      </c>
      <c r="Q9" s="12">
        <f t="shared" si="5"/>
        <v>22336</v>
      </c>
      <c r="R9" s="12">
        <f t="shared" si="5"/>
        <v>27997</v>
      </c>
      <c r="S9" s="12">
        <f t="shared" si="5"/>
        <v>23879</v>
      </c>
      <c r="T9" s="12">
        <f t="shared" si="5"/>
        <v>24826</v>
      </c>
      <c r="U9" s="12">
        <f t="shared" si="5"/>
        <v>25290</v>
      </c>
      <c r="V9" s="12">
        <f t="shared" si="5"/>
        <v>30616</v>
      </c>
      <c r="W9" s="12">
        <f>SUM(W3:W8)</f>
        <v>24830</v>
      </c>
      <c r="X9" s="12"/>
      <c r="Y9" s="12"/>
      <c r="Z9" s="12"/>
      <c r="AE9" s="12">
        <f t="shared" ref="AE9:AI9" si="6">SUM(AE3:AE8)</f>
        <v>71786</v>
      </c>
      <c r="AF9" s="12">
        <f t="shared" si="6"/>
        <v>74433</v>
      </c>
      <c r="AG9" s="12">
        <f t="shared" si="6"/>
        <v>77130</v>
      </c>
      <c r="AH9" s="12">
        <f t="shared" si="6"/>
        <v>92400</v>
      </c>
      <c r="AI9" s="12">
        <f t="shared" si="6"/>
        <v>104611</v>
      </c>
    </row>
    <row r="10" spans="1:39" s="6" customFormat="1" x14ac:dyDescent="0.2">
      <c r="B10" s="31"/>
      <c r="C10" s="7"/>
      <c r="D10" s="7"/>
      <c r="E10" s="7"/>
      <c r="F10" s="7"/>
      <c r="G10" s="7"/>
      <c r="H10" s="7"/>
      <c r="I10" s="7"/>
      <c r="J10" s="7"/>
      <c r="K10" s="7"/>
      <c r="L10" s="7"/>
      <c r="M10" s="7"/>
      <c r="N10" s="7"/>
      <c r="O10" s="7"/>
      <c r="P10" s="7"/>
      <c r="Q10" s="7"/>
      <c r="R10" s="7"/>
      <c r="S10" s="34"/>
      <c r="T10" s="34"/>
      <c r="U10" s="34"/>
      <c r="V10" s="34"/>
      <c r="W10" s="34"/>
      <c r="X10" s="34"/>
      <c r="Y10" s="34"/>
      <c r="Z10" s="34"/>
      <c r="AA10" s="26"/>
      <c r="AB10" s="26"/>
      <c r="AC10" s="26"/>
    </row>
    <row r="11" spans="1:39" s="6" customFormat="1" x14ac:dyDescent="0.2">
      <c r="B11" s="31" t="s">
        <v>86</v>
      </c>
      <c r="C11" s="7">
        <v>171</v>
      </c>
      <c r="D11" s="7">
        <v>172</v>
      </c>
      <c r="E11" s="7">
        <v>170</v>
      </c>
      <c r="F11" s="7">
        <f>694-SUM(C11:E11)</f>
        <v>181</v>
      </c>
      <c r="G11" s="7">
        <v>167</v>
      </c>
      <c r="H11" s="7">
        <v>167</v>
      </c>
      <c r="I11" s="7">
        <v>169</v>
      </c>
      <c r="J11" s="7">
        <f>673-SUM(G11:I11)</f>
        <v>170</v>
      </c>
      <c r="K11" s="7">
        <v>160</v>
      </c>
      <c r="L11" s="7">
        <v>168</v>
      </c>
      <c r="M11" s="7">
        <v>177</v>
      </c>
      <c r="N11" s="7">
        <f>680-SUM(K11:M11)</f>
        <v>175</v>
      </c>
      <c r="O11" s="7">
        <v>166</v>
      </c>
      <c r="P11" s="7">
        <v>158</v>
      </c>
      <c r="Q11" s="7">
        <v>164</v>
      </c>
      <c r="R11" s="7">
        <f>666-SUM(O11:Q11)</f>
        <v>178</v>
      </c>
      <c r="S11" s="34">
        <v>171</v>
      </c>
      <c r="T11" s="34">
        <v>172</v>
      </c>
      <c r="U11" s="34">
        <v>184</v>
      </c>
      <c r="V11" s="34">
        <f>710-SUM(S11:U11)</f>
        <v>183</v>
      </c>
      <c r="W11" s="34">
        <v>185</v>
      </c>
      <c r="X11" s="34"/>
      <c r="Y11" s="34"/>
      <c r="Z11" s="34"/>
      <c r="AA11" s="26"/>
      <c r="AB11" s="26"/>
      <c r="AC11" s="26"/>
      <c r="AE11" s="7">
        <f t="shared" ref="AE11:AE12" si="7">SUM(C11:F11)</f>
        <v>694</v>
      </c>
      <c r="AF11" s="7">
        <f t="shared" ref="AF11:AF12" si="8">SUM(G11:J11)</f>
        <v>673</v>
      </c>
      <c r="AG11" s="7">
        <f t="shared" ref="AG11:AG12" si="9">SUM(K11:N11)</f>
        <v>680</v>
      </c>
      <c r="AH11" s="7">
        <f>SUM(O11:R11)</f>
        <v>666</v>
      </c>
      <c r="AI11" s="7">
        <f>SUM(S11:V11)</f>
        <v>710</v>
      </c>
    </row>
    <row r="12" spans="1:39" s="6" customFormat="1" x14ac:dyDescent="0.2">
      <c r="B12" s="31" t="s">
        <v>85</v>
      </c>
      <c r="C12" s="7">
        <v>57</v>
      </c>
      <c r="D12" s="7">
        <v>52</v>
      </c>
      <c r="E12" s="7">
        <v>57</v>
      </c>
      <c r="F12" s="7">
        <f>234-SUM(C12:E12)</f>
        <v>68</v>
      </c>
      <c r="G12" s="7">
        <v>58</v>
      </c>
      <c r="H12" s="7">
        <v>57</v>
      </c>
      <c r="I12" s="7">
        <v>62</v>
      </c>
      <c r="J12" s="7">
        <f>250-SUM(G12:I12)</f>
        <v>73</v>
      </c>
      <c r="K12" s="7">
        <v>66</v>
      </c>
      <c r="L12" s="7">
        <v>71</v>
      </c>
      <c r="M12" s="7">
        <v>74</v>
      </c>
      <c r="N12" s="7">
        <f>302-SUM(K12:M12)</f>
        <v>91</v>
      </c>
      <c r="O12" s="7">
        <v>78</v>
      </c>
      <c r="P12" s="7">
        <v>121</v>
      </c>
      <c r="Q12" s="7">
        <v>132</v>
      </c>
      <c r="R12" s="7">
        <f>495-SUM(O12:Q12)</f>
        <v>164</v>
      </c>
      <c r="S12" s="34">
        <v>147</v>
      </c>
      <c r="T12" s="34">
        <v>162</v>
      </c>
      <c r="U12" s="34">
        <v>178</v>
      </c>
      <c r="V12" s="34">
        <f>684-SUM(S12:U12)</f>
        <v>197</v>
      </c>
      <c r="W12" s="34">
        <v>155</v>
      </c>
      <c r="X12" s="34"/>
      <c r="Y12" s="34"/>
      <c r="Z12" s="34"/>
      <c r="AA12" s="26"/>
      <c r="AB12" s="26"/>
      <c r="AC12" s="26"/>
      <c r="AE12" s="7">
        <f t="shared" si="7"/>
        <v>234</v>
      </c>
      <c r="AF12" s="7">
        <f t="shared" si="8"/>
        <v>250</v>
      </c>
      <c r="AG12" s="7">
        <f t="shared" si="9"/>
        <v>302</v>
      </c>
      <c r="AH12" s="7">
        <f>SUM(O12:R12)</f>
        <v>495</v>
      </c>
      <c r="AI12" s="7">
        <f>SUM(S12:V12)</f>
        <v>684</v>
      </c>
    </row>
    <row r="13" spans="1:39" s="32" customFormat="1" ht="15" x14ac:dyDescent="0.25">
      <c r="B13" s="33" t="s">
        <v>87</v>
      </c>
      <c r="C13" s="12">
        <f t="shared" ref="C13:V13" si="10">C11+C12</f>
        <v>228</v>
      </c>
      <c r="D13" s="12">
        <f t="shared" si="10"/>
        <v>224</v>
      </c>
      <c r="E13" s="12">
        <f t="shared" si="10"/>
        <v>227</v>
      </c>
      <c r="F13" s="12">
        <f t="shared" si="10"/>
        <v>249</v>
      </c>
      <c r="G13" s="12">
        <f t="shared" si="10"/>
        <v>225</v>
      </c>
      <c r="H13" s="12">
        <f t="shared" si="10"/>
        <v>224</v>
      </c>
      <c r="I13" s="12">
        <f t="shared" si="10"/>
        <v>231</v>
      </c>
      <c r="J13" s="12">
        <f t="shared" si="10"/>
        <v>243</v>
      </c>
      <c r="K13" s="12">
        <f t="shared" si="10"/>
        <v>226</v>
      </c>
      <c r="L13" s="12">
        <f t="shared" si="10"/>
        <v>239</v>
      </c>
      <c r="M13" s="12">
        <f t="shared" si="10"/>
        <v>251</v>
      </c>
      <c r="N13" s="12">
        <f t="shared" si="10"/>
        <v>266</v>
      </c>
      <c r="O13" s="12">
        <f t="shared" si="10"/>
        <v>244</v>
      </c>
      <c r="P13" s="12">
        <f t="shared" si="10"/>
        <v>279</v>
      </c>
      <c r="Q13" s="12">
        <f t="shared" si="10"/>
        <v>296</v>
      </c>
      <c r="R13" s="12">
        <f t="shared" si="10"/>
        <v>342</v>
      </c>
      <c r="S13" s="12">
        <f t="shared" si="10"/>
        <v>318</v>
      </c>
      <c r="T13" s="12">
        <f t="shared" si="10"/>
        <v>334</v>
      </c>
      <c r="U13" s="12">
        <f t="shared" si="10"/>
        <v>362</v>
      </c>
      <c r="V13" s="12">
        <f t="shared" si="10"/>
        <v>380</v>
      </c>
      <c r="W13" s="12">
        <f>W11+W12</f>
        <v>340</v>
      </c>
      <c r="X13" s="12"/>
      <c r="Y13" s="12"/>
      <c r="Z13" s="12"/>
      <c r="AE13" s="12">
        <f t="shared" ref="AE13:AH13" si="11">AE11+AE12</f>
        <v>928</v>
      </c>
      <c r="AF13" s="12">
        <f t="shared" si="11"/>
        <v>923</v>
      </c>
      <c r="AG13" s="12">
        <f t="shared" si="11"/>
        <v>982</v>
      </c>
      <c r="AH13" s="12">
        <f t="shared" si="11"/>
        <v>1161</v>
      </c>
      <c r="AI13" s="12">
        <f>AI11+AI12</f>
        <v>1394</v>
      </c>
    </row>
    <row r="14" spans="1:39" s="6" customFormat="1" x14ac:dyDescent="0.2">
      <c r="C14" s="7"/>
      <c r="D14" s="7"/>
      <c r="E14" s="7"/>
      <c r="F14" s="7"/>
      <c r="G14" s="7"/>
      <c r="H14" s="7"/>
      <c r="I14" s="7"/>
      <c r="J14" s="7"/>
      <c r="K14" s="7"/>
      <c r="L14" s="7"/>
      <c r="M14" s="7"/>
      <c r="N14" s="7"/>
      <c r="O14" s="7"/>
      <c r="P14" s="7"/>
      <c r="Q14" s="7"/>
      <c r="R14" s="7"/>
      <c r="S14" s="34"/>
      <c r="T14" s="34"/>
      <c r="U14" s="34"/>
      <c r="V14" s="34"/>
      <c r="W14" s="34"/>
      <c r="X14" s="34"/>
      <c r="Y14" s="34"/>
      <c r="Z14" s="34"/>
      <c r="AA14" s="26"/>
      <c r="AB14" s="26"/>
      <c r="AC14" s="26"/>
    </row>
    <row r="15" spans="1:39" s="9" customFormat="1" ht="15" x14ac:dyDescent="0.25">
      <c r="A15" s="8"/>
      <c r="B15" s="8" t="s">
        <v>23</v>
      </c>
      <c r="C15" s="9">
        <f t="shared" ref="C15:V15" si="12">C13+C9</f>
        <v>16223</v>
      </c>
      <c r="D15" s="9">
        <f t="shared" si="12"/>
        <v>16634</v>
      </c>
      <c r="E15" s="9">
        <f t="shared" si="12"/>
        <v>16874</v>
      </c>
      <c r="F15" s="9">
        <f t="shared" si="12"/>
        <v>22983</v>
      </c>
      <c r="G15" s="9">
        <f t="shared" si="12"/>
        <v>16781</v>
      </c>
      <c r="H15" s="9">
        <f t="shared" si="12"/>
        <v>17776</v>
      </c>
      <c r="I15" s="9">
        <f t="shared" si="12"/>
        <v>17821</v>
      </c>
      <c r="J15" s="9">
        <f t="shared" si="12"/>
        <v>22978</v>
      </c>
      <c r="K15" s="9">
        <f t="shared" si="12"/>
        <v>17627</v>
      </c>
      <c r="L15" s="9">
        <f t="shared" si="12"/>
        <v>18422</v>
      </c>
      <c r="M15" s="9">
        <f t="shared" si="12"/>
        <v>18665</v>
      </c>
      <c r="N15" s="9">
        <f t="shared" si="12"/>
        <v>23398</v>
      </c>
      <c r="O15" s="9">
        <f t="shared" si="12"/>
        <v>19615</v>
      </c>
      <c r="P15" s="9">
        <f t="shared" si="12"/>
        <v>22975</v>
      </c>
      <c r="Q15" s="9">
        <f t="shared" si="12"/>
        <v>22632</v>
      </c>
      <c r="R15" s="9">
        <f t="shared" si="12"/>
        <v>28339</v>
      </c>
      <c r="S15" s="9">
        <f t="shared" si="12"/>
        <v>24197</v>
      </c>
      <c r="T15" s="9">
        <f t="shared" si="12"/>
        <v>25160</v>
      </c>
      <c r="U15" s="9">
        <f t="shared" si="12"/>
        <v>25652</v>
      </c>
      <c r="V15" s="9">
        <f t="shared" si="12"/>
        <v>30996</v>
      </c>
      <c r="W15" s="9">
        <f>W13+W9</f>
        <v>25170</v>
      </c>
      <c r="X15" s="9">
        <f>T15*1.04</f>
        <v>26166.400000000001</v>
      </c>
      <c r="Y15" s="9">
        <f>U15*1.04</f>
        <v>26678.080000000002</v>
      </c>
      <c r="Z15" s="9">
        <f>V15*1.04</f>
        <v>32235.84</v>
      </c>
      <c r="AE15" s="9">
        <f>AE13+AE9</f>
        <v>72714</v>
      </c>
      <c r="AF15" s="9">
        <f t="shared" ref="AF15:AH15" si="13">AF13+AF9</f>
        <v>75356</v>
      </c>
      <c r="AG15" s="9">
        <f t="shared" si="13"/>
        <v>78112</v>
      </c>
      <c r="AH15" s="9">
        <f t="shared" si="13"/>
        <v>93561</v>
      </c>
      <c r="AI15" s="9">
        <f>AI13+AI9</f>
        <v>106005</v>
      </c>
      <c r="AJ15" s="9">
        <f>SUM(W15:Z15)</f>
        <v>110250.32</v>
      </c>
      <c r="AK15" s="9">
        <f>AJ15*1.04</f>
        <v>114660.33280000002</v>
      </c>
      <c r="AL15" s="9">
        <f>AK15*1.03</f>
        <v>118100.14278400003</v>
      </c>
      <c r="AM15" s="9">
        <f>AL15*1.03</f>
        <v>121643.14706752003</v>
      </c>
    </row>
    <row r="16" spans="1:39" x14ac:dyDescent="0.2">
      <c r="B16" s="1" t="s">
        <v>24</v>
      </c>
      <c r="C16" s="2">
        <v>11134</v>
      </c>
      <c r="D16" s="2">
        <v>11419</v>
      </c>
      <c r="E16" s="2">
        <v>11712</v>
      </c>
      <c r="F16" s="2">
        <v>11713</v>
      </c>
      <c r="G16" s="2">
        <v>11625</v>
      </c>
      <c r="H16" s="2">
        <v>12239</v>
      </c>
      <c r="I16" s="2">
        <v>12535</v>
      </c>
      <c r="J16" s="2">
        <v>16900</v>
      </c>
      <c r="K16" s="2">
        <v>12248</v>
      </c>
      <c r="L16" s="2">
        <v>12625</v>
      </c>
      <c r="M16" s="2">
        <v>12935</v>
      </c>
      <c r="N16" s="2">
        <v>17056</v>
      </c>
      <c r="O16" s="2">
        <v>14510</v>
      </c>
      <c r="P16" s="2">
        <v>15673</v>
      </c>
      <c r="Q16" s="2">
        <v>15509</v>
      </c>
      <c r="R16" s="2">
        <v>20485</v>
      </c>
      <c r="S16" s="2">
        <v>16716</v>
      </c>
      <c r="T16" s="2">
        <v>17280</v>
      </c>
      <c r="U16" s="2">
        <v>18206</v>
      </c>
      <c r="V16" s="2">
        <v>22761</v>
      </c>
      <c r="W16" s="2">
        <v>18461</v>
      </c>
      <c r="X16" s="2">
        <f>T16*1.12</f>
        <v>19353.600000000002</v>
      </c>
      <c r="Y16" s="2">
        <f t="shared" ref="Y16" si="14">U16*1.08</f>
        <v>19662.48</v>
      </c>
      <c r="Z16" s="2">
        <f>V16*1.05</f>
        <v>23899.05</v>
      </c>
      <c r="AE16" s="2">
        <f>SUM(C16:F16)</f>
        <v>45978</v>
      </c>
      <c r="AF16" s="2">
        <f>SUM(G16:J16)</f>
        <v>53299</v>
      </c>
      <c r="AG16" s="2">
        <f>SUM(K16:N16)</f>
        <v>54864</v>
      </c>
      <c r="AH16" s="2">
        <f>SUM(O16:R16)</f>
        <v>66177</v>
      </c>
      <c r="AI16" s="2">
        <f>SUM(S16:V16)</f>
        <v>74963</v>
      </c>
      <c r="AJ16" s="2">
        <f>SUM(W16:Z16)</f>
        <v>81376.13</v>
      </c>
      <c r="AK16" s="2">
        <f>AJ16*1.05</f>
        <v>85444.936500000011</v>
      </c>
      <c r="AL16" s="2">
        <f>AK16*1.03</f>
        <v>88008.284595000019</v>
      </c>
      <c r="AM16" s="2">
        <f>AL16*1.03</f>
        <v>90648.533132850018</v>
      </c>
    </row>
    <row r="17" spans="1:424" x14ac:dyDescent="0.2">
      <c r="B17" s="1" t="s">
        <v>47</v>
      </c>
      <c r="C17" s="2">
        <f t="shared" ref="C17:P17" si="15">+C15-C16</f>
        <v>5089</v>
      </c>
      <c r="D17" s="2">
        <f t="shared" si="15"/>
        <v>5215</v>
      </c>
      <c r="E17" s="2">
        <f t="shared" si="15"/>
        <v>5162</v>
      </c>
      <c r="F17" s="2">
        <f t="shared" si="15"/>
        <v>11270</v>
      </c>
      <c r="G17" s="2">
        <f t="shared" si="15"/>
        <v>5156</v>
      </c>
      <c r="H17" s="2">
        <f t="shared" si="15"/>
        <v>5537</v>
      </c>
      <c r="I17" s="2">
        <f t="shared" si="15"/>
        <v>5286</v>
      </c>
      <c r="J17" s="2">
        <f t="shared" si="15"/>
        <v>6078</v>
      </c>
      <c r="K17" s="2">
        <f t="shared" si="15"/>
        <v>5379</v>
      </c>
      <c r="L17" s="2">
        <f t="shared" si="15"/>
        <v>5797</v>
      </c>
      <c r="M17" s="2">
        <f t="shared" si="15"/>
        <v>5730</v>
      </c>
      <c r="N17" s="2">
        <f t="shared" si="15"/>
        <v>6342</v>
      </c>
      <c r="O17" s="2">
        <f t="shared" si="15"/>
        <v>5105</v>
      </c>
      <c r="P17" s="2">
        <f t="shared" si="15"/>
        <v>7302</v>
      </c>
      <c r="Q17" s="2">
        <f t="shared" ref="Q17:Z17" si="16">+Q15-Q16</f>
        <v>7123</v>
      </c>
      <c r="R17" s="2">
        <f t="shared" si="16"/>
        <v>7854</v>
      </c>
      <c r="S17" s="2">
        <f t="shared" si="16"/>
        <v>7481</v>
      </c>
      <c r="T17" s="2">
        <f t="shared" si="16"/>
        <v>7880</v>
      </c>
      <c r="U17" s="2">
        <f t="shared" si="16"/>
        <v>7446</v>
      </c>
      <c r="V17" s="2">
        <f t="shared" si="16"/>
        <v>8235</v>
      </c>
      <c r="W17" s="2">
        <f t="shared" si="16"/>
        <v>6709</v>
      </c>
      <c r="X17" s="2">
        <f t="shared" si="16"/>
        <v>6812.7999999999993</v>
      </c>
      <c r="Y17" s="2">
        <f t="shared" si="16"/>
        <v>7015.6000000000022</v>
      </c>
      <c r="Z17" s="2">
        <f t="shared" si="16"/>
        <v>8336.7900000000009</v>
      </c>
      <c r="AE17" s="2">
        <f>+AE15-AE16</f>
        <v>26736</v>
      </c>
      <c r="AF17" s="2">
        <f>+AF15-AF16</f>
        <v>22057</v>
      </c>
      <c r="AG17" s="2">
        <f>+AG15-AG16</f>
        <v>23248</v>
      </c>
      <c r="AH17" s="2">
        <f>+AH15-AH16</f>
        <v>27384</v>
      </c>
      <c r="AI17" s="2">
        <f>+AI15-AI16</f>
        <v>31042</v>
      </c>
      <c r="AJ17" s="2">
        <f t="shared" ref="AJ17:AM17" si="17">+AJ15-AJ16</f>
        <v>28874.190000000002</v>
      </c>
      <c r="AK17" s="2">
        <f t="shared" si="17"/>
        <v>29215.396300000008</v>
      </c>
      <c r="AL17" s="2">
        <f t="shared" si="17"/>
        <v>30091.858189000006</v>
      </c>
      <c r="AM17" s="2">
        <f t="shared" si="17"/>
        <v>30994.613934670007</v>
      </c>
    </row>
    <row r="18" spans="1:424" x14ac:dyDescent="0.2">
      <c r="B18" s="1" t="s">
        <v>25</v>
      </c>
      <c r="C18" s="2">
        <v>3132</v>
      </c>
      <c r="D18" s="2">
        <v>3382</v>
      </c>
      <c r="E18" s="2">
        <v>3512</v>
      </c>
      <c r="F18" s="2">
        <v>4221</v>
      </c>
      <c r="G18" s="2">
        <v>3545</v>
      </c>
      <c r="H18" s="2">
        <v>3865</v>
      </c>
      <c r="I18" s="2">
        <v>3937</v>
      </c>
      <c r="J18" s="2">
        <v>4376</v>
      </c>
      <c r="K18" s="2">
        <v>3663</v>
      </c>
      <c r="L18" s="2">
        <v>3912</v>
      </c>
      <c r="M18" s="2">
        <v>4153</v>
      </c>
      <c r="N18" s="2">
        <v>4504</v>
      </c>
      <c r="O18" s="2">
        <v>4060</v>
      </c>
      <c r="P18" s="2">
        <v>4460</v>
      </c>
      <c r="Q18" s="2">
        <v>4647</v>
      </c>
      <c r="R18" s="2">
        <v>5448</v>
      </c>
      <c r="S18" s="2">
        <v>4509</v>
      </c>
      <c r="T18" s="2">
        <v>4849</v>
      </c>
      <c r="U18" s="2">
        <v>4859</v>
      </c>
      <c r="V18" s="2">
        <v>5535</v>
      </c>
      <c r="W18" s="2">
        <v>4762</v>
      </c>
      <c r="X18" s="2">
        <f>T18*1.11</f>
        <v>5382.39</v>
      </c>
      <c r="Y18" s="2">
        <f>U18*1.08</f>
        <v>5247.72</v>
      </c>
      <c r="Z18" s="2">
        <f t="shared" ref="Z18" si="18">V18*1.05</f>
        <v>5811.75</v>
      </c>
      <c r="AE18" s="2">
        <f>SUM(C18:F18)</f>
        <v>14247</v>
      </c>
      <c r="AF18" s="2">
        <f>SUM(G18:J18)</f>
        <v>15723</v>
      </c>
      <c r="AG18" s="2">
        <f>SUM(K18:N18)</f>
        <v>16232</v>
      </c>
      <c r="AH18" s="2">
        <f>SUM(O18:R18)</f>
        <v>18615</v>
      </c>
      <c r="AI18" s="2">
        <f>SUM(S18:V18)</f>
        <v>19752</v>
      </c>
      <c r="AJ18" s="2">
        <f>SUM(W18:Z18)</f>
        <v>21203.86</v>
      </c>
      <c r="AK18" s="2">
        <f t="shared" ref="AK18" si="19">AJ18*1.05</f>
        <v>22264.053</v>
      </c>
      <c r="AL18" s="2">
        <f t="shared" ref="AL18:AM18" si="20">AK18*1.03</f>
        <v>22931.974590000002</v>
      </c>
      <c r="AM18" s="2">
        <f t="shared" si="20"/>
        <v>23619.933827700002</v>
      </c>
    </row>
    <row r="19" spans="1:424" x14ac:dyDescent="0.2">
      <c r="B19" s="1" t="s">
        <v>26</v>
      </c>
      <c r="C19" s="2">
        <f t="shared" ref="C19:P19" si="21">+C18</f>
        <v>3132</v>
      </c>
      <c r="D19" s="2">
        <f t="shared" si="21"/>
        <v>3382</v>
      </c>
      <c r="E19" s="2">
        <f t="shared" si="21"/>
        <v>3512</v>
      </c>
      <c r="F19" s="2">
        <f t="shared" si="21"/>
        <v>4221</v>
      </c>
      <c r="G19" s="2">
        <f t="shared" si="21"/>
        <v>3545</v>
      </c>
      <c r="H19" s="2">
        <f t="shared" si="21"/>
        <v>3865</v>
      </c>
      <c r="I19" s="2">
        <f t="shared" si="21"/>
        <v>3937</v>
      </c>
      <c r="J19" s="2">
        <f t="shared" si="21"/>
        <v>4376</v>
      </c>
      <c r="K19" s="2">
        <f t="shared" si="21"/>
        <v>3663</v>
      </c>
      <c r="L19" s="2">
        <f t="shared" si="21"/>
        <v>3912</v>
      </c>
      <c r="M19" s="2">
        <f t="shared" si="21"/>
        <v>4153</v>
      </c>
      <c r="N19" s="2">
        <f t="shared" si="21"/>
        <v>4504</v>
      </c>
      <c r="O19" s="2">
        <f t="shared" si="21"/>
        <v>4060</v>
      </c>
      <c r="P19" s="2">
        <f t="shared" si="21"/>
        <v>4460</v>
      </c>
      <c r="Q19" s="2">
        <f t="shared" ref="Q19:W19" si="22">+Q18</f>
        <v>4647</v>
      </c>
      <c r="R19" s="2">
        <f t="shared" si="22"/>
        <v>5448</v>
      </c>
      <c r="S19" s="2">
        <f t="shared" si="22"/>
        <v>4509</v>
      </c>
      <c r="T19" s="2">
        <f t="shared" si="22"/>
        <v>4849</v>
      </c>
      <c r="U19" s="2">
        <f t="shared" si="22"/>
        <v>4859</v>
      </c>
      <c r="V19" s="2">
        <f t="shared" si="22"/>
        <v>5535</v>
      </c>
      <c r="W19" s="2">
        <f t="shared" si="22"/>
        <v>4762</v>
      </c>
      <c r="X19" s="2">
        <f t="shared" ref="X19:Z19" si="23">+X18</f>
        <v>5382.39</v>
      </c>
      <c r="Y19" s="2">
        <f t="shared" si="23"/>
        <v>5247.72</v>
      </c>
      <c r="Z19" s="2">
        <f t="shared" si="23"/>
        <v>5811.75</v>
      </c>
      <c r="AE19" s="2">
        <f>+AE18</f>
        <v>14247</v>
      </c>
      <c r="AF19" s="2">
        <f>+AF18</f>
        <v>15723</v>
      </c>
      <c r="AG19" s="2">
        <f>+AG18</f>
        <v>16232</v>
      </c>
      <c r="AH19" s="2">
        <f>+AH18</f>
        <v>18615</v>
      </c>
      <c r="AI19" s="2">
        <f>+AI18</f>
        <v>19752</v>
      </c>
      <c r="AJ19" s="2">
        <f t="shared" ref="AJ19:AM19" si="24">+AJ18</f>
        <v>21203.86</v>
      </c>
      <c r="AK19" s="2">
        <f t="shared" si="24"/>
        <v>22264.053</v>
      </c>
      <c r="AL19" s="2">
        <f t="shared" si="24"/>
        <v>22931.974590000002</v>
      </c>
      <c r="AM19" s="2">
        <f t="shared" si="24"/>
        <v>23619.933827700002</v>
      </c>
    </row>
    <row r="20" spans="1:424" x14ac:dyDescent="0.2">
      <c r="B20" s="1" t="s">
        <v>27</v>
      </c>
      <c r="C20" s="2">
        <f t="shared" ref="C20:P20" si="25">+C17-C19</f>
        <v>1957</v>
      </c>
      <c r="D20" s="2">
        <f t="shared" si="25"/>
        <v>1833</v>
      </c>
      <c r="E20" s="2">
        <f t="shared" si="25"/>
        <v>1650</v>
      </c>
      <c r="F20" s="2">
        <f t="shared" si="25"/>
        <v>7049</v>
      </c>
      <c r="G20" s="2">
        <f t="shared" si="25"/>
        <v>1611</v>
      </c>
      <c r="H20" s="2">
        <f t="shared" si="25"/>
        <v>1672</v>
      </c>
      <c r="I20" s="2">
        <f t="shared" si="25"/>
        <v>1349</v>
      </c>
      <c r="J20" s="2">
        <f t="shared" si="25"/>
        <v>1702</v>
      </c>
      <c r="K20" s="2">
        <f t="shared" si="25"/>
        <v>1716</v>
      </c>
      <c r="L20" s="2">
        <f t="shared" si="25"/>
        <v>1885</v>
      </c>
      <c r="M20" s="2">
        <f t="shared" si="25"/>
        <v>1577</v>
      </c>
      <c r="N20" s="2">
        <f t="shared" si="25"/>
        <v>1838</v>
      </c>
      <c r="O20" s="2">
        <f t="shared" si="25"/>
        <v>1045</v>
      </c>
      <c r="P20" s="2">
        <f t="shared" si="25"/>
        <v>2842</v>
      </c>
      <c r="Q20" s="2">
        <f t="shared" ref="Q20:W20" si="26">+Q17-Q19</f>
        <v>2476</v>
      </c>
      <c r="R20" s="2">
        <f t="shared" si="26"/>
        <v>2406</v>
      </c>
      <c r="S20" s="2">
        <f t="shared" si="26"/>
        <v>2972</v>
      </c>
      <c r="T20" s="2">
        <f t="shared" si="26"/>
        <v>3031</v>
      </c>
      <c r="U20" s="2">
        <f t="shared" si="26"/>
        <v>2587</v>
      </c>
      <c r="V20" s="2">
        <f t="shared" si="26"/>
        <v>2700</v>
      </c>
      <c r="W20" s="2">
        <f t="shared" si="26"/>
        <v>1947</v>
      </c>
      <c r="X20" s="2">
        <f t="shared" ref="X20:Z20" si="27">+X17-X19</f>
        <v>1430.4099999999989</v>
      </c>
      <c r="Y20" s="2">
        <f t="shared" si="27"/>
        <v>1767.8800000000019</v>
      </c>
      <c r="Z20" s="2">
        <f t="shared" si="27"/>
        <v>2525.0400000000009</v>
      </c>
      <c r="AE20" s="2">
        <f>+AE17-AE19</f>
        <v>12489</v>
      </c>
      <c r="AF20" s="2">
        <f>+AF17-AF19</f>
        <v>6334</v>
      </c>
      <c r="AG20" s="2">
        <f>+AG17-AG19</f>
        <v>7016</v>
      </c>
      <c r="AH20" s="2">
        <f>+AH17-AH19</f>
        <v>8769</v>
      </c>
      <c r="AI20" s="2">
        <f>+AI17-AI19</f>
        <v>11290</v>
      </c>
      <c r="AJ20" s="2">
        <f t="shared" ref="AJ20:AM20" si="28">+AJ17-AJ19</f>
        <v>7670.3300000000017</v>
      </c>
      <c r="AK20" s="2">
        <f t="shared" si="28"/>
        <v>6951.3433000000077</v>
      </c>
      <c r="AL20" s="2">
        <f t="shared" si="28"/>
        <v>7159.8835990000043</v>
      </c>
      <c r="AM20" s="2">
        <f t="shared" si="28"/>
        <v>7374.680106970005</v>
      </c>
    </row>
    <row r="21" spans="1:424" x14ac:dyDescent="0.2">
      <c r="B21" s="38" t="s">
        <v>114</v>
      </c>
      <c r="C21" s="2">
        <f>144</f>
        <v>144</v>
      </c>
      <c r="D21" s="2">
        <f>135</f>
        <v>135</v>
      </c>
      <c r="E21" s="2">
        <f>254</f>
        <v>254</v>
      </c>
      <c r="F21" s="2">
        <f>134</f>
        <v>134</v>
      </c>
      <c r="G21" s="2">
        <f>121</f>
        <v>121</v>
      </c>
      <c r="H21" s="2">
        <f>115</f>
        <v>115</v>
      </c>
      <c r="I21" s="2">
        <f>115</f>
        <v>115</v>
      </c>
      <c r="J21" s="2">
        <f>110</f>
        <v>110</v>
      </c>
      <c r="K21" s="30">
        <v>126</v>
      </c>
      <c r="L21" s="2">
        <f>120</f>
        <v>120</v>
      </c>
      <c r="M21" s="2">
        <f>113</f>
        <v>113</v>
      </c>
      <c r="N21" s="2">
        <f>118</f>
        <v>118</v>
      </c>
      <c r="O21" s="2">
        <f>117</f>
        <v>117</v>
      </c>
      <c r="P21" s="2">
        <f>122</f>
        <v>122</v>
      </c>
      <c r="Q21" s="2">
        <f>632</f>
        <v>632</v>
      </c>
      <c r="R21" s="2">
        <v>106</v>
      </c>
      <c r="S21" s="2">
        <f>108</f>
        <v>108</v>
      </c>
      <c r="T21" s="2">
        <f>104</f>
        <v>104</v>
      </c>
      <c r="U21" s="2">
        <f>105</f>
        <v>105</v>
      </c>
      <c r="V21" s="2">
        <f>104</f>
        <v>104</v>
      </c>
      <c r="W21" s="2">
        <f>112</f>
        <v>112</v>
      </c>
      <c r="X21" s="2">
        <f>T21*1.01</f>
        <v>105.04</v>
      </c>
      <c r="Y21" s="2">
        <f t="shared" ref="Y21:Z21" si="29">U21*1.01</f>
        <v>106.05</v>
      </c>
      <c r="Z21" s="2">
        <f t="shared" si="29"/>
        <v>105.04</v>
      </c>
      <c r="AE21" s="2">
        <f>SUM(C21:F21)</f>
        <v>667</v>
      </c>
      <c r="AF21" s="2">
        <f>SUM(G21:J21)</f>
        <v>461</v>
      </c>
      <c r="AG21" s="2">
        <f>SUM(K21:N21)</f>
        <v>477</v>
      </c>
      <c r="AH21" s="2">
        <f>SUM(O21:R21)</f>
        <v>977</v>
      </c>
      <c r="AI21" s="2">
        <f>SUM(S21:V21)</f>
        <v>421</v>
      </c>
      <c r="AJ21" s="2">
        <f>SUM(W21:Z21)</f>
        <v>428.13000000000005</v>
      </c>
      <c r="AK21" s="2">
        <v>400</v>
      </c>
      <c r="AL21" s="2">
        <v>400</v>
      </c>
      <c r="AM21" s="2">
        <v>400</v>
      </c>
    </row>
    <row r="22" spans="1:424" x14ac:dyDescent="0.2">
      <c r="B22" s="29" t="s">
        <v>79</v>
      </c>
      <c r="C22" s="2">
        <v>-4</v>
      </c>
      <c r="D22" s="2">
        <v>-1</v>
      </c>
      <c r="E22" s="2">
        <v>-2</v>
      </c>
      <c r="F22" s="2">
        <v>1</v>
      </c>
      <c r="G22" s="2">
        <f>-7-1</f>
        <v>-8</v>
      </c>
      <c r="H22" s="2">
        <v>-4</v>
      </c>
      <c r="I22" s="2">
        <f>-9-6</f>
        <v>-15</v>
      </c>
      <c r="J22" s="2">
        <f>-7-1</f>
        <v>-8</v>
      </c>
      <c r="K22" s="2">
        <f>-12-3</f>
        <v>-15</v>
      </c>
      <c r="L22" s="2">
        <v>-13</v>
      </c>
      <c r="M22" s="2">
        <f>-12-8</f>
        <v>-20</v>
      </c>
      <c r="N22" s="2">
        <f>29-1</f>
        <v>28</v>
      </c>
      <c r="O22" s="2">
        <v>22</v>
      </c>
      <c r="P22" s="2">
        <v>-11</v>
      </c>
      <c r="Q22" s="2">
        <v>5</v>
      </c>
      <c r="R22" s="2">
        <v>0</v>
      </c>
      <c r="S22" s="2">
        <v>-343</v>
      </c>
      <c r="T22" s="2">
        <v>-7</v>
      </c>
      <c r="U22" s="2">
        <v>-6</v>
      </c>
      <c r="V22" s="2">
        <v>-26</v>
      </c>
      <c r="W22" s="2">
        <v>-15</v>
      </c>
      <c r="X22" s="2">
        <f>T22*1.01</f>
        <v>-7.07</v>
      </c>
      <c r="Y22" s="2">
        <f>U22*1.01</f>
        <v>-6.0600000000000005</v>
      </c>
      <c r="Z22" s="2">
        <f>V22*1.01</f>
        <v>-26.26</v>
      </c>
      <c r="AE22" s="2">
        <f>SUM(C22:F22)</f>
        <v>-6</v>
      </c>
      <c r="AF22" s="2">
        <f>SUM(G22:J22)</f>
        <v>-35</v>
      </c>
      <c r="AG22" s="2">
        <f>SUM(K22:N22)</f>
        <v>-20</v>
      </c>
      <c r="AH22" s="2">
        <f>SUM(O22:R22)</f>
        <v>16</v>
      </c>
      <c r="AI22" s="2">
        <f>SUM(S22:V22)</f>
        <v>-382</v>
      </c>
      <c r="AJ22" s="2">
        <f>SUM(W22:Z22)</f>
        <v>-54.39</v>
      </c>
      <c r="AK22" s="2">
        <f>AJ22*1.01</f>
        <v>-54.933900000000001</v>
      </c>
      <c r="AL22" s="2">
        <f>AK22*1.01</f>
        <v>-55.483239000000005</v>
      </c>
      <c r="AM22" s="2">
        <f>AL22*1.01</f>
        <v>-56.038071390000006</v>
      </c>
    </row>
    <row r="23" spans="1:424" x14ac:dyDescent="0.2">
      <c r="B23" s="1" t="s">
        <v>28</v>
      </c>
      <c r="C23" s="2">
        <f>+C20-C21-C22</f>
        <v>1817</v>
      </c>
      <c r="D23" s="2">
        <f t="shared" ref="D23:AM23" si="30">+D20-D21-D22</f>
        <v>1699</v>
      </c>
      <c r="E23" s="2">
        <f t="shared" si="30"/>
        <v>1398</v>
      </c>
      <c r="F23" s="2">
        <f t="shared" si="30"/>
        <v>6914</v>
      </c>
      <c r="G23" s="2">
        <f t="shared" si="30"/>
        <v>1498</v>
      </c>
      <c r="H23" s="2">
        <f t="shared" si="30"/>
        <v>1561</v>
      </c>
      <c r="I23" s="2">
        <f t="shared" si="30"/>
        <v>1249</v>
      </c>
      <c r="J23" s="2">
        <f t="shared" si="30"/>
        <v>1600</v>
      </c>
      <c r="K23" s="2">
        <f t="shared" si="30"/>
        <v>1605</v>
      </c>
      <c r="L23" s="2">
        <f t="shared" si="30"/>
        <v>1778</v>
      </c>
      <c r="M23" s="2">
        <f t="shared" si="30"/>
        <v>1484</v>
      </c>
      <c r="N23" s="2">
        <f t="shared" si="30"/>
        <v>1692</v>
      </c>
      <c r="O23" s="2">
        <f t="shared" si="30"/>
        <v>906</v>
      </c>
      <c r="P23" s="2">
        <f t="shared" si="30"/>
        <v>2731</v>
      </c>
      <c r="Q23" s="2">
        <f t="shared" si="30"/>
        <v>1839</v>
      </c>
      <c r="R23" s="2">
        <f t="shared" si="30"/>
        <v>2300</v>
      </c>
      <c r="S23" s="2">
        <f t="shared" si="30"/>
        <v>3207</v>
      </c>
      <c r="T23" s="2">
        <f t="shared" si="30"/>
        <v>2934</v>
      </c>
      <c r="U23" s="2">
        <f t="shared" si="30"/>
        <v>2488</v>
      </c>
      <c r="V23" s="2">
        <f t="shared" si="30"/>
        <v>2622</v>
      </c>
      <c r="W23" s="2">
        <f t="shared" si="30"/>
        <v>1850</v>
      </c>
      <c r="X23" s="2">
        <f t="shared" si="30"/>
        <v>1332.4399999999989</v>
      </c>
      <c r="Y23" s="2">
        <f t="shared" si="30"/>
        <v>1667.8900000000019</v>
      </c>
      <c r="Z23" s="2">
        <f t="shared" si="30"/>
        <v>2446.2600000000011</v>
      </c>
      <c r="AE23" s="2">
        <f t="shared" si="30"/>
        <v>11828</v>
      </c>
      <c r="AF23" s="2">
        <f t="shared" si="30"/>
        <v>5908</v>
      </c>
      <c r="AG23" s="2">
        <f t="shared" si="30"/>
        <v>6559</v>
      </c>
      <c r="AH23" s="2">
        <f t="shared" si="30"/>
        <v>7776</v>
      </c>
      <c r="AI23" s="2">
        <f>+AI20-AI21-AI22</f>
        <v>11251</v>
      </c>
      <c r="AJ23" s="2">
        <f t="shared" si="30"/>
        <v>7296.590000000002</v>
      </c>
      <c r="AK23" s="2">
        <f t="shared" si="30"/>
        <v>6606.2772000000077</v>
      </c>
      <c r="AL23" s="2">
        <f t="shared" si="30"/>
        <v>6815.3668380000045</v>
      </c>
      <c r="AM23" s="2">
        <f t="shared" si="30"/>
        <v>7030.7181783600054</v>
      </c>
    </row>
    <row r="24" spans="1:424" x14ac:dyDescent="0.2">
      <c r="B24" s="1" t="s">
        <v>29</v>
      </c>
      <c r="C24" s="2">
        <v>357</v>
      </c>
      <c r="D24" s="2">
        <v>308</v>
      </c>
      <c r="E24" s="2">
        <v>137</v>
      </c>
      <c r="F24" s="2">
        <v>-84</v>
      </c>
      <c r="G24" s="2">
        <v>210</v>
      </c>
      <c r="H24" s="2">
        <v>223</v>
      </c>
      <c r="I24" s="2">
        <v>97</v>
      </c>
      <c r="J24" s="2">
        <v>216</v>
      </c>
      <c r="K24" s="2">
        <v>229</v>
      </c>
      <c r="L24" s="2">
        <v>279</v>
      </c>
      <c r="M24" s="2">
        <v>195</v>
      </c>
      <c r="N24" s="2">
        <v>218</v>
      </c>
      <c r="O24" s="2">
        <v>45</v>
      </c>
      <c r="P24" s="2">
        <v>499</v>
      </c>
      <c r="Q24" s="2">
        <v>284</v>
      </c>
      <c r="R24" s="2">
        <v>350</v>
      </c>
      <c r="S24" s="2">
        <v>512</v>
      </c>
      <c r="T24" s="2">
        <v>553</v>
      </c>
      <c r="U24" s="2">
        <v>423</v>
      </c>
      <c r="V24" s="2">
        <v>473</v>
      </c>
      <c r="W24" s="2">
        <v>240</v>
      </c>
      <c r="X24" s="2">
        <f>X23*0.19</f>
        <v>253.1635999999998</v>
      </c>
      <c r="Y24" s="2">
        <f t="shared" ref="Y24:Z24" si="31">Y23*0.19</f>
        <v>316.89910000000037</v>
      </c>
      <c r="Z24" s="2">
        <f t="shared" si="31"/>
        <v>464.78940000000023</v>
      </c>
      <c r="AE24" s="2">
        <f>SUM(C24:F24)</f>
        <v>718</v>
      </c>
      <c r="AF24" s="2">
        <f>SUM(G24:J24)</f>
        <v>746</v>
      </c>
      <c r="AG24" s="2">
        <f>SUM(K24:N24)</f>
        <v>921</v>
      </c>
      <c r="AH24" s="2">
        <f>SUM(O24:R24)</f>
        <v>1178</v>
      </c>
      <c r="AI24" s="2">
        <f>SUM(S24:V24)</f>
        <v>1961</v>
      </c>
      <c r="AJ24" s="2">
        <f>SUM(W24:Z24)</f>
        <v>1274.8521000000005</v>
      </c>
      <c r="AK24" s="2">
        <f t="shared" ref="AK24:AM24" si="32">AK23*0.21</f>
        <v>1387.3182120000015</v>
      </c>
      <c r="AL24" s="2">
        <f t="shared" si="32"/>
        <v>1431.2270359800009</v>
      </c>
      <c r="AM24" s="2">
        <f t="shared" si="32"/>
        <v>1476.4508174556011</v>
      </c>
    </row>
    <row r="25" spans="1:424" s="9" customFormat="1" ht="15" x14ac:dyDescent="0.25">
      <c r="A25" s="8"/>
      <c r="B25" s="8" t="s">
        <v>30</v>
      </c>
      <c r="C25" s="9">
        <f t="shared" ref="C25:P25" si="33">+C23-C24</f>
        <v>1460</v>
      </c>
      <c r="D25" s="9">
        <f t="shared" si="33"/>
        <v>1391</v>
      </c>
      <c r="E25" s="9">
        <f t="shared" si="33"/>
        <v>1261</v>
      </c>
      <c r="F25" s="9">
        <f t="shared" si="33"/>
        <v>6998</v>
      </c>
      <c r="G25" s="9">
        <f t="shared" si="33"/>
        <v>1288</v>
      </c>
      <c r="H25" s="9">
        <f t="shared" si="33"/>
        <v>1338</v>
      </c>
      <c r="I25" s="9">
        <f t="shared" si="33"/>
        <v>1152</v>
      </c>
      <c r="J25" s="9">
        <f t="shared" si="33"/>
        <v>1384</v>
      </c>
      <c r="K25" s="9">
        <f t="shared" si="33"/>
        <v>1376</v>
      </c>
      <c r="L25" s="9">
        <f t="shared" si="33"/>
        <v>1499</v>
      </c>
      <c r="M25" s="9">
        <f t="shared" si="33"/>
        <v>1289</v>
      </c>
      <c r="N25" s="9">
        <f t="shared" si="33"/>
        <v>1474</v>
      </c>
      <c r="O25" s="9">
        <f t="shared" si="33"/>
        <v>861</v>
      </c>
      <c r="P25" s="9">
        <f t="shared" si="33"/>
        <v>2232</v>
      </c>
      <c r="Q25" s="9">
        <f t="shared" ref="Q25:Z25" si="34">+Q23-Q24</f>
        <v>1555</v>
      </c>
      <c r="R25" s="9">
        <f t="shared" si="34"/>
        <v>1950</v>
      </c>
      <c r="S25" s="9">
        <f t="shared" si="34"/>
        <v>2695</v>
      </c>
      <c r="T25" s="9">
        <f t="shared" si="34"/>
        <v>2381</v>
      </c>
      <c r="U25" s="9">
        <f t="shared" si="34"/>
        <v>2065</v>
      </c>
      <c r="V25" s="9">
        <f t="shared" si="34"/>
        <v>2149</v>
      </c>
      <c r="W25" s="9">
        <f t="shared" si="34"/>
        <v>1610</v>
      </c>
      <c r="X25" s="9">
        <f t="shared" si="34"/>
        <v>1079.2763999999991</v>
      </c>
      <c r="Y25" s="9">
        <f t="shared" si="34"/>
        <v>1350.9909000000016</v>
      </c>
      <c r="Z25" s="9">
        <f t="shared" si="34"/>
        <v>1981.470600000001</v>
      </c>
      <c r="AE25" s="9">
        <f>+AE23-AE24</f>
        <v>11110</v>
      </c>
      <c r="AF25" s="9">
        <f>+AF23-AF24</f>
        <v>5162</v>
      </c>
      <c r="AG25" s="9">
        <f>+AG23-AG24</f>
        <v>5638</v>
      </c>
      <c r="AH25" s="9">
        <f>+AH23-AH24</f>
        <v>6598</v>
      </c>
      <c r="AI25" s="9">
        <f>+AI23-AI24</f>
        <v>9290</v>
      </c>
      <c r="AJ25" s="9">
        <f t="shared" ref="AJ25:AL25" si="35">+AJ23-AJ24</f>
        <v>6021.7379000000019</v>
      </c>
      <c r="AK25" s="9">
        <f t="shared" si="35"/>
        <v>5218.9589880000058</v>
      </c>
      <c r="AL25" s="9">
        <f t="shared" si="35"/>
        <v>5384.1398020200031</v>
      </c>
      <c r="AM25" s="9">
        <f>+AM23-AM24</f>
        <v>5554.2673609044041</v>
      </c>
      <c r="AN25" s="9">
        <f t="shared" ref="AN25:CY25" si="36">AM25*(1+$AQ$32)</f>
        <v>5498.7246872953601</v>
      </c>
      <c r="AO25" s="9">
        <f t="shared" si="36"/>
        <v>5443.7374404224065</v>
      </c>
      <c r="AP25" s="9">
        <f t="shared" si="36"/>
        <v>5389.3000660181824</v>
      </c>
      <c r="AQ25" s="9">
        <f t="shared" si="36"/>
        <v>5335.4070653580002</v>
      </c>
      <c r="AR25" s="9">
        <f t="shared" si="36"/>
        <v>5282.0529947044197</v>
      </c>
      <c r="AS25" s="9">
        <f t="shared" si="36"/>
        <v>5229.2324647573751</v>
      </c>
      <c r="AT25" s="9">
        <f t="shared" si="36"/>
        <v>5176.9401401098012</v>
      </c>
      <c r="AU25" s="9">
        <f t="shared" si="36"/>
        <v>5125.1707387087035</v>
      </c>
      <c r="AV25" s="9">
        <f t="shared" si="36"/>
        <v>5073.9190313216168</v>
      </c>
      <c r="AW25" s="9">
        <f t="shared" si="36"/>
        <v>5023.1798410084002</v>
      </c>
      <c r="AX25" s="9">
        <f t="shared" si="36"/>
        <v>4972.9480425983165</v>
      </c>
      <c r="AY25" s="9">
        <f t="shared" si="36"/>
        <v>4923.2185621723329</v>
      </c>
      <c r="AZ25" s="9">
        <f t="shared" si="36"/>
        <v>4873.9863765506097</v>
      </c>
      <c r="BA25" s="9">
        <f t="shared" si="36"/>
        <v>4825.2465127851037</v>
      </c>
      <c r="BB25" s="9">
        <f t="shared" si="36"/>
        <v>4776.9940476572528</v>
      </c>
      <c r="BC25" s="9">
        <f t="shared" si="36"/>
        <v>4729.2241071806802</v>
      </c>
      <c r="BD25" s="9">
        <f t="shared" si="36"/>
        <v>4681.9318661088737</v>
      </c>
      <c r="BE25" s="9">
        <f t="shared" si="36"/>
        <v>4635.1125474477849</v>
      </c>
      <c r="BF25" s="9">
        <f t="shared" si="36"/>
        <v>4588.7614219733068</v>
      </c>
      <c r="BG25" s="9">
        <f t="shared" si="36"/>
        <v>4542.8738077535736</v>
      </c>
      <c r="BH25" s="9">
        <f t="shared" si="36"/>
        <v>4497.4450696760377</v>
      </c>
      <c r="BI25" s="9">
        <f t="shared" si="36"/>
        <v>4452.4706189792769</v>
      </c>
      <c r="BJ25" s="9">
        <f t="shared" si="36"/>
        <v>4407.9459127894843</v>
      </c>
      <c r="BK25" s="9">
        <f t="shared" si="36"/>
        <v>4363.8664536615897</v>
      </c>
      <c r="BL25" s="9">
        <f t="shared" si="36"/>
        <v>4320.2277891249742</v>
      </c>
      <c r="BM25" s="9">
        <f t="shared" si="36"/>
        <v>4277.0255112337245</v>
      </c>
      <c r="BN25" s="9">
        <f t="shared" si="36"/>
        <v>4234.255256121387</v>
      </c>
      <c r="BO25" s="9">
        <f t="shared" si="36"/>
        <v>4191.9127035601732</v>
      </c>
      <c r="BP25" s="9">
        <f t="shared" si="36"/>
        <v>4149.9935765245718</v>
      </c>
      <c r="BQ25" s="9">
        <f t="shared" si="36"/>
        <v>4108.4936407593259</v>
      </c>
      <c r="BR25" s="9">
        <f t="shared" si="36"/>
        <v>4067.4087043517325</v>
      </c>
      <c r="BS25" s="9">
        <f t="shared" si="36"/>
        <v>4026.7346173082151</v>
      </c>
      <c r="BT25" s="9">
        <f t="shared" si="36"/>
        <v>3986.4672711351327</v>
      </c>
      <c r="BU25" s="9">
        <f t="shared" si="36"/>
        <v>3946.6025984237813</v>
      </c>
      <c r="BV25" s="9">
        <f t="shared" si="36"/>
        <v>3907.1365724395432</v>
      </c>
      <c r="BW25" s="9">
        <f t="shared" si="36"/>
        <v>3868.0652067151477</v>
      </c>
      <c r="BX25" s="9">
        <f t="shared" si="36"/>
        <v>3829.3845546479961</v>
      </c>
      <c r="BY25" s="9">
        <f t="shared" si="36"/>
        <v>3791.090709101516</v>
      </c>
      <c r="BZ25" s="9">
        <f t="shared" si="36"/>
        <v>3753.1798020105007</v>
      </c>
      <c r="CA25" s="9">
        <f t="shared" si="36"/>
        <v>3715.6480039903959</v>
      </c>
      <c r="CB25" s="9">
        <f t="shared" si="36"/>
        <v>3678.4915239504917</v>
      </c>
      <c r="CC25" s="9">
        <f t="shared" si="36"/>
        <v>3641.7066087109865</v>
      </c>
      <c r="CD25" s="9">
        <f t="shared" si="36"/>
        <v>3605.2895426238765</v>
      </c>
      <c r="CE25" s="9">
        <f t="shared" si="36"/>
        <v>3569.2366471976379</v>
      </c>
      <c r="CF25" s="9">
        <f t="shared" si="36"/>
        <v>3533.5442807256613</v>
      </c>
      <c r="CG25" s="9">
        <f t="shared" si="36"/>
        <v>3498.2088379184047</v>
      </c>
      <c r="CH25" s="9">
        <f t="shared" si="36"/>
        <v>3463.2267495392207</v>
      </c>
      <c r="CI25" s="9">
        <f t="shared" si="36"/>
        <v>3428.5944820438285</v>
      </c>
      <c r="CJ25" s="9">
        <f t="shared" si="36"/>
        <v>3394.3085372233904</v>
      </c>
      <c r="CK25" s="9">
        <f t="shared" si="36"/>
        <v>3360.3654518511566</v>
      </c>
      <c r="CL25" s="9">
        <f t="shared" si="36"/>
        <v>3326.7617973326451</v>
      </c>
      <c r="CM25" s="9">
        <f t="shared" si="36"/>
        <v>3293.4941793593184</v>
      </c>
      <c r="CN25" s="9">
        <f t="shared" si="36"/>
        <v>3260.5592375657252</v>
      </c>
      <c r="CO25" s="9">
        <f t="shared" si="36"/>
        <v>3227.9536451900681</v>
      </c>
      <c r="CP25" s="9">
        <f t="shared" si="36"/>
        <v>3195.6741087381674</v>
      </c>
      <c r="CQ25" s="9">
        <f t="shared" si="36"/>
        <v>3163.7173676507859</v>
      </c>
      <c r="CR25" s="9">
        <f t="shared" si="36"/>
        <v>3132.0801939742782</v>
      </c>
      <c r="CS25" s="9">
        <f t="shared" si="36"/>
        <v>3100.7593920345353</v>
      </c>
      <c r="CT25" s="9">
        <f t="shared" si="36"/>
        <v>3069.75179811419</v>
      </c>
      <c r="CU25" s="9">
        <f t="shared" si="36"/>
        <v>3039.054280133048</v>
      </c>
      <c r="CV25" s="9">
        <f t="shared" si="36"/>
        <v>3008.6637373317176</v>
      </c>
      <c r="CW25" s="9">
        <f t="shared" si="36"/>
        <v>2978.5770999584006</v>
      </c>
      <c r="CX25" s="9">
        <f t="shared" si="36"/>
        <v>2948.7913289588164</v>
      </c>
      <c r="CY25" s="9">
        <f t="shared" si="36"/>
        <v>2919.3034156692283</v>
      </c>
      <c r="CZ25" s="9">
        <f t="shared" ref="CZ25:FK25" si="37">CY25*(1+$AQ$32)</f>
        <v>2890.1103815125362</v>
      </c>
      <c r="DA25" s="9">
        <f t="shared" si="37"/>
        <v>2861.2092776974109</v>
      </c>
      <c r="DB25" s="9">
        <f t="shared" si="37"/>
        <v>2832.5971849204366</v>
      </c>
      <c r="DC25" s="9">
        <f t="shared" si="37"/>
        <v>2804.2712130712321</v>
      </c>
      <c r="DD25" s="9">
        <f t="shared" si="37"/>
        <v>2776.2285009405196</v>
      </c>
      <c r="DE25" s="9">
        <f t="shared" si="37"/>
        <v>2748.4662159311142</v>
      </c>
      <c r="DF25" s="9">
        <f t="shared" si="37"/>
        <v>2720.9815537718032</v>
      </c>
      <c r="DG25" s="9">
        <f t="shared" si="37"/>
        <v>2693.7717382340852</v>
      </c>
      <c r="DH25" s="9">
        <f t="shared" si="37"/>
        <v>2666.8340208517443</v>
      </c>
      <c r="DI25" s="9">
        <f t="shared" si="37"/>
        <v>2640.165680643227</v>
      </c>
      <c r="DJ25" s="9">
        <f t="shared" si="37"/>
        <v>2613.7640238367949</v>
      </c>
      <c r="DK25" s="9">
        <f t="shared" si="37"/>
        <v>2587.6263835984269</v>
      </c>
      <c r="DL25" s="9">
        <f t="shared" si="37"/>
        <v>2561.7501197624424</v>
      </c>
      <c r="DM25" s="9">
        <f t="shared" si="37"/>
        <v>2536.1326185648181</v>
      </c>
      <c r="DN25" s="9">
        <f t="shared" si="37"/>
        <v>2510.7712923791701</v>
      </c>
      <c r="DO25" s="9">
        <f t="shared" si="37"/>
        <v>2485.6635794553786</v>
      </c>
      <c r="DP25" s="9">
        <f t="shared" si="37"/>
        <v>2460.8069436608248</v>
      </c>
      <c r="DQ25" s="9">
        <f t="shared" si="37"/>
        <v>2436.1988742242165</v>
      </c>
      <c r="DR25" s="9">
        <f t="shared" si="37"/>
        <v>2411.8368854819742</v>
      </c>
      <c r="DS25" s="9">
        <f t="shared" si="37"/>
        <v>2387.7185166271543</v>
      </c>
      <c r="DT25" s="9">
        <f t="shared" si="37"/>
        <v>2363.8413314608829</v>
      </c>
      <c r="DU25" s="9">
        <f t="shared" si="37"/>
        <v>2340.202918146274</v>
      </c>
      <c r="DV25" s="9">
        <f t="shared" si="37"/>
        <v>2316.8008889648113</v>
      </c>
      <c r="DW25" s="9">
        <f t="shared" si="37"/>
        <v>2293.632880075163</v>
      </c>
      <c r="DX25" s="9">
        <f t="shared" si="37"/>
        <v>2270.6965512744114</v>
      </c>
      <c r="DY25" s="9">
        <f t="shared" si="37"/>
        <v>2247.9895857616671</v>
      </c>
      <c r="DZ25" s="9">
        <f t="shared" si="37"/>
        <v>2225.5096899040504</v>
      </c>
      <c r="EA25" s="9">
        <f t="shared" si="37"/>
        <v>2203.2545930050101</v>
      </c>
      <c r="EB25" s="9">
        <f t="shared" si="37"/>
        <v>2181.2220470749598</v>
      </c>
      <c r="EC25" s="9">
        <f t="shared" si="37"/>
        <v>2159.4098266042101</v>
      </c>
      <c r="ED25" s="9">
        <f t="shared" si="37"/>
        <v>2137.8157283381679</v>
      </c>
      <c r="EE25" s="9">
        <f t="shared" si="37"/>
        <v>2116.4375710547861</v>
      </c>
      <c r="EF25" s="9">
        <f t="shared" si="37"/>
        <v>2095.273195344238</v>
      </c>
      <c r="EG25" s="9">
        <f t="shared" si="37"/>
        <v>2074.3204633907958</v>
      </c>
      <c r="EH25" s="9">
        <f t="shared" si="37"/>
        <v>2053.5772587568877</v>
      </c>
      <c r="EI25" s="9">
        <f t="shared" si="37"/>
        <v>2033.0414861693187</v>
      </c>
      <c r="EJ25" s="9">
        <f t="shared" si="37"/>
        <v>2012.7110713076254</v>
      </c>
      <c r="EK25" s="9">
        <f t="shared" si="37"/>
        <v>1992.5839605945491</v>
      </c>
      <c r="EL25" s="9">
        <f t="shared" si="37"/>
        <v>1972.6581209886035</v>
      </c>
      <c r="EM25" s="9">
        <f t="shared" si="37"/>
        <v>1952.9315397787175</v>
      </c>
      <c r="EN25" s="9">
        <f t="shared" si="37"/>
        <v>1933.4022243809302</v>
      </c>
      <c r="EO25" s="9">
        <f t="shared" si="37"/>
        <v>1914.0682021371208</v>
      </c>
      <c r="EP25" s="9">
        <f t="shared" si="37"/>
        <v>1894.9275201157495</v>
      </c>
      <c r="EQ25" s="9">
        <f t="shared" si="37"/>
        <v>1875.9782449145921</v>
      </c>
      <c r="ER25" s="9">
        <f t="shared" si="37"/>
        <v>1857.2184624654462</v>
      </c>
      <c r="ES25" s="9">
        <f t="shared" si="37"/>
        <v>1838.6462778407918</v>
      </c>
      <c r="ET25" s="9">
        <f t="shared" si="37"/>
        <v>1820.2598150623837</v>
      </c>
      <c r="EU25" s="9">
        <f t="shared" si="37"/>
        <v>1802.05721691176</v>
      </c>
      <c r="EV25" s="9">
        <f t="shared" si="37"/>
        <v>1784.0366447426422</v>
      </c>
      <c r="EW25" s="9">
        <f t="shared" si="37"/>
        <v>1766.1962782952157</v>
      </c>
      <c r="EX25" s="9">
        <f t="shared" si="37"/>
        <v>1748.5343155122637</v>
      </c>
      <c r="EY25" s="9">
        <f t="shared" si="37"/>
        <v>1731.0489723571411</v>
      </c>
      <c r="EZ25" s="9">
        <f t="shared" si="37"/>
        <v>1713.7384826335697</v>
      </c>
      <c r="FA25" s="9">
        <f t="shared" si="37"/>
        <v>1696.6010978072341</v>
      </c>
      <c r="FB25" s="9">
        <f t="shared" si="37"/>
        <v>1679.6350868291618</v>
      </c>
      <c r="FC25" s="9">
        <f t="shared" si="37"/>
        <v>1662.8387359608701</v>
      </c>
      <c r="FD25" s="9">
        <f t="shared" si="37"/>
        <v>1646.2103486012613</v>
      </c>
      <c r="FE25" s="9">
        <f t="shared" si="37"/>
        <v>1629.7482451152487</v>
      </c>
      <c r="FF25" s="9">
        <f t="shared" si="37"/>
        <v>1613.4507626640961</v>
      </c>
      <c r="FG25" s="9">
        <f t="shared" si="37"/>
        <v>1597.3162550374552</v>
      </c>
      <c r="FH25" s="9">
        <f t="shared" si="37"/>
        <v>1581.3430924870806</v>
      </c>
      <c r="FI25" s="9">
        <f t="shared" si="37"/>
        <v>1565.5296615622099</v>
      </c>
      <c r="FJ25" s="9">
        <f t="shared" si="37"/>
        <v>1549.8743649465878</v>
      </c>
      <c r="FK25" s="9">
        <f t="shared" si="37"/>
        <v>1534.3756212971218</v>
      </c>
      <c r="FL25" s="9">
        <f t="shared" ref="FL25:HW25" si="38">FK25*(1+$AQ$32)</f>
        <v>1519.0318650841507</v>
      </c>
      <c r="FM25" s="9">
        <f t="shared" si="38"/>
        <v>1503.8415464333091</v>
      </c>
      <c r="FN25" s="9">
        <f t="shared" si="38"/>
        <v>1488.8031309689759</v>
      </c>
      <c r="FO25" s="9">
        <f t="shared" si="38"/>
        <v>1473.9150996592862</v>
      </c>
      <c r="FP25" s="9">
        <f t="shared" si="38"/>
        <v>1459.1759486626934</v>
      </c>
      <c r="FQ25" s="9">
        <f t="shared" si="38"/>
        <v>1444.5841891760665</v>
      </c>
      <c r="FR25" s="9">
        <f t="shared" si="38"/>
        <v>1430.1383472843058</v>
      </c>
      <c r="FS25" s="9">
        <f t="shared" si="38"/>
        <v>1415.8369638114627</v>
      </c>
      <c r="FT25" s="9">
        <f t="shared" si="38"/>
        <v>1401.6785941733481</v>
      </c>
      <c r="FU25" s="9">
        <f t="shared" si="38"/>
        <v>1387.6618082316145</v>
      </c>
      <c r="FV25" s="9">
        <f t="shared" si="38"/>
        <v>1373.7851901492984</v>
      </c>
      <c r="FW25" s="9">
        <f t="shared" si="38"/>
        <v>1360.0473382478053</v>
      </c>
      <c r="FX25" s="9">
        <f t="shared" si="38"/>
        <v>1346.4468648653274</v>
      </c>
      <c r="FY25" s="9">
        <f t="shared" si="38"/>
        <v>1332.982396216674</v>
      </c>
      <c r="FZ25" s="9">
        <f t="shared" si="38"/>
        <v>1319.6525722545073</v>
      </c>
      <c r="GA25" s="9">
        <f t="shared" si="38"/>
        <v>1306.4560465319621</v>
      </c>
      <c r="GB25" s="9">
        <f t="shared" si="38"/>
        <v>1293.3914860666425</v>
      </c>
      <c r="GC25" s="9">
        <f t="shared" si="38"/>
        <v>1280.4575712059761</v>
      </c>
      <c r="GD25" s="9">
        <f t="shared" si="38"/>
        <v>1267.6529954939165</v>
      </c>
      <c r="GE25" s="9">
        <f t="shared" si="38"/>
        <v>1254.9764655389772</v>
      </c>
      <c r="GF25" s="9">
        <f t="shared" si="38"/>
        <v>1242.4267008835875</v>
      </c>
      <c r="GG25" s="9">
        <f t="shared" si="38"/>
        <v>1230.0024338747517</v>
      </c>
      <c r="GH25" s="9">
        <f t="shared" si="38"/>
        <v>1217.7024095360041</v>
      </c>
      <c r="GI25" s="9">
        <f t="shared" si="38"/>
        <v>1205.525385440644</v>
      </c>
      <c r="GJ25" s="9">
        <f t="shared" si="38"/>
        <v>1193.4701315862376</v>
      </c>
      <c r="GK25" s="9">
        <f t="shared" si="38"/>
        <v>1181.5354302703752</v>
      </c>
      <c r="GL25" s="9">
        <f t="shared" si="38"/>
        <v>1169.7200759676714</v>
      </c>
      <c r="GM25" s="9">
        <f t="shared" si="38"/>
        <v>1158.0228752079947</v>
      </c>
      <c r="GN25" s="9">
        <f t="shared" si="38"/>
        <v>1146.4426464559149</v>
      </c>
      <c r="GO25" s="9">
        <f t="shared" si="38"/>
        <v>1134.9782199913557</v>
      </c>
      <c r="GP25" s="9">
        <f t="shared" si="38"/>
        <v>1123.6284377914421</v>
      </c>
      <c r="GQ25" s="9">
        <f t="shared" si="38"/>
        <v>1112.3921534135277</v>
      </c>
      <c r="GR25" s="9">
        <f t="shared" si="38"/>
        <v>1101.2682318793925</v>
      </c>
      <c r="GS25" s="9">
        <f t="shared" si="38"/>
        <v>1090.2555495605986</v>
      </c>
      <c r="GT25" s="9">
        <f t="shared" si="38"/>
        <v>1079.3529940649926</v>
      </c>
      <c r="GU25" s="9">
        <f t="shared" si="38"/>
        <v>1068.5594641243426</v>
      </c>
      <c r="GV25" s="9">
        <f t="shared" si="38"/>
        <v>1057.8738694830993</v>
      </c>
      <c r="GW25" s="9">
        <f t="shared" si="38"/>
        <v>1047.2951307882684</v>
      </c>
      <c r="GX25" s="9">
        <f t="shared" si="38"/>
        <v>1036.8221794803856</v>
      </c>
      <c r="GY25" s="9">
        <f t="shared" si="38"/>
        <v>1026.4539576855816</v>
      </c>
      <c r="GZ25" s="9">
        <f t="shared" si="38"/>
        <v>1016.1894181087258</v>
      </c>
      <c r="HA25" s="9">
        <f t="shared" si="38"/>
        <v>1006.0275239276385</v>
      </c>
      <c r="HB25" s="9">
        <f t="shared" si="38"/>
        <v>995.96724868836213</v>
      </c>
      <c r="HC25" s="9">
        <f t="shared" si="38"/>
        <v>986.00757620147851</v>
      </c>
      <c r="HD25" s="9">
        <f t="shared" si="38"/>
        <v>976.14750043946367</v>
      </c>
      <c r="HE25" s="9">
        <f t="shared" si="38"/>
        <v>966.38602543506897</v>
      </c>
      <c r="HF25" s="9">
        <f t="shared" si="38"/>
        <v>956.72216518071832</v>
      </c>
      <c r="HG25" s="9">
        <f t="shared" si="38"/>
        <v>947.15494352891108</v>
      </c>
      <c r="HH25" s="9">
        <f t="shared" si="38"/>
        <v>937.68339409362193</v>
      </c>
      <c r="HI25" s="9">
        <f t="shared" si="38"/>
        <v>928.30656015268573</v>
      </c>
      <c r="HJ25" s="9">
        <f t="shared" si="38"/>
        <v>919.02349455115882</v>
      </c>
      <c r="HK25" s="9">
        <f t="shared" si="38"/>
        <v>909.83325960564719</v>
      </c>
      <c r="HL25" s="9">
        <f t="shared" si="38"/>
        <v>900.73492700959071</v>
      </c>
      <c r="HM25" s="9">
        <f t="shared" si="38"/>
        <v>891.72757773949479</v>
      </c>
      <c r="HN25" s="9">
        <f t="shared" si="38"/>
        <v>882.81030196209986</v>
      </c>
      <c r="HO25" s="9">
        <f t="shared" si="38"/>
        <v>873.98219894247882</v>
      </c>
      <c r="HP25" s="9">
        <f t="shared" si="38"/>
        <v>865.24237695305408</v>
      </c>
      <c r="HQ25" s="9">
        <f t="shared" si="38"/>
        <v>856.58995318352356</v>
      </c>
      <c r="HR25" s="9">
        <f t="shared" si="38"/>
        <v>848.02405365168829</v>
      </c>
      <c r="HS25" s="9">
        <f t="shared" si="38"/>
        <v>839.54381311517136</v>
      </c>
      <c r="HT25" s="9">
        <f t="shared" si="38"/>
        <v>831.1483749840196</v>
      </c>
      <c r="HU25" s="9">
        <f t="shared" si="38"/>
        <v>822.83689123417935</v>
      </c>
      <c r="HV25" s="9">
        <f t="shared" si="38"/>
        <v>814.60852232183754</v>
      </c>
      <c r="HW25" s="9">
        <f t="shared" si="38"/>
        <v>806.46243709861915</v>
      </c>
      <c r="HX25" s="9">
        <f t="shared" ref="HX25:KI25" si="39">HW25*(1+$AQ$32)</f>
        <v>798.39781272763298</v>
      </c>
      <c r="HY25" s="9">
        <f t="shared" si="39"/>
        <v>790.41383460035661</v>
      </c>
      <c r="HZ25" s="9">
        <f t="shared" si="39"/>
        <v>782.509696254353</v>
      </c>
      <c r="IA25" s="9">
        <f t="shared" si="39"/>
        <v>774.68459929180949</v>
      </c>
      <c r="IB25" s="9">
        <f t="shared" si="39"/>
        <v>766.93775329889138</v>
      </c>
      <c r="IC25" s="9">
        <f t="shared" si="39"/>
        <v>759.26837576590242</v>
      </c>
      <c r="ID25" s="9">
        <f t="shared" si="39"/>
        <v>751.67569200824335</v>
      </c>
      <c r="IE25" s="9">
        <f t="shared" si="39"/>
        <v>744.15893508816089</v>
      </c>
      <c r="IF25" s="9">
        <f t="shared" si="39"/>
        <v>736.71734573727929</v>
      </c>
      <c r="IG25" s="9">
        <f t="shared" si="39"/>
        <v>729.35017227990647</v>
      </c>
      <c r="IH25" s="9">
        <f t="shared" si="39"/>
        <v>722.0566705571074</v>
      </c>
      <c r="II25" s="9">
        <f t="shared" si="39"/>
        <v>714.83610385153634</v>
      </c>
      <c r="IJ25" s="9">
        <f t="shared" si="39"/>
        <v>707.68774281302092</v>
      </c>
      <c r="IK25" s="9">
        <f t="shared" si="39"/>
        <v>700.61086538489076</v>
      </c>
      <c r="IL25" s="9">
        <f t="shared" si="39"/>
        <v>693.60475673104179</v>
      </c>
      <c r="IM25" s="9">
        <f t="shared" si="39"/>
        <v>686.66870916373136</v>
      </c>
      <c r="IN25" s="9">
        <f t="shared" si="39"/>
        <v>679.80202207209402</v>
      </c>
      <c r="IO25" s="9">
        <f t="shared" si="39"/>
        <v>673.00400185137312</v>
      </c>
      <c r="IP25" s="9">
        <f t="shared" si="39"/>
        <v>666.27396183285941</v>
      </c>
      <c r="IQ25" s="9">
        <f t="shared" si="39"/>
        <v>659.61122221453081</v>
      </c>
      <c r="IR25" s="9">
        <f t="shared" si="39"/>
        <v>653.01510999238553</v>
      </c>
      <c r="IS25" s="9">
        <f t="shared" si="39"/>
        <v>646.48495889246169</v>
      </c>
      <c r="IT25" s="9">
        <f t="shared" si="39"/>
        <v>640.02010930353708</v>
      </c>
      <c r="IU25" s="9">
        <f t="shared" si="39"/>
        <v>633.61990821050176</v>
      </c>
      <c r="IV25" s="9">
        <f t="shared" si="39"/>
        <v>627.28370912839671</v>
      </c>
      <c r="IW25" s="9">
        <f t="shared" si="39"/>
        <v>621.01087203711279</v>
      </c>
      <c r="IX25" s="9">
        <f t="shared" si="39"/>
        <v>614.80076331674161</v>
      </c>
      <c r="IY25" s="9">
        <f t="shared" si="39"/>
        <v>608.65275568357424</v>
      </c>
      <c r="IZ25" s="9">
        <f t="shared" si="39"/>
        <v>602.56622812673845</v>
      </c>
      <c r="JA25" s="9">
        <f t="shared" si="39"/>
        <v>596.54056584547106</v>
      </c>
      <c r="JB25" s="9">
        <f t="shared" si="39"/>
        <v>590.57516018701631</v>
      </c>
      <c r="JC25" s="9">
        <f t="shared" si="39"/>
        <v>584.66940858514613</v>
      </c>
      <c r="JD25" s="9">
        <f t="shared" si="39"/>
        <v>578.82271449929465</v>
      </c>
      <c r="JE25" s="9">
        <f t="shared" si="39"/>
        <v>573.03448735430175</v>
      </c>
      <c r="JF25" s="9">
        <f t="shared" si="39"/>
        <v>567.30414248075874</v>
      </c>
      <c r="JG25" s="9">
        <f t="shared" si="39"/>
        <v>561.63110105595115</v>
      </c>
      <c r="JH25" s="9">
        <f t="shared" si="39"/>
        <v>556.01479004539158</v>
      </c>
      <c r="JI25" s="9">
        <f t="shared" si="39"/>
        <v>550.45464214493768</v>
      </c>
      <c r="JJ25" s="9">
        <f t="shared" si="39"/>
        <v>544.95009572348829</v>
      </c>
      <c r="JK25" s="9">
        <f t="shared" si="39"/>
        <v>539.50059476625336</v>
      </c>
      <c r="JL25" s="9">
        <f t="shared" si="39"/>
        <v>534.10558881859083</v>
      </c>
      <c r="JM25" s="9">
        <f t="shared" si="39"/>
        <v>528.76453293040493</v>
      </c>
      <c r="JN25" s="9">
        <f t="shared" si="39"/>
        <v>523.47688760110088</v>
      </c>
      <c r="JO25" s="9">
        <f t="shared" si="39"/>
        <v>518.24211872508988</v>
      </c>
      <c r="JP25" s="9">
        <f t="shared" si="39"/>
        <v>513.05969753783893</v>
      </c>
      <c r="JQ25" s="9">
        <f t="shared" si="39"/>
        <v>507.92910056246052</v>
      </c>
      <c r="JR25" s="9">
        <f t="shared" si="39"/>
        <v>502.84980955683591</v>
      </c>
      <c r="JS25" s="9">
        <f t="shared" si="39"/>
        <v>497.82131146126756</v>
      </c>
      <c r="JT25" s="9">
        <f t="shared" si="39"/>
        <v>492.84309834665487</v>
      </c>
      <c r="JU25" s="9">
        <f t="shared" si="39"/>
        <v>487.9146673631883</v>
      </c>
      <c r="JV25" s="9">
        <f t="shared" si="39"/>
        <v>483.03552068955639</v>
      </c>
      <c r="JW25" s="9">
        <f t="shared" si="39"/>
        <v>478.20516548266085</v>
      </c>
      <c r="JX25" s="9">
        <f t="shared" si="39"/>
        <v>473.42311382783424</v>
      </c>
      <c r="JY25" s="9">
        <f t="shared" si="39"/>
        <v>468.6888826895559</v>
      </c>
      <c r="JZ25" s="9">
        <f t="shared" si="39"/>
        <v>464.00199386266036</v>
      </c>
      <c r="KA25" s="9">
        <f t="shared" si="39"/>
        <v>459.36197392403375</v>
      </c>
      <c r="KB25" s="9">
        <f t="shared" si="39"/>
        <v>454.7683541847934</v>
      </c>
      <c r="KC25" s="9">
        <f t="shared" si="39"/>
        <v>450.22067064294544</v>
      </c>
      <c r="KD25" s="9">
        <f t="shared" si="39"/>
        <v>445.718463936516</v>
      </c>
      <c r="KE25" s="9">
        <f t="shared" si="39"/>
        <v>441.26127929715085</v>
      </c>
      <c r="KF25" s="9">
        <f t="shared" si="39"/>
        <v>436.84866650417933</v>
      </c>
      <c r="KG25" s="9">
        <f t="shared" si="39"/>
        <v>432.48017983913752</v>
      </c>
      <c r="KH25" s="9">
        <f t="shared" si="39"/>
        <v>428.15537804074614</v>
      </c>
      <c r="KI25" s="9">
        <f t="shared" si="39"/>
        <v>423.87382426033867</v>
      </c>
      <c r="KJ25" s="9">
        <f t="shared" ref="KJ25:MU25" si="40">KI25*(1+$AQ$32)</f>
        <v>419.63508601773526</v>
      </c>
      <c r="KK25" s="9">
        <f t="shared" si="40"/>
        <v>415.43873515755791</v>
      </c>
      <c r="KL25" s="9">
        <f t="shared" si="40"/>
        <v>411.28434780598235</v>
      </c>
      <c r="KM25" s="9">
        <f t="shared" si="40"/>
        <v>407.17150432792255</v>
      </c>
      <c r="KN25" s="9">
        <f t="shared" si="40"/>
        <v>403.09978928464329</v>
      </c>
      <c r="KO25" s="9">
        <f t="shared" si="40"/>
        <v>399.06879139179688</v>
      </c>
      <c r="KP25" s="9">
        <f t="shared" si="40"/>
        <v>395.07810347787893</v>
      </c>
      <c r="KQ25" s="9">
        <f t="shared" si="40"/>
        <v>391.12732244310013</v>
      </c>
      <c r="KR25" s="9">
        <f t="shared" si="40"/>
        <v>387.21604921866913</v>
      </c>
      <c r="KS25" s="9">
        <f t="shared" si="40"/>
        <v>383.34388872648242</v>
      </c>
      <c r="KT25" s="9">
        <f t="shared" si="40"/>
        <v>379.51044983921759</v>
      </c>
      <c r="KU25" s="9">
        <f t="shared" si="40"/>
        <v>375.71534534082542</v>
      </c>
      <c r="KV25" s="9">
        <f t="shared" si="40"/>
        <v>371.95819188741717</v>
      </c>
      <c r="KW25" s="9">
        <f t="shared" si="40"/>
        <v>368.23860996854302</v>
      </c>
      <c r="KX25" s="9">
        <f t="shared" si="40"/>
        <v>364.55622386885756</v>
      </c>
      <c r="KY25" s="9">
        <f t="shared" si="40"/>
        <v>360.91066163016899</v>
      </c>
      <c r="KZ25" s="9">
        <f t="shared" si="40"/>
        <v>357.3015550138673</v>
      </c>
      <c r="LA25" s="9">
        <f t="shared" si="40"/>
        <v>353.72853946372862</v>
      </c>
      <c r="LB25" s="9">
        <f t="shared" si="40"/>
        <v>350.19125406909131</v>
      </c>
      <c r="LC25" s="9">
        <f t="shared" si="40"/>
        <v>346.6893415284004</v>
      </c>
      <c r="LD25" s="9">
        <f t="shared" si="40"/>
        <v>343.2224481131164</v>
      </c>
      <c r="LE25" s="9">
        <f t="shared" si="40"/>
        <v>339.79022363198521</v>
      </c>
      <c r="LF25" s="9">
        <f t="shared" si="40"/>
        <v>336.39232139566536</v>
      </c>
      <c r="LG25" s="9">
        <f t="shared" si="40"/>
        <v>333.02839818170872</v>
      </c>
      <c r="LH25" s="9">
        <f t="shared" si="40"/>
        <v>329.69811419989162</v>
      </c>
      <c r="LI25" s="9">
        <f t="shared" si="40"/>
        <v>326.40113305789271</v>
      </c>
      <c r="LJ25" s="9">
        <f t="shared" si="40"/>
        <v>323.1371217273138</v>
      </c>
      <c r="LK25" s="9">
        <f t="shared" si="40"/>
        <v>319.90575051004066</v>
      </c>
      <c r="LL25" s="9">
        <f t="shared" si="40"/>
        <v>316.70669300494023</v>
      </c>
      <c r="LM25" s="9">
        <f t="shared" si="40"/>
        <v>313.5396260748908</v>
      </c>
      <c r="LN25" s="9">
        <f t="shared" si="40"/>
        <v>310.4042298141419</v>
      </c>
      <c r="LO25" s="9">
        <f t="shared" si="40"/>
        <v>307.30018751600051</v>
      </c>
      <c r="LP25" s="9">
        <f t="shared" si="40"/>
        <v>304.2271856408405</v>
      </c>
      <c r="LQ25" s="9">
        <f t="shared" si="40"/>
        <v>301.18491378443207</v>
      </c>
      <c r="LR25" s="9">
        <f t="shared" si="40"/>
        <v>298.17306464658776</v>
      </c>
      <c r="LS25" s="9">
        <f t="shared" si="40"/>
        <v>295.19133400012186</v>
      </c>
      <c r="LT25" s="9">
        <f t="shared" si="40"/>
        <v>292.23942066012063</v>
      </c>
      <c r="LU25" s="9">
        <f t="shared" si="40"/>
        <v>289.31702645351942</v>
      </c>
      <c r="LV25" s="9">
        <f t="shared" si="40"/>
        <v>286.42385618898425</v>
      </c>
      <c r="LW25" s="9">
        <f t="shared" si="40"/>
        <v>283.55961762709438</v>
      </c>
      <c r="LX25" s="9">
        <f t="shared" si="40"/>
        <v>280.72402145082344</v>
      </c>
      <c r="LY25" s="9">
        <f t="shared" si="40"/>
        <v>277.91678123631522</v>
      </c>
      <c r="LZ25" s="9">
        <f t="shared" si="40"/>
        <v>275.13761342395208</v>
      </c>
      <c r="MA25" s="9">
        <f t="shared" si="40"/>
        <v>272.38623728971254</v>
      </c>
      <c r="MB25" s="9">
        <f t="shared" si="40"/>
        <v>269.66237491681539</v>
      </c>
      <c r="MC25" s="9">
        <f t="shared" si="40"/>
        <v>266.96575116764723</v>
      </c>
      <c r="MD25" s="9">
        <f t="shared" si="40"/>
        <v>264.29609365597076</v>
      </c>
      <c r="ME25" s="9">
        <f t="shared" si="40"/>
        <v>261.65313271941108</v>
      </c>
      <c r="MF25" s="9">
        <f t="shared" si="40"/>
        <v>259.03660139221694</v>
      </c>
      <c r="MG25" s="9">
        <f t="shared" si="40"/>
        <v>256.44623537829477</v>
      </c>
      <c r="MH25" s="9">
        <f t="shared" si="40"/>
        <v>253.88177302451183</v>
      </c>
      <c r="MI25" s="9">
        <f t="shared" si="40"/>
        <v>251.34295529426672</v>
      </c>
      <c r="MJ25" s="9">
        <f t="shared" si="40"/>
        <v>248.82952574132403</v>
      </c>
      <c r="MK25" s="9">
        <f t="shared" si="40"/>
        <v>246.34123048391078</v>
      </c>
      <c r="ML25" s="9">
        <f t="shared" si="40"/>
        <v>243.87781817907168</v>
      </c>
      <c r="MM25" s="9">
        <f t="shared" si="40"/>
        <v>241.43903999728096</v>
      </c>
      <c r="MN25" s="9">
        <f t="shared" si="40"/>
        <v>239.02464959730816</v>
      </c>
      <c r="MO25" s="9">
        <f t="shared" si="40"/>
        <v>236.63440310133507</v>
      </c>
      <c r="MP25" s="9">
        <f t="shared" si="40"/>
        <v>234.26805907032173</v>
      </c>
      <c r="MQ25" s="9">
        <f t="shared" si="40"/>
        <v>231.9253784796185</v>
      </c>
      <c r="MR25" s="9">
        <f t="shared" si="40"/>
        <v>229.60612469482231</v>
      </c>
      <c r="MS25" s="9">
        <f t="shared" si="40"/>
        <v>227.31006344787409</v>
      </c>
      <c r="MT25" s="9">
        <f t="shared" si="40"/>
        <v>225.03696281339535</v>
      </c>
      <c r="MU25" s="9">
        <f t="shared" si="40"/>
        <v>222.78659318526138</v>
      </c>
      <c r="MV25" s="9">
        <f t="shared" ref="MV25:PH25" si="41">MU25*(1+$AQ$32)</f>
        <v>220.55872725340876</v>
      </c>
      <c r="MW25" s="9">
        <f t="shared" si="41"/>
        <v>218.35313998087466</v>
      </c>
      <c r="MX25" s="9">
        <f t="shared" si="41"/>
        <v>216.16960858106592</v>
      </c>
      <c r="MY25" s="9">
        <f t="shared" si="41"/>
        <v>214.00791249525525</v>
      </c>
      <c r="MZ25" s="9">
        <f t="shared" si="41"/>
        <v>211.86783337030269</v>
      </c>
      <c r="NA25" s="9">
        <f t="shared" si="41"/>
        <v>209.74915503659966</v>
      </c>
      <c r="NB25" s="9">
        <f t="shared" si="41"/>
        <v>207.65166348623367</v>
      </c>
      <c r="NC25" s="9">
        <f t="shared" si="41"/>
        <v>205.57514685137133</v>
      </c>
      <c r="ND25" s="9">
        <f t="shared" si="41"/>
        <v>203.51939538285762</v>
      </c>
      <c r="NE25" s="9">
        <f t="shared" si="41"/>
        <v>201.48420142902904</v>
      </c>
      <c r="NF25" s="9">
        <f t="shared" si="41"/>
        <v>199.46935941473876</v>
      </c>
      <c r="NG25" s="9">
        <f t="shared" si="41"/>
        <v>197.47466582059138</v>
      </c>
      <c r="NH25" s="9">
        <f t="shared" si="41"/>
        <v>195.49991916238548</v>
      </c>
      <c r="NI25" s="9">
        <f t="shared" si="41"/>
        <v>193.54491997076161</v>
      </c>
      <c r="NJ25" s="9">
        <f t="shared" si="41"/>
        <v>191.60947077105399</v>
      </c>
      <c r="NK25" s="9">
        <f t="shared" si="41"/>
        <v>189.69337606334346</v>
      </c>
      <c r="NL25" s="9">
        <f t="shared" si="41"/>
        <v>187.79644230271003</v>
      </c>
      <c r="NM25" s="9">
        <f t="shared" si="41"/>
        <v>185.91847787968294</v>
      </c>
      <c r="NN25" s="9">
        <f t="shared" si="41"/>
        <v>184.05929310088609</v>
      </c>
      <c r="NO25" s="9">
        <f t="shared" si="41"/>
        <v>182.21870016987722</v>
      </c>
      <c r="NP25" s="9">
        <f t="shared" si="41"/>
        <v>180.39651316817844</v>
      </c>
      <c r="NQ25" s="9">
        <f t="shared" si="41"/>
        <v>178.59254803649665</v>
      </c>
      <c r="NR25" s="9">
        <f t="shared" si="41"/>
        <v>176.80662255613169</v>
      </c>
      <c r="NS25" s="9">
        <f t="shared" si="41"/>
        <v>175.03855633057037</v>
      </c>
      <c r="NT25" s="9">
        <f t="shared" si="41"/>
        <v>173.28817076726466</v>
      </c>
      <c r="NU25" s="9">
        <f t="shared" si="41"/>
        <v>171.55528905959201</v>
      </c>
      <c r="NV25" s="9">
        <f t="shared" si="41"/>
        <v>169.8397361689961</v>
      </c>
      <c r="NW25" s="9">
        <f t="shared" si="41"/>
        <v>168.14133880730614</v>
      </c>
      <c r="NX25" s="9">
        <f t="shared" si="41"/>
        <v>166.45992541923309</v>
      </c>
      <c r="NY25" s="9">
        <f t="shared" si="41"/>
        <v>164.79532616504076</v>
      </c>
      <c r="NZ25" s="9">
        <f t="shared" si="41"/>
        <v>163.14737290339036</v>
      </c>
      <c r="OA25" s="9">
        <f t="shared" si="41"/>
        <v>161.51589917435646</v>
      </c>
      <c r="OB25" s="9">
        <f t="shared" si="41"/>
        <v>159.90074018261291</v>
      </c>
      <c r="OC25" s="9">
        <f t="shared" si="41"/>
        <v>158.30173278078678</v>
      </c>
      <c r="OD25" s="9">
        <f t="shared" si="41"/>
        <v>156.7187154529789</v>
      </c>
      <c r="OE25" s="9">
        <f t="shared" si="41"/>
        <v>155.15152829844911</v>
      </c>
      <c r="OF25" s="9">
        <f t="shared" si="41"/>
        <v>153.60001301546461</v>
      </c>
      <c r="OG25" s="9">
        <f t="shared" si="41"/>
        <v>152.06401288530998</v>
      </c>
      <c r="OH25" s="9">
        <f t="shared" si="41"/>
        <v>150.54337275645688</v>
      </c>
      <c r="OI25" s="9">
        <f t="shared" si="41"/>
        <v>149.03793902889231</v>
      </c>
      <c r="OJ25" s="9">
        <f t="shared" si="41"/>
        <v>147.54755963860339</v>
      </c>
      <c r="OK25" s="9">
        <f t="shared" si="41"/>
        <v>146.07208404221734</v>
      </c>
      <c r="OL25" s="9">
        <f t="shared" si="41"/>
        <v>144.61136320179517</v>
      </c>
      <c r="OM25" s="9">
        <f t="shared" si="41"/>
        <v>143.16524956977722</v>
      </c>
      <c r="ON25" s="9">
        <f t="shared" si="41"/>
        <v>141.73359707407946</v>
      </c>
      <c r="OO25" s="9">
        <f t="shared" si="41"/>
        <v>140.31626110333866</v>
      </c>
      <c r="OP25" s="9">
        <f t="shared" si="41"/>
        <v>138.91309849230527</v>
      </c>
      <c r="OQ25" s="9">
        <f t="shared" si="41"/>
        <v>137.52396750738222</v>
      </c>
      <c r="OR25" s="9">
        <f t="shared" si="41"/>
        <v>136.1487278323084</v>
      </c>
      <c r="OS25" s="9">
        <f t="shared" si="41"/>
        <v>134.7872405539853</v>
      </c>
      <c r="OT25" s="9">
        <f t="shared" si="41"/>
        <v>133.43936814844545</v>
      </c>
      <c r="OU25" s="9">
        <f t="shared" si="41"/>
        <v>132.10497446696101</v>
      </c>
      <c r="OV25" s="9">
        <f t="shared" si="41"/>
        <v>130.7839247222914</v>
      </c>
      <c r="OW25" s="9">
        <f t="shared" si="41"/>
        <v>129.47608547506849</v>
      </c>
      <c r="OX25" s="9">
        <f t="shared" si="41"/>
        <v>128.18132462031781</v>
      </c>
      <c r="OY25" s="9">
        <f t="shared" si="41"/>
        <v>126.89951137411462</v>
      </c>
      <c r="OZ25" s="9">
        <f t="shared" si="41"/>
        <v>125.63051626037348</v>
      </c>
      <c r="PA25" s="9">
        <f t="shared" si="41"/>
        <v>124.37421109776975</v>
      </c>
      <c r="PB25" s="9">
        <f t="shared" si="41"/>
        <v>123.13046898679205</v>
      </c>
      <c r="PC25" s="9">
        <f t="shared" si="41"/>
        <v>121.89916429692413</v>
      </c>
      <c r="PD25" s="9">
        <f t="shared" si="41"/>
        <v>120.68017265395488</v>
      </c>
      <c r="PE25" s="9">
        <f t="shared" si="41"/>
        <v>119.47337092741533</v>
      </c>
      <c r="PF25" s="9">
        <f t="shared" si="41"/>
        <v>118.27863721814117</v>
      </c>
      <c r="PG25" s="9">
        <f t="shared" si="41"/>
        <v>117.09585084595976</v>
      </c>
      <c r="PH25" s="9">
        <f t="shared" si="41"/>
        <v>115.92489233750015</v>
      </c>
    </row>
    <row r="26" spans="1:424" x14ac:dyDescent="0.2">
      <c r="B26" s="1" t="s">
        <v>3</v>
      </c>
      <c r="C26" s="2">
        <v>555.20000000000005</v>
      </c>
      <c r="D26" s="2">
        <v>551.9</v>
      </c>
      <c r="E26" s="2">
        <v>547.9</v>
      </c>
      <c r="F26" s="2">
        <v>545.9</v>
      </c>
      <c r="G26" s="2">
        <v>541</v>
      </c>
      <c r="H26" s="2">
        <v>536.29999999999995</v>
      </c>
      <c r="I26" s="2">
        <v>531.20000000000005</v>
      </c>
      <c r="J26" s="2">
        <v>524.29999999999995</v>
      </c>
      <c r="K26" s="2">
        <v>519.5</v>
      </c>
      <c r="L26" s="2">
        <v>516.1</v>
      </c>
      <c r="M26" s="2">
        <v>514.79999999999995</v>
      </c>
      <c r="N26" s="2">
        <v>511.9</v>
      </c>
      <c r="O26" s="2">
        <v>505.8</v>
      </c>
      <c r="P26" s="2">
        <v>504.4</v>
      </c>
      <c r="Q26" s="2">
        <v>505.4</v>
      </c>
      <c r="R26" s="2">
        <v>506</v>
      </c>
      <c r="S26" s="2">
        <v>503.4</v>
      </c>
      <c r="T26" s="2">
        <v>497.5</v>
      </c>
      <c r="U26" s="2">
        <v>489.4</v>
      </c>
      <c r="V26" s="2">
        <v>480.6</v>
      </c>
      <c r="W26" s="2">
        <v>467.8</v>
      </c>
      <c r="X26" s="2">
        <f>T26*0.94</f>
        <v>467.65</v>
      </c>
      <c r="Y26" s="2">
        <f>U26*0.94</f>
        <v>460.03599999999994</v>
      </c>
      <c r="Z26" s="2">
        <f>V26*0.94</f>
        <v>451.76400000000001</v>
      </c>
      <c r="AE26" s="2">
        <f>F26</f>
        <v>545.9</v>
      </c>
      <c r="AF26" s="2">
        <f>J26</f>
        <v>524.29999999999995</v>
      </c>
      <c r="AG26" s="2">
        <f>N26</f>
        <v>511.9</v>
      </c>
      <c r="AH26" s="2">
        <f>R26</f>
        <v>506</v>
      </c>
      <c r="AI26" s="2">
        <f>V26</f>
        <v>480.6</v>
      </c>
      <c r="AJ26" s="2">
        <f>Z26</f>
        <v>451.76400000000001</v>
      </c>
      <c r="AK26" s="2">
        <f t="shared" ref="AK26:AM26" si="42">AJ26*0.98</f>
        <v>442.72872000000001</v>
      </c>
      <c r="AL26" s="2">
        <f t="shared" si="42"/>
        <v>433.87414560000002</v>
      </c>
      <c r="AM26" s="2">
        <f t="shared" si="42"/>
        <v>425.196662688</v>
      </c>
    </row>
    <row r="27" spans="1:424" x14ac:dyDescent="0.2">
      <c r="B27" s="1" t="s">
        <v>31</v>
      </c>
      <c r="C27" s="10">
        <f t="shared" ref="C27:Z27" si="43">C25/C26</f>
        <v>2.6296829971181555</v>
      </c>
      <c r="D27" s="10">
        <f t="shared" si="43"/>
        <v>2.5203841275593404</v>
      </c>
      <c r="E27" s="10">
        <f t="shared" si="43"/>
        <v>2.3015148749771859</v>
      </c>
      <c r="F27" s="10">
        <f t="shared" si="43"/>
        <v>12.819197655248214</v>
      </c>
      <c r="G27" s="10">
        <f t="shared" si="43"/>
        <v>2.3807763401109057</v>
      </c>
      <c r="H27" s="10">
        <f t="shared" si="43"/>
        <v>2.4948722729815405</v>
      </c>
      <c r="I27" s="10">
        <f t="shared" si="43"/>
        <v>2.1686746987951806</v>
      </c>
      <c r="J27" s="10">
        <f t="shared" si="43"/>
        <v>2.6397100896433341</v>
      </c>
      <c r="K27" s="10">
        <f t="shared" si="43"/>
        <v>2.6487006737247354</v>
      </c>
      <c r="L27" s="10">
        <f t="shared" si="43"/>
        <v>2.9044758767680681</v>
      </c>
      <c r="M27" s="10">
        <f t="shared" si="43"/>
        <v>2.5038850038850042</v>
      </c>
      <c r="N27" s="10">
        <f t="shared" si="43"/>
        <v>2.8794686462199648</v>
      </c>
      <c r="O27" s="10">
        <f t="shared" si="43"/>
        <v>1.7022538552787663</v>
      </c>
      <c r="P27" s="10">
        <f t="shared" si="43"/>
        <v>4.4250594766058686</v>
      </c>
      <c r="Q27" s="10">
        <f t="shared" si="43"/>
        <v>3.0767708745548084</v>
      </c>
      <c r="R27" s="10">
        <f t="shared" si="43"/>
        <v>3.8537549407114624</v>
      </c>
      <c r="S27" s="10">
        <f t="shared" si="43"/>
        <v>5.3535955502582437</v>
      </c>
      <c r="T27" s="10">
        <f t="shared" si="43"/>
        <v>4.7859296482412059</v>
      </c>
      <c r="U27" s="10">
        <f t="shared" si="43"/>
        <v>4.2194523906824681</v>
      </c>
      <c r="V27" s="10">
        <f t="shared" si="43"/>
        <v>4.4714939658759878</v>
      </c>
      <c r="W27" s="10">
        <f t="shared" si="43"/>
        <v>3.4416417272338604</v>
      </c>
      <c r="X27" s="10">
        <f t="shared" si="43"/>
        <v>2.307872126590397</v>
      </c>
      <c r="Y27" s="10">
        <f t="shared" si="43"/>
        <v>2.9367069098940122</v>
      </c>
      <c r="Z27" s="10">
        <f t="shared" si="43"/>
        <v>4.3860745876165455</v>
      </c>
      <c r="AE27" s="10">
        <f t="shared" ref="AE27:AM27" si="44">AE25/AE26</f>
        <v>20.351712767906211</v>
      </c>
      <c r="AF27" s="10">
        <f t="shared" si="44"/>
        <v>9.8455082967766554</v>
      </c>
      <c r="AG27" s="10">
        <f t="shared" si="44"/>
        <v>11.013869896464154</v>
      </c>
      <c r="AH27" s="10">
        <f t="shared" si="44"/>
        <v>13.039525691699605</v>
      </c>
      <c r="AI27" s="10">
        <f t="shared" si="44"/>
        <v>19.330004161464835</v>
      </c>
      <c r="AJ27" s="10">
        <f t="shared" si="44"/>
        <v>13.329388574565485</v>
      </c>
      <c r="AK27" s="10">
        <f t="shared" si="44"/>
        <v>11.788164517540235</v>
      </c>
      <c r="AL27" s="10">
        <f t="shared" si="44"/>
        <v>12.409450658956256</v>
      </c>
      <c r="AM27" s="10">
        <f t="shared" si="44"/>
        <v>13.062819745083473</v>
      </c>
    </row>
    <row r="29" spans="1:424" x14ac:dyDescent="0.2">
      <c r="B29" s="29" t="s">
        <v>77</v>
      </c>
      <c r="C29" s="2"/>
    </row>
    <row r="30" spans="1:424" x14ac:dyDescent="0.2">
      <c r="B30" s="29" t="s">
        <v>78</v>
      </c>
    </row>
    <row r="31" spans="1:424" x14ac:dyDescent="0.2">
      <c r="AP31" s="37" t="s">
        <v>113</v>
      </c>
    </row>
    <row r="32" spans="1:424" x14ac:dyDescent="0.2">
      <c r="B32" s="1" t="s">
        <v>48</v>
      </c>
      <c r="G32" s="4">
        <f t="shared" ref="G32:P33" si="45">G15/C15-1</f>
        <v>3.4395611169327545E-2</v>
      </c>
      <c r="H32" s="4">
        <f t="shared" si="45"/>
        <v>6.8654562943369024E-2</v>
      </c>
      <c r="I32" s="4">
        <f t="shared" si="45"/>
        <v>5.6121844257437381E-2</v>
      </c>
      <c r="J32" s="4">
        <f t="shared" si="45"/>
        <v>-2.1755210372886857E-4</v>
      </c>
      <c r="K32" s="4">
        <f t="shared" si="45"/>
        <v>5.0414158870150771E-2</v>
      </c>
      <c r="L32" s="4">
        <f t="shared" si="45"/>
        <v>3.6341134113411444E-2</v>
      </c>
      <c r="M32" s="4">
        <f t="shared" si="45"/>
        <v>4.7359856349250773E-2</v>
      </c>
      <c r="N32" s="4">
        <f t="shared" si="45"/>
        <v>1.8278353207415776E-2</v>
      </c>
      <c r="O32" s="4">
        <f t="shared" si="45"/>
        <v>0.11278152833721</v>
      </c>
      <c r="P32" s="4">
        <f t="shared" si="45"/>
        <v>0.247150146563891</v>
      </c>
      <c r="Q32" s="4">
        <f t="shared" ref="Q32:Z33" si="46">Q15/M15-1</f>
        <v>0.21253683364586129</v>
      </c>
      <c r="R32" s="4">
        <f t="shared" si="46"/>
        <v>0.21117189503376355</v>
      </c>
      <c r="S32" s="4">
        <f t="shared" si="46"/>
        <v>0.23359673719092533</v>
      </c>
      <c r="T32" s="4">
        <f t="shared" si="46"/>
        <v>9.5103373231773647E-2</v>
      </c>
      <c r="U32" s="4">
        <f t="shared" si="46"/>
        <v>0.13343937787203952</v>
      </c>
      <c r="V32" s="4">
        <f t="shared" si="46"/>
        <v>9.3757719044426313E-2</v>
      </c>
      <c r="W32" s="4">
        <f t="shared" si="46"/>
        <v>4.0211596478902267E-2</v>
      </c>
      <c r="X32" s="4">
        <f t="shared" si="46"/>
        <v>4.0000000000000036E-2</v>
      </c>
      <c r="Y32" s="4">
        <f t="shared" si="46"/>
        <v>4.0000000000000036E-2</v>
      </c>
      <c r="Z32" s="4">
        <f t="shared" si="46"/>
        <v>4.0000000000000036E-2</v>
      </c>
      <c r="AE32" s="4"/>
      <c r="AF32" s="4">
        <f t="shared" ref="AF32:AM33" si="47">AF15/AE15-1</f>
        <v>3.6334130978903589E-2</v>
      </c>
      <c r="AG32" s="4">
        <f t="shared" si="47"/>
        <v>3.6573066510961372E-2</v>
      </c>
      <c r="AH32" s="4">
        <f t="shared" si="47"/>
        <v>0.19778011061040557</v>
      </c>
      <c r="AI32" s="4">
        <f t="shared" si="47"/>
        <v>0.13300413633885921</v>
      </c>
      <c r="AJ32" s="4">
        <f t="shared" si="47"/>
        <v>4.0048299608509197E-2</v>
      </c>
      <c r="AK32" s="4">
        <f t="shared" si="47"/>
        <v>4.0000000000000036E-2</v>
      </c>
      <c r="AL32" s="4">
        <f t="shared" si="47"/>
        <v>3.0000000000000027E-2</v>
      </c>
      <c r="AM32" s="4">
        <f t="shared" si="47"/>
        <v>3.0000000000000027E-2</v>
      </c>
      <c r="AP32" s="1" t="s">
        <v>56</v>
      </c>
      <c r="AQ32" s="11">
        <v>-0.01</v>
      </c>
      <c r="AR32" s="7"/>
      <c r="AS32" s="7"/>
      <c r="AT32" s="7"/>
      <c r="AU32" s="7"/>
      <c r="AV32" s="7"/>
      <c r="AW32" s="7"/>
      <c r="AX32" s="7"/>
      <c r="AY32" s="7"/>
      <c r="AZ32" s="1"/>
      <c r="BA32" s="1"/>
      <c r="BB32" s="1"/>
    </row>
    <row r="33" spans="1:54" ht="15" x14ac:dyDescent="0.25">
      <c r="B33" s="1" t="s">
        <v>49</v>
      </c>
      <c r="G33" s="4">
        <f t="shared" si="45"/>
        <v>4.409915573917722E-2</v>
      </c>
      <c r="H33" s="4">
        <f t="shared" si="45"/>
        <v>7.1810140993081806E-2</v>
      </c>
      <c r="I33" s="4">
        <f t="shared" si="45"/>
        <v>7.026980874316946E-2</v>
      </c>
      <c r="J33" s="4">
        <f t="shared" si="45"/>
        <v>0.44284128745837958</v>
      </c>
      <c r="K33" s="4">
        <f t="shared" si="45"/>
        <v>5.359139784946243E-2</v>
      </c>
      <c r="L33" s="4">
        <f t="shared" si="45"/>
        <v>3.1538524389247424E-2</v>
      </c>
      <c r="M33" s="4">
        <f t="shared" si="45"/>
        <v>3.1910650179497457E-2</v>
      </c>
      <c r="N33" s="4">
        <f t="shared" si="45"/>
        <v>9.2307692307691536E-3</v>
      </c>
      <c r="O33" s="4">
        <f t="shared" si="45"/>
        <v>0.18468321358589157</v>
      </c>
      <c r="P33" s="4">
        <f t="shared" si="45"/>
        <v>0.24142574257425742</v>
      </c>
      <c r="Q33" s="4">
        <f t="shared" si="46"/>
        <v>0.19899497487437179</v>
      </c>
      <c r="R33" s="4">
        <f t="shared" si="46"/>
        <v>0.20104362101313322</v>
      </c>
      <c r="S33" s="4">
        <f t="shared" si="46"/>
        <v>0.15203308063404553</v>
      </c>
      <c r="T33" s="4">
        <f t="shared" si="46"/>
        <v>0.1025330185669624</v>
      </c>
      <c r="U33" s="4">
        <f t="shared" si="46"/>
        <v>0.17389902637178412</v>
      </c>
      <c r="V33" s="4">
        <f t="shared" si="46"/>
        <v>0.1111056870881133</v>
      </c>
      <c r="W33" s="4">
        <f t="shared" si="46"/>
        <v>0.10439100263220857</v>
      </c>
      <c r="X33" s="4">
        <f t="shared" si="46"/>
        <v>0.12000000000000011</v>
      </c>
      <c r="Y33" s="4">
        <f t="shared" si="46"/>
        <v>8.0000000000000071E-2</v>
      </c>
      <c r="Z33" s="4">
        <f t="shared" si="46"/>
        <v>5.0000000000000044E-2</v>
      </c>
      <c r="AF33" s="4">
        <f t="shared" si="47"/>
        <v>0.15922832659097819</v>
      </c>
      <c r="AG33" s="4">
        <f t="shared" si="47"/>
        <v>2.9362652207358453E-2</v>
      </c>
      <c r="AH33" s="4">
        <f t="shared" si="47"/>
        <v>0.20620078740157477</v>
      </c>
      <c r="AI33" s="4">
        <f t="shared" si="47"/>
        <v>0.13276516010094142</v>
      </c>
      <c r="AJ33" s="4">
        <f t="shared" si="47"/>
        <v>8.5550604965116239E-2</v>
      </c>
      <c r="AK33" s="4">
        <f t="shared" si="47"/>
        <v>5.0000000000000044E-2</v>
      </c>
      <c r="AL33" s="4">
        <f t="shared" si="47"/>
        <v>3.0000000000000027E-2</v>
      </c>
      <c r="AM33" s="4">
        <f t="shared" si="47"/>
        <v>3.0000000000000027E-2</v>
      </c>
      <c r="AP33" s="1" t="s">
        <v>57</v>
      </c>
      <c r="AQ33" s="11">
        <f>WACC!C18</f>
        <v>5.3950410437967056E-2</v>
      </c>
      <c r="AR33" s="12"/>
      <c r="AS33" s="12"/>
      <c r="AT33" s="12"/>
      <c r="AU33" s="12"/>
      <c r="AV33" s="12"/>
      <c r="AW33" s="12"/>
      <c r="AX33" s="12"/>
      <c r="AY33" s="12"/>
      <c r="AZ33" s="8"/>
      <c r="BA33" s="8"/>
      <c r="BB33" s="8"/>
    </row>
    <row r="34" spans="1:54" ht="15" x14ac:dyDescent="0.25">
      <c r="B34" s="1" t="s">
        <v>50</v>
      </c>
      <c r="G34" s="4">
        <f t="shared" ref="G34:Z34" si="48">G18/C18-1</f>
        <v>0.13186462324393355</v>
      </c>
      <c r="H34" s="4">
        <f t="shared" si="48"/>
        <v>0.14281490242460082</v>
      </c>
      <c r="I34" s="4">
        <f t="shared" si="48"/>
        <v>0.12101366742596809</v>
      </c>
      <c r="J34" s="4">
        <f t="shared" si="48"/>
        <v>3.6721156124141174E-2</v>
      </c>
      <c r="K34" s="4">
        <f t="shared" si="48"/>
        <v>3.328631875881527E-2</v>
      </c>
      <c r="L34" s="4">
        <f t="shared" si="48"/>
        <v>1.2160413971539441E-2</v>
      </c>
      <c r="M34" s="4">
        <f t="shared" si="48"/>
        <v>5.4864109728219423E-2</v>
      </c>
      <c r="N34" s="4">
        <f t="shared" si="48"/>
        <v>2.9250457038391131E-2</v>
      </c>
      <c r="O34" s="4">
        <f t="shared" si="48"/>
        <v>0.10838110838110837</v>
      </c>
      <c r="P34" s="4">
        <f t="shared" si="48"/>
        <v>0.14008179959100198</v>
      </c>
      <c r="Q34" s="4">
        <f t="shared" si="48"/>
        <v>0.11895015651336394</v>
      </c>
      <c r="R34" s="4">
        <f t="shared" si="48"/>
        <v>0.20959147424511548</v>
      </c>
      <c r="S34" s="4">
        <f t="shared" si="48"/>
        <v>0.11059113300492607</v>
      </c>
      <c r="T34" s="4">
        <f t="shared" si="48"/>
        <v>8.7219730941703988E-2</v>
      </c>
      <c r="U34" s="4">
        <f t="shared" si="48"/>
        <v>4.5620830643425814E-2</v>
      </c>
      <c r="V34" s="4">
        <f t="shared" si="48"/>
        <v>1.5969162995594699E-2</v>
      </c>
      <c r="W34" s="4">
        <f t="shared" si="48"/>
        <v>5.6110002217786725E-2</v>
      </c>
      <c r="X34" s="4">
        <f t="shared" si="48"/>
        <v>0.1100000000000001</v>
      </c>
      <c r="Y34" s="4">
        <f t="shared" si="48"/>
        <v>8.0000000000000071E-2</v>
      </c>
      <c r="Z34" s="4">
        <f t="shared" si="48"/>
        <v>5.0000000000000044E-2</v>
      </c>
      <c r="AF34" s="4">
        <f t="shared" ref="AF34:AM34" si="49">AF18/AE18-1</f>
        <v>0.10360075805432722</v>
      </c>
      <c r="AG34" s="4">
        <f t="shared" si="49"/>
        <v>3.237295681485719E-2</v>
      </c>
      <c r="AH34" s="4">
        <f t="shared" si="49"/>
        <v>0.14680877279448001</v>
      </c>
      <c r="AI34" s="4">
        <f t="shared" si="49"/>
        <v>6.1079774375503604E-2</v>
      </c>
      <c r="AJ34" s="4">
        <f t="shared" si="49"/>
        <v>7.3504455245038569E-2</v>
      </c>
      <c r="AK34" s="4">
        <f t="shared" si="49"/>
        <v>5.0000000000000044E-2</v>
      </c>
      <c r="AL34" s="4">
        <f t="shared" si="49"/>
        <v>3.0000000000000027E-2</v>
      </c>
      <c r="AM34" s="4">
        <f t="shared" si="49"/>
        <v>3.0000000000000027E-2</v>
      </c>
      <c r="AP34" s="1" t="s">
        <v>58</v>
      </c>
      <c r="AQ34" s="7">
        <f>NPV(AQ33,AG25:PH25)</f>
        <v>95412.82122862144</v>
      </c>
      <c r="AR34" s="12"/>
      <c r="AS34" s="12"/>
      <c r="AT34" s="12"/>
      <c r="AU34" s="12"/>
      <c r="AV34" s="12"/>
      <c r="AW34" s="12"/>
      <c r="AX34" s="12"/>
      <c r="AY34" s="12"/>
      <c r="AZ34" s="8"/>
      <c r="BA34" s="8"/>
      <c r="BB34" s="8"/>
    </row>
    <row r="35" spans="1:54" ht="15" x14ac:dyDescent="0.25">
      <c r="B35" s="1" t="s">
        <v>51</v>
      </c>
      <c r="G35" s="4">
        <f t="shared" ref="G35:Z35" si="50">G25/C25-1</f>
        <v>-0.11780821917808215</v>
      </c>
      <c r="H35" s="4">
        <f t="shared" si="50"/>
        <v>-3.8102084831056815E-2</v>
      </c>
      <c r="I35" s="4">
        <f t="shared" si="50"/>
        <v>-8.64393338620143E-2</v>
      </c>
      <c r="J35" s="4">
        <f t="shared" si="50"/>
        <v>-0.80222920834524147</v>
      </c>
      <c r="K35" s="4">
        <f t="shared" si="50"/>
        <v>6.8322981366459645E-2</v>
      </c>
      <c r="L35" s="4">
        <f t="shared" si="50"/>
        <v>0.12032884902840069</v>
      </c>
      <c r="M35" s="4">
        <f t="shared" si="50"/>
        <v>0.11892361111111116</v>
      </c>
      <c r="N35" s="4">
        <f t="shared" si="50"/>
        <v>6.5028901734104139E-2</v>
      </c>
      <c r="O35" s="4">
        <f t="shared" si="50"/>
        <v>-0.37427325581395354</v>
      </c>
      <c r="P35" s="4">
        <f t="shared" si="50"/>
        <v>0.48899266177451639</v>
      </c>
      <c r="Q35" s="4">
        <f t="shared" si="50"/>
        <v>0.20636152055857249</v>
      </c>
      <c r="R35" s="4">
        <f t="shared" si="50"/>
        <v>0.32293080054274093</v>
      </c>
      <c r="S35" s="4">
        <f t="shared" si="50"/>
        <v>2.1300813008130079</v>
      </c>
      <c r="T35" s="4">
        <f t="shared" si="50"/>
        <v>6.6756272401433669E-2</v>
      </c>
      <c r="U35" s="4">
        <f t="shared" si="50"/>
        <v>0.32797427652733124</v>
      </c>
      <c r="V35" s="4">
        <f t="shared" si="50"/>
        <v>0.102051282051282</v>
      </c>
      <c r="W35" s="4">
        <f t="shared" si="50"/>
        <v>-0.40259740259740262</v>
      </c>
      <c r="X35" s="4">
        <f t="shared" si="50"/>
        <v>-0.54671297774044558</v>
      </c>
      <c r="Y35" s="4">
        <f t="shared" si="50"/>
        <v>-0.34576711864406706</v>
      </c>
      <c r="Z35" s="4">
        <f t="shared" si="50"/>
        <v>-7.7956910190785988E-2</v>
      </c>
      <c r="AF35" s="4">
        <f t="shared" ref="AF35:AM35" si="51">AF25/AE25-1</f>
        <v>-0.53537353735373538</v>
      </c>
      <c r="AG35" s="4">
        <f t="shared" si="51"/>
        <v>9.2212320805889147E-2</v>
      </c>
      <c r="AH35" s="4">
        <f t="shared" si="51"/>
        <v>0.17027314650585312</v>
      </c>
      <c r="AI35" s="4">
        <f t="shared" si="51"/>
        <v>0.4080024249772658</v>
      </c>
      <c r="AJ35" s="4">
        <f t="shared" si="51"/>
        <v>-0.35180431646932164</v>
      </c>
      <c r="AK35" s="4">
        <f t="shared" si="51"/>
        <v>-0.1333134927709152</v>
      </c>
      <c r="AL35" s="4">
        <f t="shared" si="51"/>
        <v>3.1650146015670844E-2</v>
      </c>
      <c r="AM35" s="4">
        <f t="shared" si="51"/>
        <v>3.1597908884270165E-2</v>
      </c>
      <c r="AP35" s="1" t="s">
        <v>59</v>
      </c>
      <c r="AQ35" s="7">
        <f>+Main!C7-Main!C8</f>
        <v>-13356</v>
      </c>
      <c r="AR35" s="12"/>
      <c r="AS35" s="12"/>
      <c r="AT35" s="12"/>
      <c r="AU35" s="12"/>
      <c r="AV35" s="12"/>
      <c r="AW35" s="12"/>
      <c r="AX35" s="12"/>
      <c r="AY35" s="12"/>
      <c r="AZ35" s="8"/>
      <c r="BA35" s="8"/>
      <c r="BB35" s="8"/>
    </row>
    <row r="36" spans="1:54" ht="15" x14ac:dyDescent="0.25">
      <c r="B36" s="1" t="s">
        <v>52</v>
      </c>
      <c r="G36" s="4">
        <f>G26/C26-1</f>
        <v>-2.5576368876080724E-2</v>
      </c>
      <c r="H36" s="4">
        <f t="shared" ref="H36:R36" si="52">H26/D26-1</f>
        <v>-2.8265990215618819E-2</v>
      </c>
      <c r="I36" s="4">
        <f t="shared" si="52"/>
        <v>-3.048001460120453E-2</v>
      </c>
      <c r="J36" s="4">
        <f t="shared" si="52"/>
        <v>-3.9567686389448631E-2</v>
      </c>
      <c r="K36" s="4">
        <f t="shared" si="52"/>
        <v>-3.9741219963031371E-2</v>
      </c>
      <c r="L36" s="4">
        <f t="shared" si="52"/>
        <v>-3.7665485735595583E-2</v>
      </c>
      <c r="M36" s="4">
        <f t="shared" si="52"/>
        <v>-3.0873493975903776E-2</v>
      </c>
      <c r="N36" s="4">
        <f t="shared" si="52"/>
        <v>-2.3650581728018261E-2</v>
      </c>
      <c r="O36" s="4">
        <f t="shared" si="52"/>
        <v>-2.6371511068334907E-2</v>
      </c>
      <c r="P36" s="4">
        <f t="shared" si="52"/>
        <v>-2.267002518891692E-2</v>
      </c>
      <c r="Q36" s="4">
        <f t="shared" si="52"/>
        <v>-1.8259518259518215E-2</v>
      </c>
      <c r="R36" s="4">
        <f t="shared" si="52"/>
        <v>-1.152568861105685E-2</v>
      </c>
      <c r="S36" s="4">
        <f t="shared" ref="S36:S37" si="53">S26/O26-1</f>
        <v>-4.7449584816133816E-3</v>
      </c>
      <c r="T36" s="4">
        <f t="shared" ref="T36:T37" si="54">T26/P26-1</f>
        <v>-1.3679619349722394E-2</v>
      </c>
      <c r="U36" s="4">
        <f t="shared" ref="U36:U37" si="55">U26/Q26-1</f>
        <v>-3.1658092599920806E-2</v>
      </c>
      <c r="V36" s="4">
        <f t="shared" ref="V36:V37" si="56">V26/R26-1</f>
        <v>-5.0197628458497956E-2</v>
      </c>
      <c r="W36" s="4">
        <f t="shared" ref="W36:W37" si="57">W26/S26-1</f>
        <v>-7.071911005164877E-2</v>
      </c>
      <c r="X36" s="4">
        <f t="shared" ref="X36:X37" si="58">X26/T26-1</f>
        <v>-6.0000000000000053E-2</v>
      </c>
      <c r="Y36" s="4">
        <f t="shared" ref="Y36:Y37" si="59">Y26/U26-1</f>
        <v>-6.0000000000000053E-2</v>
      </c>
      <c r="Z36" s="4">
        <f t="shared" ref="Z36:Z37" si="60">Z26/V26-1</f>
        <v>-6.0000000000000053E-2</v>
      </c>
      <c r="AF36" s="4">
        <f t="shared" ref="AF36:AH36" si="61">AF26/AE26-1</f>
        <v>-3.9567686389448631E-2</v>
      </c>
      <c r="AG36" s="4">
        <f t="shared" si="61"/>
        <v>-2.3650581728018261E-2</v>
      </c>
      <c r="AH36" s="4">
        <f t="shared" si="61"/>
        <v>-1.152568861105685E-2</v>
      </c>
      <c r="AI36" s="4">
        <f t="shared" ref="AI36:AM36" si="62">AI26/AH26-1</f>
        <v>-5.0197628458497956E-2</v>
      </c>
      <c r="AJ36" s="4">
        <f t="shared" si="62"/>
        <v>-6.0000000000000053E-2</v>
      </c>
      <c r="AK36" s="4">
        <f t="shared" si="62"/>
        <v>-2.0000000000000018E-2</v>
      </c>
      <c r="AL36" s="4">
        <f t="shared" si="62"/>
        <v>-2.0000000000000018E-2</v>
      </c>
      <c r="AM36" s="4">
        <f t="shared" si="62"/>
        <v>-2.0000000000000018E-2</v>
      </c>
      <c r="AP36" s="1" t="s">
        <v>60</v>
      </c>
      <c r="AQ36" s="7">
        <f>+AQ34+AQ35</f>
        <v>82056.82122862144</v>
      </c>
      <c r="AR36" s="12"/>
      <c r="AS36" s="12"/>
      <c r="AT36" s="12"/>
      <c r="AU36" s="12"/>
      <c r="AV36" s="12"/>
      <c r="AW36" s="12"/>
      <c r="AX36" s="12"/>
      <c r="AY36" s="12"/>
      <c r="AZ36" s="8"/>
      <c r="BA36" s="8"/>
      <c r="BB36" s="8"/>
    </row>
    <row r="37" spans="1:54" ht="15" x14ac:dyDescent="0.25">
      <c r="B37" s="1" t="s">
        <v>53</v>
      </c>
      <c r="G37" s="4">
        <f>G27/C27-1</f>
        <v>-9.4652723267414474E-2</v>
      </c>
      <c r="H37" s="4">
        <f t="shared" ref="H37:R37" si="63">H27/D27-1</f>
        <v>-1.012220887238513E-2</v>
      </c>
      <c r="I37" s="4">
        <f t="shared" si="63"/>
        <v>-5.7718582498113125E-2</v>
      </c>
      <c r="J37" s="4">
        <f t="shared" si="63"/>
        <v>-0.79408148929175537</v>
      </c>
      <c r="K37" s="4">
        <f t="shared" si="63"/>
        <v>0.1125365407492871</v>
      </c>
      <c r="L37" s="4">
        <f t="shared" si="63"/>
        <v>0.16417818588244759</v>
      </c>
      <c r="M37" s="4">
        <f t="shared" si="63"/>
        <v>0.15456919623586307</v>
      </c>
      <c r="N37" s="4">
        <f t="shared" si="63"/>
        <v>9.082760925804001E-2</v>
      </c>
      <c r="O37" s="4">
        <f t="shared" si="63"/>
        <v>-0.35732494344671584</v>
      </c>
      <c r="P37" s="4">
        <f t="shared" si="63"/>
        <v>0.52353115135176043</v>
      </c>
      <c r="Q37" s="4">
        <f t="shared" si="63"/>
        <v>0.22879879458558183</v>
      </c>
      <c r="R37" s="4">
        <f t="shared" si="63"/>
        <v>0.33835627825657921</v>
      </c>
      <c r="S37" s="4">
        <f t="shared" si="53"/>
        <v>2.1450042152388149</v>
      </c>
      <c r="T37" s="4">
        <f t="shared" si="54"/>
        <v>8.15514850236847E-2</v>
      </c>
      <c r="U37" s="4">
        <f t="shared" si="55"/>
        <v>0.37138986382695771</v>
      </c>
      <c r="V37" s="4">
        <f t="shared" si="56"/>
        <v>0.16029535729910238</v>
      </c>
      <c r="W37" s="4">
        <f t="shared" si="57"/>
        <v>-0.35713452857531525</v>
      </c>
      <c r="X37" s="4">
        <f t="shared" si="58"/>
        <v>-0.5177797635536654</v>
      </c>
      <c r="Y37" s="4">
        <f t="shared" si="59"/>
        <v>-0.30400757302560311</v>
      </c>
      <c r="Z37" s="4">
        <f t="shared" si="60"/>
        <v>-1.9103095947644477E-2</v>
      </c>
      <c r="AF37" s="4">
        <f t="shared" ref="AF37:AH37" si="64">AF27/AE27-1</f>
        <v>-0.51623195506657282</v>
      </c>
      <c r="AG37" s="4">
        <f t="shared" si="64"/>
        <v>0.11866950536926679</v>
      </c>
      <c r="AH37" s="4">
        <f t="shared" si="64"/>
        <v>0.18391862390582259</v>
      </c>
      <c r="AI37" s="4">
        <f t="shared" ref="AI37:AM37" si="65">AI27/AH27-1</f>
        <v>0.48241620274343822</v>
      </c>
      <c r="AJ37" s="4">
        <f>AJ27/AI27-1</f>
        <v>-0.31043012390353364</v>
      </c>
      <c r="AK37" s="4">
        <f t="shared" si="65"/>
        <v>-0.11562601303154607</v>
      </c>
      <c r="AL37" s="4">
        <f t="shared" si="65"/>
        <v>5.2704230628235482E-2</v>
      </c>
      <c r="AM37" s="4">
        <f t="shared" si="65"/>
        <v>5.2650927432928762E-2</v>
      </c>
      <c r="AP37" s="1" t="s">
        <v>61</v>
      </c>
      <c r="AQ37" s="13">
        <f>AQ36/Main!C5</f>
        <v>175.4100496550266</v>
      </c>
      <c r="AR37" s="12"/>
      <c r="AS37" s="12"/>
      <c r="AT37" s="12"/>
      <c r="AU37" s="12"/>
      <c r="AV37" s="12"/>
      <c r="AW37" s="12"/>
      <c r="AX37" s="12"/>
      <c r="AY37" s="12"/>
      <c r="AZ37" s="8"/>
      <c r="BA37" s="8"/>
      <c r="BB37" s="8"/>
    </row>
    <row r="38" spans="1:54" x14ac:dyDescent="0.2">
      <c r="B38" s="1" t="s">
        <v>54</v>
      </c>
      <c r="C38" s="4">
        <f t="shared" ref="C38:Z38" si="66">C17/C15</f>
        <v>0.31369043949947606</v>
      </c>
      <c r="D38" s="4">
        <f t="shared" si="66"/>
        <v>0.31351448839725865</v>
      </c>
      <c r="E38" s="4">
        <f t="shared" si="66"/>
        <v>0.30591442455849238</v>
      </c>
      <c r="F38" s="4">
        <f t="shared" si="66"/>
        <v>0.49036244180481225</v>
      </c>
      <c r="G38" s="4">
        <f t="shared" si="66"/>
        <v>0.30725224956796376</v>
      </c>
      <c r="H38" s="4">
        <f t="shared" si="66"/>
        <v>0.31148739873987397</v>
      </c>
      <c r="I38" s="4">
        <f t="shared" si="66"/>
        <v>0.29661635149542676</v>
      </c>
      <c r="J38" s="4">
        <f t="shared" si="66"/>
        <v>0.26451388284445992</v>
      </c>
      <c r="K38" s="4">
        <f t="shared" si="66"/>
        <v>0.30515686163272254</v>
      </c>
      <c r="L38" s="4">
        <f t="shared" si="66"/>
        <v>0.31467810226902615</v>
      </c>
      <c r="M38" s="4">
        <f t="shared" si="66"/>
        <v>0.30699169568711493</v>
      </c>
      <c r="N38" s="4">
        <f t="shared" si="66"/>
        <v>0.27104880759039235</v>
      </c>
      <c r="O38" s="4">
        <f t="shared" si="66"/>
        <v>0.26026000509813918</v>
      </c>
      <c r="P38" s="4">
        <f t="shared" si="66"/>
        <v>0.31782372143634385</v>
      </c>
      <c r="Q38" s="4">
        <f t="shared" si="66"/>
        <v>0.31473135383527751</v>
      </c>
      <c r="R38" s="4">
        <f t="shared" si="66"/>
        <v>0.27714457108578283</v>
      </c>
      <c r="S38" s="4">
        <f t="shared" si="66"/>
        <v>0.30917055833367774</v>
      </c>
      <c r="T38" s="4">
        <f t="shared" si="66"/>
        <v>0.31319554848966613</v>
      </c>
      <c r="U38" s="4">
        <f t="shared" si="66"/>
        <v>0.29026976454077652</v>
      </c>
      <c r="V38" s="4">
        <f t="shared" si="66"/>
        <v>0.26567944250871078</v>
      </c>
      <c r="W38" s="4">
        <f t="shared" si="66"/>
        <v>0.26654747715534366</v>
      </c>
      <c r="X38" s="4">
        <f t="shared" si="66"/>
        <v>0.26036443683502503</v>
      </c>
      <c r="Y38" s="4">
        <f t="shared" si="66"/>
        <v>0.26297244779234497</v>
      </c>
      <c r="Z38" s="4">
        <f t="shared" si="66"/>
        <v>0.25861866791744842</v>
      </c>
      <c r="AE38" s="4">
        <f t="shared" ref="AE38:AM38" si="67">AE17/AE15</f>
        <v>0.36768710289627859</v>
      </c>
      <c r="AF38" s="4">
        <f t="shared" si="67"/>
        <v>0.2927039651786188</v>
      </c>
      <c r="AG38" s="4">
        <f t="shared" si="67"/>
        <v>0.29762392462105697</v>
      </c>
      <c r="AH38" s="4">
        <f t="shared" si="67"/>
        <v>0.29268605508705553</v>
      </c>
      <c r="AI38" s="4">
        <f t="shared" si="67"/>
        <v>0.29283524362058394</v>
      </c>
      <c r="AJ38" s="4">
        <f t="shared" si="67"/>
        <v>0.26189665481243046</v>
      </c>
      <c r="AK38" s="4">
        <f t="shared" si="67"/>
        <v>0.25479950726255002</v>
      </c>
      <c r="AL38" s="4">
        <f t="shared" si="67"/>
        <v>0.25479950726255002</v>
      </c>
      <c r="AM38" s="4">
        <f t="shared" si="67"/>
        <v>0.25479950726255002</v>
      </c>
      <c r="AP38" s="1" t="s">
        <v>62</v>
      </c>
      <c r="AQ38" s="6">
        <f>Main!C4</f>
        <v>163.38</v>
      </c>
      <c r="AR38" s="7"/>
      <c r="AS38" s="7"/>
      <c r="AT38" s="7"/>
      <c r="AU38" s="7"/>
      <c r="AV38" s="7"/>
      <c r="AW38" s="7"/>
      <c r="AX38" s="7"/>
      <c r="AY38" s="7"/>
      <c r="AZ38" s="1"/>
      <c r="BA38" s="1"/>
      <c r="BB38" s="1"/>
    </row>
    <row r="39" spans="1:54" ht="15" x14ac:dyDescent="0.25">
      <c r="B39" s="1" t="s">
        <v>55</v>
      </c>
      <c r="C39" s="4">
        <f t="shared" ref="C39:Z39" si="68">C20/C15</f>
        <v>0.12063120261357332</v>
      </c>
      <c r="D39" s="4">
        <f t="shared" si="68"/>
        <v>0.11019598412889263</v>
      </c>
      <c r="E39" s="4">
        <f t="shared" si="68"/>
        <v>9.7783572359843543E-2</v>
      </c>
      <c r="F39" s="4">
        <f t="shared" si="68"/>
        <v>0.30670495583692292</v>
      </c>
      <c r="G39" s="4">
        <f t="shared" si="68"/>
        <v>9.6001430188904113E-2</v>
      </c>
      <c r="H39" s="4">
        <f t="shared" si="68"/>
        <v>9.405940594059406E-2</v>
      </c>
      <c r="I39" s="4">
        <f t="shared" si="68"/>
        <v>7.5697211155378488E-2</v>
      </c>
      <c r="J39" s="4">
        <f t="shared" si="68"/>
        <v>7.4070850378623029E-2</v>
      </c>
      <c r="K39" s="4">
        <f t="shared" si="68"/>
        <v>9.7350655244794915E-2</v>
      </c>
      <c r="L39" s="4">
        <f t="shared" si="68"/>
        <v>0.10232330908696124</v>
      </c>
      <c r="M39" s="4">
        <f t="shared" si="68"/>
        <v>8.4489686579158854E-2</v>
      </c>
      <c r="N39" s="4">
        <f t="shared" si="68"/>
        <v>7.8553722540388074E-2</v>
      </c>
      <c r="O39" s="4">
        <f t="shared" si="68"/>
        <v>5.3275554422635735E-2</v>
      </c>
      <c r="P39" s="4">
        <f t="shared" si="68"/>
        <v>0.12369967355821546</v>
      </c>
      <c r="Q39" s="4">
        <f t="shared" si="68"/>
        <v>0.10940261576528809</v>
      </c>
      <c r="R39" s="4">
        <f t="shared" si="68"/>
        <v>8.4900666925438448E-2</v>
      </c>
      <c r="S39" s="4">
        <f t="shared" si="68"/>
        <v>0.12282514361284456</v>
      </c>
      <c r="T39" s="4">
        <f t="shared" si="68"/>
        <v>0.12046899841017487</v>
      </c>
      <c r="U39" s="4">
        <f t="shared" si="68"/>
        <v>0.1008498362700764</v>
      </c>
      <c r="V39" s="4">
        <f t="shared" si="68"/>
        <v>8.7108013937282236E-2</v>
      </c>
      <c r="W39" s="4">
        <f t="shared" si="68"/>
        <v>7.7353992848629316E-2</v>
      </c>
      <c r="X39" s="4">
        <f t="shared" si="68"/>
        <v>5.4665907423260322E-2</v>
      </c>
      <c r="Y39" s="4">
        <f t="shared" si="68"/>
        <v>6.6267137665079412E-2</v>
      </c>
      <c r="Z39" s="4">
        <f t="shared" si="68"/>
        <v>7.8330206378986897E-2</v>
      </c>
      <c r="AE39" s="4">
        <f t="shared" ref="AE39:AM39" si="69">AE20/AE15</f>
        <v>0.17175509530489314</v>
      </c>
      <c r="AF39" s="4">
        <f t="shared" si="69"/>
        <v>8.405435532671586E-2</v>
      </c>
      <c r="AG39" s="4">
        <f t="shared" si="69"/>
        <v>8.9819746005735349E-2</v>
      </c>
      <c r="AH39" s="4">
        <f t="shared" si="69"/>
        <v>9.3724949498188354E-2</v>
      </c>
      <c r="AI39" s="4">
        <f t="shared" si="69"/>
        <v>0.10650441016933164</v>
      </c>
      <c r="AJ39" s="4">
        <f t="shared" si="69"/>
        <v>6.9571952262814304E-2</v>
      </c>
      <c r="AK39" s="4">
        <f t="shared" si="69"/>
        <v>6.0625528726879874E-2</v>
      </c>
      <c r="AL39" s="4">
        <f t="shared" si="69"/>
        <v>6.0625528726879839E-2</v>
      </c>
      <c r="AM39" s="4">
        <f t="shared" si="69"/>
        <v>6.0625528726879846E-2</v>
      </c>
      <c r="AP39" s="1" t="s">
        <v>63</v>
      </c>
      <c r="AQ39" s="14">
        <f>AQ37/AQ38-1</f>
        <v>7.3632327427020527E-2</v>
      </c>
      <c r="AR39" s="12"/>
      <c r="AS39" s="12"/>
      <c r="AT39" s="12"/>
      <c r="AU39" s="12"/>
      <c r="AV39" s="12"/>
      <c r="AW39" s="12"/>
      <c r="AX39" s="12"/>
      <c r="AY39" s="12"/>
      <c r="AZ39" s="8"/>
      <c r="BA39" s="8"/>
      <c r="BB39" s="8"/>
    </row>
    <row r="40" spans="1:54" x14ac:dyDescent="0.2">
      <c r="B40" s="1" t="s">
        <v>29</v>
      </c>
      <c r="C40" s="4">
        <f t="shared" ref="C40:Z40" si="70">C24/C23</f>
        <v>0.19647771051183269</v>
      </c>
      <c r="D40" s="4">
        <f t="shared" si="70"/>
        <v>0.18128310771041789</v>
      </c>
      <c r="E40" s="4">
        <f t="shared" si="70"/>
        <v>9.7997138769670963E-2</v>
      </c>
      <c r="F40" s="4">
        <f t="shared" si="70"/>
        <v>-1.2149262366213481E-2</v>
      </c>
      <c r="G40" s="4">
        <f t="shared" si="70"/>
        <v>0.14018691588785046</v>
      </c>
      <c r="H40" s="4">
        <f t="shared" si="70"/>
        <v>0.14285714285714285</v>
      </c>
      <c r="I40" s="4">
        <f t="shared" si="70"/>
        <v>7.7662129703763016E-2</v>
      </c>
      <c r="J40" s="4">
        <f t="shared" si="70"/>
        <v>0.13500000000000001</v>
      </c>
      <c r="K40" s="4">
        <f t="shared" si="70"/>
        <v>0.1426791277258567</v>
      </c>
      <c r="L40" s="4">
        <f t="shared" si="70"/>
        <v>0.15691788526434194</v>
      </c>
      <c r="M40" s="4">
        <f t="shared" si="70"/>
        <v>0.13140161725067384</v>
      </c>
      <c r="N40" s="4">
        <f t="shared" si="70"/>
        <v>0.12884160756501181</v>
      </c>
      <c r="O40" s="4">
        <f t="shared" si="70"/>
        <v>4.9668874172185427E-2</v>
      </c>
      <c r="P40" s="4">
        <f t="shared" si="70"/>
        <v>0.18271695349688757</v>
      </c>
      <c r="Q40" s="4">
        <f t="shared" si="70"/>
        <v>0.15443175638934203</v>
      </c>
      <c r="R40" s="4">
        <f t="shared" si="70"/>
        <v>0.15217391304347827</v>
      </c>
      <c r="S40" s="4">
        <f t="shared" si="70"/>
        <v>0.15965076395385094</v>
      </c>
      <c r="T40" s="4">
        <f t="shared" si="70"/>
        <v>0.18847989093387865</v>
      </c>
      <c r="U40" s="4">
        <f t="shared" si="70"/>
        <v>0.170016077170418</v>
      </c>
      <c r="V40" s="4">
        <f t="shared" si="70"/>
        <v>0.18039664378337147</v>
      </c>
      <c r="W40" s="4">
        <f t="shared" si="70"/>
        <v>0.12972972972972974</v>
      </c>
      <c r="X40" s="4">
        <f t="shared" si="70"/>
        <v>0.19</v>
      </c>
      <c r="Y40" s="4">
        <f t="shared" si="70"/>
        <v>0.19</v>
      </c>
      <c r="Z40" s="4">
        <f t="shared" si="70"/>
        <v>0.19</v>
      </c>
      <c r="AE40" s="4">
        <f t="shared" ref="AE40:AM40" si="71">AE24/AE23</f>
        <v>6.0703415623943185E-2</v>
      </c>
      <c r="AF40" s="4">
        <f t="shared" si="71"/>
        <v>0.12626946513202436</v>
      </c>
      <c r="AG40" s="4">
        <f t="shared" si="71"/>
        <v>0.14041774660771458</v>
      </c>
      <c r="AH40" s="4">
        <f t="shared" si="71"/>
        <v>0.1514917695473251</v>
      </c>
      <c r="AI40" s="4">
        <f t="shared" si="71"/>
        <v>0.17429561816727401</v>
      </c>
      <c r="AJ40" s="4">
        <f t="shared" si="71"/>
        <v>0.17471888923456028</v>
      </c>
      <c r="AK40" s="4">
        <f t="shared" si="71"/>
        <v>0.21</v>
      </c>
      <c r="AL40" s="4">
        <f t="shared" si="71"/>
        <v>0.21</v>
      </c>
      <c r="AM40" s="4">
        <f t="shared" si="71"/>
        <v>0.21</v>
      </c>
      <c r="AP40" s="1"/>
      <c r="AQ40" s="6"/>
      <c r="AR40" s="7"/>
      <c r="AS40" s="7"/>
      <c r="AT40" s="7"/>
      <c r="AU40" s="7"/>
      <c r="AV40" s="7"/>
      <c r="AW40" s="7"/>
      <c r="AX40" s="7"/>
      <c r="AY40" s="7"/>
      <c r="AZ40" s="1"/>
      <c r="BA40" s="1"/>
      <c r="BB40" s="1"/>
    </row>
    <row r="41" spans="1:54" x14ac:dyDescent="0.2">
      <c r="AR41" s="7"/>
      <c r="AS41" s="7"/>
      <c r="AT41" s="7"/>
      <c r="AU41" s="7"/>
      <c r="AV41" s="7"/>
      <c r="AW41" s="7"/>
      <c r="AX41" s="7"/>
      <c r="AY41" s="7"/>
      <c r="AZ41" s="1"/>
      <c r="BA41" s="1"/>
      <c r="BB41" s="1"/>
    </row>
    <row r="42" spans="1:54" x14ac:dyDescent="0.2">
      <c r="AR42" s="7"/>
      <c r="AS42" s="7"/>
      <c r="AT42" s="7"/>
      <c r="AU42" s="7"/>
      <c r="AV42" s="7"/>
      <c r="AW42" s="7"/>
      <c r="AX42" s="7"/>
      <c r="AY42" s="7"/>
      <c r="AZ42" s="1"/>
      <c r="BA42" s="1"/>
      <c r="BB42" s="1"/>
    </row>
    <row r="43" spans="1:54" s="9" customFormat="1" ht="15" x14ac:dyDescent="0.25">
      <c r="A43" s="8"/>
      <c r="B43" s="8" t="s">
        <v>59</v>
      </c>
      <c r="C43" s="9">
        <f t="shared" ref="C43:V43" si="72">C44-C60-C62</f>
        <v>-9965</v>
      </c>
      <c r="D43" s="9">
        <f t="shared" si="72"/>
        <v>-9780</v>
      </c>
      <c r="E43" s="9">
        <f t="shared" si="72"/>
        <v>-9731</v>
      </c>
      <c r="F43" s="9">
        <f t="shared" si="72"/>
        <v>-8755</v>
      </c>
      <c r="G43" s="9">
        <f t="shared" si="72"/>
        <v>-10330</v>
      </c>
      <c r="H43" s="9">
        <f t="shared" si="72"/>
        <v>-9972</v>
      </c>
      <c r="I43" s="9">
        <f t="shared" si="72"/>
        <v>-10814</v>
      </c>
      <c r="J43" s="9">
        <f t="shared" si="72"/>
        <v>-9719</v>
      </c>
      <c r="K43" s="9">
        <f t="shared" si="72"/>
        <v>-11240</v>
      </c>
      <c r="L43" s="9">
        <f t="shared" si="72"/>
        <v>-9862</v>
      </c>
      <c r="M43" s="9">
        <f t="shared" si="72"/>
        <v>-10703</v>
      </c>
      <c r="N43" s="9">
        <f t="shared" si="72"/>
        <v>-8922</v>
      </c>
      <c r="O43" s="9">
        <f t="shared" si="72"/>
        <v>-9675</v>
      </c>
      <c r="P43" s="9">
        <f t="shared" si="72"/>
        <v>-7013</v>
      </c>
      <c r="Q43" s="9">
        <f t="shared" si="72"/>
        <v>-6625</v>
      </c>
      <c r="R43" s="9">
        <f t="shared" si="72"/>
        <v>-4169</v>
      </c>
      <c r="S43" s="9">
        <f t="shared" si="72"/>
        <v>-4866</v>
      </c>
      <c r="T43" s="9">
        <f t="shared" si="72"/>
        <v>-5411</v>
      </c>
      <c r="U43" s="9">
        <f t="shared" si="72"/>
        <v>-7009</v>
      </c>
      <c r="V43" s="9">
        <f t="shared" si="72"/>
        <v>-7809</v>
      </c>
      <c r="W43" s="9">
        <f>W44-W60-W62</f>
        <v>-13356</v>
      </c>
    </row>
    <row r="44" spans="1:54" x14ac:dyDescent="0.2">
      <c r="B44" s="35" t="s">
        <v>88</v>
      </c>
      <c r="C44" s="2">
        <v>2680</v>
      </c>
      <c r="D44" s="2">
        <v>2291</v>
      </c>
      <c r="E44" s="2">
        <v>2725</v>
      </c>
      <c r="F44" s="2">
        <v>2643</v>
      </c>
      <c r="G44" s="2">
        <v>1060</v>
      </c>
      <c r="H44" s="2">
        <v>1180</v>
      </c>
      <c r="I44" s="2">
        <v>825</v>
      </c>
      <c r="J44" s="2">
        <v>1556</v>
      </c>
      <c r="K44" s="2">
        <v>1173</v>
      </c>
      <c r="L44" s="2">
        <v>1656</v>
      </c>
      <c r="M44" s="2">
        <v>969</v>
      </c>
      <c r="N44" s="2">
        <v>2577</v>
      </c>
      <c r="O44" s="2">
        <v>4566</v>
      </c>
      <c r="P44" s="2">
        <v>7284</v>
      </c>
      <c r="Q44" s="2">
        <v>5996</v>
      </c>
      <c r="R44" s="2">
        <v>8511</v>
      </c>
      <c r="S44" s="2">
        <v>7816</v>
      </c>
      <c r="T44" s="2">
        <v>7368</v>
      </c>
      <c r="U44" s="2">
        <v>5753</v>
      </c>
      <c r="V44" s="2">
        <v>5911</v>
      </c>
      <c r="W44" s="2">
        <v>1112</v>
      </c>
    </row>
    <row r="45" spans="1:54" x14ac:dyDescent="0.2">
      <c r="B45" s="35" t="s">
        <v>89</v>
      </c>
      <c r="C45" s="2">
        <v>7920</v>
      </c>
      <c r="D45" s="2">
        <v>8192</v>
      </c>
      <c r="E45" s="2">
        <v>10517</v>
      </c>
      <c r="F45" s="2">
        <v>8597</v>
      </c>
      <c r="G45" s="2">
        <v>8652</v>
      </c>
      <c r="H45" s="2">
        <v>9112</v>
      </c>
      <c r="I45" s="2">
        <v>12393</v>
      </c>
      <c r="J45" s="2">
        <v>9497</v>
      </c>
      <c r="K45" s="2">
        <v>9060</v>
      </c>
      <c r="L45" s="2">
        <v>9122</v>
      </c>
      <c r="M45" s="2">
        <v>11396</v>
      </c>
      <c r="N45" s="2">
        <v>8992</v>
      </c>
      <c r="O45" s="2">
        <v>8584</v>
      </c>
      <c r="P45" s="2">
        <v>8876</v>
      </c>
      <c r="Q45" s="2">
        <v>12712</v>
      </c>
      <c r="R45" s="2">
        <v>10653</v>
      </c>
      <c r="S45" s="2">
        <v>10539</v>
      </c>
      <c r="T45" s="2">
        <v>11259</v>
      </c>
      <c r="U45" s="2">
        <v>14958</v>
      </c>
      <c r="V45" s="2">
        <v>13902</v>
      </c>
      <c r="W45" s="2">
        <v>15083</v>
      </c>
    </row>
    <row r="46" spans="1:54" x14ac:dyDescent="0.2">
      <c r="B46" s="35" t="s">
        <v>90</v>
      </c>
      <c r="C46" s="2">
        <v>1116</v>
      </c>
      <c r="D46" s="2">
        <v>1114</v>
      </c>
      <c r="E46" s="2">
        <v>1444</v>
      </c>
      <c r="F46" s="2">
        <v>1300</v>
      </c>
      <c r="G46" s="2">
        <v>1164</v>
      </c>
      <c r="H46" s="2">
        <v>1211</v>
      </c>
      <c r="I46" s="2">
        <v>1421</v>
      </c>
      <c r="J46" s="2">
        <v>1466</v>
      </c>
      <c r="K46" s="2">
        <v>1374</v>
      </c>
      <c r="L46" s="2">
        <v>1341</v>
      </c>
      <c r="M46" s="2">
        <v>1440</v>
      </c>
      <c r="N46" s="2">
        <v>1333</v>
      </c>
      <c r="O46" s="2">
        <v>1465</v>
      </c>
      <c r="P46" s="2">
        <v>1463</v>
      </c>
      <c r="Q46" s="2">
        <v>1601</v>
      </c>
      <c r="R46" s="2">
        <v>1592</v>
      </c>
      <c r="S46" s="2">
        <v>1576</v>
      </c>
      <c r="T46" s="2">
        <v>1604</v>
      </c>
      <c r="U46" s="2">
        <v>1865</v>
      </c>
      <c r="V46" s="2">
        <v>1760</v>
      </c>
      <c r="W46" s="2">
        <v>1758</v>
      </c>
    </row>
    <row r="47" spans="1:54" x14ac:dyDescent="0.2">
      <c r="B47" s="35" t="s">
        <v>91</v>
      </c>
      <c r="C47" s="2">
        <f t="shared" ref="C47:V47" si="73">SUM(C44:C46)</f>
        <v>11716</v>
      </c>
      <c r="D47" s="2">
        <f t="shared" si="73"/>
        <v>11597</v>
      </c>
      <c r="E47" s="2">
        <f t="shared" si="73"/>
        <v>14686</v>
      </c>
      <c r="F47" s="2">
        <f t="shared" si="73"/>
        <v>12540</v>
      </c>
      <c r="G47" s="2">
        <f t="shared" si="73"/>
        <v>10876</v>
      </c>
      <c r="H47" s="2">
        <f t="shared" si="73"/>
        <v>11503</v>
      </c>
      <c r="I47" s="2">
        <f t="shared" si="73"/>
        <v>14639</v>
      </c>
      <c r="J47" s="2">
        <f t="shared" si="73"/>
        <v>12519</v>
      </c>
      <c r="K47" s="2">
        <f t="shared" si="73"/>
        <v>11607</v>
      </c>
      <c r="L47" s="2">
        <f t="shared" si="73"/>
        <v>12119</v>
      </c>
      <c r="M47" s="2">
        <f t="shared" si="73"/>
        <v>13805</v>
      </c>
      <c r="N47" s="2">
        <f t="shared" si="73"/>
        <v>12902</v>
      </c>
      <c r="O47" s="2">
        <f t="shared" si="73"/>
        <v>14615</v>
      </c>
      <c r="P47" s="2">
        <f t="shared" si="73"/>
        <v>17623</v>
      </c>
      <c r="Q47" s="2">
        <f t="shared" si="73"/>
        <v>20309</v>
      </c>
      <c r="R47" s="2">
        <f t="shared" si="73"/>
        <v>20756</v>
      </c>
      <c r="S47" s="2">
        <f t="shared" si="73"/>
        <v>19931</v>
      </c>
      <c r="T47" s="2">
        <f t="shared" si="73"/>
        <v>20231</v>
      </c>
      <c r="U47" s="2">
        <f t="shared" si="73"/>
        <v>22576</v>
      </c>
      <c r="V47" s="2">
        <f t="shared" si="73"/>
        <v>21573</v>
      </c>
      <c r="W47" s="2">
        <f>SUM(W44:W46)</f>
        <v>17953</v>
      </c>
    </row>
    <row r="48" spans="1:54" x14ac:dyDescent="0.2">
      <c r="B48" s="35" t="s">
        <v>92</v>
      </c>
      <c r="C48" s="2">
        <v>6105</v>
      </c>
      <c r="D48" s="2">
        <v>6089</v>
      </c>
      <c r="E48" s="2">
        <v>6087</v>
      </c>
      <c r="F48" s="2">
        <v>6095</v>
      </c>
      <c r="G48" s="2">
        <v>6090</v>
      </c>
      <c r="H48" s="2">
        <v>6074</v>
      </c>
      <c r="I48" s="2">
        <v>6069</v>
      </c>
      <c r="J48" s="2">
        <v>6064</v>
      </c>
      <c r="K48" s="2">
        <v>6061</v>
      </c>
      <c r="L48" s="2">
        <v>6054</v>
      </c>
      <c r="M48" s="2">
        <v>6040</v>
      </c>
      <c r="N48" s="2">
        <v>6036</v>
      </c>
      <c r="O48" s="2">
        <v>6034</v>
      </c>
      <c r="P48" s="2">
        <v>6027</v>
      </c>
      <c r="Q48" s="2">
        <v>6063</v>
      </c>
      <c r="R48" s="2">
        <v>6141</v>
      </c>
      <c r="S48" s="2">
        <v>6146</v>
      </c>
      <c r="T48" s="2">
        <v>6148</v>
      </c>
      <c r="U48" s="2">
        <v>6146</v>
      </c>
      <c r="V48" s="2">
        <v>6164</v>
      </c>
      <c r="W48" s="2">
        <v>6164</v>
      </c>
    </row>
    <row r="49" spans="1:23" x14ac:dyDescent="0.2">
      <c r="B49" s="35" t="s">
        <v>93</v>
      </c>
      <c r="C49" s="2">
        <v>27320</v>
      </c>
      <c r="D49" s="2">
        <v>27616</v>
      </c>
      <c r="E49" s="2">
        <v>27946</v>
      </c>
      <c r="F49" s="2">
        <v>28131</v>
      </c>
      <c r="G49" s="2">
        <v>28363</v>
      </c>
      <c r="H49" s="2">
        <v>28629</v>
      </c>
      <c r="I49" s="2">
        <v>29090</v>
      </c>
      <c r="J49" s="2">
        <v>29240</v>
      </c>
      <c r="K49" s="2">
        <v>29573</v>
      </c>
      <c r="L49" s="2">
        <v>29908</v>
      </c>
      <c r="M49" s="2">
        <v>30467</v>
      </c>
      <c r="N49" s="2">
        <v>30603</v>
      </c>
      <c r="O49" s="2">
        <v>30756</v>
      </c>
      <c r="P49" s="2">
        <v>30946</v>
      </c>
      <c r="Q49" s="2">
        <v>31398</v>
      </c>
      <c r="R49" s="2">
        <v>31557</v>
      </c>
      <c r="S49" s="2">
        <v>31710</v>
      </c>
      <c r="T49" s="2">
        <v>32133</v>
      </c>
      <c r="U49" s="2">
        <v>32478</v>
      </c>
      <c r="V49" s="2">
        <v>32985</v>
      </c>
      <c r="W49" s="2">
        <v>33300</v>
      </c>
    </row>
    <row r="50" spans="1:23" x14ac:dyDescent="0.2">
      <c r="B50" s="35" t="s">
        <v>94</v>
      </c>
      <c r="C50" s="2">
        <v>5177</v>
      </c>
      <c r="D50" s="2">
        <v>5361</v>
      </c>
      <c r="E50" s="2">
        <v>5548</v>
      </c>
      <c r="F50" s="2">
        <v>5623</v>
      </c>
      <c r="G50" s="2">
        <v>5135</v>
      </c>
      <c r="H50" s="2">
        <v>5356</v>
      </c>
      <c r="I50" s="2">
        <v>5784</v>
      </c>
      <c r="J50" s="2">
        <v>5912</v>
      </c>
      <c r="K50" s="2">
        <v>5401</v>
      </c>
      <c r="L50" s="2">
        <v>5622</v>
      </c>
      <c r="M50" s="2">
        <v>6032</v>
      </c>
      <c r="N50" s="2">
        <v>6083</v>
      </c>
      <c r="O50" s="2">
        <v>5486</v>
      </c>
      <c r="P50" s="2">
        <v>5665</v>
      </c>
      <c r="Q50" s="2">
        <v>5843</v>
      </c>
      <c r="R50" s="2">
        <v>5914</v>
      </c>
      <c r="S50" s="2">
        <v>5496</v>
      </c>
      <c r="T50" s="2">
        <v>5892</v>
      </c>
      <c r="U50" s="2">
        <v>6144</v>
      </c>
      <c r="V50" s="2">
        <v>6407</v>
      </c>
      <c r="W50" s="2">
        <v>6459</v>
      </c>
    </row>
    <row r="51" spans="1:23" x14ac:dyDescent="0.2">
      <c r="B51" s="35" t="s">
        <v>95</v>
      </c>
      <c r="C51" s="2">
        <v>2546</v>
      </c>
      <c r="D51" s="2">
        <v>2518</v>
      </c>
      <c r="E51" s="2">
        <v>2658</v>
      </c>
      <c r="F51" s="2">
        <v>2645</v>
      </c>
      <c r="G51" s="2">
        <v>2511</v>
      </c>
      <c r="H51" s="2">
        <v>2575</v>
      </c>
      <c r="I51" s="2">
        <v>2660</v>
      </c>
      <c r="J51" s="2">
        <v>2544</v>
      </c>
      <c r="K51" s="2">
        <v>2553</v>
      </c>
      <c r="L51" s="2">
        <v>2627</v>
      </c>
      <c r="M51" s="2">
        <v>2636</v>
      </c>
      <c r="N51" s="2">
        <v>2692</v>
      </c>
      <c r="O51" s="2">
        <v>2597</v>
      </c>
      <c r="P51" s="2">
        <v>2631</v>
      </c>
      <c r="Q51" s="2">
        <v>2706</v>
      </c>
      <c r="R51" s="2">
        <v>2765</v>
      </c>
      <c r="S51" s="2">
        <v>2256</v>
      </c>
      <c r="T51" s="2">
        <v>2260</v>
      </c>
      <c r="U51" s="2">
        <v>2447</v>
      </c>
      <c r="V51" s="2">
        <v>2505</v>
      </c>
      <c r="W51" s="2">
        <v>2588</v>
      </c>
    </row>
    <row r="52" spans="1:23" x14ac:dyDescent="0.2">
      <c r="B52" s="35" t="s">
        <v>96</v>
      </c>
      <c r="C52" s="2">
        <v>379</v>
      </c>
      <c r="D52" s="2">
        <v>423</v>
      </c>
      <c r="E52" s="2">
        <v>389</v>
      </c>
      <c r="F52" s="2">
        <v>440</v>
      </c>
      <c r="G52" s="2">
        <v>639</v>
      </c>
      <c r="H52" s="2">
        <v>685</v>
      </c>
      <c r="I52" s="2">
        <v>384</v>
      </c>
      <c r="J52" s="2">
        <v>460</v>
      </c>
      <c r="K52" s="2">
        <v>574</v>
      </c>
      <c r="L52" s="2">
        <v>667</v>
      </c>
      <c r="M52" s="2">
        <v>298</v>
      </c>
      <c r="N52" s="2">
        <v>533</v>
      </c>
      <c r="O52" s="2">
        <v>803</v>
      </c>
      <c r="P52" s="2">
        <v>811</v>
      </c>
      <c r="Q52" s="2">
        <v>518</v>
      </c>
      <c r="R52" s="2">
        <v>780</v>
      </c>
      <c r="S52" s="2">
        <v>973</v>
      </c>
      <c r="T52" s="2">
        <v>944</v>
      </c>
      <c r="U52" s="2">
        <v>1302</v>
      </c>
      <c r="V52" s="2">
        <v>1257</v>
      </c>
      <c r="W52" s="2">
        <v>1444</v>
      </c>
    </row>
    <row r="53" spans="1:23" x14ac:dyDescent="0.2">
      <c r="B53" s="35" t="s">
        <v>97</v>
      </c>
      <c r="C53" s="2">
        <v>-17285</v>
      </c>
      <c r="D53" s="2">
        <v>-17603</v>
      </c>
      <c r="E53" s="2">
        <v>-17979</v>
      </c>
      <c r="F53" s="2">
        <v>-18398</v>
      </c>
      <c r="G53" s="2">
        <v>-17971</v>
      </c>
      <c r="H53" s="2">
        <v>-18147</v>
      </c>
      <c r="I53" s="2">
        <v>-18380</v>
      </c>
      <c r="J53" s="2">
        <v>-18687</v>
      </c>
      <c r="K53" s="2">
        <v>-18456</v>
      </c>
      <c r="L53" s="2">
        <v>-18866</v>
      </c>
      <c r="M53" s="2">
        <v>-19089</v>
      </c>
      <c r="N53" s="2">
        <v>-19664</v>
      </c>
      <c r="O53" s="2">
        <v>-19087</v>
      </c>
      <c r="P53" s="2">
        <v>-19341</v>
      </c>
      <c r="Q53" s="2">
        <v>-19755</v>
      </c>
      <c r="R53" s="2">
        <v>-20278</v>
      </c>
      <c r="S53" s="2">
        <v>-19777</v>
      </c>
      <c r="T53" s="2">
        <v>-20133</v>
      </c>
      <c r="U53" s="2">
        <v>-20602</v>
      </c>
      <c r="V53" s="2">
        <v>-21137</v>
      </c>
      <c r="W53" s="2">
        <v>-21285</v>
      </c>
    </row>
    <row r="54" spans="1:23" x14ac:dyDescent="0.2">
      <c r="B54" s="35" t="s">
        <v>98</v>
      </c>
      <c r="C54" s="2">
        <f t="shared" ref="C54:V54" si="74">SUM(C48:C53)</f>
        <v>24242</v>
      </c>
      <c r="D54" s="2">
        <f t="shared" si="74"/>
        <v>24404</v>
      </c>
      <c r="E54" s="2">
        <f t="shared" si="74"/>
        <v>24649</v>
      </c>
      <c r="F54" s="2">
        <f t="shared" si="74"/>
        <v>24536</v>
      </c>
      <c r="G54" s="2">
        <f t="shared" si="74"/>
        <v>24767</v>
      </c>
      <c r="H54" s="2">
        <f t="shared" si="74"/>
        <v>25172</v>
      </c>
      <c r="I54" s="2">
        <f t="shared" si="74"/>
        <v>25607</v>
      </c>
      <c r="J54" s="2">
        <f t="shared" si="74"/>
        <v>25533</v>
      </c>
      <c r="K54" s="2">
        <f t="shared" si="74"/>
        <v>25706</v>
      </c>
      <c r="L54" s="2">
        <f t="shared" si="74"/>
        <v>26012</v>
      </c>
      <c r="M54" s="2">
        <f t="shared" si="74"/>
        <v>26384</v>
      </c>
      <c r="N54" s="2">
        <f t="shared" si="74"/>
        <v>26283</v>
      </c>
      <c r="O54" s="2">
        <f t="shared" si="74"/>
        <v>26589</v>
      </c>
      <c r="P54" s="2">
        <f t="shared" si="74"/>
        <v>26739</v>
      </c>
      <c r="Q54" s="2">
        <f t="shared" si="74"/>
        <v>26773</v>
      </c>
      <c r="R54" s="2">
        <f t="shared" si="74"/>
        <v>26879</v>
      </c>
      <c r="S54" s="2">
        <f t="shared" si="74"/>
        <v>26804</v>
      </c>
      <c r="T54" s="2">
        <f t="shared" si="74"/>
        <v>27244</v>
      </c>
      <c r="U54" s="2">
        <f t="shared" si="74"/>
        <v>27915</v>
      </c>
      <c r="V54" s="2">
        <f t="shared" si="74"/>
        <v>28181</v>
      </c>
      <c r="W54" s="2">
        <f>SUM(W48:W53)</f>
        <v>28670</v>
      </c>
    </row>
    <row r="55" spans="1:23" x14ac:dyDescent="0.2">
      <c r="B55" s="35" t="s">
        <v>99</v>
      </c>
      <c r="C55" s="2">
        <v>1879</v>
      </c>
      <c r="D55" s="2">
        <v>1857</v>
      </c>
      <c r="E55" s="2">
        <v>1861</v>
      </c>
      <c r="F55" s="2">
        <v>1884</v>
      </c>
      <c r="G55" s="2">
        <v>1958</v>
      </c>
      <c r="H55" s="2">
        <v>1976</v>
      </c>
      <c r="I55" s="2">
        <v>1997</v>
      </c>
      <c r="J55" s="2">
        <v>1965</v>
      </c>
      <c r="K55" s="2">
        <v>2019</v>
      </c>
      <c r="L55" s="2">
        <v>2062</v>
      </c>
      <c r="M55" s="2">
        <v>2151</v>
      </c>
      <c r="N55" s="2">
        <v>2236</v>
      </c>
      <c r="O55" s="2">
        <v>2235</v>
      </c>
      <c r="P55" s="2">
        <v>2233</v>
      </c>
      <c r="Q55" s="2">
        <v>2208</v>
      </c>
      <c r="R55" s="2">
        <v>2227</v>
      </c>
      <c r="S55" s="2">
        <v>2362</v>
      </c>
      <c r="T55" s="2">
        <v>2503</v>
      </c>
      <c r="U55" s="2">
        <v>2539</v>
      </c>
      <c r="V55" s="2">
        <v>2556</v>
      </c>
      <c r="W55" s="2">
        <v>2571</v>
      </c>
    </row>
    <row r="56" spans="1:23" x14ac:dyDescent="0.2">
      <c r="B56" s="35" t="s">
        <v>100</v>
      </c>
      <c r="C56" s="2">
        <v>723</v>
      </c>
      <c r="D56" s="2">
        <v>809</v>
      </c>
      <c r="E56" s="2">
        <v>813</v>
      </c>
      <c r="F56" s="2">
        <v>1343</v>
      </c>
      <c r="G56" s="2">
        <v>1328</v>
      </c>
      <c r="H56" s="2">
        <v>1345</v>
      </c>
      <c r="I56" s="2">
        <v>1329</v>
      </c>
      <c r="J56" s="2">
        <v>1273</v>
      </c>
      <c r="K56" s="2">
        <v>1287</v>
      </c>
      <c r="L56" s="2">
        <v>1373</v>
      </c>
      <c r="M56" s="2">
        <v>1401</v>
      </c>
      <c r="N56" s="2">
        <v>1358</v>
      </c>
      <c r="O56" s="2">
        <v>1367</v>
      </c>
      <c r="P56" s="2">
        <v>1405</v>
      </c>
      <c r="Q56" s="2">
        <v>1371</v>
      </c>
      <c r="R56" s="2">
        <v>1386</v>
      </c>
      <c r="S56" s="2">
        <v>1374</v>
      </c>
      <c r="T56" s="2">
        <v>1407</v>
      </c>
      <c r="U56" s="2">
        <v>1381</v>
      </c>
      <c r="V56" s="2">
        <v>1501</v>
      </c>
      <c r="W56" s="2">
        <v>1648</v>
      </c>
    </row>
    <row r="57" spans="1:23" s="9" customFormat="1" ht="15" x14ac:dyDescent="0.25">
      <c r="A57" s="8"/>
      <c r="B57" s="8" t="s">
        <v>101</v>
      </c>
      <c r="C57" s="9">
        <f t="shared" ref="C57:V57" si="75">C47+C54+C55+C56</f>
        <v>38560</v>
      </c>
      <c r="D57" s="9">
        <f t="shared" si="75"/>
        <v>38667</v>
      </c>
      <c r="E57" s="9">
        <f t="shared" si="75"/>
        <v>42009</v>
      </c>
      <c r="F57" s="9">
        <f t="shared" si="75"/>
        <v>40303</v>
      </c>
      <c r="G57" s="9">
        <f t="shared" si="75"/>
        <v>38929</v>
      </c>
      <c r="H57" s="9">
        <f t="shared" si="75"/>
        <v>39996</v>
      </c>
      <c r="I57" s="9">
        <f t="shared" si="75"/>
        <v>43572</v>
      </c>
      <c r="J57" s="9">
        <f t="shared" si="75"/>
        <v>41290</v>
      </c>
      <c r="K57" s="9">
        <f t="shared" si="75"/>
        <v>40619</v>
      </c>
      <c r="L57" s="9">
        <f t="shared" si="75"/>
        <v>41566</v>
      </c>
      <c r="M57" s="9">
        <f t="shared" si="75"/>
        <v>43741</v>
      </c>
      <c r="N57" s="9">
        <f t="shared" si="75"/>
        <v>42779</v>
      </c>
      <c r="O57" s="9">
        <f t="shared" si="75"/>
        <v>44806</v>
      </c>
      <c r="P57" s="9">
        <f t="shared" si="75"/>
        <v>48000</v>
      </c>
      <c r="Q57" s="9">
        <f t="shared" si="75"/>
        <v>50661</v>
      </c>
      <c r="R57" s="9">
        <f t="shared" si="75"/>
        <v>51248</v>
      </c>
      <c r="S57" s="9">
        <f t="shared" si="75"/>
        <v>50471</v>
      </c>
      <c r="T57" s="9">
        <f t="shared" si="75"/>
        <v>51385</v>
      </c>
      <c r="U57" s="9">
        <f t="shared" si="75"/>
        <v>54411</v>
      </c>
      <c r="V57" s="9">
        <f t="shared" si="75"/>
        <v>53811</v>
      </c>
      <c r="W57" s="9">
        <f>W47+W54+W55+W56</f>
        <v>50842</v>
      </c>
    </row>
    <row r="58" spans="1:23" x14ac:dyDescent="0.2">
      <c r="B58" s="35" t="s">
        <v>102</v>
      </c>
      <c r="C58" s="2">
        <v>6537</v>
      </c>
      <c r="D58" s="2">
        <v>7584</v>
      </c>
      <c r="E58" s="2">
        <v>9986</v>
      </c>
      <c r="F58" s="2">
        <v>8677</v>
      </c>
      <c r="G58" s="2">
        <v>8131</v>
      </c>
      <c r="H58" s="2">
        <v>9116</v>
      </c>
      <c r="I58" s="2">
        <v>11959</v>
      </c>
      <c r="J58" s="2">
        <v>9761</v>
      </c>
      <c r="K58" s="2">
        <v>8360</v>
      </c>
      <c r="L58" s="2">
        <v>9152</v>
      </c>
      <c r="M58" s="2">
        <v>11258</v>
      </c>
      <c r="N58" s="2">
        <v>9920</v>
      </c>
      <c r="O58" s="2">
        <v>9625</v>
      </c>
      <c r="P58" s="2">
        <v>10726</v>
      </c>
      <c r="Q58" s="2">
        <v>14203</v>
      </c>
      <c r="R58" s="2">
        <v>12859</v>
      </c>
      <c r="S58" s="2">
        <v>11637</v>
      </c>
      <c r="T58" s="2">
        <v>12632</v>
      </c>
      <c r="U58" s="2">
        <v>16250</v>
      </c>
      <c r="V58" s="2">
        <v>15478</v>
      </c>
      <c r="W58" s="2">
        <v>14053</v>
      </c>
    </row>
    <row r="59" spans="1:23" x14ac:dyDescent="0.2">
      <c r="B59" s="35" t="s">
        <v>103</v>
      </c>
      <c r="C59" s="2">
        <v>3973</v>
      </c>
      <c r="D59" s="2">
        <v>3627</v>
      </c>
      <c r="E59" s="2">
        <v>3875</v>
      </c>
      <c r="F59" s="2">
        <v>4094</v>
      </c>
      <c r="G59" s="2">
        <v>3630</v>
      </c>
      <c r="H59" s="2">
        <v>3878</v>
      </c>
      <c r="I59" s="2">
        <v>4096</v>
      </c>
      <c r="J59" s="2">
        <v>4201</v>
      </c>
      <c r="K59" s="2">
        <v>3823</v>
      </c>
      <c r="L59" s="2">
        <v>4059</v>
      </c>
      <c r="M59" s="2">
        <v>4191</v>
      </c>
      <c r="N59" s="2">
        <v>4406</v>
      </c>
      <c r="O59" s="2">
        <v>4619</v>
      </c>
      <c r="P59" s="2">
        <v>5057</v>
      </c>
      <c r="Q59" s="2">
        <v>5023</v>
      </c>
      <c r="R59" s="2">
        <v>6122</v>
      </c>
      <c r="S59" s="2">
        <v>5788</v>
      </c>
      <c r="T59" s="2">
        <v>5600</v>
      </c>
      <c r="U59" s="2">
        <v>5925</v>
      </c>
      <c r="V59" s="2">
        <v>6098</v>
      </c>
      <c r="W59" s="2">
        <v>5582</v>
      </c>
    </row>
    <row r="60" spans="1:23" x14ac:dyDescent="0.2">
      <c r="B60" s="35" t="s">
        <v>104</v>
      </c>
      <c r="C60" s="2">
        <v>1729</v>
      </c>
      <c r="D60" s="2">
        <v>1365</v>
      </c>
      <c r="E60" s="2">
        <v>1366</v>
      </c>
      <c r="F60" s="2">
        <v>281</v>
      </c>
      <c r="G60" s="2">
        <v>283</v>
      </c>
      <c r="H60" s="2">
        <v>1044</v>
      </c>
      <c r="I60" s="2">
        <v>1535</v>
      </c>
      <c r="J60" s="2">
        <v>1052</v>
      </c>
      <c r="K60" s="2">
        <v>1056</v>
      </c>
      <c r="L60" s="2">
        <v>1153</v>
      </c>
      <c r="M60" s="2">
        <v>1159</v>
      </c>
      <c r="N60" s="2">
        <v>161</v>
      </c>
      <c r="O60" s="2">
        <v>168</v>
      </c>
      <c r="P60" s="2">
        <v>109</v>
      </c>
      <c r="Q60" s="2">
        <v>131</v>
      </c>
      <c r="R60" s="2">
        <v>1144</v>
      </c>
      <c r="S60" s="2">
        <v>1173</v>
      </c>
      <c r="T60" s="2">
        <v>1190</v>
      </c>
      <c r="U60" s="2">
        <v>1176</v>
      </c>
      <c r="V60" s="2">
        <v>171</v>
      </c>
      <c r="W60" s="2">
        <v>1089</v>
      </c>
    </row>
    <row r="61" spans="1:23" x14ac:dyDescent="0.2">
      <c r="B61" s="35" t="s">
        <v>105</v>
      </c>
      <c r="C61" s="2">
        <f t="shared" ref="C61:V61" si="76">SUM(C58:C60)</f>
        <v>12239</v>
      </c>
      <c r="D61" s="2">
        <f t="shared" si="76"/>
        <v>12576</v>
      </c>
      <c r="E61" s="2">
        <f t="shared" si="76"/>
        <v>15227</v>
      </c>
      <c r="F61" s="2">
        <f t="shared" si="76"/>
        <v>13052</v>
      </c>
      <c r="G61" s="2">
        <f t="shared" si="76"/>
        <v>12044</v>
      </c>
      <c r="H61" s="2">
        <f t="shared" si="76"/>
        <v>14038</v>
      </c>
      <c r="I61" s="2">
        <f t="shared" si="76"/>
        <v>17590</v>
      </c>
      <c r="J61" s="2">
        <f t="shared" si="76"/>
        <v>15014</v>
      </c>
      <c r="K61" s="2">
        <f t="shared" si="76"/>
        <v>13239</v>
      </c>
      <c r="L61" s="2">
        <f t="shared" si="76"/>
        <v>14364</v>
      </c>
      <c r="M61" s="2">
        <f t="shared" si="76"/>
        <v>16608</v>
      </c>
      <c r="N61" s="2">
        <f t="shared" si="76"/>
        <v>14487</v>
      </c>
      <c r="O61" s="2">
        <f t="shared" si="76"/>
        <v>14412</v>
      </c>
      <c r="P61" s="2">
        <f t="shared" si="76"/>
        <v>15892</v>
      </c>
      <c r="Q61" s="2">
        <f t="shared" si="76"/>
        <v>19357</v>
      </c>
      <c r="R61" s="2">
        <f t="shared" si="76"/>
        <v>20125</v>
      </c>
      <c r="S61" s="2">
        <f t="shared" si="76"/>
        <v>18598</v>
      </c>
      <c r="T61" s="2">
        <f t="shared" si="76"/>
        <v>19422</v>
      </c>
      <c r="U61" s="2">
        <f t="shared" si="76"/>
        <v>23351</v>
      </c>
      <c r="V61" s="2">
        <f t="shared" si="76"/>
        <v>21747</v>
      </c>
      <c r="W61" s="2">
        <f>SUM(W58:W60)</f>
        <v>20724</v>
      </c>
    </row>
    <row r="62" spans="1:23" x14ac:dyDescent="0.2">
      <c r="B62" s="35" t="s">
        <v>106</v>
      </c>
      <c r="C62" s="2">
        <v>10916</v>
      </c>
      <c r="D62" s="2">
        <v>10706</v>
      </c>
      <c r="E62" s="2">
        <v>11090</v>
      </c>
      <c r="F62" s="2">
        <v>11117</v>
      </c>
      <c r="G62" s="2">
        <v>11107</v>
      </c>
      <c r="H62" s="2">
        <v>10108</v>
      </c>
      <c r="I62" s="2">
        <v>10104</v>
      </c>
      <c r="J62" s="2">
        <v>10223</v>
      </c>
      <c r="K62" s="2">
        <v>11357</v>
      </c>
      <c r="L62" s="2">
        <v>10365</v>
      </c>
      <c r="M62" s="2">
        <v>10513</v>
      </c>
      <c r="N62" s="2">
        <v>11338</v>
      </c>
      <c r="O62" s="2">
        <v>14073</v>
      </c>
      <c r="P62" s="2">
        <v>14188</v>
      </c>
      <c r="Q62" s="2">
        <v>12490</v>
      </c>
      <c r="R62" s="2">
        <v>11536</v>
      </c>
      <c r="S62" s="2">
        <v>11509</v>
      </c>
      <c r="T62" s="2">
        <v>11589</v>
      </c>
      <c r="U62" s="2">
        <v>11586</v>
      </c>
      <c r="V62" s="2">
        <v>13549</v>
      </c>
      <c r="W62" s="2">
        <v>13379</v>
      </c>
    </row>
    <row r="63" spans="1:23" x14ac:dyDescent="0.2">
      <c r="B63" s="35" t="s">
        <v>107</v>
      </c>
      <c r="C63" s="2">
        <v>1923</v>
      </c>
      <c r="D63" s="2">
        <v>1897</v>
      </c>
      <c r="E63" s="2">
        <v>1901</v>
      </c>
      <c r="F63" s="2">
        <v>1924</v>
      </c>
      <c r="G63" s="2">
        <v>2007</v>
      </c>
      <c r="H63" s="2">
        <v>2028</v>
      </c>
      <c r="I63" s="2">
        <v>2046</v>
      </c>
      <c r="J63" s="2">
        <v>2004</v>
      </c>
      <c r="K63" s="2">
        <v>2064</v>
      </c>
      <c r="L63" s="2">
        <v>2111</v>
      </c>
      <c r="M63" s="2">
        <v>2208</v>
      </c>
      <c r="N63" s="2">
        <v>2275</v>
      </c>
      <c r="O63" s="2">
        <v>2249</v>
      </c>
      <c r="P63" s="2">
        <v>2241</v>
      </c>
      <c r="Q63" s="2">
        <v>2196</v>
      </c>
      <c r="R63" s="2">
        <v>2218</v>
      </c>
      <c r="S63" s="2">
        <v>2337</v>
      </c>
      <c r="T63" s="2">
        <v>2462</v>
      </c>
      <c r="U63" s="2">
        <v>2494</v>
      </c>
      <c r="V63" s="2">
        <v>2493</v>
      </c>
      <c r="W63" s="2">
        <v>2581</v>
      </c>
    </row>
    <row r="64" spans="1:23" x14ac:dyDescent="0.2">
      <c r="B64" s="35" t="s">
        <v>108</v>
      </c>
      <c r="C64" s="2">
        <v>843</v>
      </c>
      <c r="D64" s="2">
        <v>757</v>
      </c>
      <c r="E64" s="2">
        <v>915</v>
      </c>
      <c r="F64" s="2">
        <v>693</v>
      </c>
      <c r="G64" s="2">
        <v>744</v>
      </c>
      <c r="H64" s="2">
        <v>828</v>
      </c>
      <c r="I64" s="2">
        <v>970</v>
      </c>
      <c r="J64" s="2">
        <v>972</v>
      </c>
      <c r="K64" s="2">
        <v>1034</v>
      </c>
      <c r="L64" s="2">
        <v>1082</v>
      </c>
      <c r="M64" s="2">
        <v>1215</v>
      </c>
      <c r="N64" s="2">
        <v>1122</v>
      </c>
      <c r="O64" s="2">
        <v>1122</v>
      </c>
      <c r="P64" s="2">
        <v>1121</v>
      </c>
      <c r="Q64" s="2">
        <v>1171</v>
      </c>
      <c r="R64" s="2">
        <v>990</v>
      </c>
      <c r="S64" s="2">
        <v>1169</v>
      </c>
      <c r="T64" s="2">
        <v>1146</v>
      </c>
      <c r="U64" s="2">
        <v>1246</v>
      </c>
      <c r="V64" s="2">
        <v>1566</v>
      </c>
      <c r="W64" s="2">
        <v>1752</v>
      </c>
    </row>
    <row r="65" spans="1:23" x14ac:dyDescent="0.2">
      <c r="B65" s="35" t="s">
        <v>109</v>
      </c>
      <c r="C65" s="2">
        <v>1660</v>
      </c>
      <c r="D65" s="2">
        <v>1676</v>
      </c>
      <c r="E65" s="2">
        <v>1784</v>
      </c>
      <c r="F65" s="2">
        <v>1866</v>
      </c>
      <c r="G65" s="2">
        <v>1869</v>
      </c>
      <c r="H65" s="2">
        <v>1827</v>
      </c>
      <c r="I65" s="2">
        <v>1782</v>
      </c>
      <c r="J65" s="2">
        <v>1780</v>
      </c>
      <c r="K65" s="2">
        <v>1808</v>
      </c>
      <c r="L65" s="2">
        <v>1808</v>
      </c>
      <c r="M65" s="2">
        <v>1652</v>
      </c>
      <c r="N65" s="2">
        <v>1724</v>
      </c>
      <c r="O65" s="2">
        <v>1781</v>
      </c>
      <c r="P65" s="2">
        <v>1980</v>
      </c>
      <c r="Q65" s="2">
        <v>2128</v>
      </c>
      <c r="R65" s="2">
        <v>1939</v>
      </c>
      <c r="S65" s="2">
        <v>1899</v>
      </c>
      <c r="T65" s="2">
        <v>1906</v>
      </c>
      <c r="U65" s="2">
        <v>1931</v>
      </c>
      <c r="V65" s="2">
        <v>1629</v>
      </c>
      <c r="W65" s="2">
        <v>1632</v>
      </c>
    </row>
    <row r="66" spans="1:23" s="9" customFormat="1" ht="15" x14ac:dyDescent="0.25">
      <c r="A66" s="8"/>
      <c r="B66" s="8" t="s">
        <v>110</v>
      </c>
      <c r="C66" s="9">
        <f t="shared" ref="C66:V66" si="77">SUM(C61:C65)</f>
        <v>27581</v>
      </c>
      <c r="D66" s="9">
        <f t="shared" si="77"/>
        <v>27612</v>
      </c>
      <c r="E66" s="9">
        <f t="shared" si="77"/>
        <v>30917</v>
      </c>
      <c r="F66" s="9">
        <f t="shared" si="77"/>
        <v>28652</v>
      </c>
      <c r="G66" s="9">
        <f t="shared" si="77"/>
        <v>27771</v>
      </c>
      <c r="H66" s="9">
        <f t="shared" si="77"/>
        <v>28829</v>
      </c>
      <c r="I66" s="9">
        <f t="shared" si="77"/>
        <v>32492</v>
      </c>
      <c r="J66" s="9">
        <f t="shared" si="77"/>
        <v>29993</v>
      </c>
      <c r="K66" s="9">
        <f t="shared" si="77"/>
        <v>29502</v>
      </c>
      <c r="L66" s="9">
        <f t="shared" si="77"/>
        <v>29730</v>
      </c>
      <c r="M66" s="9">
        <f t="shared" si="77"/>
        <v>32196</v>
      </c>
      <c r="N66" s="9">
        <f t="shared" si="77"/>
        <v>30946</v>
      </c>
      <c r="O66" s="9">
        <f t="shared" si="77"/>
        <v>33637</v>
      </c>
      <c r="P66" s="9">
        <f t="shared" si="77"/>
        <v>35422</v>
      </c>
      <c r="Q66" s="9">
        <f t="shared" si="77"/>
        <v>37342</v>
      </c>
      <c r="R66" s="9">
        <f t="shared" si="77"/>
        <v>36808</v>
      </c>
      <c r="S66" s="9">
        <f t="shared" si="77"/>
        <v>35512</v>
      </c>
      <c r="T66" s="9">
        <f t="shared" si="77"/>
        <v>36525</v>
      </c>
      <c r="U66" s="9">
        <f t="shared" si="77"/>
        <v>40608</v>
      </c>
      <c r="V66" s="9">
        <f t="shared" si="77"/>
        <v>40984</v>
      </c>
      <c r="W66" s="9">
        <f>SUM(W61:W65)</f>
        <v>40068</v>
      </c>
    </row>
    <row r="67" spans="1:23" x14ac:dyDescent="0.2">
      <c r="B67" s="35" t="s">
        <v>111</v>
      </c>
      <c r="C67" s="2">
        <v>10979</v>
      </c>
      <c r="D67" s="2">
        <v>11055</v>
      </c>
      <c r="E67" s="2">
        <v>11092</v>
      </c>
      <c r="F67" s="2">
        <v>11651</v>
      </c>
      <c r="G67" s="2">
        <v>11158</v>
      </c>
      <c r="H67" s="2">
        <v>11167</v>
      </c>
      <c r="I67" s="2">
        <v>11080</v>
      </c>
      <c r="J67" s="2">
        <v>11297</v>
      </c>
      <c r="K67" s="2">
        <v>11117</v>
      </c>
      <c r="L67" s="2">
        <v>11836</v>
      </c>
      <c r="M67" s="2">
        <v>11545</v>
      </c>
      <c r="N67" s="2">
        <v>11833</v>
      </c>
      <c r="O67" s="2">
        <v>11169</v>
      </c>
      <c r="P67" s="2">
        <v>12578</v>
      </c>
      <c r="Q67" s="2">
        <v>13319</v>
      </c>
      <c r="R67" s="2">
        <v>14440</v>
      </c>
      <c r="S67" s="2">
        <v>14959</v>
      </c>
      <c r="T67" s="2">
        <v>14860</v>
      </c>
      <c r="U67" s="2">
        <v>13803</v>
      </c>
      <c r="V67" s="2">
        <v>12827</v>
      </c>
      <c r="W67" s="2">
        <v>10774</v>
      </c>
    </row>
    <row r="68" spans="1:23" s="9" customFormat="1" ht="15" x14ac:dyDescent="0.25">
      <c r="A68" s="8"/>
      <c r="B68" s="8" t="s">
        <v>112</v>
      </c>
      <c r="C68" s="9">
        <f t="shared" ref="C68:V68" si="78">C66+C67</f>
        <v>38560</v>
      </c>
      <c r="D68" s="9">
        <f t="shared" si="78"/>
        <v>38667</v>
      </c>
      <c r="E68" s="9">
        <f t="shared" si="78"/>
        <v>42009</v>
      </c>
      <c r="F68" s="9">
        <f t="shared" si="78"/>
        <v>40303</v>
      </c>
      <c r="G68" s="9">
        <f t="shared" si="78"/>
        <v>38929</v>
      </c>
      <c r="H68" s="9">
        <f t="shared" si="78"/>
        <v>39996</v>
      </c>
      <c r="I68" s="9">
        <f t="shared" si="78"/>
        <v>43572</v>
      </c>
      <c r="J68" s="9">
        <f t="shared" si="78"/>
        <v>41290</v>
      </c>
      <c r="K68" s="9">
        <f t="shared" si="78"/>
        <v>40619</v>
      </c>
      <c r="L68" s="9">
        <f t="shared" si="78"/>
        <v>41566</v>
      </c>
      <c r="M68" s="9">
        <f t="shared" si="78"/>
        <v>43741</v>
      </c>
      <c r="N68" s="9">
        <f t="shared" si="78"/>
        <v>42779</v>
      </c>
      <c r="O68" s="9">
        <f t="shared" si="78"/>
        <v>44806</v>
      </c>
      <c r="P68" s="9">
        <f t="shared" si="78"/>
        <v>48000</v>
      </c>
      <c r="Q68" s="9">
        <f t="shared" si="78"/>
        <v>50661</v>
      </c>
      <c r="R68" s="9">
        <f t="shared" si="78"/>
        <v>51248</v>
      </c>
      <c r="S68" s="9">
        <f t="shared" si="78"/>
        <v>50471</v>
      </c>
      <c r="T68" s="9">
        <f t="shared" si="78"/>
        <v>51385</v>
      </c>
      <c r="U68" s="9">
        <f t="shared" si="78"/>
        <v>54411</v>
      </c>
      <c r="V68" s="9">
        <f t="shared" si="78"/>
        <v>53811</v>
      </c>
      <c r="W68" s="9">
        <f>W66+W67</f>
        <v>50842</v>
      </c>
    </row>
  </sheetData>
  <conditionalFormatting sqref="AQ39">
    <cfRule type="cellIs" dxfId="3" priority="3" operator="lessThan">
      <formula>0</formula>
    </cfRule>
    <cfRule type="cellIs" dxfId="2" priority="4" operator="greaterThan">
      <formula>0</formula>
    </cfRule>
  </conditionalFormatting>
  <conditionalFormatting sqref="G32:Z37">
    <cfRule type="cellIs" dxfId="0" priority="2" operator="greaterThan">
      <formula>0</formula>
    </cfRule>
    <cfRule type="cellIs" dxfId="1" priority="1" operator="less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DC331-B18C-4295-82BA-E138709B9421}">
  <dimension ref="B3:D18"/>
  <sheetViews>
    <sheetView workbookViewId="0">
      <selection activeCell="C14" sqref="C14"/>
    </sheetView>
  </sheetViews>
  <sheetFormatPr defaultRowHeight="14.25" x14ac:dyDescent="0.2"/>
  <cols>
    <col min="1" max="1" width="9.140625" style="1"/>
    <col min="2" max="2" width="16.140625" style="1" bestFit="1" customWidth="1"/>
    <col min="3" max="3" width="9.140625" style="1"/>
    <col min="4" max="4" width="17.85546875" style="1" bestFit="1" customWidth="1"/>
    <col min="5" max="16384" width="9.140625" style="1"/>
  </cols>
  <sheetData>
    <row r="3" spans="2:4" x14ac:dyDescent="0.2">
      <c r="B3" s="1" t="s">
        <v>7</v>
      </c>
      <c r="C3" s="2">
        <f>Main!C8</f>
        <v>14468</v>
      </c>
    </row>
    <row r="4" spans="2:4" x14ac:dyDescent="0.2">
      <c r="B4" s="1" t="s">
        <v>9</v>
      </c>
      <c r="C4" s="2">
        <f>Main!C6</f>
        <v>76429.164000000004</v>
      </c>
    </row>
    <row r="5" spans="2:4" x14ac:dyDescent="0.2">
      <c r="B5" s="1" t="s">
        <v>10</v>
      </c>
      <c r="C5" s="2">
        <f>+C3+C4</f>
        <v>90897.164000000004</v>
      </c>
    </row>
    <row r="6" spans="2:4" x14ac:dyDescent="0.2">
      <c r="B6" s="1" t="s">
        <v>11</v>
      </c>
      <c r="C6" s="3">
        <f>C3/C5</f>
        <v>0.15916888232068493</v>
      </c>
    </row>
    <row r="7" spans="2:4" x14ac:dyDescent="0.2">
      <c r="B7" s="1" t="s">
        <v>12</v>
      </c>
      <c r="C7" s="3">
        <f>C4/C5</f>
        <v>0.84083111767931507</v>
      </c>
    </row>
    <row r="9" spans="2:4" x14ac:dyDescent="0.2">
      <c r="B9" s="1" t="s">
        <v>13</v>
      </c>
      <c r="C9" s="4">
        <f>AVERAGE(DCF!AE40:AI40)</f>
        <v>0.13063560301565624</v>
      </c>
      <c r="D9" s="27" t="s">
        <v>75</v>
      </c>
    </row>
    <row r="10" spans="2:4" x14ac:dyDescent="0.2">
      <c r="B10" s="1" t="s">
        <v>14</v>
      </c>
      <c r="C10" s="2">
        <v>421</v>
      </c>
      <c r="D10" s="27" t="s">
        <v>76</v>
      </c>
    </row>
    <row r="11" spans="2:4" x14ac:dyDescent="0.2">
      <c r="B11" s="1" t="s">
        <v>15</v>
      </c>
      <c r="C11" s="3">
        <f>(C10*(1-C9))/C3</f>
        <v>2.5297374283274037E-2</v>
      </c>
    </row>
    <row r="13" spans="2:4" x14ac:dyDescent="0.2">
      <c r="B13" s="1" t="s">
        <v>16</v>
      </c>
      <c r="C13" s="3">
        <f>'[1]T-Bond Yields'!$C$7</f>
        <v>2.8799999999999999E-2</v>
      </c>
    </row>
    <row r="14" spans="2:4" x14ac:dyDescent="0.2">
      <c r="B14" s="1" t="s">
        <v>17</v>
      </c>
      <c r="C14" s="28">
        <v>1</v>
      </c>
      <c r="D14" s="1" t="s">
        <v>64</v>
      </c>
    </row>
    <row r="15" spans="2:4" x14ac:dyDescent="0.2">
      <c r="B15" s="1" t="s">
        <v>18</v>
      </c>
      <c r="C15" s="4">
        <v>0.06</v>
      </c>
      <c r="D15" s="1" t="s">
        <v>19</v>
      </c>
    </row>
    <row r="16" spans="2:4" x14ac:dyDescent="0.2">
      <c r="B16" s="1" t="s">
        <v>20</v>
      </c>
      <c r="C16" s="3">
        <f>(C13+C14*(C15-C13))</f>
        <v>0.06</v>
      </c>
    </row>
    <row r="18" spans="2:3" x14ac:dyDescent="0.2">
      <c r="B18" s="1" t="s">
        <v>21</v>
      </c>
      <c r="C18" s="3">
        <f>(C7*C16)+(C6*C11)*(1-C9)</f>
        <v>5.3950410437967056E-2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2020-11-17T13:56:14Z</dcterms:created>
  <dcterms:modified xsi:type="dcterms:W3CDTF">2022-07-31T23:10:12Z</dcterms:modified>
</cp:coreProperties>
</file>