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 S\Documents\Models\"/>
    </mc:Choice>
  </mc:AlternateContent>
  <xr:revisionPtr revIDLastSave="0" documentId="13_ncr:1_{11581FF8-0A1C-4171-AB08-811BB262BFFB}" xr6:coauthVersionLast="47" xr6:coauthVersionMax="47" xr10:uidLastSave="{00000000-0000-0000-0000-000000000000}"/>
  <bookViews>
    <workbookView xWindow="15990" yWindow="3435" windowWidth="21540" windowHeight="11400" activeTab="1" xr2:uid="{E111F6CE-28DF-433D-BE5C-B517463893F7}"/>
  </bookViews>
  <sheets>
    <sheet name="Main" sheetId="1" r:id="rId1"/>
    <sheet name="DCF" sheetId="3" r:id="rId2"/>
    <sheet name="WACC" sheetId="2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7" i="3" l="1"/>
  <c r="AU38" i="3"/>
  <c r="AU36" i="3"/>
  <c r="AE95" i="3"/>
  <c r="AE113" i="3" s="1"/>
  <c r="AH111" i="3"/>
  <c r="AG111" i="3"/>
  <c r="AF111" i="3"/>
  <c r="AE111" i="3"/>
  <c r="AI111" i="3"/>
  <c r="W111" i="3"/>
  <c r="S111" i="3"/>
  <c r="C111" i="3"/>
  <c r="D111" i="3"/>
  <c r="AI101" i="3"/>
  <c r="AH101" i="3"/>
  <c r="AG101" i="3"/>
  <c r="AF101" i="3"/>
  <c r="AE101" i="3"/>
  <c r="AI95" i="3"/>
  <c r="AI113" i="3" s="1"/>
  <c r="AJ113" i="3" s="1"/>
  <c r="AK113" i="3" s="1"/>
  <c r="AL113" i="3" s="1"/>
  <c r="AM113" i="3" s="1"/>
  <c r="AN113" i="3" s="1"/>
  <c r="AO113" i="3" s="1"/>
  <c r="AP113" i="3" s="1"/>
  <c r="AQ113" i="3" s="1"/>
  <c r="AR113" i="3" s="1"/>
  <c r="AS113" i="3" s="1"/>
  <c r="AT113" i="3" s="1"/>
  <c r="AU113" i="3" s="1"/>
  <c r="AV113" i="3" s="1"/>
  <c r="AW113" i="3" s="1"/>
  <c r="AX113" i="3" s="1"/>
  <c r="AY113" i="3" s="1"/>
  <c r="AZ113" i="3" s="1"/>
  <c r="BA113" i="3" s="1"/>
  <c r="BB113" i="3" s="1"/>
  <c r="BC113" i="3" s="1"/>
  <c r="BD113" i="3" s="1"/>
  <c r="BE113" i="3" s="1"/>
  <c r="BF113" i="3" s="1"/>
  <c r="BG113" i="3" s="1"/>
  <c r="BH113" i="3" s="1"/>
  <c r="BI113" i="3" s="1"/>
  <c r="BJ113" i="3" s="1"/>
  <c r="BK113" i="3" s="1"/>
  <c r="BL113" i="3" s="1"/>
  <c r="BM113" i="3" s="1"/>
  <c r="BN113" i="3" s="1"/>
  <c r="BO113" i="3" s="1"/>
  <c r="BP113" i="3" s="1"/>
  <c r="BQ113" i="3" s="1"/>
  <c r="BR113" i="3" s="1"/>
  <c r="BS113" i="3" s="1"/>
  <c r="BT113" i="3" s="1"/>
  <c r="BU113" i="3" s="1"/>
  <c r="BV113" i="3" s="1"/>
  <c r="BW113" i="3" s="1"/>
  <c r="BX113" i="3" s="1"/>
  <c r="BY113" i="3" s="1"/>
  <c r="BZ113" i="3" s="1"/>
  <c r="CA113" i="3" s="1"/>
  <c r="CB113" i="3" s="1"/>
  <c r="CC113" i="3" s="1"/>
  <c r="CD113" i="3" s="1"/>
  <c r="CE113" i="3" s="1"/>
  <c r="CF113" i="3" s="1"/>
  <c r="CG113" i="3" s="1"/>
  <c r="CH113" i="3" s="1"/>
  <c r="CI113" i="3" s="1"/>
  <c r="CJ113" i="3" s="1"/>
  <c r="CK113" i="3" s="1"/>
  <c r="CL113" i="3" s="1"/>
  <c r="CM113" i="3" s="1"/>
  <c r="CN113" i="3" s="1"/>
  <c r="CO113" i="3" s="1"/>
  <c r="CP113" i="3" s="1"/>
  <c r="CQ113" i="3" s="1"/>
  <c r="CR113" i="3" s="1"/>
  <c r="CS113" i="3" s="1"/>
  <c r="CT113" i="3" s="1"/>
  <c r="CU113" i="3" s="1"/>
  <c r="CV113" i="3" s="1"/>
  <c r="CW113" i="3" s="1"/>
  <c r="CX113" i="3" s="1"/>
  <c r="CY113" i="3" s="1"/>
  <c r="CZ113" i="3" s="1"/>
  <c r="DA113" i="3" s="1"/>
  <c r="DB113" i="3" s="1"/>
  <c r="DC113" i="3" s="1"/>
  <c r="DD113" i="3" s="1"/>
  <c r="DE113" i="3" s="1"/>
  <c r="DF113" i="3" s="1"/>
  <c r="DG113" i="3" s="1"/>
  <c r="DH113" i="3" s="1"/>
  <c r="DI113" i="3" s="1"/>
  <c r="DJ113" i="3" s="1"/>
  <c r="DK113" i="3" s="1"/>
  <c r="DL113" i="3" s="1"/>
  <c r="DM113" i="3" s="1"/>
  <c r="DN113" i="3" s="1"/>
  <c r="DO113" i="3" s="1"/>
  <c r="DP113" i="3" s="1"/>
  <c r="DQ113" i="3" s="1"/>
  <c r="DR113" i="3" s="1"/>
  <c r="DS113" i="3" s="1"/>
  <c r="DT113" i="3" s="1"/>
  <c r="DU113" i="3" s="1"/>
  <c r="DV113" i="3" s="1"/>
  <c r="DW113" i="3" s="1"/>
  <c r="DX113" i="3" s="1"/>
  <c r="DY113" i="3" s="1"/>
  <c r="DZ113" i="3" s="1"/>
  <c r="EA113" i="3" s="1"/>
  <c r="EB113" i="3" s="1"/>
  <c r="EC113" i="3" s="1"/>
  <c r="ED113" i="3" s="1"/>
  <c r="EE113" i="3" s="1"/>
  <c r="EF113" i="3" s="1"/>
  <c r="EG113" i="3" s="1"/>
  <c r="EH113" i="3" s="1"/>
  <c r="EI113" i="3" s="1"/>
  <c r="EJ113" i="3" s="1"/>
  <c r="EK113" i="3" s="1"/>
  <c r="EL113" i="3" s="1"/>
  <c r="EM113" i="3" s="1"/>
  <c r="EN113" i="3" s="1"/>
  <c r="EO113" i="3" s="1"/>
  <c r="EP113" i="3" s="1"/>
  <c r="EQ113" i="3" s="1"/>
  <c r="ER113" i="3" s="1"/>
  <c r="ES113" i="3" s="1"/>
  <c r="ET113" i="3" s="1"/>
  <c r="EU113" i="3" s="1"/>
  <c r="EV113" i="3" s="1"/>
  <c r="EW113" i="3" s="1"/>
  <c r="EX113" i="3" s="1"/>
  <c r="EY113" i="3" s="1"/>
  <c r="EZ113" i="3" s="1"/>
  <c r="FA113" i="3" s="1"/>
  <c r="FB113" i="3" s="1"/>
  <c r="FC113" i="3" s="1"/>
  <c r="FD113" i="3" s="1"/>
  <c r="FE113" i="3" s="1"/>
  <c r="FF113" i="3" s="1"/>
  <c r="FG113" i="3" s="1"/>
  <c r="FH113" i="3" s="1"/>
  <c r="FI113" i="3" s="1"/>
  <c r="FJ113" i="3" s="1"/>
  <c r="FK113" i="3" s="1"/>
  <c r="FL113" i="3" s="1"/>
  <c r="FM113" i="3" s="1"/>
  <c r="FN113" i="3" s="1"/>
  <c r="FO113" i="3" s="1"/>
  <c r="FP113" i="3" s="1"/>
  <c r="FQ113" i="3" s="1"/>
  <c r="FR113" i="3" s="1"/>
  <c r="FS113" i="3" s="1"/>
  <c r="FT113" i="3" s="1"/>
  <c r="FU113" i="3" s="1"/>
  <c r="FV113" i="3" s="1"/>
  <c r="FW113" i="3" s="1"/>
  <c r="FX113" i="3" s="1"/>
  <c r="FY113" i="3" s="1"/>
  <c r="FZ113" i="3" s="1"/>
  <c r="GA113" i="3" s="1"/>
  <c r="GB113" i="3" s="1"/>
  <c r="GC113" i="3" s="1"/>
  <c r="GD113" i="3" s="1"/>
  <c r="GE113" i="3" s="1"/>
  <c r="GF113" i="3" s="1"/>
  <c r="GG113" i="3" s="1"/>
  <c r="GH113" i="3" s="1"/>
  <c r="GI113" i="3" s="1"/>
  <c r="GJ113" i="3" s="1"/>
  <c r="GK113" i="3" s="1"/>
  <c r="GL113" i="3" s="1"/>
  <c r="GM113" i="3" s="1"/>
  <c r="GN113" i="3" s="1"/>
  <c r="GO113" i="3" s="1"/>
  <c r="GP113" i="3" s="1"/>
  <c r="GQ113" i="3" s="1"/>
  <c r="GR113" i="3" s="1"/>
  <c r="GS113" i="3" s="1"/>
  <c r="GT113" i="3" s="1"/>
  <c r="GU113" i="3" s="1"/>
  <c r="GV113" i="3" s="1"/>
  <c r="GW113" i="3" s="1"/>
  <c r="GX113" i="3" s="1"/>
  <c r="GY113" i="3" s="1"/>
  <c r="GZ113" i="3" s="1"/>
  <c r="HA113" i="3" s="1"/>
  <c r="HB113" i="3" s="1"/>
  <c r="HC113" i="3" s="1"/>
  <c r="HD113" i="3" s="1"/>
  <c r="HE113" i="3" s="1"/>
  <c r="HF113" i="3" s="1"/>
  <c r="HG113" i="3" s="1"/>
  <c r="HH113" i="3" s="1"/>
  <c r="HI113" i="3" s="1"/>
  <c r="HJ113" i="3" s="1"/>
  <c r="HK113" i="3" s="1"/>
  <c r="HL113" i="3" s="1"/>
  <c r="HM113" i="3" s="1"/>
  <c r="HN113" i="3" s="1"/>
  <c r="HO113" i="3" s="1"/>
  <c r="HP113" i="3" s="1"/>
  <c r="HQ113" i="3" s="1"/>
  <c r="HR113" i="3" s="1"/>
  <c r="HS113" i="3" s="1"/>
  <c r="HT113" i="3" s="1"/>
  <c r="HU113" i="3" s="1"/>
  <c r="HV113" i="3" s="1"/>
  <c r="HW113" i="3" s="1"/>
  <c r="HX113" i="3" s="1"/>
  <c r="HY113" i="3" s="1"/>
  <c r="HZ113" i="3" s="1"/>
  <c r="IA113" i="3" s="1"/>
  <c r="IB113" i="3" s="1"/>
  <c r="IC113" i="3" s="1"/>
  <c r="ID113" i="3" s="1"/>
  <c r="IE113" i="3" s="1"/>
  <c r="IF113" i="3" s="1"/>
  <c r="IG113" i="3" s="1"/>
  <c r="IH113" i="3" s="1"/>
  <c r="II113" i="3" s="1"/>
  <c r="IJ113" i="3" s="1"/>
  <c r="IK113" i="3" s="1"/>
  <c r="IL113" i="3" s="1"/>
  <c r="IM113" i="3" s="1"/>
  <c r="IN113" i="3" s="1"/>
  <c r="IO113" i="3" s="1"/>
  <c r="IP113" i="3" s="1"/>
  <c r="IQ113" i="3" s="1"/>
  <c r="IR113" i="3" s="1"/>
  <c r="IS113" i="3" s="1"/>
  <c r="IT113" i="3" s="1"/>
  <c r="IU113" i="3" s="1"/>
  <c r="IV113" i="3" s="1"/>
  <c r="IW113" i="3" s="1"/>
  <c r="IX113" i="3" s="1"/>
  <c r="IY113" i="3" s="1"/>
  <c r="IZ113" i="3" s="1"/>
  <c r="JA113" i="3" s="1"/>
  <c r="JB113" i="3" s="1"/>
  <c r="JC113" i="3" s="1"/>
  <c r="JD113" i="3" s="1"/>
  <c r="JE113" i="3" s="1"/>
  <c r="JF113" i="3" s="1"/>
  <c r="JG113" i="3" s="1"/>
  <c r="JH113" i="3" s="1"/>
  <c r="JI113" i="3" s="1"/>
  <c r="JJ113" i="3" s="1"/>
  <c r="JK113" i="3" s="1"/>
  <c r="JL113" i="3" s="1"/>
  <c r="JM113" i="3" s="1"/>
  <c r="JN113" i="3" s="1"/>
  <c r="JO113" i="3" s="1"/>
  <c r="JP113" i="3" s="1"/>
  <c r="JQ113" i="3" s="1"/>
  <c r="JR113" i="3" s="1"/>
  <c r="JS113" i="3" s="1"/>
  <c r="JT113" i="3" s="1"/>
  <c r="JU113" i="3" s="1"/>
  <c r="JV113" i="3" s="1"/>
  <c r="JW113" i="3" s="1"/>
  <c r="JX113" i="3" s="1"/>
  <c r="JY113" i="3" s="1"/>
  <c r="JZ113" i="3" s="1"/>
  <c r="KA113" i="3" s="1"/>
  <c r="KB113" i="3" s="1"/>
  <c r="KC113" i="3" s="1"/>
  <c r="KD113" i="3" s="1"/>
  <c r="KE113" i="3" s="1"/>
  <c r="KF113" i="3" s="1"/>
  <c r="KG113" i="3" s="1"/>
  <c r="KH113" i="3" s="1"/>
  <c r="KI113" i="3" s="1"/>
  <c r="KJ113" i="3" s="1"/>
  <c r="KK113" i="3" s="1"/>
  <c r="KL113" i="3" s="1"/>
  <c r="KM113" i="3" s="1"/>
  <c r="KN113" i="3" s="1"/>
  <c r="KO113" i="3" s="1"/>
  <c r="KP113" i="3" s="1"/>
  <c r="KQ113" i="3" s="1"/>
  <c r="KR113" i="3" s="1"/>
  <c r="KS113" i="3" s="1"/>
  <c r="KT113" i="3" s="1"/>
  <c r="KU113" i="3" s="1"/>
  <c r="KV113" i="3" s="1"/>
  <c r="KW113" i="3" s="1"/>
  <c r="KX113" i="3" s="1"/>
  <c r="KY113" i="3" s="1"/>
  <c r="KZ113" i="3" s="1"/>
  <c r="LA113" i="3" s="1"/>
  <c r="LB113" i="3" s="1"/>
  <c r="LC113" i="3" s="1"/>
  <c r="LD113" i="3" s="1"/>
  <c r="LE113" i="3" s="1"/>
  <c r="LF113" i="3" s="1"/>
  <c r="LG113" i="3" s="1"/>
  <c r="LH113" i="3" s="1"/>
  <c r="LI113" i="3" s="1"/>
  <c r="LJ113" i="3" s="1"/>
  <c r="LK113" i="3" s="1"/>
  <c r="LL113" i="3" s="1"/>
  <c r="LM113" i="3" s="1"/>
  <c r="LN113" i="3" s="1"/>
  <c r="LO113" i="3" s="1"/>
  <c r="LP113" i="3" s="1"/>
  <c r="LQ113" i="3" s="1"/>
  <c r="LR113" i="3" s="1"/>
  <c r="LS113" i="3" s="1"/>
  <c r="LT113" i="3" s="1"/>
  <c r="LU113" i="3" s="1"/>
  <c r="LV113" i="3" s="1"/>
  <c r="LW113" i="3" s="1"/>
  <c r="LX113" i="3" s="1"/>
  <c r="LY113" i="3" s="1"/>
  <c r="LZ113" i="3" s="1"/>
  <c r="MA113" i="3" s="1"/>
  <c r="MB113" i="3" s="1"/>
  <c r="MC113" i="3" s="1"/>
  <c r="MD113" i="3" s="1"/>
  <c r="ME113" i="3" s="1"/>
  <c r="MF113" i="3" s="1"/>
  <c r="MG113" i="3" s="1"/>
  <c r="MH113" i="3" s="1"/>
  <c r="MI113" i="3" s="1"/>
  <c r="MJ113" i="3" s="1"/>
  <c r="MK113" i="3" s="1"/>
  <c r="ML113" i="3" s="1"/>
  <c r="MM113" i="3" s="1"/>
  <c r="MN113" i="3" s="1"/>
  <c r="MO113" i="3" s="1"/>
  <c r="MP113" i="3" s="1"/>
  <c r="MQ113" i="3" s="1"/>
  <c r="MR113" i="3" s="1"/>
  <c r="MS113" i="3" s="1"/>
  <c r="MT113" i="3" s="1"/>
  <c r="MU113" i="3" s="1"/>
  <c r="MV113" i="3" s="1"/>
  <c r="MW113" i="3" s="1"/>
  <c r="MX113" i="3" s="1"/>
  <c r="MY113" i="3" s="1"/>
  <c r="MZ113" i="3" s="1"/>
  <c r="NA113" i="3" s="1"/>
  <c r="NB113" i="3" s="1"/>
  <c r="NC113" i="3" s="1"/>
  <c r="ND113" i="3" s="1"/>
  <c r="NE113" i="3" s="1"/>
  <c r="NF113" i="3" s="1"/>
  <c r="NG113" i="3" s="1"/>
  <c r="NH113" i="3" s="1"/>
  <c r="NI113" i="3" s="1"/>
  <c r="NJ113" i="3" s="1"/>
  <c r="NK113" i="3" s="1"/>
  <c r="NL113" i="3" s="1"/>
  <c r="NM113" i="3" s="1"/>
  <c r="NN113" i="3" s="1"/>
  <c r="NO113" i="3" s="1"/>
  <c r="NP113" i="3" s="1"/>
  <c r="NQ113" i="3" s="1"/>
  <c r="NR113" i="3" s="1"/>
  <c r="NS113" i="3" s="1"/>
  <c r="NT113" i="3" s="1"/>
  <c r="NU113" i="3" s="1"/>
  <c r="NV113" i="3" s="1"/>
  <c r="NW113" i="3" s="1"/>
  <c r="NX113" i="3" s="1"/>
  <c r="NY113" i="3" s="1"/>
  <c r="NZ113" i="3" s="1"/>
  <c r="OA113" i="3" s="1"/>
  <c r="OB113" i="3" s="1"/>
  <c r="OC113" i="3" s="1"/>
  <c r="OD113" i="3" s="1"/>
  <c r="OE113" i="3" s="1"/>
  <c r="OF113" i="3" s="1"/>
  <c r="OG113" i="3" s="1"/>
  <c r="OH113" i="3" s="1"/>
  <c r="OI113" i="3" s="1"/>
  <c r="OJ113" i="3" s="1"/>
  <c r="OK113" i="3" s="1"/>
  <c r="OL113" i="3" s="1"/>
  <c r="OM113" i="3" s="1"/>
  <c r="ON113" i="3" s="1"/>
  <c r="OO113" i="3" s="1"/>
  <c r="OP113" i="3" s="1"/>
  <c r="OQ113" i="3" s="1"/>
  <c r="OR113" i="3" s="1"/>
  <c r="OS113" i="3" s="1"/>
  <c r="OT113" i="3" s="1"/>
  <c r="OU113" i="3" s="1"/>
  <c r="OV113" i="3" s="1"/>
  <c r="OW113" i="3" s="1"/>
  <c r="OX113" i="3" s="1"/>
  <c r="OY113" i="3" s="1"/>
  <c r="OZ113" i="3" s="1"/>
  <c r="PA113" i="3" s="1"/>
  <c r="PB113" i="3" s="1"/>
  <c r="PC113" i="3" s="1"/>
  <c r="PD113" i="3" s="1"/>
  <c r="PE113" i="3" s="1"/>
  <c r="PF113" i="3" s="1"/>
  <c r="PG113" i="3" s="1"/>
  <c r="PH113" i="3" s="1"/>
  <c r="PI113" i="3" s="1"/>
  <c r="PJ113" i="3" s="1"/>
  <c r="PK113" i="3" s="1"/>
  <c r="PL113" i="3" s="1"/>
  <c r="PM113" i="3" s="1"/>
  <c r="PN113" i="3" s="1"/>
  <c r="PO113" i="3" s="1"/>
  <c r="PP113" i="3" s="1"/>
  <c r="AH95" i="3"/>
  <c r="AH113" i="3" s="1"/>
  <c r="AG95" i="3"/>
  <c r="AG113" i="3" s="1"/>
  <c r="AF95" i="3"/>
  <c r="AF113" i="3" s="1"/>
  <c r="W95" i="3"/>
  <c r="S95" i="3"/>
  <c r="S113" i="3" s="1"/>
  <c r="C95" i="3"/>
  <c r="C113" i="3" s="1"/>
  <c r="AI77" i="3"/>
  <c r="AI75" i="3"/>
  <c r="AI74" i="3"/>
  <c r="AI73" i="3"/>
  <c r="AI72" i="3"/>
  <c r="AI71" i="3"/>
  <c r="AI70" i="3"/>
  <c r="AI69" i="3"/>
  <c r="AI67" i="3"/>
  <c r="AI66" i="3"/>
  <c r="AI65" i="3"/>
  <c r="AI64" i="3"/>
  <c r="AI63" i="3"/>
  <c r="AI62" i="3"/>
  <c r="AI61" i="3"/>
  <c r="AI60" i="3"/>
  <c r="AI59" i="3"/>
  <c r="AI57" i="3"/>
  <c r="AI56" i="3"/>
  <c r="AI55" i="3"/>
  <c r="AI54" i="3"/>
  <c r="AI53" i="3"/>
  <c r="AI52" i="3"/>
  <c r="AI50" i="3"/>
  <c r="AI49" i="3"/>
  <c r="AI48" i="3"/>
  <c r="AI47" i="3"/>
  <c r="AH77" i="3"/>
  <c r="AH75" i="3"/>
  <c r="AH74" i="3"/>
  <c r="AH73" i="3"/>
  <c r="AH72" i="3"/>
  <c r="AH71" i="3"/>
  <c r="AH70" i="3"/>
  <c r="AH69" i="3"/>
  <c r="AH67" i="3"/>
  <c r="AH66" i="3"/>
  <c r="AH65" i="3"/>
  <c r="AH64" i="3"/>
  <c r="AH63" i="3"/>
  <c r="AH62" i="3"/>
  <c r="AH61" i="3"/>
  <c r="AH60" i="3"/>
  <c r="AH59" i="3"/>
  <c r="AH57" i="3"/>
  <c r="AH56" i="3"/>
  <c r="AH55" i="3"/>
  <c r="AH54" i="3"/>
  <c r="AH53" i="3"/>
  <c r="AH52" i="3"/>
  <c r="AH50" i="3"/>
  <c r="AH49" i="3"/>
  <c r="AH48" i="3"/>
  <c r="AH47" i="3"/>
  <c r="AG77" i="3"/>
  <c r="AG75" i="3"/>
  <c r="AG74" i="3"/>
  <c r="AG73" i="3"/>
  <c r="AG72" i="3"/>
  <c r="AG71" i="3"/>
  <c r="AG70" i="3"/>
  <c r="AG69" i="3"/>
  <c r="AG67" i="3"/>
  <c r="AG66" i="3"/>
  <c r="AG65" i="3"/>
  <c r="AG64" i="3"/>
  <c r="AG63" i="3"/>
  <c r="AG62" i="3"/>
  <c r="AG61" i="3"/>
  <c r="AG60" i="3"/>
  <c r="AG59" i="3"/>
  <c r="AG57" i="3"/>
  <c r="AG56" i="3"/>
  <c r="AG55" i="3"/>
  <c r="AG54" i="3"/>
  <c r="AG53" i="3"/>
  <c r="AG52" i="3"/>
  <c r="AG50" i="3"/>
  <c r="AG49" i="3"/>
  <c r="AG48" i="3"/>
  <c r="AG47" i="3"/>
  <c r="AF77" i="3"/>
  <c r="AF75" i="3"/>
  <c r="AF74" i="3"/>
  <c r="AF73" i="3"/>
  <c r="AF72" i="3"/>
  <c r="AF71" i="3"/>
  <c r="AF70" i="3"/>
  <c r="AF69" i="3"/>
  <c r="AF67" i="3"/>
  <c r="AF66" i="3"/>
  <c r="AF65" i="3"/>
  <c r="AF64" i="3"/>
  <c r="AF63" i="3"/>
  <c r="AF62" i="3"/>
  <c r="AF61" i="3"/>
  <c r="AF60" i="3"/>
  <c r="AF59" i="3"/>
  <c r="AF57" i="3"/>
  <c r="AF56" i="3"/>
  <c r="AF55" i="3"/>
  <c r="AF54" i="3"/>
  <c r="AF53" i="3"/>
  <c r="AF52" i="3"/>
  <c r="AF50" i="3"/>
  <c r="AF49" i="3"/>
  <c r="AF48" i="3"/>
  <c r="AF47" i="3"/>
  <c r="AE77" i="3"/>
  <c r="AE75" i="3"/>
  <c r="AE74" i="3"/>
  <c r="AE73" i="3"/>
  <c r="AE72" i="3"/>
  <c r="AE71" i="3"/>
  <c r="AE70" i="3"/>
  <c r="AE69" i="3"/>
  <c r="AE67" i="3"/>
  <c r="AE66" i="3"/>
  <c r="AE65" i="3"/>
  <c r="AE64" i="3"/>
  <c r="AE63" i="3"/>
  <c r="AE62" i="3"/>
  <c r="AE61" i="3"/>
  <c r="AE60" i="3"/>
  <c r="AE59" i="3"/>
  <c r="AE57" i="3"/>
  <c r="AE56" i="3"/>
  <c r="AE55" i="3"/>
  <c r="AE54" i="3"/>
  <c r="AE53" i="3"/>
  <c r="AE52" i="3"/>
  <c r="AE50" i="3"/>
  <c r="AE49" i="3"/>
  <c r="AE48" i="3"/>
  <c r="AE47" i="3"/>
  <c r="C27" i="3"/>
  <c r="D27" i="3"/>
  <c r="E27" i="3"/>
  <c r="F27" i="3"/>
  <c r="G27" i="3"/>
  <c r="H27" i="3"/>
  <c r="I27" i="3"/>
  <c r="J27" i="3"/>
  <c r="K27" i="3"/>
  <c r="L27" i="3"/>
  <c r="M27" i="3"/>
  <c r="N27" i="3"/>
  <c r="R27" i="3"/>
  <c r="Q27" i="3"/>
  <c r="P27" i="3"/>
  <c r="O27" i="3"/>
  <c r="Z27" i="3"/>
  <c r="Y27" i="3"/>
  <c r="X27" i="3"/>
  <c r="V27" i="3"/>
  <c r="U27" i="3"/>
  <c r="T27" i="3"/>
  <c r="S27" i="3"/>
  <c r="W27" i="3"/>
  <c r="S101" i="3"/>
  <c r="V95" i="3"/>
  <c r="U95" i="3"/>
  <c r="U113" i="3" s="1"/>
  <c r="T95" i="3"/>
  <c r="T113" i="3" s="1"/>
  <c r="R95" i="3"/>
  <c r="R113" i="3" s="1"/>
  <c r="Q95" i="3"/>
  <c r="P95" i="3"/>
  <c r="O95" i="3"/>
  <c r="O113" i="3" s="1"/>
  <c r="N95" i="3"/>
  <c r="N113" i="3" s="1"/>
  <c r="M95" i="3"/>
  <c r="L95" i="3"/>
  <c r="K95" i="3"/>
  <c r="J95" i="3"/>
  <c r="J113" i="3" s="1"/>
  <c r="I95" i="3"/>
  <c r="H95" i="3"/>
  <c r="G95" i="3"/>
  <c r="G113" i="3" s="1"/>
  <c r="F95" i="3"/>
  <c r="F113" i="3" s="1"/>
  <c r="E95" i="3"/>
  <c r="D95" i="3"/>
  <c r="D113" i="3" s="1"/>
  <c r="V101" i="3"/>
  <c r="U101" i="3"/>
  <c r="T101" i="3"/>
  <c r="R101" i="3"/>
  <c r="Q101" i="3"/>
  <c r="P101" i="3"/>
  <c r="O101" i="3"/>
  <c r="N101" i="3"/>
  <c r="M101" i="3"/>
  <c r="L101" i="3"/>
  <c r="K101" i="3"/>
  <c r="J101" i="3"/>
  <c r="I101" i="3"/>
  <c r="H101" i="3"/>
  <c r="G101" i="3"/>
  <c r="F101" i="3"/>
  <c r="E101" i="3"/>
  <c r="D101" i="3"/>
  <c r="C101" i="3"/>
  <c r="V111" i="3"/>
  <c r="U111" i="3"/>
  <c r="T111" i="3"/>
  <c r="R111" i="3"/>
  <c r="Q111" i="3"/>
  <c r="P111" i="3"/>
  <c r="O111" i="3"/>
  <c r="N111" i="3"/>
  <c r="M111" i="3"/>
  <c r="L111" i="3"/>
  <c r="K111" i="3"/>
  <c r="J111" i="3"/>
  <c r="I111" i="3"/>
  <c r="H111" i="3"/>
  <c r="G111" i="3"/>
  <c r="F111" i="3"/>
  <c r="E111" i="3"/>
  <c r="K113" i="3"/>
  <c r="AI112" i="3" l="1"/>
  <c r="AE112" i="3"/>
  <c r="AF112" i="3"/>
  <c r="AH112" i="3"/>
  <c r="AG112" i="3"/>
  <c r="AF46" i="3"/>
  <c r="AE27" i="3"/>
  <c r="AF51" i="3"/>
  <c r="AF58" i="3" s="1"/>
  <c r="AE51" i="3"/>
  <c r="AE58" i="3" s="1"/>
  <c r="AI68" i="3"/>
  <c r="AF68" i="3"/>
  <c r="AF76" i="3" s="1"/>
  <c r="AF78" i="3" s="1"/>
  <c r="AH51" i="3"/>
  <c r="AH58" i="3" s="1"/>
  <c r="AH68" i="3"/>
  <c r="AH76" i="3" s="1"/>
  <c r="AH78" i="3" s="1"/>
  <c r="AH46" i="3"/>
  <c r="F112" i="3"/>
  <c r="R112" i="3"/>
  <c r="D112" i="3"/>
  <c r="H112" i="3"/>
  <c r="L112" i="3"/>
  <c r="P112" i="3"/>
  <c r="U112" i="3"/>
  <c r="S112" i="3"/>
  <c r="AG68" i="3"/>
  <c r="AG76" i="3" s="1"/>
  <c r="AG78" i="3" s="1"/>
  <c r="AI51" i="3"/>
  <c r="AI58" i="3" s="1"/>
  <c r="E112" i="3"/>
  <c r="I112" i="3"/>
  <c r="M112" i="3"/>
  <c r="Q112" i="3"/>
  <c r="V112" i="3"/>
  <c r="AH27" i="3"/>
  <c r="AG51" i="3"/>
  <c r="AG58" i="3" s="1"/>
  <c r="J112" i="3"/>
  <c r="N112" i="3"/>
  <c r="AI27" i="3"/>
  <c r="AJ27" i="3"/>
  <c r="AE68" i="3"/>
  <c r="AE76" i="3" s="1"/>
  <c r="AE78" i="3" s="1"/>
  <c r="AI46" i="3"/>
  <c r="AI76" i="3"/>
  <c r="AI78" i="3" s="1"/>
  <c r="AG46" i="3"/>
  <c r="AE46" i="3"/>
  <c r="C112" i="3"/>
  <c r="K112" i="3"/>
  <c r="T112" i="3"/>
  <c r="L113" i="3"/>
  <c r="P113" i="3"/>
  <c r="G112" i="3"/>
  <c r="O112" i="3"/>
  <c r="H113" i="3"/>
  <c r="AG27" i="3"/>
  <c r="AF27" i="3"/>
  <c r="E113" i="3"/>
  <c r="I113" i="3"/>
  <c r="M113" i="3"/>
  <c r="Q113" i="3"/>
  <c r="V113" i="3"/>
  <c r="W101" i="3"/>
  <c r="W68" i="3"/>
  <c r="W76" i="3" s="1"/>
  <c r="W78" i="3" s="1"/>
  <c r="V68" i="3"/>
  <c r="U68" i="3"/>
  <c r="U76" i="3" s="1"/>
  <c r="U78" i="3" s="1"/>
  <c r="T68" i="3"/>
  <c r="T76" i="3" s="1"/>
  <c r="T78" i="3" s="1"/>
  <c r="S68" i="3"/>
  <c r="S76" i="3" s="1"/>
  <c r="S78" i="3" s="1"/>
  <c r="R68" i="3"/>
  <c r="R76" i="3" s="1"/>
  <c r="R78" i="3" s="1"/>
  <c r="Q68" i="3"/>
  <c r="Q76" i="3" s="1"/>
  <c r="Q78" i="3" s="1"/>
  <c r="P68" i="3"/>
  <c r="P76" i="3" s="1"/>
  <c r="P78" i="3" s="1"/>
  <c r="O68" i="3"/>
  <c r="O76" i="3" s="1"/>
  <c r="O78" i="3" s="1"/>
  <c r="N68" i="3"/>
  <c r="N76" i="3" s="1"/>
  <c r="N78" i="3" s="1"/>
  <c r="M68" i="3"/>
  <c r="M76" i="3" s="1"/>
  <c r="M78" i="3" s="1"/>
  <c r="L68" i="3"/>
  <c r="L76" i="3" s="1"/>
  <c r="L78" i="3" s="1"/>
  <c r="K68" i="3"/>
  <c r="J68" i="3"/>
  <c r="J76" i="3" s="1"/>
  <c r="J78" i="3" s="1"/>
  <c r="I68" i="3"/>
  <c r="I76" i="3" s="1"/>
  <c r="I78" i="3" s="1"/>
  <c r="H68" i="3"/>
  <c r="H76" i="3" s="1"/>
  <c r="H78" i="3" s="1"/>
  <c r="G68" i="3"/>
  <c r="G76" i="3" s="1"/>
  <c r="G78" i="3" s="1"/>
  <c r="F68" i="3"/>
  <c r="F76" i="3" s="1"/>
  <c r="F78" i="3" s="1"/>
  <c r="E68" i="3"/>
  <c r="E76" i="3" s="1"/>
  <c r="E78" i="3" s="1"/>
  <c r="D68" i="3"/>
  <c r="D76" i="3" s="1"/>
  <c r="D78" i="3" s="1"/>
  <c r="C68" i="3"/>
  <c r="C76" i="3" s="1"/>
  <c r="C78" i="3" s="1"/>
  <c r="C51" i="3"/>
  <c r="C58" i="3" s="1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D51" i="3"/>
  <c r="E51" i="3"/>
  <c r="E58" i="3" s="1"/>
  <c r="F51" i="3"/>
  <c r="F58" i="3" s="1"/>
  <c r="G51" i="3"/>
  <c r="G58" i="3" s="1"/>
  <c r="H51" i="3"/>
  <c r="H58" i="3" s="1"/>
  <c r="I51" i="3"/>
  <c r="I58" i="3" s="1"/>
  <c r="J51" i="3"/>
  <c r="J58" i="3" s="1"/>
  <c r="K51" i="3"/>
  <c r="K58" i="3" s="1"/>
  <c r="L51" i="3"/>
  <c r="L58" i="3" s="1"/>
  <c r="M51" i="3"/>
  <c r="M58" i="3" s="1"/>
  <c r="N51" i="3"/>
  <c r="N58" i="3" s="1"/>
  <c r="O51" i="3"/>
  <c r="O58" i="3" s="1"/>
  <c r="P51" i="3"/>
  <c r="P58" i="3" s="1"/>
  <c r="Q51" i="3"/>
  <c r="Q58" i="3" s="1"/>
  <c r="R51" i="3"/>
  <c r="R58" i="3" s="1"/>
  <c r="S51" i="3"/>
  <c r="S58" i="3" s="1"/>
  <c r="T51" i="3"/>
  <c r="T58" i="3" s="1"/>
  <c r="U51" i="3"/>
  <c r="U58" i="3" s="1"/>
  <c r="V51" i="3"/>
  <c r="V58" i="3" s="1"/>
  <c r="W51" i="3"/>
  <c r="W58" i="3" s="1"/>
  <c r="D58" i="3"/>
  <c r="K76" i="3"/>
  <c r="K78" i="3" s="1"/>
  <c r="V76" i="3"/>
  <c r="V78" i="3" s="1"/>
  <c r="W113" i="3" l="1"/>
  <c r="W112" i="3"/>
  <c r="C8" i="1"/>
  <c r="C13" i="2"/>
  <c r="AI17" i="3"/>
  <c r="AI16" i="3"/>
  <c r="AH17" i="3"/>
  <c r="AH16" i="3"/>
  <c r="AG17" i="3"/>
  <c r="AG16" i="3"/>
  <c r="AF17" i="3"/>
  <c r="AF16" i="3"/>
  <c r="AE17" i="3"/>
  <c r="AE16" i="3"/>
  <c r="Z17" i="3"/>
  <c r="Y17" i="3"/>
  <c r="X17" i="3"/>
  <c r="Z16" i="3"/>
  <c r="Y16" i="3"/>
  <c r="Z10" i="3"/>
  <c r="Z34" i="3" s="1"/>
  <c r="Y10" i="3"/>
  <c r="Y34" i="3" s="1"/>
  <c r="X16" i="3"/>
  <c r="Y12" i="3"/>
  <c r="Y13" i="3" s="1"/>
  <c r="Z12" i="3"/>
  <c r="Z35" i="3" s="1"/>
  <c r="X12" i="3"/>
  <c r="X13" i="3" s="1"/>
  <c r="X10" i="3"/>
  <c r="X34" i="3" s="1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T15" i="3"/>
  <c r="X15" i="3" s="1"/>
  <c r="U15" i="3"/>
  <c r="Y15" i="3" s="1"/>
  <c r="V15" i="3"/>
  <c r="Z15" i="3" s="1"/>
  <c r="S15" i="3"/>
  <c r="W9" i="3"/>
  <c r="W11" i="3" s="1"/>
  <c r="W41" i="3" s="1"/>
  <c r="Z24" i="3"/>
  <c r="AJ24" i="3" s="1"/>
  <c r="Y24" i="3"/>
  <c r="X24" i="3"/>
  <c r="Z22" i="3"/>
  <c r="Y22" i="3"/>
  <c r="X22" i="3"/>
  <c r="Z19" i="3"/>
  <c r="Y19" i="3"/>
  <c r="X19" i="3"/>
  <c r="Z18" i="3"/>
  <c r="X18" i="3"/>
  <c r="W18" i="3"/>
  <c r="W13" i="3"/>
  <c r="Y39" i="3"/>
  <c r="X39" i="3"/>
  <c r="W39" i="3"/>
  <c r="W35" i="3"/>
  <c r="W34" i="3"/>
  <c r="AI24" i="3"/>
  <c r="AI22" i="3"/>
  <c r="AI21" i="3"/>
  <c r="AI19" i="3"/>
  <c r="AI18" i="3"/>
  <c r="AI12" i="3"/>
  <c r="AI10" i="3"/>
  <c r="AI8" i="3"/>
  <c r="AI7" i="3"/>
  <c r="AE18" i="3"/>
  <c r="AF18" i="3"/>
  <c r="AG18" i="3"/>
  <c r="AH18" i="3"/>
  <c r="AH12" i="3"/>
  <c r="AH13" i="3" s="1"/>
  <c r="AH10" i="3"/>
  <c r="AH7" i="3"/>
  <c r="AH8" i="3"/>
  <c r="AG8" i="3"/>
  <c r="S34" i="3"/>
  <c r="T34" i="3"/>
  <c r="U34" i="3"/>
  <c r="V34" i="3"/>
  <c r="S35" i="3"/>
  <c r="T35" i="3"/>
  <c r="U35" i="3"/>
  <c r="V35" i="3"/>
  <c r="S39" i="3"/>
  <c r="T39" i="3"/>
  <c r="U39" i="3"/>
  <c r="V39" i="3"/>
  <c r="V9" i="3"/>
  <c r="V11" i="3" s="1"/>
  <c r="V13" i="3"/>
  <c r="U13" i="3"/>
  <c r="T13" i="3"/>
  <c r="S13" i="3"/>
  <c r="R13" i="3"/>
  <c r="U9" i="3"/>
  <c r="U11" i="3" s="1"/>
  <c r="U14" i="3" s="1"/>
  <c r="T9" i="3"/>
  <c r="T11" i="3" s="1"/>
  <c r="S9" i="3"/>
  <c r="S11" i="3" s="1"/>
  <c r="S14" i="3" s="1"/>
  <c r="S42" i="3" s="1"/>
  <c r="R9" i="3"/>
  <c r="Q9" i="3"/>
  <c r="Z13" i="3" l="1"/>
  <c r="Z39" i="3"/>
  <c r="U20" i="3"/>
  <c r="U43" i="3" s="1"/>
  <c r="AJ16" i="3"/>
  <c r="AK16" i="3" s="1"/>
  <c r="AL16" i="3" s="1"/>
  <c r="AM16" i="3" s="1"/>
  <c r="AN16" i="3" s="1"/>
  <c r="Y35" i="3"/>
  <c r="AJ17" i="3"/>
  <c r="AK17" i="3" s="1"/>
  <c r="AL17" i="3" s="1"/>
  <c r="AM17" i="3" s="1"/>
  <c r="AN17" i="3" s="1"/>
  <c r="AE15" i="3"/>
  <c r="AJ19" i="3"/>
  <c r="AK19" i="3" s="1"/>
  <c r="AL19" i="3" s="1"/>
  <c r="AM19" i="3" s="1"/>
  <c r="AN19" i="3" s="1"/>
  <c r="AJ18" i="3"/>
  <c r="AK18" i="3" s="1"/>
  <c r="AL18" i="3" s="1"/>
  <c r="AM18" i="3" s="1"/>
  <c r="AN18" i="3" s="1"/>
  <c r="AF15" i="3"/>
  <c r="AJ15" i="3"/>
  <c r="AK15" i="3" s="1"/>
  <c r="AL15" i="3" s="1"/>
  <c r="AM15" i="3" s="1"/>
  <c r="AN15" i="3" s="1"/>
  <c r="AI9" i="3"/>
  <c r="AI11" i="3" s="1"/>
  <c r="X35" i="3"/>
  <c r="S20" i="3"/>
  <c r="Z36" i="3"/>
  <c r="AJ10" i="3"/>
  <c r="AJ22" i="3"/>
  <c r="Z9" i="3"/>
  <c r="X36" i="3"/>
  <c r="AI15" i="3"/>
  <c r="C10" i="2" s="1"/>
  <c r="AJ12" i="3"/>
  <c r="AJ13" i="3" s="1"/>
  <c r="X9" i="3"/>
  <c r="W36" i="3"/>
  <c r="Y9" i="3"/>
  <c r="W33" i="3"/>
  <c r="W14" i="3"/>
  <c r="Y36" i="3"/>
  <c r="AH9" i="3"/>
  <c r="AH11" i="3" s="1"/>
  <c r="AH14" i="3" s="1"/>
  <c r="V36" i="3"/>
  <c r="U42" i="3"/>
  <c r="V14" i="3"/>
  <c r="U41" i="3"/>
  <c r="T14" i="3"/>
  <c r="U33" i="3"/>
  <c r="V41" i="3"/>
  <c r="T41" i="3"/>
  <c r="V33" i="3"/>
  <c r="S41" i="3"/>
  <c r="Q13" i="3"/>
  <c r="U36" i="3" s="1"/>
  <c r="Q11" i="3"/>
  <c r="W20" i="3" l="1"/>
  <c r="W37" i="3"/>
  <c r="AJ9" i="3"/>
  <c r="AJ11" i="3" s="1"/>
  <c r="AJ14" i="3" s="1"/>
  <c r="V42" i="3"/>
  <c r="V20" i="3"/>
  <c r="V23" i="3" s="1"/>
  <c r="V81" i="3" s="1"/>
  <c r="T42" i="3"/>
  <c r="T20" i="3"/>
  <c r="T23" i="3" s="1"/>
  <c r="T81" i="3" s="1"/>
  <c r="U23" i="3"/>
  <c r="X11" i="3"/>
  <c r="X33" i="3"/>
  <c r="Z33" i="3"/>
  <c r="Z11" i="3"/>
  <c r="Y33" i="3"/>
  <c r="Y11" i="3"/>
  <c r="AI33" i="3"/>
  <c r="W42" i="3"/>
  <c r="V43" i="3"/>
  <c r="S23" i="3"/>
  <c r="S81" i="3" s="1"/>
  <c r="S43" i="3"/>
  <c r="AR38" i="3"/>
  <c r="AR36" i="3"/>
  <c r="U25" i="3" l="1"/>
  <c r="U81" i="3"/>
  <c r="T43" i="3"/>
  <c r="AJ20" i="3"/>
  <c r="Y41" i="3"/>
  <c r="Y14" i="3"/>
  <c r="Z41" i="3"/>
  <c r="Z14" i="3"/>
  <c r="X41" i="3"/>
  <c r="X14" i="3"/>
  <c r="W43" i="3"/>
  <c r="W23" i="3"/>
  <c r="W81" i="3" s="1"/>
  <c r="S25" i="3"/>
  <c r="V25" i="3"/>
  <c r="T25" i="3"/>
  <c r="Q39" i="3"/>
  <c r="AH22" i="3"/>
  <c r="G39" i="3"/>
  <c r="R39" i="3"/>
  <c r="P39" i="3"/>
  <c r="O39" i="3"/>
  <c r="N39" i="3"/>
  <c r="M39" i="3"/>
  <c r="L39" i="3"/>
  <c r="K39" i="3"/>
  <c r="J39" i="3"/>
  <c r="I39" i="3"/>
  <c r="H39" i="3"/>
  <c r="P35" i="3"/>
  <c r="O35" i="3"/>
  <c r="N35" i="3"/>
  <c r="M35" i="3"/>
  <c r="L35" i="3"/>
  <c r="K35" i="3"/>
  <c r="J35" i="3"/>
  <c r="I35" i="3"/>
  <c r="H35" i="3"/>
  <c r="G35" i="3"/>
  <c r="G34" i="3"/>
  <c r="P34" i="3"/>
  <c r="O34" i="3"/>
  <c r="N34" i="3"/>
  <c r="M34" i="3"/>
  <c r="L34" i="3"/>
  <c r="K34" i="3"/>
  <c r="J34" i="3"/>
  <c r="I34" i="3"/>
  <c r="H34" i="3"/>
  <c r="C3" i="2"/>
  <c r="AH24" i="3"/>
  <c r="AH19" i="3"/>
  <c r="AG21" i="3"/>
  <c r="AG24" i="3"/>
  <c r="AG22" i="3"/>
  <c r="AG19" i="3"/>
  <c r="AG12" i="3"/>
  <c r="AG13" i="3" s="1"/>
  <c r="AG10" i="3"/>
  <c r="AG7" i="3"/>
  <c r="AG9" i="3" s="1"/>
  <c r="AF24" i="3"/>
  <c r="AF22" i="3"/>
  <c r="AF21" i="3"/>
  <c r="AF19" i="3"/>
  <c r="AF12" i="3"/>
  <c r="AF13" i="3" s="1"/>
  <c r="AF10" i="3"/>
  <c r="AF8" i="3"/>
  <c r="AF7" i="3"/>
  <c r="AE19" i="3"/>
  <c r="AE12" i="3"/>
  <c r="AE13" i="3" s="1"/>
  <c r="AE10" i="3"/>
  <c r="AE24" i="3"/>
  <c r="AE22" i="3"/>
  <c r="AE21" i="3"/>
  <c r="AE8" i="3"/>
  <c r="AE7" i="3"/>
  <c r="M9" i="3"/>
  <c r="M11" i="3" s="1"/>
  <c r="M41" i="3" s="1"/>
  <c r="M13" i="3"/>
  <c r="N9" i="3"/>
  <c r="N13" i="3"/>
  <c r="AH15" i="3"/>
  <c r="O9" i="3"/>
  <c r="S33" i="3" s="1"/>
  <c r="O13" i="3"/>
  <c r="S36" i="3" s="1"/>
  <c r="K9" i="3"/>
  <c r="K11" i="3" s="1"/>
  <c r="K41" i="3" s="1"/>
  <c r="K13" i="3"/>
  <c r="P13" i="3"/>
  <c r="T36" i="3" s="1"/>
  <c r="P9" i="3"/>
  <c r="L13" i="3"/>
  <c r="L9" i="3"/>
  <c r="L11" i="3" s="1"/>
  <c r="L41" i="3" s="1"/>
  <c r="F13" i="3"/>
  <c r="F9" i="3"/>
  <c r="F11" i="3" s="1"/>
  <c r="F41" i="3" s="1"/>
  <c r="J13" i="3"/>
  <c r="J9" i="3"/>
  <c r="J11" i="3" s="1"/>
  <c r="I13" i="3"/>
  <c r="I9" i="3"/>
  <c r="I11" i="3" s="1"/>
  <c r="I41" i="3" s="1"/>
  <c r="E13" i="3"/>
  <c r="E9" i="3"/>
  <c r="E11" i="3" s="1"/>
  <c r="E41" i="3" s="1"/>
  <c r="H9" i="3"/>
  <c r="H13" i="3"/>
  <c r="D9" i="3"/>
  <c r="D11" i="3" s="1"/>
  <c r="D41" i="3" s="1"/>
  <c r="D13" i="3"/>
  <c r="C13" i="3"/>
  <c r="C9" i="3"/>
  <c r="C11" i="3" s="1"/>
  <c r="G13" i="3"/>
  <c r="G9" i="3"/>
  <c r="C16" i="2"/>
  <c r="C4" i="1" a="1"/>
  <c r="C4" i="1" s="1"/>
  <c r="AR41" i="3" l="1"/>
  <c r="AU41" i="3"/>
  <c r="AH20" i="3"/>
  <c r="Y20" i="3"/>
  <c r="Y37" i="3"/>
  <c r="Z20" i="3"/>
  <c r="Z37" i="3"/>
  <c r="X20" i="3"/>
  <c r="X37" i="3"/>
  <c r="X42" i="3"/>
  <c r="Y42" i="3"/>
  <c r="Z42" i="3"/>
  <c r="W38" i="3"/>
  <c r="W25" i="3"/>
  <c r="W40" i="3" s="1"/>
  <c r="G33" i="3"/>
  <c r="H33" i="3"/>
  <c r="AE9" i="3"/>
  <c r="AE11" i="3" s="1"/>
  <c r="AE41" i="3" s="1"/>
  <c r="AG36" i="3"/>
  <c r="G36" i="3"/>
  <c r="P11" i="3"/>
  <c r="P41" i="3" s="1"/>
  <c r="T33" i="3"/>
  <c r="AF35" i="3"/>
  <c r="I33" i="3"/>
  <c r="K36" i="3"/>
  <c r="AF39" i="3"/>
  <c r="AG39" i="3"/>
  <c r="M33" i="3"/>
  <c r="I36" i="3"/>
  <c r="J36" i="3"/>
  <c r="G11" i="3"/>
  <c r="G41" i="3" s="1"/>
  <c r="O36" i="3"/>
  <c r="M36" i="3"/>
  <c r="H36" i="3"/>
  <c r="H11" i="3"/>
  <c r="H41" i="3" s="1"/>
  <c r="F14" i="3"/>
  <c r="F20" i="3" s="1"/>
  <c r="P36" i="3"/>
  <c r="AF36" i="3"/>
  <c r="N36" i="3"/>
  <c r="AG35" i="3"/>
  <c r="C14" i="3"/>
  <c r="C20" i="3" s="1"/>
  <c r="J14" i="3"/>
  <c r="AG15" i="3"/>
  <c r="N11" i="3"/>
  <c r="N41" i="3" s="1"/>
  <c r="AG34" i="3"/>
  <c r="AG11" i="3"/>
  <c r="Q33" i="3"/>
  <c r="O11" i="3"/>
  <c r="O41" i="3" s="1"/>
  <c r="AH33" i="3"/>
  <c r="J41" i="3"/>
  <c r="L36" i="3"/>
  <c r="AF34" i="3"/>
  <c r="C41" i="3"/>
  <c r="K33" i="3"/>
  <c r="O33" i="3"/>
  <c r="J33" i="3"/>
  <c r="N33" i="3"/>
  <c r="E14" i="3"/>
  <c r="E20" i="3" s="1"/>
  <c r="L33" i="3"/>
  <c r="P33" i="3"/>
  <c r="C6" i="1"/>
  <c r="C9" i="1" s="1"/>
  <c r="AI39" i="3"/>
  <c r="AH39" i="3"/>
  <c r="Q14" i="3"/>
  <c r="Q41" i="3"/>
  <c r="R33" i="3"/>
  <c r="Q36" i="3"/>
  <c r="AF9" i="3"/>
  <c r="M14" i="3"/>
  <c r="K14" i="3"/>
  <c r="L14" i="3"/>
  <c r="I14" i="3"/>
  <c r="D14" i="3"/>
  <c r="D20" i="3" s="1"/>
  <c r="C11" i="2"/>
  <c r="G14" i="3" l="1"/>
  <c r="G37" i="3" s="1"/>
  <c r="J20" i="3"/>
  <c r="J43" i="3" s="1"/>
  <c r="J37" i="3"/>
  <c r="I20" i="3"/>
  <c r="I37" i="3"/>
  <c r="Q20" i="3"/>
  <c r="Q37" i="3"/>
  <c r="U37" i="3"/>
  <c r="G20" i="3"/>
  <c r="L20" i="3"/>
  <c r="K20" i="3"/>
  <c r="K37" i="3"/>
  <c r="M20" i="3"/>
  <c r="M37" i="3"/>
  <c r="P14" i="3"/>
  <c r="Y21" i="3"/>
  <c r="Y43" i="3" s="1"/>
  <c r="Z21" i="3"/>
  <c r="Z43" i="3" s="1"/>
  <c r="X21" i="3"/>
  <c r="AE14" i="3"/>
  <c r="F42" i="3"/>
  <c r="F43" i="3"/>
  <c r="E42" i="3"/>
  <c r="E23" i="3"/>
  <c r="J42" i="3"/>
  <c r="N14" i="3"/>
  <c r="C4" i="2"/>
  <c r="C5" i="2" s="1"/>
  <c r="C6" i="2" s="1"/>
  <c r="O14" i="3"/>
  <c r="O42" i="3" s="1"/>
  <c r="C42" i="3"/>
  <c r="H14" i="3"/>
  <c r="AG14" i="3"/>
  <c r="AG41" i="3"/>
  <c r="I42" i="3"/>
  <c r="L42" i="3"/>
  <c r="M42" i="3"/>
  <c r="D43" i="3"/>
  <c r="D42" i="3"/>
  <c r="F23" i="3"/>
  <c r="K42" i="3"/>
  <c r="AF11" i="3"/>
  <c r="AF33" i="3"/>
  <c r="AG33" i="3"/>
  <c r="AK24" i="3"/>
  <c r="AJ39" i="3"/>
  <c r="R36" i="3"/>
  <c r="R35" i="3"/>
  <c r="Q23" i="3"/>
  <c r="Q34" i="3"/>
  <c r="Q35" i="3"/>
  <c r="G42" i="3" l="1"/>
  <c r="E25" i="3"/>
  <c r="E81" i="3"/>
  <c r="U38" i="3"/>
  <c r="Q81" i="3"/>
  <c r="F25" i="3"/>
  <c r="F81" i="3"/>
  <c r="H20" i="3"/>
  <c r="H23" i="3" s="1"/>
  <c r="H81" i="3" s="1"/>
  <c r="H37" i="3"/>
  <c r="AE42" i="3"/>
  <c r="AE20" i="3"/>
  <c r="AE43" i="3" s="1"/>
  <c r="P20" i="3"/>
  <c r="P43" i="3" s="1"/>
  <c r="P37" i="3"/>
  <c r="T37" i="3"/>
  <c r="P42" i="3"/>
  <c r="X23" i="3"/>
  <c r="X38" i="3" s="1"/>
  <c r="AJ21" i="3"/>
  <c r="L37" i="3"/>
  <c r="N20" i="3"/>
  <c r="N43" i="3" s="1"/>
  <c r="N37" i="3"/>
  <c r="AG20" i="3"/>
  <c r="AH37" i="3"/>
  <c r="O20" i="3"/>
  <c r="O43" i="3" s="1"/>
  <c r="O37" i="3"/>
  <c r="S37" i="3"/>
  <c r="Z23" i="3"/>
  <c r="Z25" i="3" s="1"/>
  <c r="Z40" i="3" s="1"/>
  <c r="Y23" i="3"/>
  <c r="Y38" i="3" s="1"/>
  <c r="X25" i="3"/>
  <c r="X40" i="3" s="1"/>
  <c r="X43" i="3"/>
  <c r="C7" i="2"/>
  <c r="J23" i="3"/>
  <c r="E43" i="3"/>
  <c r="N42" i="3"/>
  <c r="H42" i="3"/>
  <c r="AK9" i="3"/>
  <c r="AL9" i="3" s="1"/>
  <c r="AM9" i="3" s="1"/>
  <c r="C43" i="3"/>
  <c r="C23" i="3"/>
  <c r="D23" i="3"/>
  <c r="G23" i="3"/>
  <c r="G81" i="3" s="1"/>
  <c r="G43" i="3"/>
  <c r="K43" i="3"/>
  <c r="K23" i="3"/>
  <c r="K81" i="3" s="1"/>
  <c r="L43" i="3"/>
  <c r="L23" i="3"/>
  <c r="AG42" i="3"/>
  <c r="AF14" i="3"/>
  <c r="AG37" i="3" s="1"/>
  <c r="AF41" i="3"/>
  <c r="M23" i="3"/>
  <c r="M43" i="3"/>
  <c r="I23" i="3"/>
  <c r="I81" i="3" s="1"/>
  <c r="I43" i="3"/>
  <c r="AK39" i="3"/>
  <c r="AL24" i="3"/>
  <c r="Q25" i="3"/>
  <c r="U40" i="3" s="1"/>
  <c r="AH35" i="3"/>
  <c r="AH36" i="3"/>
  <c r="Q42" i="3"/>
  <c r="P23" i="3" l="1"/>
  <c r="P81" i="3" s="1"/>
  <c r="Q38" i="3"/>
  <c r="M81" i="3"/>
  <c r="L25" i="3"/>
  <c r="L81" i="3"/>
  <c r="D25" i="3"/>
  <c r="D81" i="3"/>
  <c r="C25" i="3"/>
  <c r="C81" i="3"/>
  <c r="J25" i="3"/>
  <c r="J40" i="3" s="1"/>
  <c r="J81" i="3"/>
  <c r="H43" i="3"/>
  <c r="O23" i="3"/>
  <c r="O38" i="3" s="1"/>
  <c r="AL39" i="3"/>
  <c r="AM24" i="3"/>
  <c r="AM11" i="3"/>
  <c r="AM41" i="3" s="1"/>
  <c r="AM33" i="3"/>
  <c r="AN9" i="3"/>
  <c r="AF20" i="3"/>
  <c r="AF37" i="3"/>
  <c r="Z38" i="3"/>
  <c r="Y25" i="3"/>
  <c r="Y40" i="3" s="1"/>
  <c r="J38" i="3"/>
  <c r="AE23" i="3"/>
  <c r="AE30" i="3" s="1"/>
  <c r="N23" i="3"/>
  <c r="P25" i="3"/>
  <c r="T40" i="3" s="1"/>
  <c r="T38" i="3"/>
  <c r="K38" i="3"/>
  <c r="AI41" i="3"/>
  <c r="AJ41" i="3"/>
  <c r="AJ33" i="3"/>
  <c r="AG23" i="3"/>
  <c r="AG43" i="3"/>
  <c r="L38" i="3"/>
  <c r="P38" i="3"/>
  <c r="H25" i="3"/>
  <c r="H40" i="3" s="1"/>
  <c r="H38" i="3"/>
  <c r="I25" i="3"/>
  <c r="I40" i="3" s="1"/>
  <c r="I38" i="3"/>
  <c r="M25" i="3"/>
  <c r="M38" i="3"/>
  <c r="AF42" i="3"/>
  <c r="K25" i="3"/>
  <c r="G38" i="3"/>
  <c r="G25" i="3"/>
  <c r="AI35" i="3"/>
  <c r="AI13" i="3"/>
  <c r="AK33" i="3"/>
  <c r="AK11" i="3"/>
  <c r="Q43" i="3"/>
  <c r="AG81" i="3" l="1"/>
  <c r="AG30" i="3"/>
  <c r="AE25" i="3"/>
  <c r="AE28" i="3" s="1"/>
  <c r="AE81" i="3"/>
  <c r="N25" i="3"/>
  <c r="N40" i="3" s="1"/>
  <c r="N81" i="3"/>
  <c r="S38" i="3"/>
  <c r="O81" i="3"/>
  <c r="O25" i="3"/>
  <c r="S40" i="3" s="1"/>
  <c r="G40" i="3"/>
  <c r="AM10" i="3"/>
  <c r="AN11" i="3"/>
  <c r="AN41" i="3" s="1"/>
  <c r="AN33" i="3"/>
  <c r="AM39" i="3"/>
  <c r="AN24" i="3"/>
  <c r="AN39" i="3" s="1"/>
  <c r="M40" i="3"/>
  <c r="N38" i="3"/>
  <c r="P40" i="3"/>
  <c r="AJ34" i="3"/>
  <c r="AF23" i="3"/>
  <c r="AF30" i="3" s="1"/>
  <c r="AF31" i="3" s="1"/>
  <c r="AF43" i="3"/>
  <c r="Q40" i="3"/>
  <c r="AG25" i="3"/>
  <c r="AG28" i="3" s="1"/>
  <c r="K40" i="3"/>
  <c r="L40" i="3"/>
  <c r="AL33" i="3"/>
  <c r="AL11" i="3"/>
  <c r="AL41" i="3" s="1"/>
  <c r="AK10" i="3"/>
  <c r="AK41" i="3"/>
  <c r="AI36" i="3"/>
  <c r="AI14" i="3"/>
  <c r="AK12" i="3"/>
  <c r="AJ35" i="3"/>
  <c r="AG31" i="3" l="1"/>
  <c r="AG38" i="3"/>
  <c r="AF81" i="3"/>
  <c r="O40" i="3"/>
  <c r="AN10" i="3"/>
  <c r="AN34" i="3" s="1"/>
  <c r="AI20" i="3"/>
  <c r="AI37" i="3"/>
  <c r="AJ37" i="3"/>
  <c r="AK34" i="3"/>
  <c r="AF38" i="3"/>
  <c r="AF25" i="3"/>
  <c r="AL10" i="3"/>
  <c r="AJ36" i="3"/>
  <c r="AI42" i="3"/>
  <c r="AL12" i="3"/>
  <c r="AM12" i="3" s="1"/>
  <c r="AK35" i="3"/>
  <c r="AK13" i="3"/>
  <c r="AF40" i="3" l="1"/>
  <c r="AF28" i="3"/>
  <c r="AL34" i="3"/>
  <c r="AM34" i="3"/>
  <c r="AM13" i="3"/>
  <c r="AN12" i="3"/>
  <c r="AM35" i="3"/>
  <c r="AG40" i="3"/>
  <c r="AI43" i="3"/>
  <c r="AK36" i="3"/>
  <c r="AK14" i="3"/>
  <c r="AJ42" i="3"/>
  <c r="AL35" i="3"/>
  <c r="AL13" i="3"/>
  <c r="AN13" i="3" l="1"/>
  <c r="AN35" i="3"/>
  <c r="AM14" i="3"/>
  <c r="AM36" i="3"/>
  <c r="AK20" i="3"/>
  <c r="AK21" i="3" s="1"/>
  <c r="AK37" i="3"/>
  <c r="AK42" i="3"/>
  <c r="AL14" i="3"/>
  <c r="AL36" i="3"/>
  <c r="AI23" i="3"/>
  <c r="AI81" i="3" l="1"/>
  <c r="AI30" i="3"/>
  <c r="AM37" i="3"/>
  <c r="AM42" i="3"/>
  <c r="AM20" i="3"/>
  <c r="AN14" i="3"/>
  <c r="AN36" i="3"/>
  <c r="AK23" i="3"/>
  <c r="AL20" i="3"/>
  <c r="AL21" i="3" s="1"/>
  <c r="AL37" i="3"/>
  <c r="AJ43" i="3"/>
  <c r="AJ23" i="3"/>
  <c r="AJ25" i="3" s="1"/>
  <c r="AJ28" i="3" s="1"/>
  <c r="AL42" i="3"/>
  <c r="AI25" i="3"/>
  <c r="AI28" i="3" s="1"/>
  <c r="AJ30" i="3" l="1"/>
  <c r="AN42" i="3"/>
  <c r="AN37" i="3"/>
  <c r="AN20" i="3"/>
  <c r="AM21" i="3"/>
  <c r="AM43" i="3" s="1"/>
  <c r="AK43" i="3"/>
  <c r="AJ38" i="3"/>
  <c r="AL43" i="3"/>
  <c r="AK25" i="3"/>
  <c r="AK40" i="3" s="1"/>
  <c r="AK38" i="3"/>
  <c r="AJ40" i="3"/>
  <c r="AJ31" i="3" l="1"/>
  <c r="AN21" i="3"/>
  <c r="AN43" i="3" s="1"/>
  <c r="AN23" i="3"/>
  <c r="AM23" i="3"/>
  <c r="AM25" i="3" s="1"/>
  <c r="AL23" i="3"/>
  <c r="AN25" i="3" l="1"/>
  <c r="AN40" i="3" s="1"/>
  <c r="AN38" i="3"/>
  <c r="AL25" i="3"/>
  <c r="AM38" i="3"/>
  <c r="AO23" i="3"/>
  <c r="AL38" i="3"/>
  <c r="AL40" i="3" l="1"/>
  <c r="AM40" i="3"/>
  <c r="AP23" i="3"/>
  <c r="AQ23" i="3" s="1"/>
  <c r="AR23" i="3" s="1"/>
  <c r="AS23" i="3" s="1"/>
  <c r="AT23" i="3" s="1"/>
  <c r="AU23" i="3" s="1"/>
  <c r="AV23" i="3" s="1"/>
  <c r="AW23" i="3" s="1"/>
  <c r="AX23" i="3" s="1"/>
  <c r="AY23" i="3" s="1"/>
  <c r="AZ23" i="3" s="1"/>
  <c r="BA23" i="3" s="1"/>
  <c r="BB23" i="3" s="1"/>
  <c r="BC23" i="3" s="1"/>
  <c r="BD23" i="3" s="1"/>
  <c r="BE23" i="3" s="1"/>
  <c r="BF23" i="3" s="1"/>
  <c r="BG23" i="3" s="1"/>
  <c r="BH23" i="3" s="1"/>
  <c r="BI23" i="3" s="1"/>
  <c r="BJ23" i="3" s="1"/>
  <c r="BK23" i="3" s="1"/>
  <c r="BL23" i="3" s="1"/>
  <c r="BM23" i="3" s="1"/>
  <c r="BN23" i="3" s="1"/>
  <c r="BO23" i="3" s="1"/>
  <c r="BP23" i="3" s="1"/>
  <c r="BQ23" i="3" s="1"/>
  <c r="BR23" i="3" s="1"/>
  <c r="BS23" i="3" s="1"/>
  <c r="BT23" i="3" s="1"/>
  <c r="BU23" i="3" s="1"/>
  <c r="BV23" i="3" s="1"/>
  <c r="BW23" i="3" s="1"/>
  <c r="BX23" i="3" s="1"/>
  <c r="BY23" i="3" s="1"/>
  <c r="BZ23" i="3" s="1"/>
  <c r="CA23" i="3" s="1"/>
  <c r="CB23" i="3" s="1"/>
  <c r="CC23" i="3" s="1"/>
  <c r="CD23" i="3" s="1"/>
  <c r="CE23" i="3" s="1"/>
  <c r="CF23" i="3" s="1"/>
  <c r="CG23" i="3" s="1"/>
  <c r="CH23" i="3" s="1"/>
  <c r="CI23" i="3" s="1"/>
  <c r="CJ23" i="3" s="1"/>
  <c r="CK23" i="3" s="1"/>
  <c r="CL23" i="3" s="1"/>
  <c r="CM23" i="3" s="1"/>
  <c r="CN23" i="3" s="1"/>
  <c r="CO23" i="3" s="1"/>
  <c r="CP23" i="3" s="1"/>
  <c r="CQ23" i="3" s="1"/>
  <c r="CR23" i="3" s="1"/>
  <c r="CS23" i="3" s="1"/>
  <c r="CT23" i="3" s="1"/>
  <c r="CU23" i="3" s="1"/>
  <c r="CV23" i="3" s="1"/>
  <c r="CW23" i="3" s="1"/>
  <c r="CX23" i="3" s="1"/>
  <c r="CY23" i="3" s="1"/>
  <c r="CZ23" i="3" s="1"/>
  <c r="DA23" i="3" s="1"/>
  <c r="DB23" i="3" s="1"/>
  <c r="DC23" i="3" s="1"/>
  <c r="DD23" i="3" s="1"/>
  <c r="DE23" i="3" s="1"/>
  <c r="DF23" i="3" s="1"/>
  <c r="DG23" i="3" s="1"/>
  <c r="DH23" i="3" s="1"/>
  <c r="DI23" i="3" s="1"/>
  <c r="DJ23" i="3" s="1"/>
  <c r="DK23" i="3" s="1"/>
  <c r="DL23" i="3" s="1"/>
  <c r="DM23" i="3" s="1"/>
  <c r="DN23" i="3" s="1"/>
  <c r="DO23" i="3" s="1"/>
  <c r="DP23" i="3" s="1"/>
  <c r="DQ23" i="3" s="1"/>
  <c r="DR23" i="3" s="1"/>
  <c r="DS23" i="3" s="1"/>
  <c r="DT23" i="3" s="1"/>
  <c r="DU23" i="3" s="1"/>
  <c r="DV23" i="3" s="1"/>
  <c r="DW23" i="3" s="1"/>
  <c r="DX23" i="3" s="1"/>
  <c r="DY23" i="3" s="1"/>
  <c r="DZ23" i="3" s="1"/>
  <c r="EA23" i="3" s="1"/>
  <c r="EB23" i="3" s="1"/>
  <c r="EC23" i="3" s="1"/>
  <c r="ED23" i="3" s="1"/>
  <c r="EE23" i="3" s="1"/>
  <c r="EF23" i="3" s="1"/>
  <c r="EG23" i="3" s="1"/>
  <c r="EH23" i="3" s="1"/>
  <c r="EI23" i="3" s="1"/>
  <c r="EJ23" i="3" s="1"/>
  <c r="EK23" i="3" s="1"/>
  <c r="EL23" i="3" s="1"/>
  <c r="EM23" i="3" s="1"/>
  <c r="EN23" i="3" s="1"/>
  <c r="EO23" i="3" s="1"/>
  <c r="EP23" i="3" s="1"/>
  <c r="EQ23" i="3" s="1"/>
  <c r="ER23" i="3" s="1"/>
  <c r="ES23" i="3" s="1"/>
  <c r="ET23" i="3" s="1"/>
  <c r="EU23" i="3" s="1"/>
  <c r="EV23" i="3" s="1"/>
  <c r="EW23" i="3" s="1"/>
  <c r="EX23" i="3" s="1"/>
  <c r="EY23" i="3" s="1"/>
  <c r="EZ23" i="3" s="1"/>
  <c r="FA23" i="3" s="1"/>
  <c r="FB23" i="3" s="1"/>
  <c r="FC23" i="3" s="1"/>
  <c r="FD23" i="3" s="1"/>
  <c r="FE23" i="3" s="1"/>
  <c r="FF23" i="3" s="1"/>
  <c r="FG23" i="3" s="1"/>
  <c r="FH23" i="3" s="1"/>
  <c r="FI23" i="3" s="1"/>
  <c r="FJ23" i="3" s="1"/>
  <c r="FK23" i="3" s="1"/>
  <c r="FL23" i="3" s="1"/>
  <c r="FM23" i="3" s="1"/>
  <c r="FN23" i="3" s="1"/>
  <c r="FO23" i="3" s="1"/>
  <c r="FP23" i="3" s="1"/>
  <c r="FQ23" i="3" s="1"/>
  <c r="FR23" i="3" s="1"/>
  <c r="FS23" i="3" s="1"/>
  <c r="FT23" i="3" s="1"/>
  <c r="FU23" i="3" s="1"/>
  <c r="FV23" i="3" s="1"/>
  <c r="FW23" i="3" s="1"/>
  <c r="FX23" i="3" s="1"/>
  <c r="FY23" i="3" s="1"/>
  <c r="FZ23" i="3" s="1"/>
  <c r="GA23" i="3" s="1"/>
  <c r="GB23" i="3" s="1"/>
  <c r="GC23" i="3" s="1"/>
  <c r="GD23" i="3" s="1"/>
  <c r="GE23" i="3" s="1"/>
  <c r="GF23" i="3" s="1"/>
  <c r="GG23" i="3" s="1"/>
  <c r="GH23" i="3" s="1"/>
  <c r="GI23" i="3" s="1"/>
  <c r="GJ23" i="3" s="1"/>
  <c r="GK23" i="3" s="1"/>
  <c r="GL23" i="3" s="1"/>
  <c r="GM23" i="3" s="1"/>
  <c r="GN23" i="3" s="1"/>
  <c r="GO23" i="3" s="1"/>
  <c r="GP23" i="3" s="1"/>
  <c r="GQ23" i="3" s="1"/>
  <c r="GR23" i="3" s="1"/>
  <c r="GS23" i="3" s="1"/>
  <c r="GT23" i="3" s="1"/>
  <c r="GU23" i="3" s="1"/>
  <c r="GV23" i="3" s="1"/>
  <c r="GW23" i="3" s="1"/>
  <c r="GX23" i="3" s="1"/>
  <c r="GY23" i="3" s="1"/>
  <c r="GZ23" i="3" s="1"/>
  <c r="HA23" i="3" s="1"/>
  <c r="HB23" i="3" s="1"/>
  <c r="HC23" i="3" s="1"/>
  <c r="HD23" i="3" s="1"/>
  <c r="HE23" i="3" s="1"/>
  <c r="HF23" i="3" s="1"/>
  <c r="HG23" i="3" s="1"/>
  <c r="HH23" i="3" s="1"/>
  <c r="HI23" i="3" s="1"/>
  <c r="HJ23" i="3" s="1"/>
  <c r="HK23" i="3" s="1"/>
  <c r="HL23" i="3" s="1"/>
  <c r="HM23" i="3" s="1"/>
  <c r="HN23" i="3" s="1"/>
  <c r="HO23" i="3" s="1"/>
  <c r="HP23" i="3" s="1"/>
  <c r="HQ23" i="3" s="1"/>
  <c r="HR23" i="3" s="1"/>
  <c r="HS23" i="3" s="1"/>
  <c r="HT23" i="3" s="1"/>
  <c r="HU23" i="3" s="1"/>
  <c r="HV23" i="3" s="1"/>
  <c r="HW23" i="3" s="1"/>
  <c r="HX23" i="3" s="1"/>
  <c r="HY23" i="3" s="1"/>
  <c r="HZ23" i="3" s="1"/>
  <c r="IA23" i="3" s="1"/>
  <c r="IB23" i="3" s="1"/>
  <c r="IC23" i="3" s="1"/>
  <c r="ID23" i="3" s="1"/>
  <c r="IE23" i="3" s="1"/>
  <c r="IF23" i="3" s="1"/>
  <c r="IG23" i="3" s="1"/>
  <c r="IH23" i="3" s="1"/>
  <c r="II23" i="3" s="1"/>
  <c r="IJ23" i="3" s="1"/>
  <c r="IK23" i="3" s="1"/>
  <c r="IL23" i="3" s="1"/>
  <c r="IM23" i="3" s="1"/>
  <c r="IN23" i="3" s="1"/>
  <c r="IO23" i="3" s="1"/>
  <c r="IP23" i="3" s="1"/>
  <c r="IQ23" i="3" s="1"/>
  <c r="IR23" i="3" s="1"/>
  <c r="IS23" i="3" s="1"/>
  <c r="IT23" i="3" s="1"/>
  <c r="IU23" i="3" s="1"/>
  <c r="IV23" i="3" s="1"/>
  <c r="IW23" i="3" s="1"/>
  <c r="IX23" i="3" s="1"/>
  <c r="IY23" i="3" s="1"/>
  <c r="IZ23" i="3" s="1"/>
  <c r="JA23" i="3" s="1"/>
  <c r="JB23" i="3" s="1"/>
  <c r="JC23" i="3" s="1"/>
  <c r="JD23" i="3" s="1"/>
  <c r="JE23" i="3" s="1"/>
  <c r="JF23" i="3" s="1"/>
  <c r="JG23" i="3" s="1"/>
  <c r="JH23" i="3" s="1"/>
  <c r="JI23" i="3" s="1"/>
  <c r="JJ23" i="3" s="1"/>
  <c r="JK23" i="3" s="1"/>
  <c r="JL23" i="3" s="1"/>
  <c r="JM23" i="3" s="1"/>
  <c r="JN23" i="3" s="1"/>
  <c r="JO23" i="3" s="1"/>
  <c r="JP23" i="3" s="1"/>
  <c r="JQ23" i="3" s="1"/>
  <c r="JR23" i="3" s="1"/>
  <c r="JS23" i="3" s="1"/>
  <c r="JT23" i="3" s="1"/>
  <c r="JU23" i="3" s="1"/>
  <c r="JV23" i="3" s="1"/>
  <c r="JW23" i="3" s="1"/>
  <c r="JX23" i="3" s="1"/>
  <c r="JY23" i="3" s="1"/>
  <c r="JZ23" i="3" s="1"/>
  <c r="KA23" i="3" s="1"/>
  <c r="KB23" i="3" s="1"/>
  <c r="KC23" i="3" s="1"/>
  <c r="KD23" i="3" s="1"/>
  <c r="KE23" i="3" s="1"/>
  <c r="KF23" i="3" s="1"/>
  <c r="KG23" i="3" s="1"/>
  <c r="KH23" i="3" s="1"/>
  <c r="KI23" i="3" s="1"/>
  <c r="KJ23" i="3" s="1"/>
  <c r="KK23" i="3" s="1"/>
  <c r="KL23" i="3" s="1"/>
  <c r="KM23" i="3" s="1"/>
  <c r="KN23" i="3" s="1"/>
  <c r="KO23" i="3" s="1"/>
  <c r="KP23" i="3" s="1"/>
  <c r="KQ23" i="3" s="1"/>
  <c r="KR23" i="3" s="1"/>
  <c r="KS23" i="3" s="1"/>
  <c r="KT23" i="3" s="1"/>
  <c r="KU23" i="3" s="1"/>
  <c r="KV23" i="3" s="1"/>
  <c r="KW23" i="3" s="1"/>
  <c r="KX23" i="3" s="1"/>
  <c r="KY23" i="3" s="1"/>
  <c r="KZ23" i="3" s="1"/>
  <c r="LA23" i="3" s="1"/>
  <c r="LB23" i="3" s="1"/>
  <c r="LC23" i="3" s="1"/>
  <c r="LD23" i="3" s="1"/>
  <c r="LE23" i="3" s="1"/>
  <c r="LF23" i="3" s="1"/>
  <c r="LG23" i="3" s="1"/>
  <c r="LH23" i="3" s="1"/>
  <c r="LI23" i="3" s="1"/>
  <c r="LJ23" i="3" s="1"/>
  <c r="LK23" i="3" s="1"/>
  <c r="LL23" i="3" s="1"/>
  <c r="LM23" i="3" s="1"/>
  <c r="LN23" i="3" s="1"/>
  <c r="LO23" i="3" s="1"/>
  <c r="LP23" i="3" s="1"/>
  <c r="LQ23" i="3" s="1"/>
  <c r="LR23" i="3" s="1"/>
  <c r="LS23" i="3" s="1"/>
  <c r="LT23" i="3" s="1"/>
  <c r="LU23" i="3" s="1"/>
  <c r="LV23" i="3" s="1"/>
  <c r="LW23" i="3" s="1"/>
  <c r="LX23" i="3" s="1"/>
  <c r="LY23" i="3" s="1"/>
  <c r="LZ23" i="3" s="1"/>
  <c r="MA23" i="3" s="1"/>
  <c r="MB23" i="3" s="1"/>
  <c r="MC23" i="3" s="1"/>
  <c r="MD23" i="3" s="1"/>
  <c r="ME23" i="3" s="1"/>
  <c r="MF23" i="3" s="1"/>
  <c r="MG23" i="3" s="1"/>
  <c r="MH23" i="3" s="1"/>
  <c r="MI23" i="3" s="1"/>
  <c r="MJ23" i="3" s="1"/>
  <c r="MK23" i="3" s="1"/>
  <c r="ML23" i="3" s="1"/>
  <c r="MM23" i="3" s="1"/>
  <c r="MN23" i="3" s="1"/>
  <c r="MO23" i="3" s="1"/>
  <c r="MP23" i="3" s="1"/>
  <c r="MQ23" i="3" s="1"/>
  <c r="MR23" i="3" s="1"/>
  <c r="MS23" i="3" s="1"/>
  <c r="MT23" i="3" s="1"/>
  <c r="MU23" i="3" s="1"/>
  <c r="MV23" i="3" s="1"/>
  <c r="MW23" i="3" s="1"/>
  <c r="MX23" i="3" s="1"/>
  <c r="MY23" i="3" s="1"/>
  <c r="MZ23" i="3" s="1"/>
  <c r="NA23" i="3" s="1"/>
  <c r="NB23" i="3" s="1"/>
  <c r="NC23" i="3" s="1"/>
  <c r="ND23" i="3" s="1"/>
  <c r="NE23" i="3" s="1"/>
  <c r="NF23" i="3" s="1"/>
  <c r="NG23" i="3" s="1"/>
  <c r="NH23" i="3" s="1"/>
  <c r="NI23" i="3" s="1"/>
  <c r="NJ23" i="3" s="1"/>
  <c r="NK23" i="3" s="1"/>
  <c r="NL23" i="3" s="1"/>
  <c r="NM23" i="3" s="1"/>
  <c r="NN23" i="3" s="1"/>
  <c r="NO23" i="3" s="1"/>
  <c r="NP23" i="3" s="1"/>
  <c r="NQ23" i="3" s="1"/>
  <c r="NR23" i="3" s="1"/>
  <c r="NS23" i="3" s="1"/>
  <c r="NT23" i="3" s="1"/>
  <c r="NU23" i="3" s="1"/>
  <c r="NV23" i="3" s="1"/>
  <c r="NW23" i="3" s="1"/>
  <c r="NX23" i="3" s="1"/>
  <c r="NY23" i="3" s="1"/>
  <c r="NZ23" i="3" s="1"/>
  <c r="OA23" i="3" s="1"/>
  <c r="OB23" i="3" s="1"/>
  <c r="OC23" i="3" s="1"/>
  <c r="OD23" i="3" s="1"/>
  <c r="OE23" i="3" s="1"/>
  <c r="OF23" i="3" s="1"/>
  <c r="OG23" i="3" s="1"/>
  <c r="OH23" i="3" s="1"/>
  <c r="OI23" i="3" s="1"/>
  <c r="OJ23" i="3" s="1"/>
  <c r="OK23" i="3" s="1"/>
  <c r="OL23" i="3" s="1"/>
  <c r="OM23" i="3" s="1"/>
  <c r="ON23" i="3" s="1"/>
  <c r="OO23" i="3" s="1"/>
  <c r="OP23" i="3" s="1"/>
  <c r="OQ23" i="3" s="1"/>
  <c r="OR23" i="3" s="1"/>
  <c r="OS23" i="3" s="1"/>
  <c r="OT23" i="3" s="1"/>
  <c r="OU23" i="3" s="1"/>
  <c r="OV23" i="3" s="1"/>
  <c r="OW23" i="3" s="1"/>
  <c r="OX23" i="3" s="1"/>
  <c r="OY23" i="3" s="1"/>
  <c r="OZ23" i="3" s="1"/>
  <c r="PA23" i="3" s="1"/>
  <c r="PB23" i="3" s="1"/>
  <c r="PC23" i="3" s="1"/>
  <c r="PD23" i="3" s="1"/>
  <c r="PE23" i="3" s="1"/>
  <c r="PF23" i="3" s="1"/>
  <c r="PG23" i="3" s="1"/>
  <c r="PH23" i="3" s="1"/>
  <c r="PI23" i="3" s="1"/>
  <c r="PJ23" i="3" s="1"/>
  <c r="PK23" i="3" s="1"/>
  <c r="PL23" i="3" s="1"/>
  <c r="PM23" i="3" s="1"/>
  <c r="PN23" i="3" s="1"/>
  <c r="PO23" i="3" s="1"/>
  <c r="PP23" i="3" s="1"/>
  <c r="R11" i="3"/>
  <c r="R14" i="3" s="1"/>
  <c r="R34" i="3"/>
  <c r="R20" i="3" l="1"/>
  <c r="R37" i="3"/>
  <c r="V37" i="3"/>
  <c r="AH41" i="3"/>
  <c r="R42" i="3"/>
  <c r="AI34" i="3"/>
  <c r="R41" i="3"/>
  <c r="AH34" i="3"/>
  <c r="AH42" i="3" l="1"/>
  <c r="R23" i="3"/>
  <c r="R81" i="3" s="1"/>
  <c r="R25" i="3" l="1"/>
  <c r="V40" i="3" s="1"/>
  <c r="V38" i="3"/>
  <c r="R43" i="3"/>
  <c r="AH21" i="3"/>
  <c r="AH43" i="3" s="1"/>
  <c r="C9" i="2" s="1"/>
  <c r="C18" i="2" s="1"/>
  <c r="AR35" i="3" l="1"/>
  <c r="AR37" i="3" s="1"/>
  <c r="AU35" i="3"/>
  <c r="AU37" i="3" s="1"/>
  <c r="AU39" i="3" s="1"/>
  <c r="AU40" i="3" s="1"/>
  <c r="AU42" i="3" s="1"/>
  <c r="AH23" i="3"/>
  <c r="AH30" i="3" s="1"/>
  <c r="R40" i="3"/>
  <c r="R38" i="3"/>
  <c r="AH31" i="3" l="1"/>
  <c r="AI31" i="3"/>
  <c r="AI38" i="3"/>
  <c r="AH81" i="3"/>
  <c r="AR39" i="3"/>
  <c r="AR40" i="3" s="1"/>
  <c r="G3" i="1" s="1"/>
  <c r="AH25" i="3"/>
  <c r="AH38" i="3"/>
  <c r="AI40" i="3" l="1"/>
  <c r="AH28" i="3"/>
  <c r="AH40" i="3"/>
  <c r="AR4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tc={41D9732D-B80B-48B7-894A-88138810391A}</author>
    <author>tc={24E8482C-0DC6-4EB8-8844-A447E4DFFDCE}</author>
    <author>tc={C8DF45A8-7DCB-4C7D-8E2F-0E1964E9D88F}</author>
  </authors>
  <commentList>
    <comment ref="X2" authorId="0" shapeId="0" xr:uid="{41D9732D-B80B-48B7-894A-88138810391A}">
      <text>
        <t>[Threaded comment]
Your version of Excel allows you to read this threaded comment; however, any edits to it will get removed if the file is opened in a newer version of Excel. Learn more: https://go.microsoft.com/fwlink/?linkid=870924
Comment:
    2022.07.25 - CUT GUIDANCE: https://www.sec.gov/Archives/edgar/data/104169/000010416922000058/exhibit991-pressrelease.htm</t>
      </text>
    </comment>
    <comment ref="AJ2" authorId="1" shapeId="0" xr:uid="{24E8482C-0DC6-4EB8-8844-A447E4DFFDCE}">
      <text>
        <t>[Threaded comment]
Your version of Excel allows you to read this threaded comment; however, any edits to it will get removed if the file is opened in a newer version of Excel. Learn more: https://go.microsoft.com/fwlink/?linkid=870924
Comment:
    2022.07.25 - CUT GUIDANCE: https://www.sec.gov/Archives/edgar/data/104169/000010416922000058/exhibit991-pressrelease.htm</t>
      </text>
    </comment>
    <comment ref="B30" authorId="2" shapeId="0" xr:uid="{C8DF45A8-7DCB-4C7D-8E2F-0E1964E9D88F}">
      <text>
        <t>[Threaded comment]
Your version of Excel allows you to read this threaded comment; however, any edits to it will get removed if the file is opened in a newer version of Excel. Learn more: https://go.microsoft.com/fwlink/?linkid=870924
Comment:
    = NI + Taxes + Debt Interest Expense + D&amp;A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<sst xmlns="http://schemas.openxmlformats.org/spreadsheetml/2006/main" count="179" uniqueCount="154">
  <si>
    <t>Company</t>
  </si>
  <si>
    <t>Source</t>
  </si>
  <si>
    <t>Price</t>
  </si>
  <si>
    <t>Shares</t>
  </si>
  <si>
    <t>Market Cap</t>
  </si>
  <si>
    <t>Cash</t>
  </si>
  <si>
    <t>Debt</t>
  </si>
  <si>
    <t>EV</t>
  </si>
  <si>
    <t>Equity</t>
  </si>
  <si>
    <t>D+E</t>
  </si>
  <si>
    <t>Wdebt</t>
  </si>
  <si>
    <t>Wequity</t>
  </si>
  <si>
    <t>Tax rate</t>
  </si>
  <si>
    <t>Interest expense</t>
  </si>
  <si>
    <t>Cost of debt</t>
  </si>
  <si>
    <t>Risk-free rate</t>
  </si>
  <si>
    <t>Beta</t>
  </si>
  <si>
    <t>Market return</t>
  </si>
  <si>
    <t>Cost of equity</t>
  </si>
  <si>
    <t>WACC</t>
  </si>
  <si>
    <t>Membership &amp; other</t>
  </si>
  <si>
    <t>Total Revenue</t>
  </si>
  <si>
    <t>Cost of Sales</t>
  </si>
  <si>
    <t xml:space="preserve">Gross Profit </t>
  </si>
  <si>
    <t>OSG&amp;A</t>
  </si>
  <si>
    <t>Opex</t>
  </si>
  <si>
    <t>Operating Income</t>
  </si>
  <si>
    <t>Pretax Income</t>
  </si>
  <si>
    <t>Taxes</t>
  </si>
  <si>
    <t>Net Income</t>
  </si>
  <si>
    <t>EPS</t>
  </si>
  <si>
    <t>1Q18</t>
  </si>
  <si>
    <t>2Q18</t>
  </si>
  <si>
    <t>3Q18</t>
  </si>
  <si>
    <t>4Q18</t>
  </si>
  <si>
    <t>1Q19</t>
  </si>
  <si>
    <t>2Q19</t>
  </si>
  <si>
    <t>3Q19</t>
  </si>
  <si>
    <t>4Q19</t>
  </si>
  <si>
    <t>1Q20</t>
  </si>
  <si>
    <t>2Q20</t>
  </si>
  <si>
    <t>3Q20</t>
  </si>
  <si>
    <t>4Q20</t>
  </si>
  <si>
    <t>1Q21</t>
  </si>
  <si>
    <t>Minority Interest</t>
  </si>
  <si>
    <t>2Q21</t>
  </si>
  <si>
    <t>3Q21</t>
  </si>
  <si>
    <t>4Q21</t>
  </si>
  <si>
    <t>Gross Margin</t>
  </si>
  <si>
    <t>Operating Margin</t>
  </si>
  <si>
    <t>Revenue Y/Y</t>
  </si>
  <si>
    <t>COGS Y/Y</t>
  </si>
  <si>
    <t>OSG&amp;A Y/Y</t>
  </si>
  <si>
    <t>Opex Y/Y</t>
  </si>
  <si>
    <t>NI Y/Y</t>
  </si>
  <si>
    <t>Shares Y/Y</t>
  </si>
  <si>
    <t>EPS Y/Y</t>
  </si>
  <si>
    <t>Maturity</t>
  </si>
  <si>
    <t>NPV</t>
  </si>
  <si>
    <t>Value</t>
  </si>
  <si>
    <t>Model Price</t>
  </si>
  <si>
    <t>Market Price</t>
  </si>
  <si>
    <t>Difference</t>
  </si>
  <si>
    <t>Net Cash</t>
  </si>
  <si>
    <t>Dividends</t>
  </si>
  <si>
    <t>1Q22</t>
  </si>
  <si>
    <t>2Q22</t>
  </si>
  <si>
    <t>3Q22</t>
  </si>
  <si>
    <t>4Q22</t>
  </si>
  <si>
    <t>Loss on Extinguishment of Debt</t>
  </si>
  <si>
    <t>1Q23</t>
  </si>
  <si>
    <t>2Q23</t>
  </si>
  <si>
    <t>3Q23</t>
  </si>
  <si>
    <t>4Q23</t>
  </si>
  <si>
    <t>Interest Income</t>
  </si>
  <si>
    <t>Debt Interest Expense</t>
  </si>
  <si>
    <t>Finance Lease Obligatons Expense</t>
  </si>
  <si>
    <t>Other Losses/(Gains)</t>
  </si>
  <si>
    <t>OI Y/Y</t>
  </si>
  <si>
    <t>model FY22</t>
  </si>
  <si>
    <t>Notes</t>
  </si>
  <si>
    <t>conservative est. vs average historical return of 10%</t>
  </si>
  <si>
    <t>koyfin 7/25/22</t>
  </si>
  <si>
    <t>5yr t-bond per dashboard</t>
  </si>
  <si>
    <t>average FY18-FY22</t>
  </si>
  <si>
    <t>Quarter End</t>
  </si>
  <si>
    <t>Cash &amp; Equivalents</t>
  </si>
  <si>
    <t>A/R</t>
  </si>
  <si>
    <t>Inventories</t>
  </si>
  <si>
    <t>Prepaid Expenses &amp; Other</t>
  </si>
  <si>
    <t>Total Current Assets</t>
  </si>
  <si>
    <t>PP&amp;E</t>
  </si>
  <si>
    <t>Operating Lease ROUs</t>
  </si>
  <si>
    <t>Finance Lease ROUs</t>
  </si>
  <si>
    <t>Goodwill</t>
  </si>
  <si>
    <t>Other</t>
  </si>
  <si>
    <t>Total Assets</t>
  </si>
  <si>
    <t>ST Debt</t>
  </si>
  <si>
    <t>A/P</t>
  </si>
  <si>
    <t>Accrued Liabilities</t>
  </si>
  <si>
    <t>Accrued Taxes</t>
  </si>
  <si>
    <t>Current Portion of LT Debt</t>
  </si>
  <si>
    <t>Current Operating Lease Obligations</t>
  </si>
  <si>
    <t>Current Finance Lease Obligations</t>
  </si>
  <si>
    <t>Total Current Liabilities</t>
  </si>
  <si>
    <t>LT Debt</t>
  </si>
  <si>
    <t>LT Operating Lease Obligations</t>
  </si>
  <si>
    <t>LT Finance Lease Obligations</t>
  </si>
  <si>
    <t>Deferred Taxes &amp; Other</t>
  </si>
  <si>
    <t>Commitments &amp; Contingencies</t>
  </si>
  <si>
    <t>Redeemable Non-Controlling Interest</t>
  </si>
  <si>
    <t>Total Liabilities</t>
  </si>
  <si>
    <t>S/E</t>
  </si>
  <si>
    <t>L + S/E</t>
  </si>
  <si>
    <t>Property Lease &amp; Financing Obligations</t>
  </si>
  <si>
    <t>Current Capital Leases &amp; Financing Obligations</t>
  </si>
  <si>
    <t>LT Capital Lease &amp; Financing Obligations</t>
  </si>
  <si>
    <t>Model Net Income</t>
  </si>
  <si>
    <t>Reported Net Income</t>
  </si>
  <si>
    <t>D&amp;A</t>
  </si>
  <si>
    <t>Net Unrealized &amp; Realized Losses/(Gains)</t>
  </si>
  <si>
    <t>Losses on Disposal of Business Operations</t>
  </si>
  <si>
    <t>Deferred Taxes</t>
  </si>
  <si>
    <t>Other Operating Activities</t>
  </si>
  <si>
    <t>CFFO</t>
  </si>
  <si>
    <t>Capex</t>
  </si>
  <si>
    <t>Proceeds from Disposal of PP&amp;E</t>
  </si>
  <si>
    <t>Proceeds from Disposal of Certain Operations</t>
  </si>
  <si>
    <t>Payment for Business Acquisitions</t>
  </si>
  <si>
    <t>Other Investing Activities</t>
  </si>
  <si>
    <t>CFFI</t>
  </si>
  <si>
    <t>Change in ST Debt</t>
  </si>
  <si>
    <t>Repayments of LT Debt</t>
  </si>
  <si>
    <t>Purchase of Company Stock</t>
  </si>
  <si>
    <t>Sale of Subsidiary Stock</t>
  </si>
  <si>
    <t>Other Financing Activities</t>
  </si>
  <si>
    <t>CFFF</t>
  </si>
  <si>
    <t>Cash Flow</t>
  </si>
  <si>
    <t>FCF</t>
  </si>
  <si>
    <t>Dividend per Share</t>
  </si>
  <si>
    <t>Payout Ratio</t>
  </si>
  <si>
    <t>Asda Pension Contribution</t>
  </si>
  <si>
    <t>Proceeds from Issuance of LT Debt</t>
  </si>
  <si>
    <t>Premiums Paid to Extinguish Debt</t>
  </si>
  <si>
    <t>Dividends Paid to Noncontrolling Interest</t>
  </si>
  <si>
    <t>Using Net Income</t>
  </si>
  <si>
    <t>Using FCF</t>
  </si>
  <si>
    <t>Average DCF Price</t>
  </si>
  <si>
    <t>EBITDA</t>
  </si>
  <si>
    <t>EBITDA Y/Y</t>
  </si>
  <si>
    <t>Walmart International</t>
  </si>
  <si>
    <t>Sam's Club</t>
  </si>
  <si>
    <t>Total Sales</t>
  </si>
  <si>
    <t>Walmart U.S.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</si>
</sst>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u/>
      <sz val="11"/>
      <color theme="1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60">
    <xf numFmtId="0" fontId="0" fillId="0" borderId="0" xfId="0"/>
    <xf numFmtId="4" fontId="0" fillId="0" borderId="0" xfId="0" applyNumberFormat="1"/>
    <xf numFmtId="0" fontId="6" fillId="0" borderId="0" xfId="0" applyFont="1"/>
    <xf numFmtId="3" fontId="6" fillId="0" borderId="0" xfId="0" applyNumberFormat="1" applyFont="1"/>
    <xf numFmtId="0" fontId="9" fillId="0" borderId="0" xfId="0" applyFont="1"/>
    <xf numFmtId="10" fontId="9" fillId="0" borderId="0" xfId="0" applyNumberFormat="1" applyFont="1"/>
    <xf numFmtId="10" fontId="6" fillId="0" borderId="0" xfId="0" applyNumberFormat="1" applyFont="1"/>
    <xf numFmtId="10" fontId="9" fillId="0" borderId="0" xfId="1" applyNumberFormat="1" applyFont="1"/>
    <xf numFmtId="9" fontId="6" fillId="0" borderId="0" xfId="0" applyNumberFormat="1" applyFont="1"/>
    <xf numFmtId="0" fontId="6" fillId="0" borderId="1" xfId="0" applyFont="1" applyBorder="1"/>
    <xf numFmtId="0" fontId="6" fillId="0" borderId="2" xfId="0" applyFont="1" applyBorder="1"/>
    <xf numFmtId="0" fontId="6" fillId="0" borderId="0" xfId="0" applyFont="1" applyAlignment="1">
      <alignment horizontal="right"/>
    </xf>
    <xf numFmtId="14" fontId="6" fillId="0" borderId="0" xfId="0" applyNumberFormat="1" applyFont="1" applyAlignment="1">
      <alignment horizontal="right"/>
    </xf>
    <xf numFmtId="3" fontId="9" fillId="0" borderId="0" xfId="0" applyNumberFormat="1" applyFont="1"/>
    <xf numFmtId="4" fontId="6" fillId="0" borderId="0" xfId="0" applyNumberFormat="1" applyFont="1"/>
    <xf numFmtId="0" fontId="6" fillId="0" borderId="0" xfId="0" applyFont="1" applyAlignment="1">
      <alignment horizontal="right" vertical="center"/>
    </xf>
    <xf numFmtId="9" fontId="6" fillId="0" borderId="0" xfId="1" applyFont="1" applyAlignment="1">
      <alignment horizontal="right" vertical="center"/>
    </xf>
    <xf numFmtId="3" fontId="6" fillId="0" borderId="0" xfId="0" applyNumberFormat="1" applyFont="1" applyAlignment="1">
      <alignment horizontal="right" vertical="center"/>
    </xf>
    <xf numFmtId="0" fontId="10" fillId="0" borderId="0" xfId="0" applyFont="1"/>
    <xf numFmtId="3" fontId="10" fillId="0" borderId="0" xfId="0" applyNumberFormat="1" applyFont="1"/>
    <xf numFmtId="4" fontId="6" fillId="0" borderId="0" xfId="0" applyNumberFormat="1" applyFont="1" applyAlignment="1">
      <alignment horizontal="right" vertical="center"/>
    </xf>
    <xf numFmtId="164" fontId="6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1" xfId="0" applyFont="1" applyBorder="1" applyAlignment="1">
      <alignment horizontal="right"/>
    </xf>
    <xf numFmtId="3" fontId="6" fillId="0" borderId="3" xfId="0" applyNumberFormat="1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3" fontId="5" fillId="0" borderId="0" xfId="0" applyNumberFormat="1" applyFont="1"/>
    <xf numFmtId="0" fontId="3" fillId="0" borderId="0" xfId="0" applyFont="1"/>
    <xf numFmtId="0" fontId="11" fillId="0" borderId="0" xfId="0" applyFont="1" applyAlignment="1">
      <alignment horizontal="center"/>
    </xf>
    <xf numFmtId="2" fontId="6" fillId="0" borderId="0" xfId="0" applyNumberFormat="1" applyFont="1" applyAlignment="1">
      <alignment horizontal="right" vertical="center"/>
    </xf>
    <xf numFmtId="9" fontId="6" fillId="0" borderId="0" xfId="0" applyNumberFormat="1" applyFont="1" applyAlignment="1">
      <alignment horizontal="right" vertical="center"/>
    </xf>
    <xf numFmtId="0" fontId="3" fillId="0" borderId="1" xfId="0" applyFont="1" applyBorder="1" applyAlignment="1">
      <alignment horizontal="right"/>
    </xf>
    <xf numFmtId="0" fontId="6" fillId="0" borderId="6" xfId="0" applyFont="1" applyBorder="1"/>
    <xf numFmtId="0" fontId="6" fillId="0" borderId="4" xfId="0" applyFont="1" applyBorder="1"/>
    <xf numFmtId="0" fontId="6" fillId="0" borderId="5" xfId="0" applyFont="1" applyBorder="1"/>
    <xf numFmtId="0" fontId="3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/>
    <xf numFmtId="3" fontId="2" fillId="0" borderId="0" xfId="0" applyNumberFormat="1" applyFont="1"/>
    <xf numFmtId="3" fontId="2" fillId="0" borderId="0" xfId="0" applyNumberFormat="1" applyFont="1"/>
    <xf numFmtId="0" fontId="2" fillId="0" borderId="0" xfId="0" applyFont="1"/>
    <xf numFmtId="3" fontId="2" fillId="0" borderId="0" xfId="0" applyNumberFormat="1" applyFont="1"/>
    <xf numFmtId="0" fontId="2" fillId="0" borderId="0" xfId="0" applyFont="1"/>
    <xf numFmtId="3" fontId="2" fillId="0" borderId="0" xfId="0" applyNumberFormat="1" applyFont="1"/>
    <xf numFmtId="3" fontId="2" fillId="0" borderId="0" xfId="0" applyNumberFormat="1" applyFont="1"/>
    <xf numFmtId="3" fontId="9" fillId="0" borderId="0" xfId="0" applyNumberFormat="1" applyFont="1"/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9" fillId="0" borderId="0" xfId="0" applyFont="1"/>
    <xf numFmtId="3" fontId="9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/>
    <xf numFmtId="3" fontId="11" fillId="0" borderId="0" xfId="0" applyNumberFormat="1" applyFont="1"/>
    <xf numFmtId="9" fontId="1" fillId="0" borderId="0" xfId="1" applyFont="1" applyAlignment="1">
      <alignment horizontal="right" vertical="center"/>
    </xf>
    <xf numFmtId="4" fontId="1" fillId="0" borderId="0" xfId="0" applyNumberFormat="1" applyFont="1"/>
    <xf numFmtId="4" fontId="6" fillId="0" borderId="0" xfId="0" applyNumberFormat="1" applyFont="1" applyAlignment="1">
      <alignment horizontal="right"/>
    </xf>
  </cellXfs>
  <cellStyles count="2">
    <cellStyle name="Normal" xfId="0" builtinId="0"/>
    <cellStyle name="Percent" xfId="1" builtinId="5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ichStyles" Target="richData/richStyles.xml"/><Relationship Id="rId5" Type="http://schemas.openxmlformats.org/officeDocument/2006/relationships/theme" Target="theme/theme1.xml"/><Relationship Id="rId15" Type="http://schemas.microsoft.com/office/2017/10/relationships/person" Target="persons/person.xml"/><Relationship Id="rId10" Type="http://schemas.microsoft.com/office/2017/06/relationships/rdRichValueStructure" Target="richData/rdrichvaluestructure.xml"/><Relationship Id="rId4" Type="http://schemas.openxmlformats.org/officeDocument/2006/relationships/externalLink" Target="externalLinks/externalLink1.xml"/><Relationship Id="rId9" Type="http://schemas.microsoft.com/office/2017/06/relationships/rdRichValue" Target="richData/rdrichvalue.xml"/><Relationship Id="rId14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57150</xdr:colOff>
      <xdr:row>0</xdr:row>
      <xdr:rowOff>38100</xdr:rowOff>
    </xdr:from>
    <xdr:to>
      <xdr:col>23</xdr:col>
      <xdr:colOff>57150</xdr:colOff>
      <xdr:row>113</xdr:row>
      <xdr:rowOff>95250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FCDB099-D265-454F-9218-A2F4C1CF35D4}"/>
            </a:ext>
          </a:extLst>
        </xdr:cNvPr>
        <xdr:cNvCxnSpPr/>
      </xdr:nvCxnSpPr>
      <xdr:spPr>
        <a:xfrm>
          <a:off x="18335625" y="38100"/>
          <a:ext cx="0" cy="18669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28575</xdr:colOff>
      <xdr:row>0</xdr:row>
      <xdr:rowOff>47625</xdr:rowOff>
    </xdr:from>
    <xdr:to>
      <xdr:col>35</xdr:col>
      <xdr:colOff>28575</xdr:colOff>
      <xdr:row>114</xdr:row>
      <xdr:rowOff>28575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3502195-907B-4CF3-BC66-9FD924E32A01}"/>
            </a:ext>
          </a:extLst>
        </xdr:cNvPr>
        <xdr:cNvCxnSpPr/>
      </xdr:nvCxnSpPr>
      <xdr:spPr>
        <a:xfrm>
          <a:off x="26146125" y="47625"/>
          <a:ext cx="0" cy="18773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0%20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-Bond Yields"/>
      <sheetName val="Companies"/>
    </sheetNames>
    <sheetDataSet>
      <sheetData sheetId="0">
        <row r="7">
          <cell r="C7">
            <v>2.8799999999999999E-2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William Sheldon" id="{EA4BE7B3-87DC-4D60-BCAD-B4CF5123B2C6}" userId="667679d5bb2810d2" providerId="Windows Liv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https://www.bing.com/financeapi/forcetrigger?t=a25ya2&amp;q=XNYS%3aWMT&amp;form=skydnc</v>
    <v>Learn more on Bing</v>
  </rv>
  <rv s="1">
    <v>en-US</v>
    <v>a25ya2</v>
    <v>268435456</v>
    <v>1</v>
    <v>Powered by Refinitiv</v>
    <v>0</v>
    <v>WALMART INC. (XNYS:WMT)</v>
    <v>2</v>
    <v>3</v>
    <v>Finance</v>
    <v>4</v>
    <v>160.77000000000001</v>
    <v>117.27</v>
    <v>0.53439999999999999</v>
    <v>-10.039999999999999</v>
    <v>3.4429999999999999E-3</v>
    <v>-7.6048999999999992E-2</v>
    <v>0.42</v>
    <v>USD</v>
    <v>Walmart Inc. offers shopping opportunities in both retail stores and through e-commerce and provides access to its other service offerings. The Company offers an assortment of merchandise and services at everyday low prices (EDLP). The Company operates through three segments: Walmart U.S., Walmart International and Sam's Club. The Walmart U.S. segment is a merchandiser of consumer products, operating under the Walmart and Walmart Neighborhood Market brands, as well as walmart.com and other e-commerce brands, and it operates in the United States. The Walmart International segment includes various formats divided into two categories: retail and wholesale. These categories consist of various formats, including supercenters, supermarkets, hypermarkets, warehouse clubs (including Sam's Clubs) and cash &amp; carry, as well as e-commerce through walmart.com.mx, walmart.ca, flipkart.com and other sites. The Sam's Club segment is a membership-only warehouse club that also operates samsclub.com.</v>
    <v>2300000</v>
    <v>New York Stock Exchange</v>
    <v>XNYS</v>
    <v>XNYS</v>
    <v>702 SW 8th St, BENTONVILLE, AR, 72716-6209 US</v>
    <v>122.69</v>
    <v>Food &amp; Drug Retailing</v>
    <v>Stock</v>
    <v>44768.999946990625</v>
    <v>0</v>
    <v>120.06</v>
    <v>334365477000</v>
    <v>WALMART INC.</v>
    <v>WALMART INC.</v>
    <v>121.13</v>
    <v>28.3643</v>
    <v>132.02000000000001</v>
    <v>121.98</v>
    <v>122.4</v>
    <v>2741150000</v>
    <v>WMT</v>
    <v>WALMART INC. (XNYS:WMT)</v>
    <v>31797182</v>
    <v>6352532</v>
    <v>1969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% (Extended hours)"/>
    <k n="Change (%)"/>
    <k n="Change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4" formatCode="#,##0.00"/>
    </x:dxf>
    <x:dxf>
      <x:numFmt numFmtId="3" formatCode="#,##0"/>
    </x:dxf>
    <x:dxf>
      <x:numFmt numFmtId="14" formatCode="0.00%"/>
    </x:dxf>
    <x:dxf>
      <x:numFmt numFmtId="27" formatCode="m/d/yyyy\ h:mm"/>
    </x:dxf>
    <x:dxf>
      <x:numFmt numFmtId="1" formatCode="0"/>
    </x:dxf>
    <x:dxf>
      <x:numFmt numFmtId="2" formatCode="0.00"/>
    </x:dxf>
    <x:dxf>
      <x:numFmt numFmtId="0" formatCode="General"/>
    </x:dxf>
  </dxfs>
  <richProperties>
    <rPr n="NumberFormat" t="s"/>
    <rPr n="IsTitleField" t="b"/>
  </richProperties>
  <richStyles>
    <rSty dxfid="6">
      <rpv i="0">_([$$-en-US]* #,##0.00_);_([$$-en-US]* (#,##0.00);_([$$-en-US]* "-"??_);_(@_)</rpv>
    </rSty>
    <rSty dxfid="0">
      <rpv i="0">#,##0.00</rpv>
    </rSty>
    <rSty>
      <rpv i="1">1</rpv>
    </rSty>
    <rSty dxfid="1">
      <rpv i="0">#,##0</rpv>
    </rSty>
    <rSty dxfid="2"/>
    <rSty dxfid="6">
      <rpv i="0">_([$$-en-US]* #,##0_);_([$$-en-US]* (#,##0);_([$$-en-US]* "-"_);_(@_)</rpv>
    </rSty>
    <rSty dxfid="3"/>
    <rSty dxfid="4">
      <rpv i="0">0</rpv>
    </rSty>
    <rSty dxfid="5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2" dT="2022-07-26T03:30:51.06" personId="{EA4BE7B3-87DC-4D60-BCAD-B4CF5123B2C6}" id="{41D9732D-B80B-48B7-894A-88138810391A}">
    <text>2022.07.25 - CUT GUIDANCE: https://www.sec.gov/Archives/edgar/data/104169/000010416922000058/exhibit991-pressrelease.htm</text>
  </threadedComment>
  <threadedComment ref="AJ2" dT="2022-07-26T03:31:01.04" personId="{EA4BE7B3-87DC-4D60-BCAD-B4CF5123B2C6}" id="{24E8482C-0DC6-4EB8-8844-A447E4DFFDCE}">
    <text>2022.07.25 - CUT GUIDANCE: https://www.sec.gov/Archives/edgar/data/104169/000010416922000058/exhibit991-pressrelease.htm</text>
  </threadedComment>
  <threadedComment ref="B30" dT="2022-07-27T03:40:51.23" personId="{EA4BE7B3-87DC-4D60-BCAD-B4CF5123B2C6}" id="{C8DF45A8-7DCB-4C7D-8E2F-0E1964E9D88F}">
    <text>= NI + Taxes + Debt Interest Expense + D&amp;A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477D-CC52-4A64-A701-CE083F18EB38}">
  <dimension ref="B3:G9"/>
  <sheetViews>
    <sheetView workbookViewId="0">
      <selection activeCell="F3" sqref="F3"/>
    </sheetView>
  </sheetViews>
  <sheetFormatPr defaultRowHeight="15" x14ac:dyDescent="0.25"/>
  <cols>
    <col min="2" max="2" width="11.5703125" bestFit="1" customWidth="1"/>
    <col min="3" max="3" width="31.85546875" bestFit="1" customWidth="1"/>
    <col min="4" max="4" width="7.7109375" bestFit="1" customWidth="1"/>
    <col min="6" max="6" width="19.28515625" bestFit="1" customWidth="1"/>
    <col min="7" max="7" width="8.7109375" customWidth="1"/>
  </cols>
  <sheetData>
    <row r="3" spans="2:7" x14ac:dyDescent="0.25">
      <c r="B3" s="33" t="s">
        <v>0</v>
      </c>
      <c r="C3" s="34" t="e" vm="1">
        <v>#VALUE!</v>
      </c>
      <c r="D3" s="32" t="s">
        <v>1</v>
      </c>
      <c r="F3" s="55" t="s">
        <v>147</v>
      </c>
      <c r="G3" s="58">
        <f>AVERAGE(DCF!AR40,DCF!AU40)</f>
        <v>231.9205357622335</v>
      </c>
    </row>
    <row r="4" spans="2:7" x14ac:dyDescent="0.25">
      <c r="B4" s="9" t="s">
        <v>2</v>
      </c>
      <c r="C4" s="21" cm="1">
        <f t="array" ref="C4">_FV(C3,"Price")</f>
        <v>121.98</v>
      </c>
      <c r="D4" s="23"/>
      <c r="G4" s="1"/>
    </row>
    <row r="5" spans="2:7" x14ac:dyDescent="0.25">
      <c r="B5" s="9" t="s">
        <v>3</v>
      </c>
      <c r="C5" s="22">
        <v>2765</v>
      </c>
      <c r="D5" s="31" t="s">
        <v>70</v>
      </c>
    </row>
    <row r="6" spans="2:7" x14ac:dyDescent="0.25">
      <c r="B6" s="9" t="s">
        <v>4</v>
      </c>
      <c r="C6" s="22">
        <f>C4*C5</f>
        <v>337274.7</v>
      </c>
      <c r="D6" s="23"/>
    </row>
    <row r="7" spans="2:7" x14ac:dyDescent="0.25">
      <c r="B7" s="9" t="s">
        <v>5</v>
      </c>
      <c r="C7" s="22">
        <v>11817</v>
      </c>
      <c r="D7" s="31" t="s">
        <v>70</v>
      </c>
    </row>
    <row r="8" spans="2:7" x14ac:dyDescent="0.25">
      <c r="B8" s="9" t="s">
        <v>6</v>
      </c>
      <c r="C8" s="22">
        <f>11432+3580+32174</f>
        <v>47186</v>
      </c>
      <c r="D8" s="31" t="s">
        <v>70</v>
      </c>
    </row>
    <row r="9" spans="2:7" x14ac:dyDescent="0.25">
      <c r="B9" s="10" t="s">
        <v>7</v>
      </c>
      <c r="C9" s="24">
        <f>C6-C7+C8</f>
        <v>372643.7</v>
      </c>
      <c r="D9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28C0-03D8-49B2-8BF6-A39710DFD7FA}">
  <dimension ref="A1:XFD113"/>
  <sheetViews>
    <sheetView tabSelected="1" workbookViewId="0">
      <pane xSplit="2" ySplit="2" topLeftCell="Q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defaultRowHeight="14.25" x14ac:dyDescent="0.2"/>
  <cols>
    <col min="1" max="1" width="9.140625" style="2"/>
    <col min="2" max="2" width="46.28515625" style="2" bestFit="1" customWidth="1"/>
    <col min="3" max="4" width="10.140625" style="3" bestFit="1" customWidth="1"/>
    <col min="5" max="5" width="11.28515625" style="3" bestFit="1" customWidth="1"/>
    <col min="6" max="8" width="10.140625" style="3" bestFit="1" customWidth="1"/>
    <col min="9" max="9" width="11.28515625" style="3" bestFit="1" customWidth="1"/>
    <col min="10" max="12" width="10.140625" style="3" bestFit="1" customWidth="1"/>
    <col min="13" max="13" width="11.28515625" style="3" bestFit="1" customWidth="1"/>
    <col min="14" max="16" width="10.140625" style="3" bestFit="1" customWidth="1"/>
    <col min="17" max="17" width="11.28515625" style="3" bestFit="1" customWidth="1"/>
    <col min="18" max="18" width="10.140625" style="3" bestFit="1" customWidth="1"/>
    <col min="19" max="20" width="10.140625" style="3" customWidth="1"/>
    <col min="21" max="21" width="11.28515625" style="3" bestFit="1" customWidth="1"/>
    <col min="22" max="24" width="10.140625" style="3" bestFit="1" customWidth="1"/>
    <col min="25" max="25" width="11.28515625" style="3" bestFit="1" customWidth="1"/>
    <col min="26" max="26" width="10.140625" style="3" bestFit="1" customWidth="1"/>
    <col min="27" max="29" width="10.140625" style="3" customWidth="1"/>
    <col min="30" max="30" width="9.140625" style="3"/>
    <col min="31" max="31" width="10.85546875" style="3" bestFit="1" customWidth="1"/>
    <col min="32" max="40" width="9.28515625" style="3" bestFit="1" customWidth="1"/>
    <col min="41" max="41" width="8.7109375" style="3" customWidth="1"/>
    <col min="42" max="42" width="8.42578125" style="3" bestFit="1" customWidth="1"/>
    <col min="43" max="43" width="17.7109375" style="3" bestFit="1" customWidth="1"/>
    <col min="44" max="45" width="9.28515625" style="3" bestFit="1" customWidth="1"/>
    <col min="46" max="46" width="12.5703125" style="3" bestFit="1" customWidth="1"/>
    <col min="47" max="432" width="9.28515625" style="3" bestFit="1" customWidth="1"/>
    <col min="433" max="16384" width="9.140625" style="3"/>
  </cols>
  <sheetData>
    <row r="1" spans="1:40" s="11" customFormat="1" x14ac:dyDescent="0.2">
      <c r="B1" s="35" t="s">
        <v>85</v>
      </c>
      <c r="C1" s="12">
        <v>42855</v>
      </c>
      <c r="D1" s="12">
        <v>42947</v>
      </c>
      <c r="E1" s="12">
        <v>43039</v>
      </c>
      <c r="F1" s="12">
        <v>43131</v>
      </c>
      <c r="G1" s="12">
        <v>43220</v>
      </c>
      <c r="H1" s="12">
        <v>43312</v>
      </c>
      <c r="I1" s="12">
        <v>43404</v>
      </c>
      <c r="J1" s="12">
        <v>43496</v>
      </c>
      <c r="K1" s="12">
        <v>43585</v>
      </c>
      <c r="L1" s="12">
        <v>43677</v>
      </c>
      <c r="M1" s="12">
        <v>43769</v>
      </c>
      <c r="N1" s="12">
        <v>43861</v>
      </c>
      <c r="O1" s="12">
        <v>43951</v>
      </c>
      <c r="P1" s="12">
        <v>44043</v>
      </c>
      <c r="Q1" s="12">
        <v>44135</v>
      </c>
      <c r="R1" s="12">
        <v>44227</v>
      </c>
      <c r="S1" s="12">
        <v>44316</v>
      </c>
      <c r="T1" s="12">
        <v>44408</v>
      </c>
      <c r="U1" s="12">
        <v>44500</v>
      </c>
      <c r="V1" s="12">
        <v>44592</v>
      </c>
      <c r="W1" s="12">
        <v>44681</v>
      </c>
      <c r="X1" s="12">
        <v>44773</v>
      </c>
      <c r="Y1" s="12">
        <v>44865</v>
      </c>
      <c r="Z1" s="12">
        <v>44957</v>
      </c>
      <c r="AA1" s="12"/>
      <c r="AB1" s="12"/>
      <c r="AC1" s="12"/>
    </row>
    <row r="2" spans="1:40" s="11" customFormat="1" x14ac:dyDescent="0.2">
      <c r="C2" s="11" t="s">
        <v>31</v>
      </c>
      <c r="D2" s="11" t="s">
        <v>32</v>
      </c>
      <c r="E2" s="11" t="s">
        <v>33</v>
      </c>
      <c r="F2" s="11" t="s">
        <v>34</v>
      </c>
      <c r="G2" s="11" t="s">
        <v>35</v>
      </c>
      <c r="H2" s="11" t="s">
        <v>36</v>
      </c>
      <c r="I2" s="11" t="s">
        <v>37</v>
      </c>
      <c r="J2" s="11" t="s">
        <v>38</v>
      </c>
      <c r="K2" s="11" t="s">
        <v>39</v>
      </c>
      <c r="L2" s="11" t="s">
        <v>40</v>
      </c>
      <c r="M2" s="11" t="s">
        <v>41</v>
      </c>
      <c r="N2" s="11" t="s">
        <v>42</v>
      </c>
      <c r="O2" s="11" t="s">
        <v>43</v>
      </c>
      <c r="P2" s="11" t="s">
        <v>45</v>
      </c>
      <c r="Q2" s="11" t="s">
        <v>46</v>
      </c>
      <c r="R2" s="11" t="s">
        <v>47</v>
      </c>
      <c r="S2" s="11" t="s">
        <v>65</v>
      </c>
      <c r="T2" s="11" t="s">
        <v>66</v>
      </c>
      <c r="U2" s="11" t="s">
        <v>67</v>
      </c>
      <c r="V2" s="11" t="s">
        <v>68</v>
      </c>
      <c r="W2" s="11" t="s">
        <v>70</v>
      </c>
      <c r="X2" s="11" t="s">
        <v>71</v>
      </c>
      <c r="Y2" s="11" t="s">
        <v>72</v>
      </c>
      <c r="Z2" s="11" t="s">
        <v>73</v>
      </c>
      <c r="AE2" s="11">
        <v>2018</v>
      </c>
      <c r="AF2" s="11">
        <v>2019</v>
      </c>
      <c r="AG2" s="11">
        <v>2020</v>
      </c>
      <c r="AH2" s="11">
        <v>2021</v>
      </c>
      <c r="AI2" s="11">
        <v>2022</v>
      </c>
      <c r="AJ2" s="11">
        <v>2023</v>
      </c>
      <c r="AK2" s="11">
        <v>2024</v>
      </c>
      <c r="AL2" s="11">
        <v>2025</v>
      </c>
      <c r="AM2" s="11">
        <v>2026</v>
      </c>
      <c r="AN2" s="11">
        <v>2027</v>
      </c>
    </row>
    <row r="3" spans="1:40" s="11" customFormat="1" x14ac:dyDescent="0.2">
      <c r="B3" s="54" t="s">
        <v>153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>
        <v>93.2</v>
      </c>
      <c r="T3" s="22"/>
      <c r="U3" s="22"/>
      <c r="V3" s="22"/>
      <c r="W3" s="22">
        <v>96904</v>
      </c>
    </row>
    <row r="4" spans="1:40" s="11" customFormat="1" x14ac:dyDescent="0.2">
      <c r="B4" s="54" t="s">
        <v>150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>
        <v>27.3</v>
      </c>
      <c r="T4" s="22"/>
      <c r="U4" s="22"/>
      <c r="V4" s="22"/>
      <c r="W4" s="22">
        <v>23763</v>
      </c>
    </row>
    <row r="5" spans="1:40" s="11" customFormat="1" x14ac:dyDescent="0.2">
      <c r="B5" s="54" t="s">
        <v>151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>
        <v>16.7</v>
      </c>
      <c r="T5" s="22"/>
      <c r="U5" s="22"/>
      <c r="V5" s="22"/>
      <c r="W5" s="22">
        <v>19621</v>
      </c>
    </row>
    <row r="6" spans="1:40" s="11" customFormat="1" x14ac:dyDescent="0.2">
      <c r="W6" s="59"/>
    </row>
    <row r="7" spans="1:40" x14ac:dyDescent="0.2">
      <c r="B7" s="54" t="s">
        <v>152</v>
      </c>
      <c r="C7" s="3">
        <v>116526</v>
      </c>
      <c r="D7" s="3">
        <v>121949</v>
      </c>
      <c r="E7" s="3">
        <v>122136</v>
      </c>
      <c r="F7" s="3">
        <v>135150</v>
      </c>
      <c r="G7" s="3">
        <v>121630</v>
      </c>
      <c r="H7" s="3">
        <v>127059</v>
      </c>
      <c r="I7" s="3">
        <v>123897</v>
      </c>
      <c r="J7" s="3">
        <v>137743</v>
      </c>
      <c r="K7" s="3">
        <v>122949</v>
      </c>
      <c r="L7" s="3">
        <v>129388</v>
      </c>
      <c r="M7" s="3">
        <v>126981</v>
      </c>
      <c r="N7" s="3">
        <v>140608</v>
      </c>
      <c r="O7" s="3">
        <v>133672</v>
      </c>
      <c r="P7" s="3">
        <v>136824</v>
      </c>
      <c r="Q7" s="3">
        <v>133752</v>
      </c>
      <c r="R7" s="3">
        <v>150985</v>
      </c>
      <c r="S7" s="3">
        <v>137159</v>
      </c>
      <c r="T7" s="3">
        <v>139871</v>
      </c>
      <c r="U7" s="3">
        <v>139207</v>
      </c>
      <c r="V7" s="3">
        <v>151525</v>
      </c>
      <c r="W7" s="3">
        <f>SUM(W3:W5)</f>
        <v>140288</v>
      </c>
      <c r="AE7" s="3">
        <f>SUM(C7:F7)</f>
        <v>495761</v>
      </c>
      <c r="AF7" s="3">
        <f>SUM(G7:J7)</f>
        <v>510329</v>
      </c>
      <c r="AG7" s="3">
        <f>SUM(K7:N7)</f>
        <v>519926</v>
      </c>
      <c r="AH7" s="3">
        <f>SUM(O7:R7)</f>
        <v>555233</v>
      </c>
      <c r="AI7" s="3">
        <f>SUM(S7:V7)</f>
        <v>567762</v>
      </c>
    </row>
    <row r="8" spans="1:40" x14ac:dyDescent="0.2">
      <c r="B8" s="36" t="s">
        <v>20</v>
      </c>
      <c r="C8" s="3">
        <v>1016</v>
      </c>
      <c r="D8" s="3">
        <v>1406</v>
      </c>
      <c r="E8" s="3">
        <v>1043</v>
      </c>
      <c r="F8" s="3">
        <v>1117</v>
      </c>
      <c r="G8" s="3">
        <v>1060</v>
      </c>
      <c r="H8" s="3">
        <v>969</v>
      </c>
      <c r="I8" s="3">
        <v>997</v>
      </c>
      <c r="J8" s="3">
        <v>1050</v>
      </c>
      <c r="K8" s="3">
        <v>976</v>
      </c>
      <c r="L8" s="3">
        <v>989</v>
      </c>
      <c r="M8" s="3">
        <v>1010</v>
      </c>
      <c r="N8" s="3">
        <v>1063</v>
      </c>
      <c r="O8" s="3">
        <v>950</v>
      </c>
      <c r="P8" s="3">
        <v>918</v>
      </c>
      <c r="Q8" s="3">
        <v>956</v>
      </c>
      <c r="R8" s="3">
        <v>1094</v>
      </c>
      <c r="S8" s="3">
        <v>1151</v>
      </c>
      <c r="T8" s="3">
        <v>1177</v>
      </c>
      <c r="U8" s="3">
        <v>1318</v>
      </c>
      <c r="V8" s="3">
        <v>1346</v>
      </c>
      <c r="W8" s="3">
        <v>1281</v>
      </c>
      <c r="AE8" s="3">
        <f>SUM(C8:F8)</f>
        <v>4582</v>
      </c>
      <c r="AF8" s="3">
        <f>SUM(G8:J8)</f>
        <v>4076</v>
      </c>
      <c r="AG8" s="3">
        <f>SUM(K8:N8)</f>
        <v>4038</v>
      </c>
      <c r="AH8" s="3">
        <f>SUM(O8:R8)</f>
        <v>3918</v>
      </c>
      <c r="AI8" s="3">
        <f>SUM(S8:V8)</f>
        <v>4992</v>
      </c>
    </row>
    <row r="9" spans="1:40" s="13" customFormat="1" ht="15" x14ac:dyDescent="0.25">
      <c r="A9" s="4"/>
      <c r="B9" s="37" t="s">
        <v>21</v>
      </c>
      <c r="C9" s="13">
        <f t="shared" ref="C9:P9" si="0">+C7+C8</f>
        <v>117542</v>
      </c>
      <c r="D9" s="13">
        <f t="shared" si="0"/>
        <v>123355</v>
      </c>
      <c r="E9" s="13">
        <f t="shared" si="0"/>
        <v>123179</v>
      </c>
      <c r="F9" s="13">
        <f t="shared" si="0"/>
        <v>136267</v>
      </c>
      <c r="G9" s="13">
        <f t="shared" si="0"/>
        <v>122690</v>
      </c>
      <c r="H9" s="13">
        <f t="shared" si="0"/>
        <v>128028</v>
      </c>
      <c r="I9" s="13">
        <f t="shared" si="0"/>
        <v>124894</v>
      </c>
      <c r="J9" s="13">
        <f t="shared" si="0"/>
        <v>138793</v>
      </c>
      <c r="K9" s="13">
        <f t="shared" si="0"/>
        <v>123925</v>
      </c>
      <c r="L9" s="13">
        <f t="shared" si="0"/>
        <v>130377</v>
      </c>
      <c r="M9" s="13">
        <f t="shared" si="0"/>
        <v>127991</v>
      </c>
      <c r="N9" s="13">
        <f t="shared" si="0"/>
        <v>141671</v>
      </c>
      <c r="O9" s="13">
        <f t="shared" si="0"/>
        <v>134622</v>
      </c>
      <c r="P9" s="13">
        <f t="shared" si="0"/>
        <v>137742</v>
      </c>
      <c r="Q9" s="13">
        <f>+Q7+Q8</f>
        <v>134708</v>
      </c>
      <c r="R9" s="13">
        <f t="shared" ref="R9:U9" si="1">+R7+R8</f>
        <v>152079</v>
      </c>
      <c r="S9" s="13">
        <f t="shared" si="1"/>
        <v>138310</v>
      </c>
      <c r="T9" s="13">
        <f t="shared" si="1"/>
        <v>141048</v>
      </c>
      <c r="U9" s="13">
        <f t="shared" si="1"/>
        <v>140525</v>
      </c>
      <c r="V9" s="13">
        <f>+V7+V8</f>
        <v>152871</v>
      </c>
      <c r="W9" s="13">
        <f>+W7+W8</f>
        <v>141569</v>
      </c>
      <c r="X9" s="13">
        <f>T9*1.04</f>
        <v>146689.92000000001</v>
      </c>
      <c r="Y9" s="13">
        <f>U9*1.04</f>
        <v>146146</v>
      </c>
      <c r="Z9" s="13">
        <f>V9*1.04</f>
        <v>158985.84</v>
      </c>
      <c r="AE9" s="13">
        <f>+AE7+AE8</f>
        <v>500343</v>
      </c>
      <c r="AF9" s="13">
        <f>+AF7+AF8</f>
        <v>514405</v>
      </c>
      <c r="AG9" s="13">
        <f>+AG7+AG8</f>
        <v>523964</v>
      </c>
      <c r="AH9" s="13">
        <f>+AH7+AH8</f>
        <v>559151</v>
      </c>
      <c r="AI9" s="13">
        <f>+AI7+AI8</f>
        <v>572754</v>
      </c>
      <c r="AJ9" s="13">
        <f>SUM(W9:Z9)</f>
        <v>593390.76</v>
      </c>
      <c r="AK9" s="13">
        <f>AJ9*1.02</f>
        <v>605258.57519999996</v>
      </c>
      <c r="AL9" s="13">
        <f>AK9*1.02</f>
        <v>617363.74670399993</v>
      </c>
      <c r="AM9" s="13">
        <f t="shared" ref="AM9:AN9" si="2">AL9*1.02</f>
        <v>629711.0216380799</v>
      </c>
      <c r="AN9" s="13">
        <f t="shared" si="2"/>
        <v>642305.24207084149</v>
      </c>
    </row>
    <row r="10" spans="1:40" x14ac:dyDescent="0.2">
      <c r="B10" s="36" t="s">
        <v>22</v>
      </c>
      <c r="C10" s="3">
        <v>87688</v>
      </c>
      <c r="D10" s="3">
        <v>91521</v>
      </c>
      <c r="E10" s="3">
        <v>91547</v>
      </c>
      <c r="F10" s="3">
        <v>102640</v>
      </c>
      <c r="G10" s="3">
        <v>91707</v>
      </c>
      <c r="H10" s="3">
        <v>95571</v>
      </c>
      <c r="I10" s="3">
        <v>93116</v>
      </c>
      <c r="J10" s="3">
        <v>104907</v>
      </c>
      <c r="K10" s="3">
        <v>93034</v>
      </c>
      <c r="L10" s="3">
        <v>97923</v>
      </c>
      <c r="M10" s="3">
        <v>95900</v>
      </c>
      <c r="N10" s="3">
        <v>107748</v>
      </c>
      <c r="O10" s="3">
        <v>102026</v>
      </c>
      <c r="P10" s="3">
        <v>102689</v>
      </c>
      <c r="Q10" s="3">
        <v>100339</v>
      </c>
      <c r="R10" s="3">
        <v>115261</v>
      </c>
      <c r="S10" s="3">
        <v>103272</v>
      </c>
      <c r="T10" s="3">
        <v>105183</v>
      </c>
      <c r="U10" s="3">
        <v>105023</v>
      </c>
      <c r="V10" s="3">
        <v>115522</v>
      </c>
      <c r="W10" s="3">
        <v>106847</v>
      </c>
      <c r="X10" s="3">
        <f>T10*1.05</f>
        <v>110442.15000000001</v>
      </c>
      <c r="Y10" s="3">
        <f>U10*1.04</f>
        <v>109223.92</v>
      </c>
      <c r="Z10" s="3">
        <f>V10*1.04</f>
        <v>120142.88</v>
      </c>
      <c r="AE10" s="3">
        <f>SUM(C10:F10)</f>
        <v>373396</v>
      </c>
      <c r="AF10" s="3">
        <f>SUM(G10:J10)</f>
        <v>385301</v>
      </c>
      <c r="AG10" s="3">
        <f>SUM(K10:N10)</f>
        <v>394605</v>
      </c>
      <c r="AH10" s="3">
        <f>SUM(O10:R10)</f>
        <v>420315</v>
      </c>
      <c r="AI10" s="3">
        <f>SUM(S10:V10)</f>
        <v>429000</v>
      </c>
      <c r="AJ10" s="3">
        <f>SUM(W10:Z10)</f>
        <v>446655.95</v>
      </c>
      <c r="AK10" s="3">
        <f t="shared" ref="AK10:AL10" si="3">+AK9-AK11</f>
        <v>453943.9314</v>
      </c>
      <c r="AL10" s="3">
        <f t="shared" si="3"/>
        <v>463022.81002799992</v>
      </c>
      <c r="AM10" s="3">
        <f t="shared" ref="AM10:AN10" si="4">+AM9-AM11</f>
        <v>472283.26622855989</v>
      </c>
      <c r="AN10" s="3">
        <f t="shared" si="4"/>
        <v>481728.93155313109</v>
      </c>
    </row>
    <row r="11" spans="1:40" x14ac:dyDescent="0.2">
      <c r="B11" s="36" t="s">
        <v>23</v>
      </c>
      <c r="C11" s="3">
        <f t="shared" ref="C11:P11" si="5">+C9-C10</f>
        <v>29854</v>
      </c>
      <c r="D11" s="3">
        <f t="shared" si="5"/>
        <v>31834</v>
      </c>
      <c r="E11" s="3">
        <f t="shared" si="5"/>
        <v>31632</v>
      </c>
      <c r="F11" s="3">
        <f t="shared" si="5"/>
        <v>33627</v>
      </c>
      <c r="G11" s="3">
        <f t="shared" si="5"/>
        <v>30983</v>
      </c>
      <c r="H11" s="3">
        <f t="shared" si="5"/>
        <v>32457</v>
      </c>
      <c r="I11" s="3">
        <f t="shared" si="5"/>
        <v>31778</v>
      </c>
      <c r="J11" s="3">
        <f t="shared" si="5"/>
        <v>33886</v>
      </c>
      <c r="K11" s="3">
        <f t="shared" si="5"/>
        <v>30891</v>
      </c>
      <c r="L11" s="3">
        <f t="shared" si="5"/>
        <v>32454</v>
      </c>
      <c r="M11" s="3">
        <f t="shared" si="5"/>
        <v>32091</v>
      </c>
      <c r="N11" s="3">
        <f t="shared" si="5"/>
        <v>33923</v>
      </c>
      <c r="O11" s="3">
        <f t="shared" si="5"/>
        <v>32596</v>
      </c>
      <c r="P11" s="3">
        <f t="shared" si="5"/>
        <v>35053</v>
      </c>
      <c r="Q11" s="3">
        <f>+Q9-Q10</f>
        <v>34369</v>
      </c>
      <c r="R11" s="3">
        <f t="shared" ref="R11:V11" si="6">+R9-R10</f>
        <v>36818</v>
      </c>
      <c r="S11" s="3">
        <f t="shared" si="6"/>
        <v>35038</v>
      </c>
      <c r="T11" s="3">
        <f t="shared" si="6"/>
        <v>35865</v>
      </c>
      <c r="U11" s="3">
        <f t="shared" si="6"/>
        <v>35502</v>
      </c>
      <c r="V11" s="3">
        <f t="shared" si="6"/>
        <v>37349</v>
      </c>
      <c r="W11" s="3">
        <f t="shared" ref="W11" si="7">+W9-W10</f>
        <v>34722</v>
      </c>
      <c r="X11" s="3">
        <f t="shared" ref="X11" si="8">+X9-X10</f>
        <v>36247.770000000004</v>
      </c>
      <c r="Y11" s="3">
        <f t="shared" ref="Y11" si="9">+Y9-Y10</f>
        <v>36922.080000000002</v>
      </c>
      <c r="Z11" s="3">
        <f t="shared" ref="Z11" si="10">+Z9-Z10</f>
        <v>38842.959999999992</v>
      </c>
      <c r="AE11" s="3">
        <f t="shared" ref="AE11:AJ11" si="11">+AE9-AE10</f>
        <v>126947</v>
      </c>
      <c r="AF11" s="3">
        <f t="shared" si="11"/>
        <v>129104</v>
      </c>
      <c r="AG11" s="3">
        <f t="shared" si="11"/>
        <v>129359</v>
      </c>
      <c r="AH11" s="3">
        <f t="shared" si="11"/>
        <v>138836</v>
      </c>
      <c r="AI11" s="3">
        <f t="shared" si="11"/>
        <v>143754</v>
      </c>
      <c r="AJ11" s="3">
        <f t="shared" si="11"/>
        <v>146734.81</v>
      </c>
      <c r="AK11" s="3">
        <f t="shared" ref="AK11:AL11" si="12">AK9*0.25</f>
        <v>151314.64379999999</v>
      </c>
      <c r="AL11" s="3">
        <f t="shared" si="12"/>
        <v>154340.93667599998</v>
      </c>
      <c r="AM11" s="3">
        <f t="shared" ref="AM11:AN11" si="13">AM9*0.25</f>
        <v>157427.75540951997</v>
      </c>
      <c r="AN11" s="3">
        <f t="shared" si="13"/>
        <v>160576.31051771037</v>
      </c>
    </row>
    <row r="12" spans="1:40" x14ac:dyDescent="0.2">
      <c r="B12" s="36" t="s">
        <v>24</v>
      </c>
      <c r="C12" s="3">
        <v>24617</v>
      </c>
      <c r="D12" s="3">
        <v>25865</v>
      </c>
      <c r="E12" s="3">
        <v>26868</v>
      </c>
      <c r="F12" s="3">
        <v>29160</v>
      </c>
      <c r="G12" s="3">
        <v>25829</v>
      </c>
      <c r="H12" s="3">
        <v>26707</v>
      </c>
      <c r="I12" s="3">
        <v>26792</v>
      </c>
      <c r="J12" s="3">
        <v>27819</v>
      </c>
      <c r="K12" s="3">
        <v>25946</v>
      </c>
      <c r="L12" s="3">
        <v>26871</v>
      </c>
      <c r="M12" s="3">
        <v>27373</v>
      </c>
      <c r="N12" s="3">
        <v>28601</v>
      </c>
      <c r="O12" s="3">
        <v>27372</v>
      </c>
      <c r="P12" s="3">
        <v>28994</v>
      </c>
      <c r="Q12" s="3">
        <v>28591</v>
      </c>
      <c r="R12" s="3">
        <v>31331</v>
      </c>
      <c r="S12" s="3">
        <v>28129</v>
      </c>
      <c r="T12" s="3">
        <v>28511</v>
      </c>
      <c r="U12" s="3">
        <v>29710</v>
      </c>
      <c r="V12" s="3">
        <v>31462</v>
      </c>
      <c r="W12" s="3">
        <v>29404</v>
      </c>
      <c r="X12" s="3">
        <f>T12*1.05</f>
        <v>29936.550000000003</v>
      </c>
      <c r="Y12" s="3">
        <f>U12*1.05</f>
        <v>31195.5</v>
      </c>
      <c r="Z12" s="3">
        <f t="shared" ref="Z12" si="14">V12*1.05</f>
        <v>33035.1</v>
      </c>
      <c r="AE12" s="3">
        <f>SUM(C12:F12)</f>
        <v>106510</v>
      </c>
      <c r="AF12" s="3">
        <f>SUM(G12:J12)</f>
        <v>107147</v>
      </c>
      <c r="AG12" s="3">
        <f>SUM(K12:N12)</f>
        <v>108791</v>
      </c>
      <c r="AH12" s="3">
        <f>SUM(O12:R12)</f>
        <v>116288</v>
      </c>
      <c r="AI12" s="3">
        <f>SUM(S12:V12)</f>
        <v>117812</v>
      </c>
      <c r="AJ12" s="3">
        <f>SUM(W12:Z12)</f>
        <v>123571.15</v>
      </c>
      <c r="AK12" s="3">
        <f>AJ12*1.02</f>
        <v>126042.57299999999</v>
      </c>
      <c r="AL12" s="3">
        <f>AK12*1.01</f>
        <v>127302.99872999999</v>
      </c>
      <c r="AM12" s="3">
        <f t="shared" ref="AM12:AN12" si="15">AL12*1.01</f>
        <v>128576.0287173</v>
      </c>
      <c r="AN12" s="3">
        <f t="shared" si="15"/>
        <v>129861.789004473</v>
      </c>
    </row>
    <row r="13" spans="1:40" s="13" customFormat="1" ht="15" x14ac:dyDescent="0.25">
      <c r="A13" s="4"/>
      <c r="B13" s="37" t="s">
        <v>25</v>
      </c>
      <c r="C13" s="13">
        <f t="shared" ref="C13:P13" si="16">C12</f>
        <v>24617</v>
      </c>
      <c r="D13" s="13">
        <f t="shared" si="16"/>
        <v>25865</v>
      </c>
      <c r="E13" s="13">
        <f t="shared" si="16"/>
        <v>26868</v>
      </c>
      <c r="F13" s="13">
        <f t="shared" si="16"/>
        <v>29160</v>
      </c>
      <c r="G13" s="13">
        <f t="shared" si="16"/>
        <v>25829</v>
      </c>
      <c r="H13" s="13">
        <f t="shared" si="16"/>
        <v>26707</v>
      </c>
      <c r="I13" s="13">
        <f t="shared" si="16"/>
        <v>26792</v>
      </c>
      <c r="J13" s="13">
        <f t="shared" si="16"/>
        <v>27819</v>
      </c>
      <c r="K13" s="13">
        <f t="shared" si="16"/>
        <v>25946</v>
      </c>
      <c r="L13" s="13">
        <f t="shared" si="16"/>
        <v>26871</v>
      </c>
      <c r="M13" s="13">
        <f t="shared" si="16"/>
        <v>27373</v>
      </c>
      <c r="N13" s="13">
        <f t="shared" si="16"/>
        <v>28601</v>
      </c>
      <c r="O13" s="13">
        <f t="shared" si="16"/>
        <v>27372</v>
      </c>
      <c r="P13" s="13">
        <f t="shared" si="16"/>
        <v>28994</v>
      </c>
      <c r="Q13" s="13">
        <f>+Q12</f>
        <v>28591</v>
      </c>
      <c r="R13" s="13">
        <f t="shared" ref="R13:V13" si="17">+R12</f>
        <v>31331</v>
      </c>
      <c r="S13" s="13">
        <f t="shared" si="17"/>
        <v>28129</v>
      </c>
      <c r="T13" s="13">
        <f t="shared" si="17"/>
        <v>28511</v>
      </c>
      <c r="U13" s="13">
        <f t="shared" si="17"/>
        <v>29710</v>
      </c>
      <c r="V13" s="13">
        <f t="shared" si="17"/>
        <v>31462</v>
      </c>
      <c r="W13" s="13">
        <f t="shared" ref="W13" si="18">+W12</f>
        <v>29404</v>
      </c>
      <c r="X13" s="13">
        <f t="shared" ref="X13" si="19">+X12</f>
        <v>29936.550000000003</v>
      </c>
      <c r="Y13" s="13">
        <f t="shared" ref="Y13" si="20">+Y12</f>
        <v>31195.5</v>
      </c>
      <c r="Z13" s="13">
        <f t="shared" ref="Z13" si="21">+Z12</f>
        <v>33035.1</v>
      </c>
      <c r="AE13" s="13">
        <f t="shared" ref="AE13:AJ13" si="22">+AE12</f>
        <v>106510</v>
      </c>
      <c r="AF13" s="13">
        <f t="shared" si="22"/>
        <v>107147</v>
      </c>
      <c r="AG13" s="13">
        <f t="shared" si="22"/>
        <v>108791</v>
      </c>
      <c r="AH13" s="13">
        <f t="shared" si="22"/>
        <v>116288</v>
      </c>
      <c r="AI13" s="13">
        <f t="shared" si="22"/>
        <v>117812</v>
      </c>
      <c r="AJ13" s="13">
        <f t="shared" si="22"/>
        <v>123571.15</v>
      </c>
      <c r="AK13" s="13">
        <f t="shared" ref="AK13:AL13" si="23">+AK12</f>
        <v>126042.57299999999</v>
      </c>
      <c r="AL13" s="13">
        <f t="shared" si="23"/>
        <v>127302.99872999999</v>
      </c>
      <c r="AM13" s="13">
        <f t="shared" ref="AM13:AN13" si="24">+AM12</f>
        <v>128576.0287173</v>
      </c>
      <c r="AN13" s="13">
        <f t="shared" si="24"/>
        <v>129861.789004473</v>
      </c>
    </row>
    <row r="14" spans="1:40" s="13" customFormat="1" ht="15" x14ac:dyDescent="0.25">
      <c r="A14" s="4"/>
      <c r="B14" s="37" t="s">
        <v>26</v>
      </c>
      <c r="C14" s="13">
        <f t="shared" ref="C14:V14" si="25">+C11-C13</f>
        <v>5237</v>
      </c>
      <c r="D14" s="13">
        <f t="shared" si="25"/>
        <v>5969</v>
      </c>
      <c r="E14" s="13">
        <f t="shared" si="25"/>
        <v>4764</v>
      </c>
      <c r="F14" s="13">
        <f t="shared" si="25"/>
        <v>4467</v>
      </c>
      <c r="G14" s="13">
        <f t="shared" si="25"/>
        <v>5154</v>
      </c>
      <c r="H14" s="13">
        <f t="shared" si="25"/>
        <v>5750</v>
      </c>
      <c r="I14" s="13">
        <f t="shared" si="25"/>
        <v>4986</v>
      </c>
      <c r="J14" s="13">
        <f t="shared" si="25"/>
        <v>6067</v>
      </c>
      <c r="K14" s="13">
        <f t="shared" si="25"/>
        <v>4945</v>
      </c>
      <c r="L14" s="13">
        <f t="shared" si="25"/>
        <v>5583</v>
      </c>
      <c r="M14" s="13">
        <f t="shared" si="25"/>
        <v>4718</v>
      </c>
      <c r="N14" s="13">
        <f t="shared" si="25"/>
        <v>5322</v>
      </c>
      <c r="O14" s="13">
        <f t="shared" si="25"/>
        <v>5224</v>
      </c>
      <c r="P14" s="13">
        <f t="shared" si="25"/>
        <v>6059</v>
      </c>
      <c r="Q14" s="13">
        <f t="shared" si="25"/>
        <v>5778</v>
      </c>
      <c r="R14" s="13">
        <f t="shared" si="25"/>
        <v>5487</v>
      </c>
      <c r="S14" s="13">
        <f t="shared" si="25"/>
        <v>6909</v>
      </c>
      <c r="T14" s="13">
        <f t="shared" si="25"/>
        <v>7354</v>
      </c>
      <c r="U14" s="13">
        <f t="shared" si="25"/>
        <v>5792</v>
      </c>
      <c r="V14" s="13">
        <f t="shared" si="25"/>
        <v>5887</v>
      </c>
      <c r="W14" s="13">
        <f t="shared" ref="W14:Z14" si="26">+W11-W13</f>
        <v>5318</v>
      </c>
      <c r="X14" s="13">
        <f t="shared" si="26"/>
        <v>6311.2200000000012</v>
      </c>
      <c r="Y14" s="13">
        <f t="shared" si="26"/>
        <v>5726.5800000000017</v>
      </c>
      <c r="Z14" s="13">
        <f t="shared" si="26"/>
        <v>5807.8599999999933</v>
      </c>
      <c r="AE14" s="13">
        <f>+AE11-AE13</f>
        <v>20437</v>
      </c>
      <c r="AF14" s="13">
        <f>+AF11-AF13</f>
        <v>21957</v>
      </c>
      <c r="AG14" s="13">
        <f>+AG11-AG13</f>
        <v>20568</v>
      </c>
      <c r="AH14" s="13">
        <f>+AH11-AH13</f>
        <v>22548</v>
      </c>
      <c r="AI14" s="13">
        <f t="shared" ref="AI14:AL14" si="27">+AI11-AI13</f>
        <v>25942</v>
      </c>
      <c r="AJ14" s="13">
        <f t="shared" si="27"/>
        <v>23163.660000000003</v>
      </c>
      <c r="AK14" s="13">
        <f t="shared" si="27"/>
        <v>25272.070800000001</v>
      </c>
      <c r="AL14" s="13">
        <f t="shared" si="27"/>
        <v>27037.937945999991</v>
      </c>
      <c r="AM14" s="13">
        <f t="shared" ref="AM14:AN14" si="28">+AM11-AM13</f>
        <v>28851.726692219978</v>
      </c>
      <c r="AN14" s="13">
        <f t="shared" si="28"/>
        <v>30714.521513237371</v>
      </c>
    </row>
    <row r="15" spans="1:40" x14ac:dyDescent="0.2">
      <c r="B15" s="38" t="s">
        <v>75</v>
      </c>
      <c r="C15" s="3">
        <f>506</f>
        <v>506</v>
      </c>
      <c r="D15" s="3">
        <f>522</f>
        <v>522</v>
      </c>
      <c r="E15" s="3">
        <f>502</f>
        <v>502</v>
      </c>
      <c r="F15" s="3">
        <f>448</f>
        <v>448</v>
      </c>
      <c r="G15" s="3">
        <f>437</f>
        <v>437</v>
      </c>
      <c r="H15" s="3">
        <f>460</f>
        <v>460</v>
      </c>
      <c r="I15" s="3">
        <f>501</f>
        <v>501</v>
      </c>
      <c r="J15" s="3">
        <f>577</f>
        <v>577</v>
      </c>
      <c r="K15" s="3">
        <f>588</f>
        <v>588</v>
      </c>
      <c r="L15" s="3">
        <f>558</f>
        <v>558</v>
      </c>
      <c r="M15" s="3">
        <f>547</f>
        <v>547</v>
      </c>
      <c r="N15" s="3">
        <f>569</f>
        <v>569</v>
      </c>
      <c r="O15" s="3">
        <f>510</f>
        <v>510</v>
      </c>
      <c r="P15" s="3">
        <f>577</f>
        <v>577</v>
      </c>
      <c r="Q15" s="3">
        <f>455</f>
        <v>455</v>
      </c>
      <c r="R15" s="3">
        <f>434</f>
        <v>434</v>
      </c>
      <c r="S15" s="3">
        <f>481</f>
        <v>481</v>
      </c>
      <c r="T15" s="3">
        <f>437</f>
        <v>437</v>
      </c>
      <c r="U15" s="3">
        <f>408</f>
        <v>408</v>
      </c>
      <c r="V15" s="3">
        <f>348</f>
        <v>348</v>
      </c>
      <c r="W15" s="3">
        <v>372</v>
      </c>
      <c r="X15" s="3">
        <f t="shared" ref="X15:X16" si="29">T15*1.05</f>
        <v>458.85</v>
      </c>
      <c r="Y15" s="3">
        <f t="shared" ref="Y15:Y16" si="30">U15*1.04</f>
        <v>424.32</v>
      </c>
      <c r="Z15" s="3">
        <f t="shared" ref="Z15:Z16" si="31">V15*1.04</f>
        <v>361.92</v>
      </c>
      <c r="AE15" s="3">
        <f>SUM(C15:F15)</f>
        <v>1978</v>
      </c>
      <c r="AF15" s="3">
        <f>SUM(G15:J15)</f>
        <v>1975</v>
      </c>
      <c r="AG15" s="3">
        <f>SUM(K15:N15)</f>
        <v>2262</v>
      </c>
      <c r="AH15" s="3">
        <f>SUM(O15:R15)</f>
        <v>1976</v>
      </c>
      <c r="AI15" s="3">
        <f>SUM(S15:V15)</f>
        <v>1674</v>
      </c>
      <c r="AJ15" s="3">
        <f>SUM(W15:Z15)</f>
        <v>1617.0900000000001</v>
      </c>
      <c r="AK15" s="3">
        <f>AJ15*1.05</f>
        <v>1697.9445000000003</v>
      </c>
      <c r="AL15" s="3">
        <f t="shared" ref="AL15:AL19" si="32">AK15*1.01</f>
        <v>1714.9239450000002</v>
      </c>
      <c r="AM15" s="3">
        <f t="shared" ref="AM15:AM19" si="33">AL15*1.01</f>
        <v>1732.0731844500003</v>
      </c>
      <c r="AN15" s="3">
        <f t="shared" ref="AN15:AN19" si="34">AM15*1.01</f>
        <v>1749.3939162945003</v>
      </c>
    </row>
    <row r="16" spans="1:40" x14ac:dyDescent="0.2">
      <c r="B16" s="38" t="s">
        <v>76</v>
      </c>
      <c r="C16" s="3">
        <v>92</v>
      </c>
      <c r="D16" s="3">
        <v>91</v>
      </c>
      <c r="E16" s="3">
        <v>81</v>
      </c>
      <c r="F16" s="3">
        <v>88</v>
      </c>
      <c r="G16" s="3">
        <v>93</v>
      </c>
      <c r="H16" s="3">
        <v>94</v>
      </c>
      <c r="I16" s="3">
        <v>92</v>
      </c>
      <c r="J16" s="3">
        <v>92</v>
      </c>
      <c r="K16" s="3">
        <v>85</v>
      </c>
      <c r="L16" s="3">
        <v>83</v>
      </c>
      <c r="M16" s="3">
        <v>86</v>
      </c>
      <c r="N16" s="3">
        <v>83</v>
      </c>
      <c r="O16" s="3">
        <v>82</v>
      </c>
      <c r="P16" s="3">
        <v>81</v>
      </c>
      <c r="Q16" s="3">
        <v>86</v>
      </c>
      <c r="R16" s="3">
        <v>90</v>
      </c>
      <c r="S16" s="3">
        <v>85</v>
      </c>
      <c r="T16" s="3">
        <v>78</v>
      </c>
      <c r="U16" s="3">
        <v>78</v>
      </c>
      <c r="V16" s="3">
        <v>79</v>
      </c>
      <c r="W16" s="3">
        <v>83</v>
      </c>
      <c r="X16" s="3">
        <f t="shared" si="29"/>
        <v>81.900000000000006</v>
      </c>
      <c r="Y16" s="3">
        <f t="shared" si="30"/>
        <v>81.12</v>
      </c>
      <c r="Z16" s="3">
        <f t="shared" si="31"/>
        <v>82.16</v>
      </c>
      <c r="AE16" s="3">
        <f t="shared" ref="AE16:AE17" si="35">SUM(C16:F16)</f>
        <v>352</v>
      </c>
      <c r="AF16" s="3">
        <f t="shared" ref="AF16:AF17" si="36">SUM(G16:J16)</f>
        <v>371</v>
      </c>
      <c r="AG16" s="3">
        <f t="shared" ref="AG16:AG17" si="37">SUM(K16:N16)</f>
        <v>337</v>
      </c>
      <c r="AH16" s="3">
        <f t="shared" ref="AH16:AH17" si="38">SUM(O16:R16)</f>
        <v>339</v>
      </c>
      <c r="AI16" s="3">
        <f t="shared" ref="AI16:AI17" si="39">SUM(S16:V16)</f>
        <v>320</v>
      </c>
      <c r="AJ16" s="3">
        <f>SUM(W16:Z16)</f>
        <v>328.18</v>
      </c>
      <c r="AK16" s="3">
        <f t="shared" ref="AK16:AK18" si="40">AJ16*1.05</f>
        <v>344.589</v>
      </c>
      <c r="AL16" s="3">
        <f t="shared" si="32"/>
        <v>348.03489000000002</v>
      </c>
      <c r="AM16" s="3">
        <f t="shared" si="33"/>
        <v>351.51523890000004</v>
      </c>
      <c r="AN16" s="3">
        <f t="shared" si="34"/>
        <v>355.03039128900002</v>
      </c>
    </row>
    <row r="17" spans="1:432 16384:16384" x14ac:dyDescent="0.2">
      <c r="B17" s="38" t="s">
        <v>74</v>
      </c>
      <c r="C17" s="3">
        <v>-35</v>
      </c>
      <c r="D17" s="3">
        <v>-38</v>
      </c>
      <c r="E17" s="3">
        <v>-42</v>
      </c>
      <c r="F17" s="3">
        <v>-37</v>
      </c>
      <c r="G17" s="3">
        <v>-43</v>
      </c>
      <c r="H17" s="3">
        <v>-51</v>
      </c>
      <c r="I17" s="3">
        <v>-59</v>
      </c>
      <c r="J17" s="3">
        <v>-64</v>
      </c>
      <c r="K17" s="3">
        <v>-48</v>
      </c>
      <c r="L17" s="3">
        <v>-56</v>
      </c>
      <c r="M17" s="3">
        <v>-44</v>
      </c>
      <c r="N17" s="3">
        <v>-41</v>
      </c>
      <c r="O17" s="3">
        <v>-43</v>
      </c>
      <c r="P17" s="3">
        <v>-23</v>
      </c>
      <c r="Q17" s="3">
        <v>-25</v>
      </c>
      <c r="R17" s="3">
        <v>-30</v>
      </c>
      <c r="S17" s="3">
        <v>-30</v>
      </c>
      <c r="T17" s="3">
        <v>-37</v>
      </c>
      <c r="U17" s="3">
        <v>-44</v>
      </c>
      <c r="V17" s="3">
        <v>-47</v>
      </c>
      <c r="W17" s="3">
        <v>-36</v>
      </c>
      <c r="X17" s="3">
        <f>T17*1.01</f>
        <v>-37.369999999999997</v>
      </c>
      <c r="Y17" s="3">
        <f t="shared" ref="Y17:Z17" si="41">U17*1.01</f>
        <v>-44.44</v>
      </c>
      <c r="Z17" s="3">
        <f t="shared" si="41"/>
        <v>-47.47</v>
      </c>
      <c r="AE17" s="3">
        <f t="shared" si="35"/>
        <v>-152</v>
      </c>
      <c r="AF17" s="3">
        <f t="shared" si="36"/>
        <v>-217</v>
      </c>
      <c r="AG17" s="3">
        <f t="shared" si="37"/>
        <v>-189</v>
      </c>
      <c r="AH17" s="3">
        <f t="shared" si="38"/>
        <v>-121</v>
      </c>
      <c r="AI17" s="3">
        <f t="shared" si="39"/>
        <v>-158</v>
      </c>
      <c r="AJ17" s="3">
        <f>SUM(W17:Z17)</f>
        <v>-165.28</v>
      </c>
      <c r="AK17" s="3">
        <f t="shared" si="40"/>
        <v>-173.54400000000001</v>
      </c>
      <c r="AL17" s="3">
        <f t="shared" si="32"/>
        <v>-175.27944000000002</v>
      </c>
      <c r="AM17" s="3">
        <f t="shared" si="33"/>
        <v>-177.03223440000002</v>
      </c>
      <c r="AN17" s="3">
        <f t="shared" si="34"/>
        <v>-178.80255674400001</v>
      </c>
    </row>
    <row r="18" spans="1:432 16384:16384" x14ac:dyDescent="0.2">
      <c r="B18" s="39" t="s">
        <v>69</v>
      </c>
      <c r="C18" s="3">
        <v>0</v>
      </c>
      <c r="D18" s="26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2410</v>
      </c>
      <c r="V18" s="3">
        <v>0</v>
      </c>
      <c r="W18" s="3">
        <f t="shared" ref="W18" si="42">S18*1.01</f>
        <v>0</v>
      </c>
      <c r="X18" s="3">
        <f t="shared" ref="X18:X19" si="43">T18*1.01</f>
        <v>0</v>
      </c>
      <c r="Y18" s="3">
        <v>0</v>
      </c>
      <c r="Z18" s="3">
        <f t="shared" ref="Z18:Z19" si="44">V18*1.01</f>
        <v>0</v>
      </c>
      <c r="AE18" s="3">
        <f>SUM(C18:F18)</f>
        <v>0</v>
      </c>
      <c r="AF18" s="3">
        <f>SUM(G18:J18)</f>
        <v>0</v>
      </c>
      <c r="AG18" s="3">
        <f>SUM(K18:N18)</f>
        <v>0</v>
      </c>
      <c r="AH18" s="3">
        <f>SUM(O18:R18)</f>
        <v>0</v>
      </c>
      <c r="AI18" s="3">
        <f>SUM(S18:V18)</f>
        <v>2410</v>
      </c>
      <c r="AJ18" s="3">
        <f>SUM(W18:Z18)</f>
        <v>0</v>
      </c>
      <c r="AK18" s="3">
        <f t="shared" si="40"/>
        <v>0</v>
      </c>
      <c r="AL18" s="3">
        <f t="shared" si="32"/>
        <v>0</v>
      </c>
      <c r="AM18" s="3">
        <f t="shared" si="33"/>
        <v>0</v>
      </c>
      <c r="AN18" s="3">
        <f t="shared" si="34"/>
        <v>0</v>
      </c>
    </row>
    <row r="19" spans="1:432 16384:16384" x14ac:dyDescent="0.2">
      <c r="B19" s="38" t="s">
        <v>77</v>
      </c>
      <c r="C19" s="3">
        <v>0</v>
      </c>
      <c r="D19" s="3">
        <v>788</v>
      </c>
      <c r="E19" s="3">
        <v>1344</v>
      </c>
      <c r="F19" s="3">
        <v>1004</v>
      </c>
      <c r="G19" s="3">
        <v>1845</v>
      </c>
      <c r="H19" s="3">
        <v>4849</v>
      </c>
      <c r="I19" s="3">
        <v>1876</v>
      </c>
      <c r="J19" s="3">
        <v>-202</v>
      </c>
      <c r="K19" s="3">
        <v>-837</v>
      </c>
      <c r="L19" s="3">
        <v>85</v>
      </c>
      <c r="M19" s="3">
        <v>-244</v>
      </c>
      <c r="N19" s="3">
        <v>-962</v>
      </c>
      <c r="O19" s="3">
        <v>-721</v>
      </c>
      <c r="P19" s="3">
        <v>-3222</v>
      </c>
      <c r="Q19" s="3">
        <v>-1853</v>
      </c>
      <c r="R19" s="3">
        <v>5586</v>
      </c>
      <c r="S19" s="3">
        <v>2529</v>
      </c>
      <c r="T19" s="3">
        <v>953</v>
      </c>
      <c r="U19" s="3">
        <v>-1207</v>
      </c>
      <c r="V19" s="3">
        <v>725</v>
      </c>
      <c r="W19" s="3">
        <v>1998</v>
      </c>
      <c r="X19" s="3">
        <f t="shared" si="43"/>
        <v>962.53</v>
      </c>
      <c r="Y19" s="3">
        <f t="shared" ref="Y19" si="45">U19*1.01</f>
        <v>-1219.07</v>
      </c>
      <c r="Z19" s="3">
        <f t="shared" si="44"/>
        <v>732.25</v>
      </c>
      <c r="AE19" s="3">
        <f>SUM(C19:F19)</f>
        <v>3136</v>
      </c>
      <c r="AF19" s="3">
        <f>SUM(G19:J19)</f>
        <v>8368</v>
      </c>
      <c r="AG19" s="3">
        <f>SUM(K19:N19)</f>
        <v>-1958</v>
      </c>
      <c r="AH19" s="3">
        <f>SUM(O19:R19)</f>
        <v>-210</v>
      </c>
      <c r="AI19" s="3">
        <f>SUM(S19:V19)</f>
        <v>3000</v>
      </c>
      <c r="AJ19" s="3">
        <f>SUM(W19:Z19)</f>
        <v>2473.71</v>
      </c>
      <c r="AK19" s="3">
        <f>AJ19*1.01</f>
        <v>2498.4470999999999</v>
      </c>
      <c r="AL19" s="3">
        <f t="shared" si="32"/>
        <v>2523.4315710000001</v>
      </c>
      <c r="AM19" s="3">
        <f t="shared" si="33"/>
        <v>2548.66588671</v>
      </c>
      <c r="AN19" s="3">
        <f t="shared" si="34"/>
        <v>2574.1525455771002</v>
      </c>
    </row>
    <row r="20" spans="1:432 16384:16384" x14ac:dyDescent="0.2">
      <c r="B20" s="36" t="s">
        <v>27</v>
      </c>
      <c r="C20" s="3">
        <f t="shared" ref="C20:V20" si="46">C14-C15-C16-C17-C18-C19</f>
        <v>4674</v>
      </c>
      <c r="D20" s="3">
        <f t="shared" si="46"/>
        <v>4606</v>
      </c>
      <c r="E20" s="3">
        <f t="shared" si="46"/>
        <v>2879</v>
      </c>
      <c r="F20" s="3">
        <f t="shared" si="46"/>
        <v>2964</v>
      </c>
      <c r="G20" s="3">
        <f t="shared" si="46"/>
        <v>2822</v>
      </c>
      <c r="H20" s="3">
        <f t="shared" si="46"/>
        <v>398</v>
      </c>
      <c r="I20" s="3">
        <f t="shared" si="46"/>
        <v>2576</v>
      </c>
      <c r="J20" s="3">
        <f t="shared" si="46"/>
        <v>5664</v>
      </c>
      <c r="K20" s="3">
        <f t="shared" si="46"/>
        <v>5157</v>
      </c>
      <c r="L20" s="3">
        <f t="shared" si="46"/>
        <v>4913</v>
      </c>
      <c r="M20" s="3">
        <f t="shared" si="46"/>
        <v>4373</v>
      </c>
      <c r="N20" s="3">
        <f t="shared" si="46"/>
        <v>5673</v>
      </c>
      <c r="O20" s="3">
        <f t="shared" si="46"/>
        <v>5396</v>
      </c>
      <c r="P20" s="3">
        <f t="shared" si="46"/>
        <v>8646</v>
      </c>
      <c r="Q20" s="3">
        <f t="shared" si="46"/>
        <v>7115</v>
      </c>
      <c r="R20" s="3">
        <f t="shared" si="46"/>
        <v>-593</v>
      </c>
      <c r="S20" s="3">
        <f t="shared" si="46"/>
        <v>3844</v>
      </c>
      <c r="T20" s="3">
        <f t="shared" si="46"/>
        <v>5923</v>
      </c>
      <c r="U20" s="3">
        <f t="shared" si="46"/>
        <v>4147</v>
      </c>
      <c r="V20" s="3">
        <f t="shared" si="46"/>
        <v>4782</v>
      </c>
      <c r="W20" s="3">
        <f>W14-W15-W16-W17-W18-W19</f>
        <v>2901</v>
      </c>
      <c r="X20" s="3">
        <f t="shared" ref="X20:Z20" si="47">X14-X15-X16-X17-X18-X19</f>
        <v>4845.3100000000013</v>
      </c>
      <c r="Y20" s="3">
        <f t="shared" si="47"/>
        <v>6484.6500000000015</v>
      </c>
      <c r="Z20" s="3">
        <f t="shared" si="47"/>
        <v>4678.9999999999936</v>
      </c>
      <c r="AE20" s="3">
        <f t="shared" ref="AE20:AL20" si="48">AE14-AE15-AE16-AE17-AE18-AE19</f>
        <v>15123</v>
      </c>
      <c r="AF20" s="3">
        <f t="shared" si="48"/>
        <v>11460</v>
      </c>
      <c r="AG20" s="3">
        <f t="shared" si="48"/>
        <v>20116</v>
      </c>
      <c r="AH20" s="3">
        <f t="shared" si="48"/>
        <v>20564</v>
      </c>
      <c r="AI20" s="3">
        <f t="shared" si="48"/>
        <v>18696</v>
      </c>
      <c r="AJ20" s="3">
        <f t="shared" si="48"/>
        <v>18909.960000000003</v>
      </c>
      <c r="AK20" s="3">
        <f t="shared" si="48"/>
        <v>20904.6342</v>
      </c>
      <c r="AL20" s="3">
        <f t="shared" si="48"/>
        <v>22626.826979999991</v>
      </c>
      <c r="AM20" s="3">
        <f t="shared" ref="AM20:AN20" si="49">AM14-AM15-AM16-AM17-AM18-AM19</f>
        <v>24396.504616559978</v>
      </c>
      <c r="AN20" s="3">
        <f t="shared" si="49"/>
        <v>26214.747216820771</v>
      </c>
    </row>
    <row r="21" spans="1:432 16384:16384" x14ac:dyDescent="0.2">
      <c r="B21" s="36" t="s">
        <v>28</v>
      </c>
      <c r="C21" s="3">
        <v>1522</v>
      </c>
      <c r="D21" s="3">
        <v>1502</v>
      </c>
      <c r="E21" s="3">
        <v>975</v>
      </c>
      <c r="F21" s="3">
        <v>601</v>
      </c>
      <c r="G21" s="3">
        <v>546</v>
      </c>
      <c r="H21" s="3">
        <v>1125</v>
      </c>
      <c r="I21" s="3">
        <v>759</v>
      </c>
      <c r="J21" s="3">
        <v>1851</v>
      </c>
      <c r="K21" s="3">
        <v>1251</v>
      </c>
      <c r="L21" s="3">
        <v>1233</v>
      </c>
      <c r="M21" s="3">
        <v>1052</v>
      </c>
      <c r="N21" s="3">
        <v>1379</v>
      </c>
      <c r="O21" s="3">
        <v>1322</v>
      </c>
      <c r="P21" s="3">
        <v>2207</v>
      </c>
      <c r="Q21" s="3">
        <v>1914</v>
      </c>
      <c r="R21" s="3">
        <v>1415</v>
      </c>
      <c r="S21" s="3">
        <v>1033</v>
      </c>
      <c r="T21" s="3">
        <v>1559</v>
      </c>
      <c r="U21" s="3">
        <v>1015</v>
      </c>
      <c r="V21" s="3">
        <v>1149</v>
      </c>
      <c r="W21" s="3">
        <v>798</v>
      </c>
      <c r="X21" s="3">
        <f t="shared" ref="X21:Z21" si="50">X20*0.25</f>
        <v>1211.3275000000003</v>
      </c>
      <c r="Y21" s="3">
        <f t="shared" si="50"/>
        <v>1621.1625000000004</v>
      </c>
      <c r="Z21" s="3">
        <f t="shared" si="50"/>
        <v>1169.7499999999984</v>
      </c>
      <c r="AE21" s="3">
        <f>SUM(C21:F21)</f>
        <v>4600</v>
      </c>
      <c r="AF21" s="3">
        <f>SUM(G21:J21)</f>
        <v>4281</v>
      </c>
      <c r="AG21" s="3">
        <f>SUM(K21:N21)</f>
        <v>4915</v>
      </c>
      <c r="AH21" s="3">
        <f>SUM(O21:R21)</f>
        <v>6858</v>
      </c>
      <c r="AI21" s="3">
        <f>SUM(S21:V21)</f>
        <v>4756</v>
      </c>
      <c r="AJ21" s="3">
        <f>SUM(W21:Z21)</f>
        <v>4800.2399999999989</v>
      </c>
      <c r="AK21" s="3">
        <f>AK20*0.25</f>
        <v>5226.1585500000001</v>
      </c>
      <c r="AL21" s="3">
        <f t="shared" ref="AL21:AN21" si="51">AL20*0.25</f>
        <v>5656.7067449999977</v>
      </c>
      <c r="AM21" s="3">
        <f t="shared" si="51"/>
        <v>6099.1261541399945</v>
      </c>
      <c r="AN21" s="3">
        <f t="shared" si="51"/>
        <v>6553.6868042051929</v>
      </c>
    </row>
    <row r="22" spans="1:432 16384:16384" x14ac:dyDescent="0.2">
      <c r="B22" s="38" t="s">
        <v>44</v>
      </c>
      <c r="C22" s="3">
        <v>113</v>
      </c>
      <c r="D22" s="3">
        <v>205</v>
      </c>
      <c r="E22" s="3">
        <v>155</v>
      </c>
      <c r="F22" s="3">
        <v>188</v>
      </c>
      <c r="G22" s="3">
        <v>142</v>
      </c>
      <c r="H22" s="3">
        <v>134</v>
      </c>
      <c r="I22" s="3">
        <v>107</v>
      </c>
      <c r="J22" s="3">
        <v>126</v>
      </c>
      <c r="K22" s="3">
        <v>64</v>
      </c>
      <c r="L22" s="3">
        <v>70</v>
      </c>
      <c r="M22" s="3">
        <v>33</v>
      </c>
      <c r="N22" s="3">
        <v>153</v>
      </c>
      <c r="O22" s="3">
        <v>84</v>
      </c>
      <c r="P22" s="3">
        <v>-37</v>
      </c>
      <c r="Q22" s="3">
        <v>66</v>
      </c>
      <c r="R22" s="3">
        <v>83</v>
      </c>
      <c r="S22" s="3">
        <v>81</v>
      </c>
      <c r="T22" s="3">
        <v>88</v>
      </c>
      <c r="U22" s="3">
        <v>27</v>
      </c>
      <c r="V22" s="3">
        <v>71</v>
      </c>
      <c r="W22" s="3">
        <v>49</v>
      </c>
      <c r="X22" s="3">
        <f t="shared" ref="X22:Z22" si="52">T22*1.01</f>
        <v>88.88</v>
      </c>
      <c r="Y22" s="3">
        <f t="shared" si="52"/>
        <v>27.27</v>
      </c>
      <c r="Z22" s="3">
        <f t="shared" si="52"/>
        <v>71.709999999999994</v>
      </c>
      <c r="AE22" s="3">
        <f>SUM(C22:F22)</f>
        <v>661</v>
      </c>
      <c r="AF22" s="3">
        <f>SUM(G22:J22)</f>
        <v>509</v>
      </c>
      <c r="AG22" s="3">
        <f>SUM(K22:N22)</f>
        <v>320</v>
      </c>
      <c r="AH22" s="3">
        <f>SUM(O22:R22)</f>
        <v>196</v>
      </c>
      <c r="AI22" s="3">
        <f>SUM(S22:V22)</f>
        <v>267</v>
      </c>
      <c r="AJ22" s="3">
        <f>SUM(W22:Z22)</f>
        <v>236.86</v>
      </c>
      <c r="AK22" s="3">
        <v>300</v>
      </c>
      <c r="AL22" s="3">
        <v>350</v>
      </c>
      <c r="AM22" s="3">
        <v>351</v>
      </c>
      <c r="AN22" s="3">
        <v>352</v>
      </c>
    </row>
    <row r="23" spans="1:432 16384:16384" s="13" customFormat="1" ht="15" x14ac:dyDescent="0.25">
      <c r="A23" s="4"/>
      <c r="B23" s="37" t="s">
        <v>29</v>
      </c>
      <c r="C23" s="13">
        <f t="shared" ref="C23:Z23" si="53">+C20-C21-C22</f>
        <v>3039</v>
      </c>
      <c r="D23" s="13">
        <f t="shared" si="53"/>
        <v>2899</v>
      </c>
      <c r="E23" s="13">
        <f t="shared" si="53"/>
        <v>1749</v>
      </c>
      <c r="F23" s="13">
        <f t="shared" si="53"/>
        <v>2175</v>
      </c>
      <c r="G23" s="13">
        <f t="shared" si="53"/>
        <v>2134</v>
      </c>
      <c r="H23" s="13">
        <f t="shared" si="53"/>
        <v>-861</v>
      </c>
      <c r="I23" s="13">
        <f t="shared" si="53"/>
        <v>1710</v>
      </c>
      <c r="J23" s="13">
        <f t="shared" si="53"/>
        <v>3687</v>
      </c>
      <c r="K23" s="13">
        <f t="shared" si="53"/>
        <v>3842</v>
      </c>
      <c r="L23" s="13">
        <f t="shared" si="53"/>
        <v>3610</v>
      </c>
      <c r="M23" s="13">
        <f t="shared" si="53"/>
        <v>3288</v>
      </c>
      <c r="N23" s="13">
        <f t="shared" si="53"/>
        <v>4141</v>
      </c>
      <c r="O23" s="13">
        <f t="shared" si="53"/>
        <v>3990</v>
      </c>
      <c r="P23" s="13">
        <f t="shared" si="53"/>
        <v>6476</v>
      </c>
      <c r="Q23" s="13">
        <f t="shared" si="53"/>
        <v>5135</v>
      </c>
      <c r="R23" s="13">
        <f t="shared" si="53"/>
        <v>-2091</v>
      </c>
      <c r="S23" s="13">
        <f t="shared" si="53"/>
        <v>2730</v>
      </c>
      <c r="T23" s="13">
        <f t="shared" si="53"/>
        <v>4276</v>
      </c>
      <c r="U23" s="13">
        <f t="shared" si="53"/>
        <v>3105</v>
      </c>
      <c r="V23" s="13">
        <f t="shared" si="53"/>
        <v>3562</v>
      </c>
      <c r="W23" s="13">
        <f t="shared" si="53"/>
        <v>2054</v>
      </c>
      <c r="X23" s="13">
        <f t="shared" si="53"/>
        <v>3545.1025000000009</v>
      </c>
      <c r="Y23" s="13">
        <f t="shared" si="53"/>
        <v>4836.2175000000007</v>
      </c>
      <c r="Z23" s="13">
        <f t="shared" si="53"/>
        <v>3437.5399999999954</v>
      </c>
      <c r="AE23" s="13">
        <f>+AE20-AE21-AE22</f>
        <v>9862</v>
      </c>
      <c r="AF23" s="13">
        <f>+AF20-AF21-AF22</f>
        <v>6670</v>
      </c>
      <c r="AG23" s="13">
        <f>+AG20-AG21-AG22</f>
        <v>14881</v>
      </c>
      <c r="AH23" s="13">
        <f>+AH20-AH21-AH22</f>
        <v>13510</v>
      </c>
      <c r="AI23" s="13">
        <f t="shared" ref="AI23:AN23" si="54">+AI20-AI21-AI22</f>
        <v>13673</v>
      </c>
      <c r="AJ23" s="13">
        <f t="shared" si="54"/>
        <v>13872.860000000004</v>
      </c>
      <c r="AK23" s="13">
        <f t="shared" si="54"/>
        <v>15378.47565</v>
      </c>
      <c r="AL23" s="13">
        <f t="shared" si="54"/>
        <v>16620.120234999995</v>
      </c>
      <c r="AM23" s="13">
        <f t="shared" si="54"/>
        <v>17946.378462419983</v>
      </c>
      <c r="AN23" s="13">
        <f t="shared" si="54"/>
        <v>19309.060412615578</v>
      </c>
      <c r="AO23" s="13">
        <f t="shared" ref="AO23:CZ23" si="55">AN23*(1+$AR$34)</f>
        <v>19115.969808489423</v>
      </c>
      <c r="AP23" s="13">
        <f t="shared" si="55"/>
        <v>18924.810110404527</v>
      </c>
      <c r="AQ23" s="13">
        <f t="shared" si="55"/>
        <v>18735.56200930048</v>
      </c>
      <c r="AR23" s="13">
        <f t="shared" si="55"/>
        <v>18548.206389207477</v>
      </c>
      <c r="AS23" s="13">
        <f t="shared" si="55"/>
        <v>18362.724325315401</v>
      </c>
      <c r="AT23" s="13">
        <f t="shared" si="55"/>
        <v>18179.097082062246</v>
      </c>
      <c r="AU23" s="13">
        <f t="shared" si="55"/>
        <v>17997.306111241622</v>
      </c>
      <c r="AV23" s="13">
        <f t="shared" si="55"/>
        <v>17817.333050129204</v>
      </c>
      <c r="AW23" s="13">
        <f t="shared" si="55"/>
        <v>17639.159719627911</v>
      </c>
      <c r="AX23" s="13">
        <f t="shared" si="55"/>
        <v>17462.768122431633</v>
      </c>
      <c r="AY23" s="13">
        <f t="shared" si="55"/>
        <v>17288.140441207317</v>
      </c>
      <c r="AZ23" s="13">
        <f t="shared" si="55"/>
        <v>17115.259036795243</v>
      </c>
      <c r="BA23" s="13">
        <f t="shared" si="55"/>
        <v>16944.106446427289</v>
      </c>
      <c r="BB23" s="13">
        <f t="shared" si="55"/>
        <v>16774.665381963016</v>
      </c>
      <c r="BC23" s="13">
        <f t="shared" si="55"/>
        <v>16606.918728143384</v>
      </c>
      <c r="BD23" s="13">
        <f t="shared" si="55"/>
        <v>16440.849540861949</v>
      </c>
      <c r="BE23" s="13">
        <f t="shared" si="55"/>
        <v>16276.44104545333</v>
      </c>
      <c r="BF23" s="13">
        <f t="shared" si="55"/>
        <v>16113.676634998796</v>
      </c>
      <c r="BG23" s="13">
        <f t="shared" si="55"/>
        <v>15952.539868648808</v>
      </c>
      <c r="BH23" s="13">
        <f t="shared" si="55"/>
        <v>15793.01446996232</v>
      </c>
      <c r="BI23" s="13">
        <f t="shared" si="55"/>
        <v>15635.084325262696</v>
      </c>
      <c r="BJ23" s="13">
        <f t="shared" si="55"/>
        <v>15478.73348201007</v>
      </c>
      <c r="BK23" s="13">
        <f t="shared" si="55"/>
        <v>15323.946147189969</v>
      </c>
      <c r="BL23" s="13">
        <f t="shared" si="55"/>
        <v>15170.706685718069</v>
      </c>
      <c r="BM23" s="13">
        <f t="shared" si="55"/>
        <v>15018.999618860887</v>
      </c>
      <c r="BN23" s="13">
        <f t="shared" si="55"/>
        <v>14868.809622672279</v>
      </c>
      <c r="BO23" s="13">
        <f t="shared" si="55"/>
        <v>14720.121526445557</v>
      </c>
      <c r="BP23" s="13">
        <f t="shared" si="55"/>
        <v>14572.9203111811</v>
      </c>
      <c r="BQ23" s="13">
        <f t="shared" si="55"/>
        <v>14427.19110806929</v>
      </c>
      <c r="BR23" s="13">
        <f t="shared" si="55"/>
        <v>14282.919196988596</v>
      </c>
      <c r="BS23" s="13">
        <f t="shared" si="55"/>
        <v>14140.09000501871</v>
      </c>
      <c r="BT23" s="13">
        <f t="shared" si="55"/>
        <v>13998.689104968524</v>
      </c>
      <c r="BU23" s="13">
        <f t="shared" si="55"/>
        <v>13858.702213918838</v>
      </c>
      <c r="BV23" s="13">
        <f t="shared" si="55"/>
        <v>13720.115191779649</v>
      </c>
      <c r="BW23" s="13">
        <f t="shared" si="55"/>
        <v>13582.914039861853</v>
      </c>
      <c r="BX23" s="13">
        <f t="shared" si="55"/>
        <v>13447.084899463234</v>
      </c>
      <c r="BY23" s="13">
        <f t="shared" si="55"/>
        <v>13312.614050468601</v>
      </c>
      <c r="BZ23" s="13">
        <f t="shared" si="55"/>
        <v>13179.487909963915</v>
      </c>
      <c r="CA23" s="13">
        <f t="shared" si="55"/>
        <v>13047.693030864275</v>
      </c>
      <c r="CB23" s="13">
        <f t="shared" si="55"/>
        <v>12917.216100555632</v>
      </c>
      <c r="CC23" s="13">
        <f t="shared" si="55"/>
        <v>12788.043939550076</v>
      </c>
      <c r="CD23" s="13">
        <f t="shared" si="55"/>
        <v>12660.163500154575</v>
      </c>
      <c r="CE23" s="13">
        <f t="shared" si="55"/>
        <v>12533.561865153029</v>
      </c>
      <c r="CF23" s="13">
        <f t="shared" si="55"/>
        <v>12408.226246501499</v>
      </c>
      <c r="CG23" s="13">
        <f t="shared" si="55"/>
        <v>12284.143984036484</v>
      </c>
      <c r="CH23" s="13">
        <f t="shared" si="55"/>
        <v>12161.302544196118</v>
      </c>
      <c r="CI23" s="13">
        <f t="shared" si="55"/>
        <v>12039.689518754158</v>
      </c>
      <c r="CJ23" s="13">
        <f t="shared" si="55"/>
        <v>11919.292623566616</v>
      </c>
      <c r="CK23" s="13">
        <f t="shared" si="55"/>
        <v>11800.09969733095</v>
      </c>
      <c r="CL23" s="13">
        <f t="shared" si="55"/>
        <v>11682.098700357641</v>
      </c>
      <c r="CM23" s="13">
        <f t="shared" si="55"/>
        <v>11565.277713354064</v>
      </c>
      <c r="CN23" s="13">
        <f t="shared" si="55"/>
        <v>11449.624936220524</v>
      </c>
      <c r="CO23" s="13">
        <f t="shared" si="55"/>
        <v>11335.128686858317</v>
      </c>
      <c r="CP23" s="13">
        <f t="shared" si="55"/>
        <v>11221.777399989734</v>
      </c>
      <c r="CQ23" s="13">
        <f t="shared" si="55"/>
        <v>11109.559625989838</v>
      </c>
      <c r="CR23" s="13">
        <f t="shared" si="55"/>
        <v>10998.464029729939</v>
      </c>
      <c r="CS23" s="13">
        <f t="shared" si="55"/>
        <v>10888.479389432639</v>
      </c>
      <c r="CT23" s="13">
        <f t="shared" si="55"/>
        <v>10779.594595538312</v>
      </c>
      <c r="CU23" s="13">
        <f t="shared" si="55"/>
        <v>10671.798649582928</v>
      </c>
      <c r="CV23" s="13">
        <f t="shared" si="55"/>
        <v>10565.080663087099</v>
      </c>
      <c r="CW23" s="13">
        <f t="shared" si="55"/>
        <v>10459.429856456229</v>
      </c>
      <c r="CX23" s="13">
        <f t="shared" si="55"/>
        <v>10354.835557891667</v>
      </c>
      <c r="CY23" s="13">
        <f t="shared" si="55"/>
        <v>10251.287202312751</v>
      </c>
      <c r="CZ23" s="13">
        <f t="shared" si="55"/>
        <v>10148.774330289623</v>
      </c>
      <c r="DA23" s="13">
        <f t="shared" ref="DA23:FL23" si="56">CZ23*(1+$AR$34)</f>
        <v>10047.286586986727</v>
      </c>
      <c r="DB23" s="13">
        <f t="shared" si="56"/>
        <v>9946.8137211168596</v>
      </c>
      <c r="DC23" s="13">
        <f t="shared" si="56"/>
        <v>9847.3455839056915</v>
      </c>
      <c r="DD23" s="13">
        <f t="shared" si="56"/>
        <v>9748.8721280666341</v>
      </c>
      <c r="DE23" s="13">
        <f t="shared" si="56"/>
        <v>9651.383406785968</v>
      </c>
      <c r="DF23" s="13">
        <f t="shared" si="56"/>
        <v>9554.8695727181075</v>
      </c>
      <c r="DG23" s="13">
        <f t="shared" si="56"/>
        <v>9459.320876990927</v>
      </c>
      <c r="DH23" s="13">
        <f t="shared" si="56"/>
        <v>9364.7276682210177</v>
      </c>
      <c r="DI23" s="13">
        <f t="shared" si="56"/>
        <v>9271.0803915388078</v>
      </c>
      <c r="DJ23" s="13">
        <f t="shared" si="56"/>
        <v>9178.3695876234196</v>
      </c>
      <c r="DK23" s="13">
        <f t="shared" si="56"/>
        <v>9086.5858917471851</v>
      </c>
      <c r="DL23" s="13">
        <f t="shared" si="56"/>
        <v>8995.7200328297131</v>
      </c>
      <c r="DM23" s="13">
        <f t="shared" si="56"/>
        <v>8905.7628325014157</v>
      </c>
      <c r="DN23" s="13">
        <f t="shared" si="56"/>
        <v>8816.7052041764018</v>
      </c>
      <c r="DO23" s="13">
        <f t="shared" si="56"/>
        <v>8728.5381521346371</v>
      </c>
      <c r="DP23" s="13">
        <f t="shared" si="56"/>
        <v>8641.2527706132914</v>
      </c>
      <c r="DQ23" s="13">
        <f t="shared" si="56"/>
        <v>8554.8402429071593</v>
      </c>
      <c r="DR23" s="13">
        <f t="shared" si="56"/>
        <v>8469.2918404780885</v>
      </c>
      <c r="DS23" s="13">
        <f t="shared" si="56"/>
        <v>8384.5989220733081</v>
      </c>
      <c r="DT23" s="13">
        <f t="shared" si="56"/>
        <v>8300.7529328525743</v>
      </c>
      <c r="DU23" s="13">
        <f t="shared" si="56"/>
        <v>8217.745403524048</v>
      </c>
      <c r="DV23" s="13">
        <f t="shared" si="56"/>
        <v>8135.5679494888072</v>
      </c>
      <c r="DW23" s="13">
        <f t="shared" si="56"/>
        <v>8054.2122699939191</v>
      </c>
      <c r="DX23" s="13">
        <f t="shared" si="56"/>
        <v>7973.6701472939794</v>
      </c>
      <c r="DY23" s="13">
        <f t="shared" si="56"/>
        <v>7893.9334458210396</v>
      </c>
      <c r="DZ23" s="13">
        <f t="shared" si="56"/>
        <v>7814.9941113628292</v>
      </c>
      <c r="EA23" s="13">
        <f t="shared" si="56"/>
        <v>7736.8441702492009</v>
      </c>
      <c r="EB23" s="13">
        <f t="shared" si="56"/>
        <v>7659.4757285467085</v>
      </c>
      <c r="EC23" s="13">
        <f t="shared" si="56"/>
        <v>7582.880971261241</v>
      </c>
      <c r="ED23" s="13">
        <f t="shared" si="56"/>
        <v>7507.0521615486286</v>
      </c>
      <c r="EE23" s="13">
        <f t="shared" si="56"/>
        <v>7431.9816399331421</v>
      </c>
      <c r="EF23" s="13">
        <f t="shared" si="56"/>
        <v>7357.661823533811</v>
      </c>
      <c r="EG23" s="13">
        <f t="shared" si="56"/>
        <v>7284.0852052984728</v>
      </c>
      <c r="EH23" s="13">
        <f t="shared" si="56"/>
        <v>7211.2443532454881</v>
      </c>
      <c r="EI23" s="13">
        <f t="shared" si="56"/>
        <v>7139.1319097130336</v>
      </c>
      <c r="EJ23" s="13">
        <f t="shared" si="56"/>
        <v>7067.7405906159029</v>
      </c>
      <c r="EK23" s="13">
        <f t="shared" si="56"/>
        <v>6997.0631847097438</v>
      </c>
      <c r="EL23" s="13">
        <f t="shared" si="56"/>
        <v>6927.0925528626467</v>
      </c>
      <c r="EM23" s="13">
        <f t="shared" si="56"/>
        <v>6857.8216273340204</v>
      </c>
      <c r="EN23" s="13">
        <f t="shared" si="56"/>
        <v>6789.24341106068</v>
      </c>
      <c r="EO23" s="13">
        <f t="shared" si="56"/>
        <v>6721.3509769500733</v>
      </c>
      <c r="EP23" s="13">
        <f t="shared" si="56"/>
        <v>6654.1374671805725</v>
      </c>
      <c r="EQ23" s="13">
        <f t="shared" si="56"/>
        <v>6587.5960925087666</v>
      </c>
      <c r="ER23" s="13">
        <f t="shared" si="56"/>
        <v>6521.7201315836792</v>
      </c>
      <c r="ES23" s="13">
        <f t="shared" si="56"/>
        <v>6456.5029302678422</v>
      </c>
      <c r="ET23" s="13">
        <f t="shared" si="56"/>
        <v>6391.9379009651639</v>
      </c>
      <c r="EU23" s="13">
        <f t="shared" si="56"/>
        <v>6328.0185219555124</v>
      </c>
      <c r="EV23" s="13">
        <f t="shared" si="56"/>
        <v>6264.7383367359571</v>
      </c>
      <c r="EW23" s="13">
        <f t="shared" si="56"/>
        <v>6202.0909533685972</v>
      </c>
      <c r="EX23" s="13">
        <f t="shared" si="56"/>
        <v>6140.0700438349113</v>
      </c>
      <c r="EY23" s="13">
        <f t="shared" si="56"/>
        <v>6078.669343396562</v>
      </c>
      <c r="EZ23" s="13">
        <f t="shared" si="56"/>
        <v>6017.8826499625966</v>
      </c>
      <c r="FA23" s="13">
        <f t="shared" si="56"/>
        <v>5957.7038234629708</v>
      </c>
      <c r="FB23" s="13">
        <f t="shared" si="56"/>
        <v>5898.1267852283409</v>
      </c>
      <c r="FC23" s="13">
        <f t="shared" si="56"/>
        <v>5839.1455173760578</v>
      </c>
      <c r="FD23" s="13">
        <f t="shared" si="56"/>
        <v>5780.7540622022971</v>
      </c>
      <c r="FE23" s="13">
        <f t="shared" si="56"/>
        <v>5722.9465215802738</v>
      </c>
      <c r="FF23" s="13">
        <f t="shared" si="56"/>
        <v>5665.7170563644713</v>
      </c>
      <c r="FG23" s="13">
        <f t="shared" si="56"/>
        <v>5609.0598858008261</v>
      </c>
      <c r="FH23" s="13">
        <f t="shared" si="56"/>
        <v>5552.9692869428181</v>
      </c>
      <c r="FI23" s="13">
        <f t="shared" si="56"/>
        <v>5497.4395940733903</v>
      </c>
      <c r="FJ23" s="13">
        <f t="shared" si="56"/>
        <v>5442.465198132656</v>
      </c>
      <c r="FK23" s="13">
        <f t="shared" si="56"/>
        <v>5388.0405461513292</v>
      </c>
      <c r="FL23" s="13">
        <f t="shared" si="56"/>
        <v>5334.1601406898162</v>
      </c>
      <c r="FM23" s="13">
        <f t="shared" ref="FM23:HX23" si="57">FL23*(1+$AR$34)</f>
        <v>5280.8185392829182</v>
      </c>
      <c r="FN23" s="13">
        <f t="shared" si="57"/>
        <v>5228.0103538900894</v>
      </c>
      <c r="FO23" s="13">
        <f t="shared" si="57"/>
        <v>5175.7302503511883</v>
      </c>
      <c r="FP23" s="13">
        <f t="shared" si="57"/>
        <v>5123.9729478476766</v>
      </c>
      <c r="FQ23" s="13">
        <f t="shared" si="57"/>
        <v>5072.7332183691997</v>
      </c>
      <c r="FR23" s="13">
        <f t="shared" si="57"/>
        <v>5022.0058861855077</v>
      </c>
      <c r="FS23" s="13">
        <f t="shared" si="57"/>
        <v>4971.7858273236525</v>
      </c>
      <c r="FT23" s="13">
        <f t="shared" si="57"/>
        <v>4922.0679690504157</v>
      </c>
      <c r="FU23" s="13">
        <f t="shared" si="57"/>
        <v>4872.8472893599119</v>
      </c>
      <c r="FV23" s="13">
        <f t="shared" si="57"/>
        <v>4824.1188164663126</v>
      </c>
      <c r="FW23" s="13">
        <f t="shared" si="57"/>
        <v>4775.8776283016496</v>
      </c>
      <c r="FX23" s="13">
        <f t="shared" si="57"/>
        <v>4728.1188520186333</v>
      </c>
      <c r="FY23" s="13">
        <f t="shared" si="57"/>
        <v>4680.837663498447</v>
      </c>
      <c r="FZ23" s="13">
        <f t="shared" si="57"/>
        <v>4634.0292868634624</v>
      </c>
      <c r="GA23" s="13">
        <f t="shared" si="57"/>
        <v>4587.6889939948278</v>
      </c>
      <c r="GB23" s="13">
        <f t="shared" si="57"/>
        <v>4541.8121040548795</v>
      </c>
      <c r="GC23" s="13">
        <f t="shared" si="57"/>
        <v>4496.3939830143308</v>
      </c>
      <c r="GD23" s="13">
        <f t="shared" si="57"/>
        <v>4451.4300431841875</v>
      </c>
      <c r="GE23" s="13">
        <f t="shared" si="57"/>
        <v>4406.915742752346</v>
      </c>
      <c r="GF23" s="13">
        <f t="shared" si="57"/>
        <v>4362.8465853248226</v>
      </c>
      <c r="GG23" s="13">
        <f t="shared" si="57"/>
        <v>4319.218119471574</v>
      </c>
      <c r="GH23" s="13">
        <f t="shared" si="57"/>
        <v>4276.0259382768581</v>
      </c>
      <c r="GI23" s="13">
        <f t="shared" si="57"/>
        <v>4233.2656788940894</v>
      </c>
      <c r="GJ23" s="13">
        <f t="shared" si="57"/>
        <v>4190.9330221051487</v>
      </c>
      <c r="GK23" s="13">
        <f t="shared" si="57"/>
        <v>4149.0236918840974</v>
      </c>
      <c r="GL23" s="13">
        <f t="shared" si="57"/>
        <v>4107.5334549652562</v>
      </c>
      <c r="GM23" s="13">
        <f t="shared" si="57"/>
        <v>4066.4581204156034</v>
      </c>
      <c r="GN23" s="13">
        <f t="shared" si="57"/>
        <v>4025.7935392114473</v>
      </c>
      <c r="GO23" s="13">
        <f t="shared" si="57"/>
        <v>3985.5356038193327</v>
      </c>
      <c r="GP23" s="13">
        <f t="shared" si="57"/>
        <v>3945.6802477811393</v>
      </c>
      <c r="GQ23" s="13">
        <f t="shared" si="57"/>
        <v>3906.2234453033279</v>
      </c>
      <c r="GR23" s="13">
        <f t="shared" si="57"/>
        <v>3867.1612108502945</v>
      </c>
      <c r="GS23" s="13">
        <f t="shared" si="57"/>
        <v>3828.4895987417917</v>
      </c>
      <c r="GT23" s="13">
        <f t="shared" si="57"/>
        <v>3790.2047027543736</v>
      </c>
      <c r="GU23" s="13">
        <f t="shared" si="57"/>
        <v>3752.3026557268299</v>
      </c>
      <c r="GV23" s="13">
        <f t="shared" si="57"/>
        <v>3714.7796291695618</v>
      </c>
      <c r="GW23" s="13">
        <f t="shared" si="57"/>
        <v>3677.6318328778661</v>
      </c>
      <c r="GX23" s="13">
        <f t="shared" si="57"/>
        <v>3640.8555145490873</v>
      </c>
      <c r="GY23" s="13">
        <f t="shared" si="57"/>
        <v>3604.4469594035963</v>
      </c>
      <c r="GZ23" s="13">
        <f t="shared" si="57"/>
        <v>3568.4024898095604</v>
      </c>
      <c r="HA23" s="13">
        <f t="shared" si="57"/>
        <v>3532.7184649114647</v>
      </c>
      <c r="HB23" s="13">
        <f t="shared" si="57"/>
        <v>3497.3912802623499</v>
      </c>
      <c r="HC23" s="13">
        <f t="shared" si="57"/>
        <v>3462.4173674597264</v>
      </c>
      <c r="HD23" s="13">
        <f t="shared" si="57"/>
        <v>3427.793193785129</v>
      </c>
      <c r="HE23" s="13">
        <f t="shared" si="57"/>
        <v>3393.5152618472775</v>
      </c>
      <c r="HF23" s="13">
        <f t="shared" si="57"/>
        <v>3359.5801092288048</v>
      </c>
      <c r="HG23" s="13">
        <f t="shared" si="57"/>
        <v>3325.9843081365166</v>
      </c>
      <c r="HH23" s="13">
        <f t="shared" si="57"/>
        <v>3292.7244650551515</v>
      </c>
      <c r="HI23" s="13">
        <f t="shared" si="57"/>
        <v>3259.7972204046</v>
      </c>
      <c r="HJ23" s="13">
        <f t="shared" si="57"/>
        <v>3227.1992482005539</v>
      </c>
      <c r="HK23" s="13">
        <f t="shared" si="57"/>
        <v>3194.9272557185482</v>
      </c>
      <c r="HL23" s="13">
        <f t="shared" si="57"/>
        <v>3162.9779831613628</v>
      </c>
      <c r="HM23" s="13">
        <f t="shared" si="57"/>
        <v>3131.3482033297491</v>
      </c>
      <c r="HN23" s="13">
        <f t="shared" si="57"/>
        <v>3100.0347212964516</v>
      </c>
      <c r="HO23" s="13">
        <f t="shared" si="57"/>
        <v>3069.0343740834869</v>
      </c>
      <c r="HP23" s="13">
        <f t="shared" si="57"/>
        <v>3038.3440303426519</v>
      </c>
      <c r="HQ23" s="13">
        <f t="shared" si="57"/>
        <v>3007.9605900392253</v>
      </c>
      <c r="HR23" s="13">
        <f t="shared" si="57"/>
        <v>2977.8809841388329</v>
      </c>
      <c r="HS23" s="13">
        <f t="shared" si="57"/>
        <v>2948.1021742974444</v>
      </c>
      <c r="HT23" s="13">
        <f t="shared" si="57"/>
        <v>2918.62115255447</v>
      </c>
      <c r="HU23" s="13">
        <f t="shared" si="57"/>
        <v>2889.4349410289251</v>
      </c>
      <c r="HV23" s="13">
        <f t="shared" si="57"/>
        <v>2860.540591618636</v>
      </c>
      <c r="HW23" s="13">
        <f t="shared" si="57"/>
        <v>2831.9351857024494</v>
      </c>
      <c r="HX23" s="13">
        <f t="shared" si="57"/>
        <v>2803.6158338454247</v>
      </c>
      <c r="HY23" s="13">
        <f t="shared" ref="HY23:KJ23" si="58">HX23*(1+$AR$34)</f>
        <v>2775.5796755069705</v>
      </c>
      <c r="HZ23" s="13">
        <f t="shared" si="58"/>
        <v>2747.8238787519008</v>
      </c>
      <c r="IA23" s="13">
        <f t="shared" si="58"/>
        <v>2720.3456399643819</v>
      </c>
      <c r="IB23" s="13">
        <f t="shared" si="58"/>
        <v>2693.1421835647379</v>
      </c>
      <c r="IC23" s="13">
        <f t="shared" si="58"/>
        <v>2666.2107617290903</v>
      </c>
      <c r="ID23" s="13">
        <f t="shared" si="58"/>
        <v>2639.5486541117994</v>
      </c>
      <c r="IE23" s="13">
        <f t="shared" si="58"/>
        <v>2613.1531675706815</v>
      </c>
      <c r="IF23" s="13">
        <f t="shared" si="58"/>
        <v>2587.0216358949747</v>
      </c>
      <c r="IG23" s="13">
        <f t="shared" si="58"/>
        <v>2561.1514195360251</v>
      </c>
      <c r="IH23" s="13">
        <f t="shared" si="58"/>
        <v>2535.539905340665</v>
      </c>
      <c r="II23" s="13">
        <f t="shared" si="58"/>
        <v>2510.1845062872585</v>
      </c>
      <c r="IJ23" s="13">
        <f t="shared" si="58"/>
        <v>2485.0826612243859</v>
      </c>
      <c r="IK23" s="13">
        <f t="shared" si="58"/>
        <v>2460.2318346121419</v>
      </c>
      <c r="IL23" s="13">
        <f t="shared" si="58"/>
        <v>2435.6295162660203</v>
      </c>
      <c r="IM23" s="13">
        <f t="shared" si="58"/>
        <v>2411.2732211033599</v>
      </c>
      <c r="IN23" s="13">
        <f t="shared" si="58"/>
        <v>2387.1604888923262</v>
      </c>
      <c r="IO23" s="13">
        <f t="shared" si="58"/>
        <v>2363.2888840034029</v>
      </c>
      <c r="IP23" s="13">
        <f t="shared" si="58"/>
        <v>2339.655995163369</v>
      </c>
      <c r="IQ23" s="13">
        <f t="shared" si="58"/>
        <v>2316.2594352117353</v>
      </c>
      <c r="IR23" s="13">
        <f t="shared" si="58"/>
        <v>2293.0968408596177</v>
      </c>
      <c r="IS23" s="13">
        <f t="shared" si="58"/>
        <v>2270.1658724510216</v>
      </c>
      <c r="IT23" s="13">
        <f t="shared" si="58"/>
        <v>2247.4642137265114</v>
      </c>
      <c r="IU23" s="13">
        <f t="shared" si="58"/>
        <v>2224.9895715892462</v>
      </c>
      <c r="IV23" s="13">
        <f t="shared" si="58"/>
        <v>2202.7396758733539</v>
      </c>
      <c r="IW23" s="13">
        <f t="shared" si="58"/>
        <v>2180.7122791146203</v>
      </c>
      <c r="IX23" s="13">
        <f t="shared" si="58"/>
        <v>2158.9051563234739</v>
      </c>
      <c r="IY23" s="13">
        <f t="shared" si="58"/>
        <v>2137.3161047602393</v>
      </c>
      <c r="IZ23" s="13">
        <f t="shared" si="58"/>
        <v>2115.9429437126369</v>
      </c>
      <c r="JA23" s="13">
        <f t="shared" si="58"/>
        <v>2094.7835142755107</v>
      </c>
      <c r="JB23" s="13">
        <f t="shared" si="58"/>
        <v>2073.8356791327556</v>
      </c>
      <c r="JC23" s="13">
        <f t="shared" si="58"/>
        <v>2053.097322341428</v>
      </c>
      <c r="JD23" s="13">
        <f t="shared" si="58"/>
        <v>2032.5663491180137</v>
      </c>
      <c r="JE23" s="13">
        <f t="shared" si="58"/>
        <v>2012.2406856268335</v>
      </c>
      <c r="JF23" s="13">
        <f t="shared" si="58"/>
        <v>1992.1182787705652</v>
      </c>
      <c r="JG23" s="13">
        <f t="shared" si="58"/>
        <v>1972.1970959828595</v>
      </c>
      <c r="JH23" s="13">
        <f t="shared" si="58"/>
        <v>1952.4751250230308</v>
      </c>
      <c r="JI23" s="13">
        <f t="shared" si="58"/>
        <v>1932.9503737728005</v>
      </c>
      <c r="JJ23" s="13">
        <f t="shared" si="58"/>
        <v>1913.6208700350726</v>
      </c>
      <c r="JK23" s="13">
        <f t="shared" si="58"/>
        <v>1894.4846613347217</v>
      </c>
      <c r="JL23" s="13">
        <f t="shared" si="58"/>
        <v>1875.5398147213746</v>
      </c>
      <c r="JM23" s="13">
        <f t="shared" si="58"/>
        <v>1856.7844165741608</v>
      </c>
      <c r="JN23" s="13">
        <f t="shared" si="58"/>
        <v>1838.2165724084191</v>
      </c>
      <c r="JO23" s="13">
        <f t="shared" si="58"/>
        <v>1819.8344066843349</v>
      </c>
      <c r="JP23" s="13">
        <f t="shared" si="58"/>
        <v>1801.6360626174915</v>
      </c>
      <c r="JQ23" s="13">
        <f t="shared" si="58"/>
        <v>1783.6197019913166</v>
      </c>
      <c r="JR23" s="13">
        <f t="shared" si="58"/>
        <v>1765.7835049714033</v>
      </c>
      <c r="JS23" s="13">
        <f t="shared" si="58"/>
        <v>1748.1256699216892</v>
      </c>
      <c r="JT23" s="13">
        <f t="shared" si="58"/>
        <v>1730.6444132224724</v>
      </c>
      <c r="JU23" s="13">
        <f t="shared" si="58"/>
        <v>1713.3379690902477</v>
      </c>
      <c r="JV23" s="13">
        <f t="shared" si="58"/>
        <v>1696.2045893993452</v>
      </c>
      <c r="JW23" s="13">
        <f t="shared" si="58"/>
        <v>1679.2425435053517</v>
      </c>
      <c r="JX23" s="13">
        <f t="shared" si="58"/>
        <v>1662.4501180702982</v>
      </c>
      <c r="JY23" s="13">
        <f t="shared" si="58"/>
        <v>1645.8256168895953</v>
      </c>
      <c r="JZ23" s="13">
        <f t="shared" si="58"/>
        <v>1629.3673607206993</v>
      </c>
      <c r="KA23" s="13">
        <f t="shared" si="58"/>
        <v>1613.0736871134923</v>
      </c>
      <c r="KB23" s="13">
        <f t="shared" si="58"/>
        <v>1596.9429502423573</v>
      </c>
      <c r="KC23" s="13">
        <f t="shared" si="58"/>
        <v>1580.9735207399337</v>
      </c>
      <c r="KD23" s="13">
        <f t="shared" si="58"/>
        <v>1565.1637855325343</v>
      </c>
      <c r="KE23" s="13">
        <f t="shared" si="58"/>
        <v>1549.512147677209</v>
      </c>
      <c r="KF23" s="13">
        <f t="shared" si="58"/>
        <v>1534.0170262004369</v>
      </c>
      <c r="KG23" s="13">
        <f t="shared" si="58"/>
        <v>1518.6768559384325</v>
      </c>
      <c r="KH23" s="13">
        <f t="shared" si="58"/>
        <v>1503.4900873790482</v>
      </c>
      <c r="KI23" s="13">
        <f t="shared" si="58"/>
        <v>1488.4551865052576</v>
      </c>
      <c r="KJ23" s="13">
        <f t="shared" si="58"/>
        <v>1473.5706346402051</v>
      </c>
      <c r="KK23" s="13">
        <f t="shared" ref="KK23:MV23" si="59">KJ23*(1+$AR$34)</f>
        <v>1458.8349282938029</v>
      </c>
      <c r="KL23" s="13">
        <f t="shared" si="59"/>
        <v>1444.2465790108649</v>
      </c>
      <c r="KM23" s="13">
        <f t="shared" si="59"/>
        <v>1429.8041132207563</v>
      </c>
      <c r="KN23" s="13">
        <f t="shared" si="59"/>
        <v>1415.5060720885488</v>
      </c>
      <c r="KO23" s="13">
        <f t="shared" si="59"/>
        <v>1401.3510113676632</v>
      </c>
      <c r="KP23" s="13">
        <f t="shared" si="59"/>
        <v>1387.3375012539866</v>
      </c>
      <c r="KQ23" s="13">
        <f t="shared" si="59"/>
        <v>1373.4641262414468</v>
      </c>
      <c r="KR23" s="13">
        <f t="shared" si="59"/>
        <v>1359.7294849790323</v>
      </c>
      <c r="KS23" s="13">
        <f t="shared" si="59"/>
        <v>1346.132190129242</v>
      </c>
      <c r="KT23" s="13">
        <f t="shared" si="59"/>
        <v>1332.6708682279495</v>
      </c>
      <c r="KU23" s="13">
        <f t="shared" si="59"/>
        <v>1319.34415954567</v>
      </c>
      <c r="KV23" s="13">
        <f t="shared" si="59"/>
        <v>1306.1507179502132</v>
      </c>
      <c r="KW23" s="13">
        <f t="shared" si="59"/>
        <v>1293.0892107707111</v>
      </c>
      <c r="KX23" s="13">
        <f t="shared" si="59"/>
        <v>1280.1583186630039</v>
      </c>
      <c r="KY23" s="13">
        <f t="shared" si="59"/>
        <v>1267.3567354763738</v>
      </c>
      <c r="KZ23" s="13">
        <f t="shared" si="59"/>
        <v>1254.6831681216102</v>
      </c>
      <c r="LA23" s="13">
        <f t="shared" si="59"/>
        <v>1242.136336440394</v>
      </c>
      <c r="LB23" s="13">
        <f t="shared" si="59"/>
        <v>1229.71497307599</v>
      </c>
      <c r="LC23" s="13">
        <f t="shared" si="59"/>
        <v>1217.4178233452301</v>
      </c>
      <c r="LD23" s="13">
        <f t="shared" si="59"/>
        <v>1205.2436451117778</v>
      </c>
      <c r="LE23" s="13">
        <f t="shared" si="59"/>
        <v>1193.1912086606601</v>
      </c>
      <c r="LF23" s="13">
        <f t="shared" si="59"/>
        <v>1181.2592965740535</v>
      </c>
      <c r="LG23" s="13">
        <f t="shared" si="59"/>
        <v>1169.4467036083129</v>
      </c>
      <c r="LH23" s="13">
        <f t="shared" si="59"/>
        <v>1157.7522365722298</v>
      </c>
      <c r="LI23" s="13">
        <f t="shared" si="59"/>
        <v>1146.1747142065074</v>
      </c>
      <c r="LJ23" s="13">
        <f t="shared" si="59"/>
        <v>1134.7129670644422</v>
      </c>
      <c r="LK23" s="13">
        <f t="shared" si="59"/>
        <v>1123.3658373937978</v>
      </c>
      <c r="LL23" s="13">
        <f t="shared" si="59"/>
        <v>1112.1321790198599</v>
      </c>
      <c r="LM23" s="13">
        <f t="shared" si="59"/>
        <v>1101.0108572296613</v>
      </c>
      <c r="LN23" s="13">
        <f t="shared" si="59"/>
        <v>1090.0007486573647</v>
      </c>
      <c r="LO23" s="13">
        <f t="shared" si="59"/>
        <v>1079.100741170791</v>
      </c>
      <c r="LP23" s="13">
        <f t="shared" si="59"/>
        <v>1068.3097337590832</v>
      </c>
      <c r="LQ23" s="13">
        <f t="shared" si="59"/>
        <v>1057.6266364214923</v>
      </c>
      <c r="LR23" s="13">
        <f t="shared" si="59"/>
        <v>1047.0503700572774</v>
      </c>
      <c r="LS23" s="13">
        <f t="shared" si="59"/>
        <v>1036.5798663567045</v>
      </c>
      <c r="LT23" s="13">
        <f t="shared" si="59"/>
        <v>1026.2140676931374</v>
      </c>
      <c r="LU23" s="13">
        <f t="shared" si="59"/>
        <v>1015.951927016206</v>
      </c>
      <c r="LV23" s="13">
        <f t="shared" si="59"/>
        <v>1005.792407746044</v>
      </c>
      <c r="LW23" s="13">
        <f t="shared" si="59"/>
        <v>995.73448366858349</v>
      </c>
      <c r="LX23" s="13">
        <f t="shared" si="59"/>
        <v>985.77713883189767</v>
      </c>
      <c r="LY23" s="13">
        <f t="shared" si="59"/>
        <v>975.91936744357872</v>
      </c>
      <c r="LZ23" s="13">
        <f t="shared" si="59"/>
        <v>966.16017376914294</v>
      </c>
      <c r="MA23" s="13">
        <f t="shared" si="59"/>
        <v>956.49857203145154</v>
      </c>
      <c r="MB23" s="13">
        <f t="shared" si="59"/>
        <v>946.93358631113699</v>
      </c>
      <c r="MC23" s="13">
        <f t="shared" si="59"/>
        <v>937.46425044802561</v>
      </c>
      <c r="MD23" s="13">
        <f t="shared" si="59"/>
        <v>928.08960794354539</v>
      </c>
      <c r="ME23" s="13">
        <f t="shared" si="59"/>
        <v>918.80871186410991</v>
      </c>
      <c r="MF23" s="13">
        <f t="shared" si="59"/>
        <v>909.62062474546883</v>
      </c>
      <c r="MG23" s="13">
        <f t="shared" si="59"/>
        <v>900.52441849801414</v>
      </c>
      <c r="MH23" s="13">
        <f t="shared" si="59"/>
        <v>891.519174313034</v>
      </c>
      <c r="MI23" s="13">
        <f t="shared" si="59"/>
        <v>882.60398256990368</v>
      </c>
      <c r="MJ23" s="13">
        <f t="shared" si="59"/>
        <v>873.77794274420467</v>
      </c>
      <c r="MK23" s="13">
        <f t="shared" si="59"/>
        <v>865.04016331676257</v>
      </c>
      <c r="ML23" s="13">
        <f t="shared" si="59"/>
        <v>856.38976168359488</v>
      </c>
      <c r="MM23" s="13">
        <f t="shared" si="59"/>
        <v>847.82586406675898</v>
      </c>
      <c r="MN23" s="13">
        <f t="shared" si="59"/>
        <v>839.34760542609138</v>
      </c>
      <c r="MO23" s="13">
        <f t="shared" si="59"/>
        <v>830.9541293718305</v>
      </c>
      <c r="MP23" s="13">
        <f t="shared" si="59"/>
        <v>822.64458807811218</v>
      </c>
      <c r="MQ23" s="13">
        <f t="shared" si="59"/>
        <v>814.41814219733101</v>
      </c>
      <c r="MR23" s="13">
        <f t="shared" si="59"/>
        <v>806.27396077535764</v>
      </c>
      <c r="MS23" s="13">
        <f t="shared" si="59"/>
        <v>798.21122116760409</v>
      </c>
      <c r="MT23" s="13">
        <f t="shared" si="59"/>
        <v>790.22910895592804</v>
      </c>
      <c r="MU23" s="13">
        <f t="shared" si="59"/>
        <v>782.32681786636874</v>
      </c>
      <c r="MV23" s="13">
        <f t="shared" si="59"/>
        <v>774.503549687705</v>
      </c>
      <c r="MW23" s="13">
        <f t="shared" ref="MW23:PH23" si="60">MV23*(1+$AR$34)</f>
        <v>766.7585141908279</v>
      </c>
      <c r="MX23" s="13">
        <f t="shared" si="60"/>
        <v>759.09092904891963</v>
      </c>
      <c r="MY23" s="13">
        <f t="shared" si="60"/>
        <v>751.50001975843043</v>
      </c>
      <c r="MZ23" s="13">
        <f t="shared" si="60"/>
        <v>743.98501956084613</v>
      </c>
      <c r="NA23" s="13">
        <f t="shared" si="60"/>
        <v>736.54516936523771</v>
      </c>
      <c r="NB23" s="13">
        <f t="shared" si="60"/>
        <v>729.17971767158531</v>
      </c>
      <c r="NC23" s="13">
        <f t="shared" si="60"/>
        <v>721.88792049486949</v>
      </c>
      <c r="ND23" s="13">
        <f t="shared" si="60"/>
        <v>714.66904128992076</v>
      </c>
      <c r="NE23" s="13">
        <f t="shared" si="60"/>
        <v>707.52235087702149</v>
      </c>
      <c r="NF23" s="13">
        <f t="shared" si="60"/>
        <v>700.44712736825124</v>
      </c>
      <c r="NG23" s="13">
        <f t="shared" si="60"/>
        <v>693.44265609456875</v>
      </c>
      <c r="NH23" s="13">
        <f t="shared" si="60"/>
        <v>686.50822953362308</v>
      </c>
      <c r="NI23" s="13">
        <f t="shared" si="60"/>
        <v>679.64314723828682</v>
      </c>
      <c r="NJ23" s="13">
        <f t="shared" si="60"/>
        <v>672.84671576590392</v>
      </c>
      <c r="NK23" s="13">
        <f t="shared" si="60"/>
        <v>666.11824860824493</v>
      </c>
      <c r="NL23" s="13">
        <f t="shared" si="60"/>
        <v>659.45706612216247</v>
      </c>
      <c r="NM23" s="13">
        <f t="shared" si="60"/>
        <v>652.86249546094086</v>
      </c>
      <c r="NN23" s="13">
        <f t="shared" si="60"/>
        <v>646.33387050633144</v>
      </c>
      <c r="NO23" s="13">
        <f t="shared" si="60"/>
        <v>639.87053180126816</v>
      </c>
      <c r="NP23" s="13">
        <f t="shared" si="60"/>
        <v>633.47182648325543</v>
      </c>
      <c r="NQ23" s="13">
        <f t="shared" si="60"/>
        <v>627.1371082184229</v>
      </c>
      <c r="NR23" s="13">
        <f t="shared" si="60"/>
        <v>620.86573713623864</v>
      </c>
      <c r="NS23" s="13">
        <f t="shared" si="60"/>
        <v>614.65707976487624</v>
      </c>
      <c r="NT23" s="13">
        <f t="shared" si="60"/>
        <v>608.51050896722745</v>
      </c>
      <c r="NU23" s="13">
        <f t="shared" si="60"/>
        <v>602.42540387755514</v>
      </c>
      <c r="NV23" s="13">
        <f t="shared" si="60"/>
        <v>596.40114983877959</v>
      </c>
      <c r="NW23" s="13">
        <f t="shared" si="60"/>
        <v>590.43713834039181</v>
      </c>
      <c r="NX23" s="13">
        <f t="shared" si="60"/>
        <v>584.53276695698787</v>
      </c>
      <c r="NY23" s="13">
        <f t="shared" si="60"/>
        <v>578.68743928741799</v>
      </c>
      <c r="NZ23" s="13">
        <f t="shared" si="60"/>
        <v>572.90056489454378</v>
      </c>
      <c r="OA23" s="13">
        <f t="shared" si="60"/>
        <v>567.17155924559836</v>
      </c>
      <c r="OB23" s="13">
        <f t="shared" si="60"/>
        <v>561.49984365314242</v>
      </c>
      <c r="OC23" s="13">
        <f t="shared" si="60"/>
        <v>555.88484521661098</v>
      </c>
      <c r="OD23" s="13">
        <f t="shared" si="60"/>
        <v>550.32599676444488</v>
      </c>
      <c r="OE23" s="13">
        <f t="shared" si="60"/>
        <v>544.82273679680043</v>
      </c>
      <c r="OF23" s="13">
        <f t="shared" si="60"/>
        <v>539.37450942883243</v>
      </c>
      <c r="OG23" s="13">
        <f t="shared" si="60"/>
        <v>533.98076433454412</v>
      </c>
      <c r="OH23" s="13">
        <f t="shared" si="60"/>
        <v>528.64095669119865</v>
      </c>
      <c r="OI23" s="13">
        <f t="shared" si="60"/>
        <v>523.35454712428668</v>
      </c>
      <c r="OJ23" s="13">
        <f t="shared" si="60"/>
        <v>518.12100165304378</v>
      </c>
      <c r="OK23" s="13">
        <f t="shared" si="60"/>
        <v>512.93979163651329</v>
      </c>
      <c r="OL23" s="13">
        <f t="shared" si="60"/>
        <v>507.81039372014817</v>
      </c>
      <c r="OM23" s="13">
        <f t="shared" si="60"/>
        <v>502.73228978294668</v>
      </c>
      <c r="ON23" s="13">
        <f t="shared" si="60"/>
        <v>497.70496688511719</v>
      </c>
      <c r="OO23" s="13">
        <f t="shared" si="60"/>
        <v>492.72791721626601</v>
      </c>
      <c r="OP23" s="13">
        <f t="shared" si="60"/>
        <v>487.80063804410332</v>
      </c>
      <c r="OQ23" s="13">
        <f t="shared" si="60"/>
        <v>482.92263166366229</v>
      </c>
      <c r="OR23" s="13">
        <f t="shared" si="60"/>
        <v>478.09340534702568</v>
      </c>
      <c r="OS23" s="13">
        <f t="shared" si="60"/>
        <v>473.3124712935554</v>
      </c>
      <c r="OT23" s="13">
        <f t="shared" si="60"/>
        <v>468.57934658061987</v>
      </c>
      <c r="OU23" s="13">
        <f t="shared" si="60"/>
        <v>463.89355311481364</v>
      </c>
      <c r="OV23" s="13">
        <f t="shared" si="60"/>
        <v>459.25461758366549</v>
      </c>
      <c r="OW23" s="13">
        <f t="shared" si="60"/>
        <v>454.66207140782882</v>
      </c>
      <c r="OX23" s="13">
        <f t="shared" si="60"/>
        <v>450.11545069375052</v>
      </c>
      <c r="OY23" s="13">
        <f t="shared" si="60"/>
        <v>445.61429618681302</v>
      </c>
      <c r="OZ23" s="13">
        <f t="shared" si="60"/>
        <v>441.1581532249449</v>
      </c>
      <c r="PA23" s="13">
        <f t="shared" si="60"/>
        <v>436.74657169269545</v>
      </c>
      <c r="PB23" s="13">
        <f t="shared" si="60"/>
        <v>432.37910597576848</v>
      </c>
      <c r="PC23" s="13">
        <f t="shared" si="60"/>
        <v>428.05531491601079</v>
      </c>
      <c r="PD23" s="13">
        <f t="shared" si="60"/>
        <v>423.7747617668507</v>
      </c>
      <c r="PE23" s="13">
        <f t="shared" si="60"/>
        <v>419.5370141491822</v>
      </c>
      <c r="PF23" s="13">
        <f t="shared" si="60"/>
        <v>415.34164400769038</v>
      </c>
      <c r="PG23" s="13">
        <f t="shared" si="60"/>
        <v>411.18822756761347</v>
      </c>
      <c r="PH23" s="13">
        <f t="shared" si="60"/>
        <v>407.07634529193734</v>
      </c>
      <c r="PI23" s="13">
        <f t="shared" ref="PI23:PP23" si="61">PH23*(1+$AR$34)</f>
        <v>403.00558183901796</v>
      </c>
      <c r="PJ23" s="13">
        <f t="shared" si="61"/>
        <v>398.9755260206278</v>
      </c>
      <c r="PK23" s="13">
        <f t="shared" si="61"/>
        <v>394.98577076042153</v>
      </c>
      <c r="PL23" s="13">
        <f t="shared" si="61"/>
        <v>391.03591305281731</v>
      </c>
      <c r="PM23" s="13">
        <f t="shared" si="61"/>
        <v>387.12555392228916</v>
      </c>
      <c r="PN23" s="13">
        <f t="shared" si="61"/>
        <v>383.25429838306627</v>
      </c>
      <c r="PO23" s="13">
        <f t="shared" si="61"/>
        <v>379.42175539923562</v>
      </c>
      <c r="PP23" s="13">
        <f t="shared" si="61"/>
        <v>375.62753784524324</v>
      </c>
    </row>
    <row r="24" spans="1:432 16384:16384" x14ac:dyDescent="0.2">
      <c r="B24" s="36" t="s">
        <v>3</v>
      </c>
      <c r="C24" s="3">
        <v>3047</v>
      </c>
      <c r="D24" s="3">
        <v>3021</v>
      </c>
      <c r="E24" s="3">
        <v>2996</v>
      </c>
      <c r="F24" s="3">
        <v>2978</v>
      </c>
      <c r="G24" s="3">
        <v>2967</v>
      </c>
      <c r="H24" s="3">
        <v>2960</v>
      </c>
      <c r="I24" s="3">
        <v>2941</v>
      </c>
      <c r="J24" s="3">
        <v>2914</v>
      </c>
      <c r="K24" s="3">
        <v>2886</v>
      </c>
      <c r="L24" s="3">
        <v>2869</v>
      </c>
      <c r="M24" s="3">
        <v>2861</v>
      </c>
      <c r="N24" s="3">
        <v>2855</v>
      </c>
      <c r="O24" s="3">
        <v>2849</v>
      </c>
      <c r="P24" s="3">
        <v>2848</v>
      </c>
      <c r="Q24" s="3">
        <v>2849</v>
      </c>
      <c r="R24" s="3">
        <v>2826</v>
      </c>
      <c r="S24" s="3">
        <v>2829</v>
      </c>
      <c r="T24" s="3">
        <v>2812</v>
      </c>
      <c r="U24" s="3">
        <v>2797</v>
      </c>
      <c r="V24" s="3">
        <v>2782</v>
      </c>
      <c r="W24" s="3">
        <v>2765</v>
      </c>
      <c r="X24" s="3">
        <f t="shared" ref="X24:Z24" si="62">T24*0.98</f>
        <v>2755.7599999999998</v>
      </c>
      <c r="Y24" s="3">
        <f t="shared" si="62"/>
        <v>2741.06</v>
      </c>
      <c r="Z24" s="3">
        <f t="shared" si="62"/>
        <v>2726.36</v>
      </c>
      <c r="AE24" s="3">
        <f>F24</f>
        <v>2978</v>
      </c>
      <c r="AF24" s="3">
        <f>J24</f>
        <v>2914</v>
      </c>
      <c r="AG24" s="3">
        <f>N24</f>
        <v>2855</v>
      </c>
      <c r="AH24" s="3">
        <f>R24</f>
        <v>2826</v>
      </c>
      <c r="AI24" s="3">
        <f>V24</f>
        <v>2782</v>
      </c>
      <c r="AJ24" s="3">
        <f>Z24</f>
        <v>2726.36</v>
      </c>
      <c r="AK24" s="3">
        <f t="shared" ref="AK24:AL24" si="63">AJ24*0.99</f>
        <v>2699.0963999999999</v>
      </c>
      <c r="AL24" s="3">
        <f t="shared" si="63"/>
        <v>2672.1054359999998</v>
      </c>
      <c r="AM24" s="3">
        <f t="shared" ref="AM24" si="64">AL24*0.99</f>
        <v>2645.3843816399999</v>
      </c>
      <c r="AN24" s="3">
        <f t="shared" ref="AN24" si="65">AM24*0.99</f>
        <v>2618.9305378235999</v>
      </c>
    </row>
    <row r="25" spans="1:432 16384:16384" x14ac:dyDescent="0.2">
      <c r="B25" s="36" t="s">
        <v>30</v>
      </c>
      <c r="C25" s="14">
        <f>C23/C24</f>
        <v>0.99737446668854612</v>
      </c>
      <c r="D25" s="14">
        <f>D23/D24</f>
        <v>0.95961602118503808</v>
      </c>
      <c r="E25" s="14">
        <f>E23/E24</f>
        <v>0.58377837116154874</v>
      </c>
      <c r="F25" s="14">
        <f>F23/F24</f>
        <v>0.73035594358629952</v>
      </c>
      <c r="G25" s="14">
        <f t="shared" ref="G25:H25" si="66">G23/G24</f>
        <v>0.71924502864846651</v>
      </c>
      <c r="H25" s="14">
        <f t="shared" si="66"/>
        <v>-0.29087837837837838</v>
      </c>
      <c r="I25" s="14">
        <f t="shared" ref="I25:P25" si="67">I23/I24</f>
        <v>0.58143488609316563</v>
      </c>
      <c r="J25" s="14">
        <f t="shared" si="67"/>
        <v>1.2652711050102952</v>
      </c>
      <c r="K25" s="14">
        <f t="shared" si="67"/>
        <v>1.3312543312543312</v>
      </c>
      <c r="L25" s="14">
        <f t="shared" si="67"/>
        <v>1.2582781456953642</v>
      </c>
      <c r="M25" s="14">
        <f t="shared" si="67"/>
        <v>1.1492485145054177</v>
      </c>
      <c r="N25" s="14">
        <f t="shared" si="67"/>
        <v>1.4504378283712784</v>
      </c>
      <c r="O25" s="14">
        <f t="shared" si="67"/>
        <v>1.4004914004914004</v>
      </c>
      <c r="P25" s="14">
        <f t="shared" si="67"/>
        <v>2.273876404494382</v>
      </c>
      <c r="Q25" s="14">
        <f t="shared" ref="Q25:Z25" si="68">Q23/Q24</f>
        <v>1.8023868023868024</v>
      </c>
      <c r="R25" s="14">
        <f t="shared" si="68"/>
        <v>-0.73991507430997872</v>
      </c>
      <c r="S25" s="14">
        <f t="shared" si="68"/>
        <v>0.96500530222693526</v>
      </c>
      <c r="T25" s="14">
        <f t="shared" si="68"/>
        <v>1.5206258890469417</v>
      </c>
      <c r="U25" s="14">
        <f t="shared" si="68"/>
        <v>1.1101179835538078</v>
      </c>
      <c r="V25" s="14">
        <f t="shared" si="68"/>
        <v>1.280373831775701</v>
      </c>
      <c r="W25" s="14">
        <f t="shared" si="68"/>
        <v>0.74285714285714288</v>
      </c>
      <c r="X25" s="14">
        <f t="shared" si="68"/>
        <v>1.2864336879844402</v>
      </c>
      <c r="Y25" s="14">
        <f t="shared" si="68"/>
        <v>1.7643603204599683</v>
      </c>
      <c r="Z25" s="14">
        <f t="shared" si="68"/>
        <v>1.2608532989040315</v>
      </c>
      <c r="AE25" s="14">
        <f>AE23/AE24</f>
        <v>3.3116185359301546</v>
      </c>
      <c r="AF25" s="14">
        <f>AF23/AF24</f>
        <v>2.2889498970487301</v>
      </c>
      <c r="AG25" s="14">
        <f>AG23/AG24</f>
        <v>5.2122591943957968</v>
      </c>
      <c r="AH25" s="14">
        <f>AH23/AH24</f>
        <v>4.780608634111819</v>
      </c>
      <c r="AI25" s="14">
        <f t="shared" ref="AI25:AL25" si="69">AI23/AI24</f>
        <v>4.9148094895758447</v>
      </c>
      <c r="AJ25" s="14">
        <f t="shared" si="69"/>
        <v>5.0884182573101144</v>
      </c>
      <c r="AK25" s="14">
        <f t="shared" si="69"/>
        <v>5.6976385319175709</v>
      </c>
      <c r="AL25" s="14">
        <f t="shared" si="69"/>
        <v>6.219859445321676</v>
      </c>
      <c r="AM25" s="14">
        <f t="shared" ref="AM25:AN25" si="70">AM23/AM24</f>
        <v>6.7840343305021582</v>
      </c>
      <c r="AN25" s="14">
        <f t="shared" si="70"/>
        <v>7.3728799346705518</v>
      </c>
    </row>
    <row r="26" spans="1:432 16384:16384" x14ac:dyDescent="0.2">
      <c r="B26" s="36"/>
    </row>
    <row r="27" spans="1:432 16384:16384" x14ac:dyDescent="0.2">
      <c r="B27" s="54" t="s">
        <v>139</v>
      </c>
      <c r="C27" s="14">
        <f>2.04/4</f>
        <v>0.51</v>
      </c>
      <c r="D27" s="14">
        <f>2.04/4</f>
        <v>0.51</v>
      </c>
      <c r="E27" s="14">
        <f>2.04/4</f>
        <v>0.51</v>
      </c>
      <c r="F27" s="14">
        <f>2.04/4</f>
        <v>0.51</v>
      </c>
      <c r="G27" s="14">
        <f>2.08/4</f>
        <v>0.52</v>
      </c>
      <c r="H27" s="14">
        <f>2.08/4</f>
        <v>0.52</v>
      </c>
      <c r="I27" s="14">
        <f>2.08/4</f>
        <v>0.52</v>
      </c>
      <c r="J27" s="14">
        <f>2.08/4</f>
        <v>0.52</v>
      </c>
      <c r="K27" s="14">
        <f>2.12/4</f>
        <v>0.53</v>
      </c>
      <c r="L27" s="14">
        <f>2.12/4</f>
        <v>0.53</v>
      </c>
      <c r="M27" s="14">
        <f>2.12/4</f>
        <v>0.53</v>
      </c>
      <c r="N27" s="14">
        <f>2.12/4</f>
        <v>0.53</v>
      </c>
      <c r="O27" s="14">
        <f>2.16/4</f>
        <v>0.54</v>
      </c>
      <c r="P27" s="14">
        <f>2.16/4</f>
        <v>0.54</v>
      </c>
      <c r="Q27" s="14">
        <f>2.16/4</f>
        <v>0.54</v>
      </c>
      <c r="R27" s="14">
        <f>2.16/4</f>
        <v>0.54</v>
      </c>
      <c r="S27" s="14">
        <f>2.2/4</f>
        <v>0.55000000000000004</v>
      </c>
      <c r="T27" s="14">
        <f>2.2/4</f>
        <v>0.55000000000000004</v>
      </c>
      <c r="U27" s="14">
        <f>2.2/4</f>
        <v>0.55000000000000004</v>
      </c>
      <c r="V27" s="14">
        <f>2.2/4</f>
        <v>0.55000000000000004</v>
      </c>
      <c r="W27" s="14">
        <f>2.24/4</f>
        <v>0.56000000000000005</v>
      </c>
      <c r="X27" s="14">
        <f>2.24/4</f>
        <v>0.56000000000000005</v>
      </c>
      <c r="Y27" s="14">
        <f>2.24/4</f>
        <v>0.56000000000000005</v>
      </c>
      <c r="Z27" s="14">
        <f>2.24/4</f>
        <v>0.56000000000000005</v>
      </c>
      <c r="AE27" s="14">
        <f>SUM(C27:F27)</f>
        <v>2.04</v>
      </c>
      <c r="AF27" s="14">
        <f>SUM(G27:J27)</f>
        <v>2.08</v>
      </c>
      <c r="AG27" s="14">
        <f>SUM(K27:N27)</f>
        <v>2.12</v>
      </c>
      <c r="AH27" s="14">
        <f>SUM(O27:R27)</f>
        <v>2.16</v>
      </c>
      <c r="AI27" s="14">
        <f>SUM(S27:V27)</f>
        <v>2.2000000000000002</v>
      </c>
      <c r="AJ27" s="14">
        <f>SUM(W27:Z27)</f>
        <v>2.2400000000000002</v>
      </c>
    </row>
    <row r="28" spans="1:432 16384:16384" x14ac:dyDescent="0.2">
      <c r="B28" s="54" t="s">
        <v>140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E28" s="8">
        <f>AE27/AE25</f>
        <v>0.61601297911174202</v>
      </c>
      <c r="AF28" s="8">
        <f t="shared" ref="AF28:AJ28" si="71">AF27/AF25</f>
        <v>0.90871364317841086</v>
      </c>
      <c r="AG28" s="8">
        <f t="shared" si="71"/>
        <v>0.40673341845306099</v>
      </c>
      <c r="AH28" s="8">
        <f t="shared" si="71"/>
        <v>0.45182531458179126</v>
      </c>
      <c r="AI28" s="8">
        <f t="shared" si="71"/>
        <v>0.44762670957361228</v>
      </c>
      <c r="AJ28" s="8">
        <f t="shared" si="71"/>
        <v>0.44021538457102566</v>
      </c>
    </row>
    <row r="29" spans="1:432 16384:16384" x14ac:dyDescent="0.2">
      <c r="B29" s="5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E29" s="8"/>
      <c r="AF29" s="8"/>
      <c r="AG29" s="8"/>
      <c r="AH29" s="8"/>
      <c r="AI29" s="8"/>
      <c r="AJ29" s="8"/>
    </row>
    <row r="30" spans="1:432 16384:16384" x14ac:dyDescent="0.2">
      <c r="B30" s="54" t="s">
        <v>148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E30" s="3">
        <f>AE23+AE21+AE15+AE83</f>
        <v>26969</v>
      </c>
      <c r="AF30" s="3">
        <f>AF23+AF21+AF15+AF83</f>
        <v>23604</v>
      </c>
      <c r="AG30" s="3">
        <f>AG23+AG21+AG15+AG83</f>
        <v>33045</v>
      </c>
      <c r="AH30" s="3">
        <f>AH23+AH21+AH15+AH83</f>
        <v>33496</v>
      </c>
      <c r="AI30" s="3">
        <f>AI23+AI21+AI15+AI83</f>
        <v>30761</v>
      </c>
      <c r="AJ30" s="3">
        <f>AI30*1.01</f>
        <v>31068.61</v>
      </c>
    </row>
    <row r="31" spans="1:432 16384:16384" x14ac:dyDescent="0.2">
      <c r="B31" s="54" t="s">
        <v>149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E31" s="8"/>
      <c r="AF31" s="8">
        <f>AF30/AE30-1</f>
        <v>-0.12477288738922465</v>
      </c>
      <c r="AG31" s="8">
        <f t="shared" ref="AG31:AJ31" si="72">AG30/AF30-1</f>
        <v>0.3999745805795627</v>
      </c>
      <c r="AH31" s="8">
        <f t="shared" si="72"/>
        <v>1.3648055681646287E-2</v>
      </c>
      <c r="AI31" s="8">
        <f t="shared" si="72"/>
        <v>-8.1651540482445717E-2</v>
      </c>
      <c r="AJ31" s="8">
        <f t="shared" si="72"/>
        <v>1.0000000000000009E-2</v>
      </c>
      <c r="XFD31" s="8"/>
    </row>
    <row r="32" spans="1:432 16384:16384" x14ac:dyDescent="0.2">
      <c r="B32" s="36"/>
    </row>
    <row r="33" spans="1:47" x14ac:dyDescent="0.2">
      <c r="B33" s="36" t="s">
        <v>50</v>
      </c>
      <c r="G33" s="8">
        <f>G9/C9-1</f>
        <v>4.3797110819962182E-2</v>
      </c>
      <c r="H33" s="8">
        <f t="shared" ref="H33:R33" si="73">H9/D9-1</f>
        <v>3.7882534149406233E-2</v>
      </c>
      <c r="I33" s="8">
        <f t="shared" si="73"/>
        <v>1.3922827754730971E-2</v>
      </c>
      <c r="J33" s="8">
        <f t="shared" si="73"/>
        <v>1.8537136650840003E-2</v>
      </c>
      <c r="K33" s="8">
        <f t="shared" si="73"/>
        <v>1.0066020050533808E-2</v>
      </c>
      <c r="L33" s="8">
        <f t="shared" si="73"/>
        <v>1.8347548973661976E-2</v>
      </c>
      <c r="M33" s="8">
        <f t="shared" si="73"/>
        <v>2.4797027879641886E-2</v>
      </c>
      <c r="N33" s="8">
        <f t="shared" si="73"/>
        <v>2.0735916076459082E-2</v>
      </c>
      <c r="O33" s="8">
        <f t="shared" si="73"/>
        <v>8.6318337704256676E-2</v>
      </c>
      <c r="P33" s="8">
        <f t="shared" si="73"/>
        <v>5.6490025081110895E-2</v>
      </c>
      <c r="Q33" s="8">
        <f t="shared" si="73"/>
        <v>5.2480252517755233E-2</v>
      </c>
      <c r="R33" s="8">
        <f t="shared" si="73"/>
        <v>7.3465988099187474E-2</v>
      </c>
      <c r="S33" s="8">
        <f>S9/O9-1</f>
        <v>2.7395225148935554E-2</v>
      </c>
      <c r="T33" s="8">
        <f>T9/P9-1</f>
        <v>2.4001393910354052E-2</v>
      </c>
      <c r="U33" s="8">
        <f>U9/Q9-1</f>
        <v>4.3182290584078187E-2</v>
      </c>
      <c r="V33" s="8">
        <f>V9/R9-1</f>
        <v>5.2078196200657789E-3</v>
      </c>
      <c r="W33" s="8">
        <f>W9/S9-1</f>
        <v>2.3563010628298686E-2</v>
      </c>
      <c r="X33" s="8">
        <f>X9/T9-1</f>
        <v>4.0000000000000036E-2</v>
      </c>
      <c r="Y33" s="8">
        <f>Y9/U9-1</f>
        <v>4.0000000000000036E-2</v>
      </c>
      <c r="Z33" s="8">
        <f>Z9/V9-1</f>
        <v>4.0000000000000036E-2</v>
      </c>
      <c r="AF33" s="8">
        <f>AF9/AE9-1</f>
        <v>2.8104720161968855E-2</v>
      </c>
      <c r="AG33" s="8">
        <f>AG9/AF9-1</f>
        <v>1.85826343056541E-2</v>
      </c>
      <c r="AH33" s="8">
        <f>AH9/AG9-1</f>
        <v>6.7155377086975498E-2</v>
      </c>
      <c r="AI33" s="8">
        <f>AI9/AH9-1</f>
        <v>2.4327954345069625E-2</v>
      </c>
      <c r="AJ33" s="8">
        <f t="shared" ref="AJ33:AL33" si="74">AJ9/AI9-1</f>
        <v>3.6030756659927388E-2</v>
      </c>
      <c r="AK33" s="8">
        <f t="shared" si="74"/>
        <v>2.0000000000000018E-2</v>
      </c>
      <c r="AL33" s="8">
        <f t="shared" si="74"/>
        <v>2.0000000000000018E-2</v>
      </c>
      <c r="AM33" s="8">
        <f>AM9/AL9-1</f>
        <v>2.0000000000000018E-2</v>
      </c>
      <c r="AN33" s="8">
        <f>AN9/AM9-1</f>
        <v>2.0000000000000018E-2</v>
      </c>
      <c r="AQ33" s="56" t="s">
        <v>145</v>
      </c>
      <c r="AT33" s="56" t="s">
        <v>146</v>
      </c>
    </row>
    <row r="34" spans="1:47" x14ac:dyDescent="0.2">
      <c r="B34" s="36" t="s">
        <v>51</v>
      </c>
      <c r="G34" s="8">
        <f>G10/C10-1</f>
        <v>4.5832953197700865E-2</v>
      </c>
      <c r="H34" s="8">
        <f t="shared" ref="H34:R34" si="75">H10/D10-1</f>
        <v>4.4252138853377865E-2</v>
      </c>
      <c r="I34" s="8">
        <f t="shared" si="75"/>
        <v>1.713873747910899E-2</v>
      </c>
      <c r="J34" s="8">
        <f t="shared" si="75"/>
        <v>2.208690568978966E-2</v>
      </c>
      <c r="K34" s="8">
        <f t="shared" si="75"/>
        <v>1.4469996837755073E-2</v>
      </c>
      <c r="L34" s="8">
        <f t="shared" si="75"/>
        <v>2.4609975829487984E-2</v>
      </c>
      <c r="M34" s="8">
        <f t="shared" si="75"/>
        <v>2.9898191503071381E-2</v>
      </c>
      <c r="N34" s="8">
        <f t="shared" si="75"/>
        <v>2.7081128999971504E-2</v>
      </c>
      <c r="O34" s="8">
        <f t="shared" si="75"/>
        <v>9.6652836597372893E-2</v>
      </c>
      <c r="P34" s="8">
        <f t="shared" si="75"/>
        <v>4.8670894478314519E-2</v>
      </c>
      <c r="Q34" s="8">
        <f t="shared" si="75"/>
        <v>4.628779979144948E-2</v>
      </c>
      <c r="R34" s="8">
        <f t="shared" si="75"/>
        <v>6.9727512343616516E-2</v>
      </c>
      <c r="S34" s="8">
        <f>S10/O10-1</f>
        <v>1.2212573265638182E-2</v>
      </c>
      <c r="T34" s="8">
        <f>T10/P10-1</f>
        <v>2.4286924597571202E-2</v>
      </c>
      <c r="U34" s="8">
        <f>U10/Q10-1</f>
        <v>4.6681748871326256E-2</v>
      </c>
      <c r="V34" s="8">
        <f>V10/R10-1</f>
        <v>2.2644259550064216E-3</v>
      </c>
      <c r="W34" s="8">
        <f>W10/S10-1</f>
        <v>3.4617321248741284E-2</v>
      </c>
      <c r="X34" s="8">
        <f>X10/T10-1</f>
        <v>5.0000000000000044E-2</v>
      </c>
      <c r="Y34" s="8">
        <f>Y10/U10-1</f>
        <v>4.0000000000000036E-2</v>
      </c>
      <c r="Z34" s="8">
        <f>Z10/V10-1</f>
        <v>4.0000000000000036E-2</v>
      </c>
      <c r="AF34" s="8">
        <f>AF10/AE10-1</f>
        <v>3.1883041060964734E-2</v>
      </c>
      <c r="AG34" s="8">
        <f>AG10/AF10-1</f>
        <v>2.4147354925110553E-2</v>
      </c>
      <c r="AH34" s="8">
        <f>AH10/AG10-1</f>
        <v>6.5153761356292916E-2</v>
      </c>
      <c r="AI34" s="8">
        <f t="shared" ref="AI34:AL34" si="76">AI10/AH10-1</f>
        <v>2.0663074122979186E-2</v>
      </c>
      <c r="AJ34" s="8">
        <f t="shared" si="76"/>
        <v>4.1156060606060585E-2</v>
      </c>
      <c r="AK34" s="8">
        <f t="shared" si="76"/>
        <v>1.6316767749315675E-2</v>
      </c>
      <c r="AL34" s="8">
        <f t="shared" si="76"/>
        <v>1.9999999999999796E-2</v>
      </c>
      <c r="AM34" s="8">
        <f>AM10/AL10-1</f>
        <v>2.0000000000000018E-2</v>
      </c>
      <c r="AN34" s="8">
        <f>AN10/AM10-1</f>
        <v>2.0000000000000018E-2</v>
      </c>
      <c r="AQ34" s="15" t="s">
        <v>57</v>
      </c>
      <c r="AR34" s="16">
        <v>-0.01</v>
      </c>
      <c r="AT34" s="15" t="s">
        <v>57</v>
      </c>
      <c r="AU34" s="16">
        <v>-0.01</v>
      </c>
    </row>
    <row r="35" spans="1:47" x14ac:dyDescent="0.2">
      <c r="B35" s="36" t="s">
        <v>52</v>
      </c>
      <c r="G35" s="8">
        <f>G12/C12-1</f>
        <v>4.9234269001096731E-2</v>
      </c>
      <c r="H35" s="8">
        <f t="shared" ref="H35:R35" si="77">H12/D12-1</f>
        <v>3.2553643920355757E-2</v>
      </c>
      <c r="I35" s="8">
        <f t="shared" si="77"/>
        <v>-2.828643739764769E-3</v>
      </c>
      <c r="J35" s="8">
        <f t="shared" si="77"/>
        <v>-4.5987654320987614E-2</v>
      </c>
      <c r="K35" s="8">
        <f t="shared" si="77"/>
        <v>4.5297920941578251E-3</v>
      </c>
      <c r="L35" s="8">
        <f t="shared" si="77"/>
        <v>6.1407121728385139E-3</v>
      </c>
      <c r="M35" s="8">
        <f t="shared" si="77"/>
        <v>2.1685577784413157E-2</v>
      </c>
      <c r="N35" s="8">
        <f t="shared" si="77"/>
        <v>2.8110284338042302E-2</v>
      </c>
      <c r="O35" s="8">
        <f t="shared" si="77"/>
        <v>5.49603021660372E-2</v>
      </c>
      <c r="P35" s="8">
        <f t="shared" si="77"/>
        <v>7.9007108034684137E-2</v>
      </c>
      <c r="Q35" s="8">
        <f t="shared" si="77"/>
        <v>4.4496401563584476E-2</v>
      </c>
      <c r="R35" s="8">
        <f t="shared" si="77"/>
        <v>9.5451207999720289E-2</v>
      </c>
      <c r="S35" s="8">
        <f>S12/O12-1</f>
        <v>2.7655998830922179E-2</v>
      </c>
      <c r="T35" s="8">
        <f>T12/P12-1</f>
        <v>-1.6658619024625732E-2</v>
      </c>
      <c r="U35" s="8">
        <f>U12/Q12-1</f>
        <v>3.9138190339617296E-2</v>
      </c>
      <c r="V35" s="8">
        <f>V12/R12-1</f>
        <v>4.1811624269891823E-3</v>
      </c>
      <c r="W35" s="8">
        <f>W12/S12-1</f>
        <v>4.5326886842760095E-2</v>
      </c>
      <c r="X35" s="8">
        <f>X12/T12-1</f>
        <v>5.0000000000000044E-2</v>
      </c>
      <c r="Y35" s="8">
        <f>Y12/U12-1</f>
        <v>5.0000000000000044E-2</v>
      </c>
      <c r="Z35" s="8">
        <f>Z12/V12-1</f>
        <v>5.0000000000000044E-2</v>
      </c>
      <c r="AF35" s="8">
        <f>AF12/AE12-1</f>
        <v>5.980659093042906E-3</v>
      </c>
      <c r="AG35" s="8">
        <f t="shared" ref="AG35:AH35" si="78">AG12/AF12-1</f>
        <v>1.5343406721606723E-2</v>
      </c>
      <c r="AH35" s="8">
        <f t="shared" si="78"/>
        <v>6.8911950437076541E-2</v>
      </c>
      <c r="AI35" s="8">
        <f t="shared" ref="AI35:AL35" si="79">AI12/AH12-1</f>
        <v>1.3105393505778773E-2</v>
      </c>
      <c r="AJ35" s="8">
        <f t="shared" si="79"/>
        <v>4.8884239296506315E-2</v>
      </c>
      <c r="AK35" s="8">
        <f t="shared" si="79"/>
        <v>2.0000000000000018E-2</v>
      </c>
      <c r="AL35" s="8">
        <f t="shared" si="79"/>
        <v>1.0000000000000009E-2</v>
      </c>
      <c r="AM35" s="8">
        <f>AM12/AL12-1</f>
        <v>1.0000000000000009E-2</v>
      </c>
      <c r="AN35" s="8">
        <f>AN12/AM12-1</f>
        <v>1.0000000000000009E-2</v>
      </c>
      <c r="AQ35" s="15" t="s">
        <v>19</v>
      </c>
      <c r="AR35" s="30">
        <f>WACC!C18</f>
        <v>3.1924224103844788E-2</v>
      </c>
      <c r="AT35" s="15" t="s">
        <v>19</v>
      </c>
      <c r="AU35" s="30">
        <f>WACC!C18</f>
        <v>3.1924224103844788E-2</v>
      </c>
    </row>
    <row r="36" spans="1:47" x14ac:dyDescent="0.2">
      <c r="B36" s="36" t="s">
        <v>53</v>
      </c>
      <c r="G36" s="8">
        <f>G13/C13-1</f>
        <v>4.9234269001096731E-2</v>
      </c>
      <c r="H36" s="8">
        <f t="shared" ref="H36:R36" si="80">H13/D13-1</f>
        <v>3.2553643920355757E-2</v>
      </c>
      <c r="I36" s="8">
        <f t="shared" si="80"/>
        <v>-2.828643739764769E-3</v>
      </c>
      <c r="J36" s="8">
        <f t="shared" si="80"/>
        <v>-4.5987654320987614E-2</v>
      </c>
      <c r="K36" s="8">
        <f t="shared" si="80"/>
        <v>4.5297920941578251E-3</v>
      </c>
      <c r="L36" s="8">
        <f t="shared" si="80"/>
        <v>6.1407121728385139E-3</v>
      </c>
      <c r="M36" s="8">
        <f t="shared" si="80"/>
        <v>2.1685577784413157E-2</v>
      </c>
      <c r="N36" s="8">
        <f t="shared" si="80"/>
        <v>2.8110284338042302E-2</v>
      </c>
      <c r="O36" s="8">
        <f t="shared" si="80"/>
        <v>5.49603021660372E-2</v>
      </c>
      <c r="P36" s="8">
        <f t="shared" si="80"/>
        <v>7.9007108034684137E-2</v>
      </c>
      <c r="Q36" s="8">
        <f t="shared" si="80"/>
        <v>4.4496401563584476E-2</v>
      </c>
      <c r="R36" s="8">
        <f t="shared" si="80"/>
        <v>9.5451207999720289E-2</v>
      </c>
      <c r="S36" s="8">
        <f>S13/O13-1</f>
        <v>2.7655998830922179E-2</v>
      </c>
      <c r="T36" s="8">
        <f>T13/P13-1</f>
        <v>-1.6658619024625732E-2</v>
      </c>
      <c r="U36" s="8">
        <f>U13/Q13-1</f>
        <v>3.9138190339617296E-2</v>
      </c>
      <c r="V36" s="8">
        <f>V13/R13-1</f>
        <v>4.1811624269891823E-3</v>
      </c>
      <c r="W36" s="8">
        <f>W13/S13-1</f>
        <v>4.5326886842760095E-2</v>
      </c>
      <c r="X36" s="8">
        <f>X13/T13-1</f>
        <v>5.0000000000000044E-2</v>
      </c>
      <c r="Y36" s="8">
        <f>Y13/U13-1</f>
        <v>5.0000000000000044E-2</v>
      </c>
      <c r="Z36" s="8">
        <f>Z13/V13-1</f>
        <v>5.0000000000000044E-2</v>
      </c>
      <c r="AF36" s="8">
        <f>AF13/AE13-1</f>
        <v>5.980659093042906E-3</v>
      </c>
      <c r="AG36" s="8">
        <f t="shared" ref="AG36:AH36" si="81">AG13/AF13-1</f>
        <v>1.5343406721606723E-2</v>
      </c>
      <c r="AH36" s="8">
        <f t="shared" si="81"/>
        <v>6.8911950437076541E-2</v>
      </c>
      <c r="AI36" s="8">
        <f t="shared" ref="AI36:AL36" si="82">AI13/AH13-1</f>
        <v>1.3105393505778773E-2</v>
      </c>
      <c r="AJ36" s="8">
        <f t="shared" si="82"/>
        <v>4.8884239296506315E-2</v>
      </c>
      <c r="AK36" s="8">
        <f t="shared" si="82"/>
        <v>2.0000000000000018E-2</v>
      </c>
      <c r="AL36" s="8">
        <f t="shared" si="82"/>
        <v>1.0000000000000009E-2</v>
      </c>
      <c r="AM36" s="8">
        <f>AM13/AL13-1</f>
        <v>1.0000000000000009E-2</v>
      </c>
      <c r="AN36" s="8">
        <f>AN13/AM13-1</f>
        <v>1.0000000000000009E-2</v>
      </c>
      <c r="AQ36" s="15" t="s">
        <v>3</v>
      </c>
      <c r="AR36" s="17">
        <f>Main!C5</f>
        <v>2765</v>
      </c>
      <c r="AT36" s="15" t="s">
        <v>3</v>
      </c>
      <c r="AU36" s="3">
        <f>Main!C5</f>
        <v>2765</v>
      </c>
    </row>
    <row r="37" spans="1:47" x14ac:dyDescent="0.2">
      <c r="B37" s="38" t="s">
        <v>78</v>
      </c>
      <c r="G37" s="8">
        <f>G14/C14-1</f>
        <v>-1.5848768378842859E-2</v>
      </c>
      <c r="H37" s="8">
        <f t="shared" ref="H37:Z37" si="83">H14/D14-1</f>
        <v>-3.6689562740827575E-2</v>
      </c>
      <c r="I37" s="8">
        <f t="shared" si="83"/>
        <v>4.6599496221662484E-2</v>
      </c>
      <c r="J37" s="8">
        <f t="shared" si="83"/>
        <v>0.3581822252070741</v>
      </c>
      <c r="K37" s="8">
        <f t="shared" si="83"/>
        <v>-4.0551028327512562E-2</v>
      </c>
      <c r="L37" s="8">
        <f t="shared" si="83"/>
        <v>-2.9043478260869615E-2</v>
      </c>
      <c r="M37" s="8">
        <f t="shared" si="83"/>
        <v>-5.3750501403931006E-2</v>
      </c>
      <c r="N37" s="8">
        <f t="shared" si="83"/>
        <v>-0.12279545079940668</v>
      </c>
      <c r="O37" s="8">
        <f t="shared" si="83"/>
        <v>5.6420626895854475E-2</v>
      </c>
      <c r="P37" s="8">
        <f t="shared" si="83"/>
        <v>8.5258821422174558E-2</v>
      </c>
      <c r="Q37" s="8">
        <f t="shared" si="83"/>
        <v>0.22467147096227214</v>
      </c>
      <c r="R37" s="8">
        <f t="shared" si="83"/>
        <v>3.1003382187147599E-2</v>
      </c>
      <c r="S37" s="8">
        <f t="shared" si="83"/>
        <v>0.32254977029096477</v>
      </c>
      <c r="T37" s="8">
        <f t="shared" si="83"/>
        <v>0.21373163888430424</v>
      </c>
      <c r="U37" s="8">
        <f t="shared" si="83"/>
        <v>2.4229837313949343E-3</v>
      </c>
      <c r="V37" s="8">
        <f t="shared" si="83"/>
        <v>7.2899580827410215E-2</v>
      </c>
      <c r="W37" s="8">
        <f t="shared" si="83"/>
        <v>-0.23027934578086551</v>
      </c>
      <c r="X37" s="8">
        <f t="shared" si="83"/>
        <v>-0.14179766113679615</v>
      </c>
      <c r="Y37" s="8">
        <f t="shared" si="83"/>
        <v>-1.129488950276214E-2</v>
      </c>
      <c r="Z37" s="8">
        <f t="shared" si="83"/>
        <v>-1.3443179887889678E-2</v>
      </c>
      <c r="AF37" s="8">
        <f>AF14/AE14-1</f>
        <v>7.4374908254636107E-2</v>
      </c>
      <c r="AG37" s="8">
        <f t="shared" ref="AG37:AL37" si="84">AG14/AF14-1</f>
        <v>-6.3260008197841278E-2</v>
      </c>
      <c r="AH37" s="8">
        <f t="shared" si="84"/>
        <v>9.62660443407235E-2</v>
      </c>
      <c r="AI37" s="8">
        <f t="shared" si="84"/>
        <v>0.1505233280113536</v>
      </c>
      <c r="AJ37" s="8">
        <f>AJ14/AI14-1</f>
        <v>-0.10709814200909706</v>
      </c>
      <c r="AK37" s="8">
        <f t="shared" si="84"/>
        <v>9.1022351390065204E-2</v>
      </c>
      <c r="AL37" s="8">
        <f t="shared" si="84"/>
        <v>6.9874256050279415E-2</v>
      </c>
      <c r="AM37" s="8">
        <f>AM14/AL14-1</f>
        <v>6.7083101893438579E-2</v>
      </c>
      <c r="AN37" s="8">
        <f>AN14/AM14-1</f>
        <v>6.4564413800568321E-2</v>
      </c>
      <c r="AQ37" s="15" t="s">
        <v>58</v>
      </c>
      <c r="AR37" s="17">
        <f>NPV(AR35,AI23:PP23)</f>
        <v>463868.28136040829</v>
      </c>
      <c r="AT37" s="15" t="s">
        <v>58</v>
      </c>
      <c r="AU37" s="3">
        <f>NPV(AU35,AI113:PP113)</f>
        <v>889390.28140474297</v>
      </c>
    </row>
    <row r="38" spans="1:47" x14ac:dyDescent="0.2">
      <c r="B38" s="36" t="s">
        <v>54</v>
      </c>
      <c r="G38" s="8">
        <f>G23/C23-1</f>
        <v>-0.29779532741033232</v>
      </c>
      <c r="H38" s="8">
        <f t="shared" ref="H38:R38" si="85">H23/D23-1</f>
        <v>-1.2969989651604001</v>
      </c>
      <c r="I38" s="8">
        <f t="shared" si="85"/>
        <v>-2.2298456260720356E-2</v>
      </c>
      <c r="J38" s="8">
        <f t="shared" si="85"/>
        <v>0.69517241379310346</v>
      </c>
      <c r="K38" s="8">
        <f t="shared" si="85"/>
        <v>0.80037488284910974</v>
      </c>
      <c r="L38" s="8">
        <f t="shared" si="85"/>
        <v>-5.1927990708478511</v>
      </c>
      <c r="M38" s="8">
        <f t="shared" si="85"/>
        <v>0.92280701754385963</v>
      </c>
      <c r="N38" s="8">
        <f t="shared" si="85"/>
        <v>0.12313534038513696</v>
      </c>
      <c r="O38" s="8">
        <f t="shared" si="85"/>
        <v>3.8521603331598042E-2</v>
      </c>
      <c r="P38" s="8">
        <f t="shared" si="85"/>
        <v>0.79390581717451525</v>
      </c>
      <c r="Q38" s="8">
        <f t="shared" si="85"/>
        <v>0.56173965936739667</v>
      </c>
      <c r="R38" s="8">
        <f t="shared" si="85"/>
        <v>-1.504950495049505</v>
      </c>
      <c r="S38" s="8">
        <f>S23/O23-1</f>
        <v>-0.31578947368421051</v>
      </c>
      <c r="T38" s="8">
        <f>T23/P23-1</f>
        <v>-0.33971587399629399</v>
      </c>
      <c r="U38" s="8">
        <f>U23/Q23-1</f>
        <v>-0.39532619279454717</v>
      </c>
      <c r="V38" s="8">
        <f>V23/R23-1</f>
        <v>-2.7034911525585841</v>
      </c>
      <c r="W38" s="8">
        <f>W23/S23-1</f>
        <v>-0.24761904761904763</v>
      </c>
      <c r="X38" s="8">
        <f>X23/T23-1</f>
        <v>-0.17093019176800728</v>
      </c>
      <c r="Y38" s="8">
        <f>Y23/U23-1</f>
        <v>0.55755797101449289</v>
      </c>
      <c r="Z38" s="8">
        <f>Z23/V23-1</f>
        <v>-3.494104435710399E-2</v>
      </c>
      <c r="AF38" s="8">
        <f>AF23/AE23-1</f>
        <v>-0.32366659906712636</v>
      </c>
      <c r="AG38" s="8">
        <f t="shared" ref="AG38:AH38" si="86">AG23/AF23-1</f>
        <v>1.2310344827586208</v>
      </c>
      <c r="AH38" s="8">
        <f t="shared" si="86"/>
        <v>-9.2130905181103451E-2</v>
      </c>
      <c r="AI38" s="8">
        <f t="shared" ref="AI38:AL38" si="87">AI23/AH23-1</f>
        <v>1.2065136935603293E-2</v>
      </c>
      <c r="AJ38" s="8">
        <f t="shared" si="87"/>
        <v>1.4617128647700151E-2</v>
      </c>
      <c r="AK38" s="8">
        <f t="shared" si="87"/>
        <v>0.10852957861608892</v>
      </c>
      <c r="AL38" s="8">
        <f t="shared" si="87"/>
        <v>8.0739119614888111E-2</v>
      </c>
      <c r="AM38" s="8">
        <f>AM23/AL23-1</f>
        <v>7.9798353361310026E-2</v>
      </c>
      <c r="AN38" s="8">
        <f>AN23/AM23-1</f>
        <v>7.5930748537877513E-2</v>
      </c>
      <c r="AQ38" s="15" t="s">
        <v>63</v>
      </c>
      <c r="AR38" s="3">
        <f>Main!C7-Main!C8</f>
        <v>-35369</v>
      </c>
      <c r="AT38" s="15" t="s">
        <v>63</v>
      </c>
      <c r="AU38" s="3">
        <f>Main!C7-Main!C8</f>
        <v>-35369</v>
      </c>
    </row>
    <row r="39" spans="1:47" x14ac:dyDescent="0.2">
      <c r="B39" s="36" t="s">
        <v>55</v>
      </c>
      <c r="G39" s="8">
        <f>G24/C24-1</f>
        <v>-2.625533311453887E-2</v>
      </c>
      <c r="H39" s="8">
        <f t="shared" ref="H39:R39" si="88">H24/D24-1</f>
        <v>-2.0191989407481015E-2</v>
      </c>
      <c r="I39" s="8">
        <f t="shared" si="88"/>
        <v>-1.8357810413885178E-2</v>
      </c>
      <c r="J39" s="8">
        <f t="shared" si="88"/>
        <v>-2.1490933512424482E-2</v>
      </c>
      <c r="K39" s="8">
        <f t="shared" si="88"/>
        <v>-2.7300303336703746E-2</v>
      </c>
      <c r="L39" s="8">
        <f t="shared" si="88"/>
        <v>-3.074324324324329E-2</v>
      </c>
      <c r="M39" s="8">
        <f t="shared" si="88"/>
        <v>-2.7201632097925921E-2</v>
      </c>
      <c r="N39" s="8">
        <f t="shared" si="88"/>
        <v>-2.0247083047357561E-2</v>
      </c>
      <c r="O39" s="8">
        <f t="shared" si="88"/>
        <v>-1.2820512820512775E-2</v>
      </c>
      <c r="P39" s="8">
        <f t="shared" si="88"/>
        <v>-7.319623562216826E-3</v>
      </c>
      <c r="Q39" s="8">
        <f t="shared" si="88"/>
        <v>-4.1943376441803126E-3</v>
      </c>
      <c r="R39" s="8">
        <f t="shared" si="88"/>
        <v>-1.0157618213660236E-2</v>
      </c>
      <c r="S39" s="8">
        <f>S24/O24-1</f>
        <v>-7.0200070200070463E-3</v>
      </c>
      <c r="T39" s="8">
        <f>T24/P24-1</f>
        <v>-1.2640449438202195E-2</v>
      </c>
      <c r="U39" s="8">
        <f>U24/Q24-1</f>
        <v>-1.8252018252018276E-2</v>
      </c>
      <c r="V39" s="8">
        <f>V24/R24-1</f>
        <v>-1.556970983722572E-2</v>
      </c>
      <c r="W39" s="8">
        <f>W24/S24-1</f>
        <v>-2.2622834924001411E-2</v>
      </c>
      <c r="X39" s="8">
        <f>X24/T24-1</f>
        <v>-2.0000000000000129E-2</v>
      </c>
      <c r="Y39" s="8">
        <f>Y24/U24-1</f>
        <v>-2.0000000000000018E-2</v>
      </c>
      <c r="Z39" s="8">
        <f>Z24/V24-1</f>
        <v>-1.9999999999999907E-2</v>
      </c>
      <c r="AF39" s="8">
        <f>AF24/AE24-1</f>
        <v>-2.1490933512424482E-2</v>
      </c>
      <c r="AG39" s="8">
        <f t="shared" ref="AG39:AH39" si="89">AG24/AF24-1</f>
        <v>-2.0247083047357561E-2</v>
      </c>
      <c r="AH39" s="8">
        <f t="shared" si="89"/>
        <v>-1.0157618213660236E-2</v>
      </c>
      <c r="AI39" s="8">
        <f t="shared" ref="AI39:AL39" si="90">AI24/AH24-1</f>
        <v>-1.556970983722572E-2</v>
      </c>
      <c r="AJ39" s="8">
        <f t="shared" si="90"/>
        <v>-1.9999999999999907E-2</v>
      </c>
      <c r="AK39" s="8">
        <f t="shared" si="90"/>
        <v>-1.000000000000012E-2</v>
      </c>
      <c r="AL39" s="8">
        <f t="shared" si="90"/>
        <v>-1.0000000000000009E-2</v>
      </c>
      <c r="AM39" s="8">
        <f>AM24/AL24-1</f>
        <v>-1.0000000000000009E-2</v>
      </c>
      <c r="AN39" s="8">
        <f>AN24/AM24-1</f>
        <v>-1.0000000000000009E-2</v>
      </c>
      <c r="AQ39" s="15" t="s">
        <v>59</v>
      </c>
      <c r="AR39" s="3">
        <f>+AR37+AR38</f>
        <v>428499.28136040829</v>
      </c>
      <c r="AT39" s="15" t="s">
        <v>59</v>
      </c>
      <c r="AU39" s="3">
        <f>+AU37+AU38</f>
        <v>854021.28140474297</v>
      </c>
    </row>
    <row r="40" spans="1:47" s="19" customFormat="1" x14ac:dyDescent="0.2">
      <c r="A40" s="18"/>
      <c r="B40" s="36" t="s">
        <v>56</v>
      </c>
      <c r="G40" s="8">
        <f t="shared" ref="G40:R40" si="91">G25/C25-1</f>
        <v>-0.27886159845611136</v>
      </c>
      <c r="H40" s="8">
        <f t="shared" si="91"/>
        <v>-1.3031195519424219</v>
      </c>
      <c r="I40" s="8">
        <f t="shared" si="91"/>
        <v>-4.0143403458409166E-3</v>
      </c>
      <c r="J40" s="8">
        <f t="shared" si="91"/>
        <v>0.73240337964168223</v>
      </c>
      <c r="K40" s="8">
        <f t="shared" si="91"/>
        <v>0.85090515502886621</v>
      </c>
      <c r="L40" s="8">
        <f t="shared" si="91"/>
        <v>-5.3257878179538656</v>
      </c>
      <c r="M40" s="8">
        <f t="shared" si="91"/>
        <v>0.97657302991838191</v>
      </c>
      <c r="N40" s="8">
        <f t="shared" si="91"/>
        <v>0.14634549277838493</v>
      </c>
      <c r="O40" s="8">
        <f t="shared" si="91"/>
        <v>5.2008896881359012E-2</v>
      </c>
      <c r="P40" s="8">
        <f t="shared" si="91"/>
        <v>0.80713335304553513</v>
      </c>
      <c r="Q40" s="8">
        <f t="shared" si="91"/>
        <v>0.56831771339070603</v>
      </c>
      <c r="R40" s="8">
        <f t="shared" si="91"/>
        <v>-1.5101322234134242</v>
      </c>
      <c r="S40" s="8">
        <f>S25/O25-1</f>
        <v>-0.31095235437480229</v>
      </c>
      <c r="T40" s="8">
        <f>T25/P25-1</f>
        <v>-0.33126273440307441</v>
      </c>
      <c r="U40" s="8">
        <f>U25/Q25-1</f>
        <v>-0.38408449169526815</v>
      </c>
      <c r="V40" s="8">
        <f>V25/R25-1</f>
        <v>-2.7304335000469302</v>
      </c>
      <c r="W40" s="8">
        <f>W25/S25-1</f>
        <v>-0.23020408163265305</v>
      </c>
      <c r="X40" s="8">
        <f>X25/T25-1</f>
        <v>-0.15401039976327269</v>
      </c>
      <c r="Y40" s="8">
        <f>Y25/U25-1</f>
        <v>0.58934486838213562</v>
      </c>
      <c r="Z40" s="8">
        <f>Z25/V25-1</f>
        <v>-1.5245963629697989E-2</v>
      </c>
      <c r="AF40" s="8">
        <f>AF25/AE25-1</f>
        <v>-0.30881233082426307</v>
      </c>
      <c r="AG40" s="8">
        <f>AG25/AF25-1</f>
        <v>1.2771399239084489</v>
      </c>
      <c r="AH40" s="8">
        <f>AH25/AG25-1</f>
        <v>-8.2814484887491213E-2</v>
      </c>
      <c r="AI40" s="8">
        <f t="shared" ref="AI40:AL40" si="92">AI25/AH25-1</f>
        <v>2.8071918396842088E-2</v>
      </c>
      <c r="AJ40" s="8">
        <f t="shared" si="92"/>
        <v>3.5323600660918553E-2</v>
      </c>
      <c r="AK40" s="8">
        <f t="shared" si="92"/>
        <v>0.11972684708695858</v>
      </c>
      <c r="AL40" s="8">
        <f t="shared" si="92"/>
        <v>9.1655676378674888E-2</v>
      </c>
      <c r="AM40" s="8">
        <f>AM25/AL25-1</f>
        <v>9.0705407435666574E-2</v>
      </c>
      <c r="AN40" s="8">
        <f>AN25/AM25-1</f>
        <v>8.6798735896846058E-2</v>
      </c>
      <c r="AQ40" s="15" t="s">
        <v>60</v>
      </c>
      <c r="AR40" s="20">
        <f>AR39/AR36</f>
        <v>154.97261532022</v>
      </c>
      <c r="AT40" s="15" t="s">
        <v>60</v>
      </c>
      <c r="AU40" s="58">
        <f>AU39/AU36</f>
        <v>308.86845620424702</v>
      </c>
    </row>
    <row r="41" spans="1:47" x14ac:dyDescent="0.2">
      <c r="B41" s="36" t="s">
        <v>48</v>
      </c>
      <c r="C41" s="8">
        <f>C11/C9</f>
        <v>0.25398580932772968</v>
      </c>
      <c r="D41" s="8">
        <f t="shared" ref="D41:R41" si="93">D11/D9</f>
        <v>0.25806817721211139</v>
      </c>
      <c r="E41" s="8">
        <f t="shared" si="93"/>
        <v>0.25679701897238977</v>
      </c>
      <c r="F41" s="8">
        <f t="shared" si="93"/>
        <v>0.24677287971409073</v>
      </c>
      <c r="G41" s="8">
        <f t="shared" si="93"/>
        <v>0.25253076860379819</v>
      </c>
      <c r="H41" s="8">
        <f t="shared" si="93"/>
        <v>0.25351485612522262</v>
      </c>
      <c r="I41" s="8">
        <f t="shared" si="93"/>
        <v>0.25443976492065273</v>
      </c>
      <c r="J41" s="8">
        <f t="shared" si="93"/>
        <v>0.24414775961323698</v>
      </c>
      <c r="K41" s="8">
        <f t="shared" si="93"/>
        <v>0.24927173693766391</v>
      </c>
      <c r="L41" s="8">
        <f t="shared" si="93"/>
        <v>0.24892427345313975</v>
      </c>
      <c r="M41" s="8">
        <f t="shared" si="93"/>
        <v>0.25072856685235678</v>
      </c>
      <c r="N41" s="8">
        <f t="shared" si="93"/>
        <v>0.23944914626140848</v>
      </c>
      <c r="O41" s="8">
        <f t="shared" si="93"/>
        <v>0.24212981533478925</v>
      </c>
      <c r="P41" s="8">
        <f t="shared" si="93"/>
        <v>0.25448301897750869</v>
      </c>
      <c r="Q41" s="8">
        <f t="shared" si="93"/>
        <v>0.2551370371470143</v>
      </c>
      <c r="R41" s="8">
        <f t="shared" si="93"/>
        <v>0.24209785703483058</v>
      </c>
      <c r="S41" s="8">
        <f t="shared" ref="S41:V41" si="94">S11/S9</f>
        <v>0.25332947726122479</v>
      </c>
      <c r="T41" s="8">
        <f t="shared" si="94"/>
        <v>0.25427514037774374</v>
      </c>
      <c r="U41" s="8">
        <f t="shared" si="94"/>
        <v>0.25263832058352609</v>
      </c>
      <c r="V41" s="8">
        <f t="shared" si="94"/>
        <v>0.24431710396347248</v>
      </c>
      <c r="W41" s="8">
        <f t="shared" ref="W41:Z41" si="95">W11/W9</f>
        <v>0.24526555955046656</v>
      </c>
      <c r="X41" s="8">
        <f t="shared" si="95"/>
        <v>0.24710470903522205</v>
      </c>
      <c r="Y41" s="8">
        <f t="shared" si="95"/>
        <v>0.25263832058352609</v>
      </c>
      <c r="Z41" s="8">
        <f t="shared" si="95"/>
        <v>0.24431710396347242</v>
      </c>
      <c r="AE41" s="8">
        <f>AE11/AE9</f>
        <v>0.25371994811559273</v>
      </c>
      <c r="AF41" s="8">
        <f t="shared" ref="AF41:AH41" si="96">AF11/AF9</f>
        <v>0.25097734275522204</v>
      </c>
      <c r="AG41" s="8">
        <f t="shared" si="96"/>
        <v>0.24688528219495995</v>
      </c>
      <c r="AH41" s="8">
        <f t="shared" si="96"/>
        <v>0.24829786587165184</v>
      </c>
      <c r="AI41" s="8">
        <f t="shared" ref="AI41:AL41" si="97">AI11/AI9</f>
        <v>0.25098733487675334</v>
      </c>
      <c r="AJ41" s="8">
        <f t="shared" si="97"/>
        <v>0.24728192599426388</v>
      </c>
      <c r="AK41" s="8">
        <f t="shared" si="97"/>
        <v>0.25</v>
      </c>
      <c r="AL41" s="8">
        <f t="shared" si="97"/>
        <v>0.25</v>
      </c>
      <c r="AM41" s="8">
        <f t="shared" ref="AM41:AN41" si="98">AM11/AM9</f>
        <v>0.25</v>
      </c>
      <c r="AN41" s="8">
        <f t="shared" si="98"/>
        <v>0.25</v>
      </c>
      <c r="AQ41" s="15" t="s">
        <v>61</v>
      </c>
      <c r="AR41" s="29">
        <f>Main!C4</f>
        <v>121.98</v>
      </c>
      <c r="AT41" s="57" t="s">
        <v>61</v>
      </c>
      <c r="AU41" s="3">
        <f>Main!C4</f>
        <v>121.98</v>
      </c>
    </row>
    <row r="42" spans="1:47" x14ac:dyDescent="0.2">
      <c r="B42" s="36" t="s">
        <v>49</v>
      </c>
      <c r="C42" s="8">
        <f>C14/C9</f>
        <v>4.4554286978271594E-2</v>
      </c>
      <c r="D42" s="8">
        <f t="shared" ref="D42:R42" si="99">D14/D9</f>
        <v>4.8388796562765998E-2</v>
      </c>
      <c r="E42" s="8">
        <f t="shared" si="99"/>
        <v>3.8675423570576156E-2</v>
      </c>
      <c r="F42" s="8">
        <f t="shared" si="99"/>
        <v>3.2781230965677678E-2</v>
      </c>
      <c r="G42" s="8">
        <f t="shared" si="99"/>
        <v>4.2008313635993152E-2</v>
      </c>
      <c r="H42" s="8">
        <f t="shared" si="99"/>
        <v>4.4912050488955538E-2</v>
      </c>
      <c r="I42" s="8">
        <f t="shared" si="99"/>
        <v>3.9921853731964704E-2</v>
      </c>
      <c r="J42" s="8">
        <f t="shared" si="99"/>
        <v>4.3712579164655277E-2</v>
      </c>
      <c r="K42" s="8">
        <f t="shared" si="99"/>
        <v>3.9903167238248938E-2</v>
      </c>
      <c r="L42" s="8">
        <f t="shared" si="99"/>
        <v>4.2821970132768818E-2</v>
      </c>
      <c r="M42" s="8">
        <f t="shared" si="99"/>
        <v>3.6861966857044633E-2</v>
      </c>
      <c r="N42" s="8">
        <f t="shared" si="99"/>
        <v>3.7565909748642982E-2</v>
      </c>
      <c r="O42" s="8">
        <f t="shared" si="99"/>
        <v>3.8804950156735157E-2</v>
      </c>
      <c r="P42" s="8">
        <f t="shared" si="99"/>
        <v>4.3988035602793629E-2</v>
      </c>
      <c r="Q42" s="8">
        <f t="shared" si="99"/>
        <v>4.2892775484752205E-2</v>
      </c>
      <c r="R42" s="8">
        <f t="shared" si="99"/>
        <v>3.6079932140532227E-2</v>
      </c>
      <c r="S42" s="8">
        <f t="shared" ref="S42:V42" si="100">S14/S9</f>
        <v>4.9953004121177064E-2</v>
      </c>
      <c r="T42" s="8">
        <f t="shared" si="100"/>
        <v>5.2138279167375644E-2</v>
      </c>
      <c r="U42" s="8">
        <f t="shared" si="100"/>
        <v>4.1216865326454369E-2</v>
      </c>
      <c r="V42" s="8">
        <f t="shared" si="100"/>
        <v>3.8509593055582811E-2</v>
      </c>
      <c r="W42" s="8">
        <f t="shared" ref="W42:Z42" si="101">W14/W9</f>
        <v>3.7564721090069156E-2</v>
      </c>
      <c r="X42" s="8">
        <f t="shared" si="101"/>
        <v>4.3024224159369649E-2</v>
      </c>
      <c r="Y42" s="8">
        <f t="shared" si="101"/>
        <v>3.9183966718213309E-2</v>
      </c>
      <c r="Z42" s="8">
        <f t="shared" si="101"/>
        <v>3.6530674681468443E-2</v>
      </c>
      <c r="AE42" s="8">
        <f>AE14/AE9</f>
        <v>4.084597965795464E-2</v>
      </c>
      <c r="AF42" s="8">
        <f t="shared" ref="AF42:AH42" si="102">AF14/AF9</f>
        <v>4.268426628823592E-2</v>
      </c>
      <c r="AG42" s="8">
        <f t="shared" si="102"/>
        <v>3.9254605278225219E-2</v>
      </c>
      <c r="AH42" s="8">
        <f t="shared" si="102"/>
        <v>4.032542193432543E-2</v>
      </c>
      <c r="AI42" s="8">
        <f t="shared" ref="AI42:AL42" si="103">AI14/AI9</f>
        <v>4.5293441861602016E-2</v>
      </c>
      <c r="AJ42" s="8">
        <f t="shared" si="103"/>
        <v>3.9036098236514508E-2</v>
      </c>
      <c r="AK42" s="8">
        <f t="shared" si="103"/>
        <v>4.1754172242250628E-2</v>
      </c>
      <c r="AL42" s="8">
        <f t="shared" si="103"/>
        <v>4.3795798004581485E-2</v>
      </c>
      <c r="AM42" s="8">
        <f t="shared" ref="AM42:AN42" si="104">AM14/AM9</f>
        <v>4.5817407828065967E-2</v>
      </c>
      <c r="AN42" s="8">
        <f t="shared" si="104"/>
        <v>4.7819197947398639E-2</v>
      </c>
      <c r="AQ42" s="15" t="s">
        <v>62</v>
      </c>
      <c r="AR42" s="16">
        <f>AR40/AR41-1</f>
        <v>0.27047561338104598</v>
      </c>
      <c r="AT42" s="15" t="s">
        <v>62</v>
      </c>
      <c r="AU42" s="16">
        <f>AU40/AU41-1</f>
        <v>1.5321237596675439</v>
      </c>
    </row>
    <row r="43" spans="1:47" x14ac:dyDescent="0.2">
      <c r="B43" s="36" t="s">
        <v>28</v>
      </c>
      <c r="C43" s="8">
        <f>C21/C20</f>
        <v>0.32563115104835261</v>
      </c>
      <c r="D43" s="8">
        <f t="shared" ref="D43:R43" si="105">D21/D20</f>
        <v>0.32609639600521062</v>
      </c>
      <c r="E43" s="8">
        <f t="shared" si="105"/>
        <v>0.33865925668634944</v>
      </c>
      <c r="F43" s="8">
        <f t="shared" si="105"/>
        <v>0.20276653171390013</v>
      </c>
      <c r="G43" s="8">
        <f t="shared" si="105"/>
        <v>0.19347980155917788</v>
      </c>
      <c r="H43" s="8">
        <f t="shared" si="105"/>
        <v>2.8266331658291457</v>
      </c>
      <c r="I43" s="8">
        <f t="shared" si="105"/>
        <v>0.29464285714285715</v>
      </c>
      <c r="J43" s="8">
        <f t="shared" si="105"/>
        <v>0.32680084745762711</v>
      </c>
      <c r="K43" s="8">
        <f t="shared" si="105"/>
        <v>0.2425828970331588</v>
      </c>
      <c r="L43" s="8">
        <f t="shared" si="105"/>
        <v>0.25096682271524529</v>
      </c>
      <c r="M43" s="8">
        <f t="shared" si="105"/>
        <v>0.24056711639606676</v>
      </c>
      <c r="N43" s="8">
        <f t="shared" si="105"/>
        <v>0.2430812621188084</v>
      </c>
      <c r="O43" s="8">
        <f t="shared" si="105"/>
        <v>0.24499629355077834</v>
      </c>
      <c r="P43" s="8">
        <f t="shared" si="105"/>
        <v>0.25526254915567892</v>
      </c>
      <c r="Q43" s="8">
        <f t="shared" si="105"/>
        <v>0.2690091356289529</v>
      </c>
      <c r="R43" s="8">
        <f t="shared" si="105"/>
        <v>-2.3861720067453627</v>
      </c>
      <c r="S43" s="8">
        <f t="shared" ref="S43:V43" si="106">S21/S20</f>
        <v>0.26873048907388136</v>
      </c>
      <c r="T43" s="8">
        <f t="shared" si="106"/>
        <v>0.26321121053520175</v>
      </c>
      <c r="U43" s="8">
        <f t="shared" si="106"/>
        <v>0.24475524475524477</v>
      </c>
      <c r="V43" s="8">
        <f t="shared" si="106"/>
        <v>0.24027603513174403</v>
      </c>
      <c r="W43" s="8">
        <f t="shared" ref="W43:Z43" si="107">W21/W20</f>
        <v>0.27507755946225437</v>
      </c>
      <c r="X43" s="8">
        <f t="shared" si="107"/>
        <v>0.25</v>
      </c>
      <c r="Y43" s="8">
        <f t="shared" si="107"/>
        <v>0.25</v>
      </c>
      <c r="Z43" s="8">
        <f t="shared" si="107"/>
        <v>0.25</v>
      </c>
      <c r="AE43" s="8">
        <f>AE21/AE20</f>
        <v>0.30417245255570985</v>
      </c>
      <c r="AF43" s="8">
        <f>AF21/AF20</f>
        <v>0.37356020942408374</v>
      </c>
      <c r="AG43" s="8">
        <f>AG21/AG20</f>
        <v>0.24433286935772519</v>
      </c>
      <c r="AH43" s="8">
        <f>AH21/AH20</f>
        <v>0.33349542890488232</v>
      </c>
      <c r="AI43" s="8">
        <f t="shared" ref="AI43:AL43" si="108">AI21/AI20</f>
        <v>0.25438596491228072</v>
      </c>
      <c r="AJ43" s="8">
        <f t="shared" si="108"/>
        <v>0.25384717894696751</v>
      </c>
      <c r="AK43" s="8">
        <f t="shared" si="108"/>
        <v>0.25</v>
      </c>
      <c r="AL43" s="8">
        <f t="shared" si="108"/>
        <v>0.25</v>
      </c>
      <c r="AM43" s="8">
        <f t="shared" ref="AM43:AN43" si="109">AM21/AM20</f>
        <v>0.25</v>
      </c>
      <c r="AN43" s="8">
        <f t="shared" si="109"/>
        <v>0.25</v>
      </c>
    </row>
    <row r="46" spans="1:47" s="13" customFormat="1" ht="15" x14ac:dyDescent="0.25">
      <c r="A46" s="4"/>
      <c r="B46" s="4" t="s">
        <v>63</v>
      </c>
      <c r="C46" s="13">
        <f t="shared" ref="C46:V46" si="110">C47-C59-C64-C69</f>
        <v>-33102</v>
      </c>
      <c r="D46" s="13">
        <f t="shared" si="110"/>
        <v>-33753</v>
      </c>
      <c r="E46" s="13">
        <f t="shared" si="110"/>
        <v>-35551</v>
      </c>
      <c r="F46" s="13">
        <f t="shared" si="110"/>
        <v>-32284</v>
      </c>
      <c r="G46" s="13">
        <f t="shared" si="110"/>
        <v>-30930</v>
      </c>
      <c r="H46" s="13">
        <f t="shared" si="110"/>
        <v>-30652</v>
      </c>
      <c r="I46" s="13">
        <f t="shared" si="110"/>
        <v>-44487</v>
      </c>
      <c r="J46" s="13">
        <f t="shared" si="110"/>
        <v>-42899</v>
      </c>
      <c r="K46" s="13">
        <f t="shared" si="110"/>
        <v>-44462</v>
      </c>
      <c r="L46" s="13">
        <f t="shared" si="110"/>
        <v>-43198</v>
      </c>
      <c r="M46" s="13">
        <f t="shared" si="110"/>
        <v>-45325</v>
      </c>
      <c r="N46" s="13">
        <f t="shared" si="110"/>
        <v>-40186</v>
      </c>
      <c r="O46" s="13">
        <f t="shared" si="110"/>
        <v>-38107</v>
      </c>
      <c r="P46" s="13">
        <f t="shared" si="110"/>
        <v>-29963</v>
      </c>
      <c r="Q46" s="13">
        <f t="shared" si="110"/>
        <v>-31122</v>
      </c>
      <c r="R46" s="13">
        <f t="shared" si="110"/>
        <v>-26792</v>
      </c>
      <c r="S46" s="13">
        <f t="shared" si="110"/>
        <v>-21289</v>
      </c>
      <c r="T46" s="13">
        <f t="shared" si="110"/>
        <v>-19038</v>
      </c>
      <c r="U46" s="13">
        <f t="shared" si="110"/>
        <v>-22336</v>
      </c>
      <c r="V46" s="13">
        <f t="shared" si="110"/>
        <v>-23317</v>
      </c>
      <c r="W46" s="13">
        <f>W47-W59-W64-W69</f>
        <v>-35369</v>
      </c>
      <c r="AE46" s="53">
        <f t="shared" ref="AE46:AI46" si="111">AE47-AE59-AE64-AE69</f>
        <v>-32284</v>
      </c>
      <c r="AF46" s="53">
        <f t="shared" si="111"/>
        <v>-42899</v>
      </c>
      <c r="AG46" s="53">
        <f t="shared" si="111"/>
        <v>-40186</v>
      </c>
      <c r="AH46" s="53">
        <f t="shared" si="111"/>
        <v>-26792</v>
      </c>
      <c r="AI46" s="53">
        <f t="shared" si="111"/>
        <v>-23317</v>
      </c>
    </row>
    <row r="47" spans="1:47" x14ac:dyDescent="0.2">
      <c r="B47" s="27" t="s">
        <v>86</v>
      </c>
      <c r="C47" s="41">
        <v>6545</v>
      </c>
      <c r="D47" s="41">
        <v>6469</v>
      </c>
      <c r="E47" s="41">
        <v>7026</v>
      </c>
      <c r="F47" s="41">
        <v>6756</v>
      </c>
      <c r="G47" s="41">
        <v>7885</v>
      </c>
      <c r="H47" s="41">
        <v>15840</v>
      </c>
      <c r="I47" s="41">
        <v>9174</v>
      </c>
      <c r="J47" s="41">
        <v>7722</v>
      </c>
      <c r="K47" s="41">
        <v>9255</v>
      </c>
      <c r="L47" s="41">
        <v>9283</v>
      </c>
      <c r="M47" s="41">
        <v>8606</v>
      </c>
      <c r="N47" s="41">
        <v>9465</v>
      </c>
      <c r="O47" s="41">
        <v>14930</v>
      </c>
      <c r="P47" s="41">
        <v>16906</v>
      </c>
      <c r="Q47" s="41">
        <v>14325</v>
      </c>
      <c r="R47" s="41">
        <v>17741</v>
      </c>
      <c r="S47" s="41">
        <v>22846</v>
      </c>
      <c r="T47" s="41">
        <v>22831</v>
      </c>
      <c r="U47" s="41">
        <v>16111</v>
      </c>
      <c r="V47" s="41">
        <v>14760</v>
      </c>
      <c r="W47" s="41">
        <v>11817</v>
      </c>
      <c r="AE47" s="3">
        <f>F47</f>
        <v>6756</v>
      </c>
      <c r="AF47" s="3">
        <f>J47</f>
        <v>7722</v>
      </c>
      <c r="AG47" s="3">
        <f>N47</f>
        <v>9465</v>
      </c>
      <c r="AH47" s="3">
        <f>R47</f>
        <v>17741</v>
      </c>
      <c r="AI47" s="3">
        <f>V47</f>
        <v>14760</v>
      </c>
    </row>
    <row r="48" spans="1:47" x14ac:dyDescent="0.2">
      <c r="B48" s="27" t="s">
        <v>87</v>
      </c>
      <c r="C48" s="41">
        <v>5252</v>
      </c>
      <c r="D48" s="41">
        <v>5395</v>
      </c>
      <c r="E48" s="41">
        <v>5865</v>
      </c>
      <c r="F48" s="41">
        <v>5614</v>
      </c>
      <c r="G48" s="41">
        <v>4568</v>
      </c>
      <c r="H48" s="41">
        <v>5002</v>
      </c>
      <c r="I48" s="41">
        <v>5785</v>
      </c>
      <c r="J48" s="41">
        <v>6283</v>
      </c>
      <c r="K48" s="41">
        <v>5342</v>
      </c>
      <c r="L48" s="41">
        <v>5382</v>
      </c>
      <c r="M48" s="41">
        <v>5612</v>
      </c>
      <c r="N48" s="41">
        <v>6284</v>
      </c>
      <c r="O48" s="41">
        <v>5029</v>
      </c>
      <c r="P48" s="41">
        <v>5111</v>
      </c>
      <c r="Q48" s="41">
        <v>5770</v>
      </c>
      <c r="R48" s="41">
        <v>6516</v>
      </c>
      <c r="S48" s="41">
        <v>5797</v>
      </c>
      <c r="T48" s="41">
        <v>6103</v>
      </c>
      <c r="U48" s="41">
        <v>7349</v>
      </c>
      <c r="V48" s="41">
        <v>8280</v>
      </c>
      <c r="W48" s="41">
        <v>7674</v>
      </c>
      <c r="AE48" s="3">
        <f>F48</f>
        <v>5614</v>
      </c>
      <c r="AF48" s="3">
        <f t="shared" ref="AF48:AF50" si="112">J48</f>
        <v>6283</v>
      </c>
      <c r="AG48" s="3">
        <f t="shared" ref="AG48:AG50" si="113">N48</f>
        <v>6284</v>
      </c>
      <c r="AH48" s="3">
        <f t="shared" ref="AH48:AH50" si="114">R48</f>
        <v>6516</v>
      </c>
      <c r="AI48" s="3">
        <f t="shared" ref="AI48:AI50" si="115">V48</f>
        <v>8280</v>
      </c>
    </row>
    <row r="49" spans="1:35" x14ac:dyDescent="0.2">
      <c r="B49" s="27" t="s">
        <v>88</v>
      </c>
      <c r="C49" s="41">
        <v>43361</v>
      </c>
      <c r="D49" s="41">
        <v>43442</v>
      </c>
      <c r="E49" s="41">
        <v>50147</v>
      </c>
      <c r="F49" s="41">
        <v>43783</v>
      </c>
      <c r="G49" s="41">
        <v>43303</v>
      </c>
      <c r="H49" s="41">
        <v>41985</v>
      </c>
      <c r="I49" s="41">
        <v>50380</v>
      </c>
      <c r="J49" s="41">
        <v>44269</v>
      </c>
      <c r="K49" s="41">
        <v>44751</v>
      </c>
      <c r="L49" s="41">
        <v>44134</v>
      </c>
      <c r="M49" s="41">
        <v>51546</v>
      </c>
      <c r="N49" s="41">
        <v>44435</v>
      </c>
      <c r="O49" s="41">
        <v>41217</v>
      </c>
      <c r="P49" s="41">
        <v>41084</v>
      </c>
      <c r="Q49" s="41">
        <v>51842</v>
      </c>
      <c r="R49" s="41">
        <v>44949</v>
      </c>
      <c r="S49" s="41">
        <v>46383</v>
      </c>
      <c r="T49" s="41">
        <v>47754</v>
      </c>
      <c r="U49" s="41">
        <v>57484</v>
      </c>
      <c r="V49" s="41">
        <v>56511</v>
      </c>
      <c r="W49" s="41">
        <v>61229</v>
      </c>
      <c r="AE49" s="3">
        <f>F49</f>
        <v>43783</v>
      </c>
      <c r="AF49" s="3">
        <f t="shared" si="112"/>
        <v>44269</v>
      </c>
      <c r="AG49" s="3">
        <f t="shared" si="113"/>
        <v>44435</v>
      </c>
      <c r="AH49" s="3">
        <f t="shared" si="114"/>
        <v>44949</v>
      </c>
      <c r="AI49" s="3">
        <f t="shared" si="115"/>
        <v>56511</v>
      </c>
    </row>
    <row r="50" spans="1:35" x14ac:dyDescent="0.2">
      <c r="B50" s="27" t="s">
        <v>89</v>
      </c>
      <c r="C50" s="41">
        <v>2178</v>
      </c>
      <c r="D50" s="41">
        <v>1457</v>
      </c>
      <c r="E50" s="41">
        <v>2330</v>
      </c>
      <c r="F50" s="41">
        <v>3511</v>
      </c>
      <c r="G50" s="41">
        <v>3486</v>
      </c>
      <c r="H50" s="41">
        <v>3543</v>
      </c>
      <c r="I50" s="41">
        <v>4107</v>
      </c>
      <c r="J50" s="41">
        <v>3623</v>
      </c>
      <c r="K50" s="41">
        <v>2391</v>
      </c>
      <c r="L50" s="41">
        <v>2572</v>
      </c>
      <c r="M50" s="41">
        <v>2148</v>
      </c>
      <c r="N50" s="41">
        <v>1622</v>
      </c>
      <c r="O50" s="41">
        <v>2152</v>
      </c>
      <c r="P50" s="41">
        <v>1895</v>
      </c>
      <c r="Q50" s="41">
        <v>1665</v>
      </c>
      <c r="R50" s="41">
        <v>20861</v>
      </c>
      <c r="S50" s="41">
        <v>1565</v>
      </c>
      <c r="T50" s="41">
        <v>1555</v>
      </c>
      <c r="U50" s="41">
        <v>2020</v>
      </c>
      <c r="V50" s="41">
        <v>1519</v>
      </c>
      <c r="W50" s="41">
        <v>2500</v>
      </c>
      <c r="AE50" s="3">
        <f>F50</f>
        <v>3511</v>
      </c>
      <c r="AF50" s="3">
        <f t="shared" si="112"/>
        <v>3623</v>
      </c>
      <c r="AG50" s="3">
        <f t="shared" si="113"/>
        <v>1622</v>
      </c>
      <c r="AH50" s="3">
        <f t="shared" si="114"/>
        <v>20861</v>
      </c>
      <c r="AI50" s="3">
        <f t="shared" si="115"/>
        <v>1519</v>
      </c>
    </row>
    <row r="51" spans="1:35" s="13" customFormat="1" ht="15" x14ac:dyDescent="0.25">
      <c r="A51" s="4"/>
      <c r="B51" s="4" t="s">
        <v>90</v>
      </c>
      <c r="C51" s="13">
        <f>SUM(C47:C50)</f>
        <v>57336</v>
      </c>
      <c r="D51" s="13">
        <f t="shared" ref="D51:V51" si="116">SUM(D47:D50)</f>
        <v>56763</v>
      </c>
      <c r="E51" s="13">
        <f t="shared" si="116"/>
        <v>65368</v>
      </c>
      <c r="F51" s="13">
        <f t="shared" si="116"/>
        <v>59664</v>
      </c>
      <c r="G51" s="13">
        <f t="shared" si="116"/>
        <v>59242</v>
      </c>
      <c r="H51" s="13">
        <f t="shared" si="116"/>
        <v>66370</v>
      </c>
      <c r="I51" s="13">
        <f t="shared" si="116"/>
        <v>69446</v>
      </c>
      <c r="J51" s="13">
        <f t="shared" si="116"/>
        <v>61897</v>
      </c>
      <c r="K51" s="13">
        <f t="shared" si="116"/>
        <v>61739</v>
      </c>
      <c r="L51" s="13">
        <f t="shared" si="116"/>
        <v>61371</v>
      </c>
      <c r="M51" s="13">
        <f t="shared" si="116"/>
        <v>67912</v>
      </c>
      <c r="N51" s="13">
        <f t="shared" si="116"/>
        <v>61806</v>
      </c>
      <c r="O51" s="13">
        <f t="shared" si="116"/>
        <v>63328</v>
      </c>
      <c r="P51" s="13">
        <f t="shared" si="116"/>
        <v>64996</v>
      </c>
      <c r="Q51" s="13">
        <f t="shared" si="116"/>
        <v>73602</v>
      </c>
      <c r="R51" s="13">
        <f t="shared" si="116"/>
        <v>90067</v>
      </c>
      <c r="S51" s="13">
        <f t="shared" si="116"/>
        <v>76591</v>
      </c>
      <c r="T51" s="13">
        <f t="shared" si="116"/>
        <v>78243</v>
      </c>
      <c r="U51" s="13">
        <f t="shared" si="116"/>
        <v>82964</v>
      </c>
      <c r="V51" s="13">
        <f t="shared" si="116"/>
        <v>81070</v>
      </c>
      <c r="W51" s="13">
        <f>SUM(W47:W50)</f>
        <v>83220</v>
      </c>
      <c r="AE51" s="53">
        <f t="shared" ref="AE51:AI51" si="117">SUM(AE47:AE50)</f>
        <v>59664</v>
      </c>
      <c r="AF51" s="53">
        <f t="shared" si="117"/>
        <v>61897</v>
      </c>
      <c r="AG51" s="53">
        <f t="shared" si="117"/>
        <v>61806</v>
      </c>
      <c r="AH51" s="53">
        <f t="shared" si="117"/>
        <v>90067</v>
      </c>
      <c r="AI51" s="53">
        <f t="shared" si="117"/>
        <v>81070</v>
      </c>
    </row>
    <row r="52" spans="1:35" x14ac:dyDescent="0.2">
      <c r="B52" s="27" t="s">
        <v>91</v>
      </c>
      <c r="C52" s="42">
        <v>107450</v>
      </c>
      <c r="D52" s="42">
        <v>108170</v>
      </c>
      <c r="E52" s="42">
        <v>108155</v>
      </c>
      <c r="F52" s="42">
        <v>107675</v>
      </c>
      <c r="G52" s="42">
        <v>107622</v>
      </c>
      <c r="H52" s="42">
        <v>104019</v>
      </c>
      <c r="I52" s="42">
        <v>104358</v>
      </c>
      <c r="J52" s="42">
        <v>104317</v>
      </c>
      <c r="K52" s="42">
        <v>104604</v>
      </c>
      <c r="L52" s="42">
        <v>104674</v>
      </c>
      <c r="M52" s="42">
        <v>104326</v>
      </c>
      <c r="N52" s="42">
        <v>105208</v>
      </c>
      <c r="O52" s="42">
        <v>101872</v>
      </c>
      <c r="P52" s="42">
        <v>101182</v>
      </c>
      <c r="Q52" s="42">
        <v>102232</v>
      </c>
      <c r="R52" s="42">
        <v>92201</v>
      </c>
      <c r="S52" s="42">
        <v>90996</v>
      </c>
      <c r="T52" s="42">
        <v>91621</v>
      </c>
      <c r="U52" s="42">
        <v>92242</v>
      </c>
      <c r="V52" s="42">
        <v>94515</v>
      </c>
      <c r="W52" s="42">
        <v>94741</v>
      </c>
      <c r="AE52" s="3">
        <f t="shared" ref="AE52:AE57" si="118">F52</f>
        <v>107675</v>
      </c>
      <c r="AF52" s="3">
        <f t="shared" ref="AF52:AF57" si="119">J52</f>
        <v>104317</v>
      </c>
      <c r="AG52" s="3">
        <f t="shared" ref="AG52:AG57" si="120">N52</f>
        <v>105208</v>
      </c>
      <c r="AH52" s="3">
        <f t="shared" ref="AH52:AH57" si="121">R52</f>
        <v>92201</v>
      </c>
      <c r="AI52" s="3">
        <f t="shared" ref="AI52:AI57" si="122">V52</f>
        <v>94515</v>
      </c>
    </row>
    <row r="53" spans="1:35" x14ac:dyDescent="0.2">
      <c r="B53" s="27" t="s">
        <v>92</v>
      </c>
      <c r="C53" s="42">
        <v>0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16833</v>
      </c>
      <c r="L53" s="42">
        <v>17239</v>
      </c>
      <c r="M53" s="42">
        <v>16944</v>
      </c>
      <c r="N53" s="42">
        <v>17424</v>
      </c>
      <c r="O53" s="42">
        <v>16895</v>
      </c>
      <c r="P53" s="42">
        <v>16869</v>
      </c>
      <c r="Q53" s="42">
        <v>17128</v>
      </c>
      <c r="R53" s="42">
        <v>13642</v>
      </c>
      <c r="S53" s="42">
        <v>13650</v>
      </c>
      <c r="T53" s="42">
        <v>13868</v>
      </c>
      <c r="U53" s="42">
        <v>13863</v>
      </c>
      <c r="V53" s="42">
        <v>13758</v>
      </c>
      <c r="W53" s="42">
        <v>13971</v>
      </c>
      <c r="AE53" s="3">
        <f t="shared" si="118"/>
        <v>0</v>
      </c>
      <c r="AF53" s="3">
        <f t="shared" si="119"/>
        <v>0</v>
      </c>
      <c r="AG53" s="3">
        <f t="shared" si="120"/>
        <v>17424</v>
      </c>
      <c r="AH53" s="3">
        <f t="shared" si="121"/>
        <v>13642</v>
      </c>
      <c r="AI53" s="3">
        <f t="shared" si="122"/>
        <v>13758</v>
      </c>
    </row>
    <row r="54" spans="1:35" x14ac:dyDescent="0.2">
      <c r="B54" s="27" t="s">
        <v>93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3804</v>
      </c>
      <c r="L54" s="42">
        <v>3949</v>
      </c>
      <c r="M54" s="42">
        <v>4155</v>
      </c>
      <c r="N54" s="42">
        <v>4417</v>
      </c>
      <c r="O54" s="42">
        <v>4611</v>
      </c>
      <c r="P54" s="42">
        <v>4843</v>
      </c>
      <c r="Q54" s="42">
        <v>4929</v>
      </c>
      <c r="R54" s="42">
        <v>4005</v>
      </c>
      <c r="S54" s="42">
        <v>3979</v>
      </c>
      <c r="T54" s="42">
        <v>4109</v>
      </c>
      <c r="U54" s="42">
        <v>4226</v>
      </c>
      <c r="V54" s="42">
        <v>4351</v>
      </c>
      <c r="W54" s="42">
        <v>4505</v>
      </c>
      <c r="AE54" s="3">
        <f t="shared" si="118"/>
        <v>0</v>
      </c>
      <c r="AF54" s="3">
        <f t="shared" si="119"/>
        <v>0</v>
      </c>
      <c r="AG54" s="3">
        <f t="shared" si="120"/>
        <v>4417</v>
      </c>
      <c r="AH54" s="3">
        <f t="shared" si="121"/>
        <v>4005</v>
      </c>
      <c r="AI54" s="3">
        <f t="shared" si="122"/>
        <v>4351</v>
      </c>
    </row>
    <row r="55" spans="1:35" x14ac:dyDescent="0.2">
      <c r="B55" s="40" t="s">
        <v>114</v>
      </c>
      <c r="C55" s="42">
        <v>6719</v>
      </c>
      <c r="D55" s="42">
        <v>7183</v>
      </c>
      <c r="E55" s="42">
        <v>7144</v>
      </c>
      <c r="F55" s="42">
        <v>7143</v>
      </c>
      <c r="G55" s="42">
        <v>7178</v>
      </c>
      <c r="H55" s="42">
        <v>6998</v>
      </c>
      <c r="I55" s="42">
        <v>6991</v>
      </c>
      <c r="J55" s="42">
        <v>7078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AE55" s="3">
        <f t="shared" si="118"/>
        <v>7143</v>
      </c>
      <c r="AF55" s="3">
        <f t="shared" si="119"/>
        <v>7078</v>
      </c>
      <c r="AG55" s="3">
        <f t="shared" si="120"/>
        <v>0</v>
      </c>
      <c r="AH55" s="3">
        <f t="shared" si="121"/>
        <v>0</v>
      </c>
      <c r="AI55" s="3">
        <f t="shared" si="122"/>
        <v>0</v>
      </c>
    </row>
    <row r="56" spans="1:35" x14ac:dyDescent="0.2">
      <c r="B56" s="27" t="s">
        <v>94</v>
      </c>
      <c r="C56" s="42">
        <v>17575</v>
      </c>
      <c r="D56" s="42">
        <v>18037</v>
      </c>
      <c r="E56" s="42">
        <v>18204</v>
      </c>
      <c r="F56" s="42">
        <v>18242</v>
      </c>
      <c r="G56" s="42">
        <v>18850</v>
      </c>
      <c r="H56" s="42">
        <v>17840</v>
      </c>
      <c r="I56" s="42">
        <v>31044</v>
      </c>
      <c r="J56" s="42">
        <v>31181</v>
      </c>
      <c r="K56" s="42">
        <v>31416</v>
      </c>
      <c r="L56" s="42">
        <v>31454</v>
      </c>
      <c r="M56" s="42">
        <v>30716</v>
      </c>
      <c r="N56" s="42">
        <v>31073</v>
      </c>
      <c r="O56" s="42">
        <v>29416</v>
      </c>
      <c r="P56" s="42">
        <v>29542</v>
      </c>
      <c r="Q56" s="42">
        <v>30236</v>
      </c>
      <c r="R56" s="42">
        <v>28983</v>
      </c>
      <c r="S56" s="42">
        <v>28872</v>
      </c>
      <c r="T56" s="42">
        <v>29159</v>
      </c>
      <c r="U56" s="42">
        <v>28923</v>
      </c>
      <c r="V56" s="42">
        <v>29014</v>
      </c>
      <c r="W56" s="42">
        <v>29438</v>
      </c>
      <c r="AE56" s="3">
        <f t="shared" si="118"/>
        <v>18242</v>
      </c>
      <c r="AF56" s="3">
        <f t="shared" si="119"/>
        <v>31181</v>
      </c>
      <c r="AG56" s="3">
        <f t="shared" si="120"/>
        <v>31073</v>
      </c>
      <c r="AH56" s="3">
        <f t="shared" si="121"/>
        <v>28983</v>
      </c>
      <c r="AI56" s="3">
        <f t="shared" si="122"/>
        <v>29014</v>
      </c>
    </row>
    <row r="57" spans="1:35" x14ac:dyDescent="0.2">
      <c r="B57" s="27" t="s">
        <v>95</v>
      </c>
      <c r="C57" s="42">
        <v>10638</v>
      </c>
      <c r="D57" s="42">
        <v>11413</v>
      </c>
      <c r="E57" s="42">
        <v>10543</v>
      </c>
      <c r="F57" s="42">
        <v>11798</v>
      </c>
      <c r="G57" s="42">
        <v>12035</v>
      </c>
      <c r="H57" s="42">
        <v>10835</v>
      </c>
      <c r="I57" s="42">
        <v>14744</v>
      </c>
      <c r="J57" s="42">
        <v>14822</v>
      </c>
      <c r="K57" s="42">
        <v>16148</v>
      </c>
      <c r="L57" s="42">
        <v>16174</v>
      </c>
      <c r="M57" s="42">
        <v>15777</v>
      </c>
      <c r="N57" s="42">
        <v>16567</v>
      </c>
      <c r="O57" s="42">
        <v>16770</v>
      </c>
      <c r="P57" s="42">
        <v>19950</v>
      </c>
      <c r="Q57" s="42">
        <v>22736</v>
      </c>
      <c r="R57" s="42">
        <v>23598</v>
      </c>
      <c r="S57" s="42">
        <v>22493</v>
      </c>
      <c r="T57" s="42">
        <v>21552</v>
      </c>
      <c r="U57" s="42">
        <v>22633</v>
      </c>
      <c r="V57" s="42">
        <v>22152</v>
      </c>
      <c r="W57" s="42">
        <v>20267</v>
      </c>
      <c r="AE57" s="3">
        <f t="shared" si="118"/>
        <v>11798</v>
      </c>
      <c r="AF57" s="3">
        <f t="shared" si="119"/>
        <v>14822</v>
      </c>
      <c r="AG57" s="3">
        <f t="shared" si="120"/>
        <v>16567</v>
      </c>
      <c r="AH57" s="3">
        <f t="shared" si="121"/>
        <v>23598</v>
      </c>
      <c r="AI57" s="3">
        <f t="shared" si="122"/>
        <v>22152</v>
      </c>
    </row>
    <row r="58" spans="1:35" s="13" customFormat="1" ht="15" x14ac:dyDescent="0.25">
      <c r="A58" s="4"/>
      <c r="B58" s="4" t="s">
        <v>96</v>
      </c>
      <c r="C58" s="13">
        <f>SUM(C51:C57)</f>
        <v>199718</v>
      </c>
      <c r="D58" s="13">
        <f t="shared" ref="D58:U58" si="123">SUM(D51:D57)</f>
        <v>201566</v>
      </c>
      <c r="E58" s="13">
        <f t="shared" si="123"/>
        <v>209414</v>
      </c>
      <c r="F58" s="13">
        <f t="shared" si="123"/>
        <v>204522</v>
      </c>
      <c r="G58" s="13">
        <f t="shared" si="123"/>
        <v>204927</v>
      </c>
      <c r="H58" s="13">
        <f t="shared" si="123"/>
        <v>206062</v>
      </c>
      <c r="I58" s="13">
        <f t="shared" si="123"/>
        <v>226583</v>
      </c>
      <c r="J58" s="13">
        <f t="shared" si="123"/>
        <v>219295</v>
      </c>
      <c r="K58" s="13">
        <f t="shared" si="123"/>
        <v>234544</v>
      </c>
      <c r="L58" s="13">
        <f t="shared" si="123"/>
        <v>234861</v>
      </c>
      <c r="M58" s="13">
        <f t="shared" si="123"/>
        <v>239830</v>
      </c>
      <c r="N58" s="13">
        <f t="shared" si="123"/>
        <v>236495</v>
      </c>
      <c r="O58" s="13">
        <f t="shared" si="123"/>
        <v>232892</v>
      </c>
      <c r="P58" s="13">
        <f t="shared" si="123"/>
        <v>237382</v>
      </c>
      <c r="Q58" s="13">
        <f t="shared" si="123"/>
        <v>250863</v>
      </c>
      <c r="R58" s="13">
        <f t="shared" si="123"/>
        <v>252496</v>
      </c>
      <c r="S58" s="13">
        <f t="shared" si="123"/>
        <v>236581</v>
      </c>
      <c r="T58" s="13">
        <f t="shared" si="123"/>
        <v>238552</v>
      </c>
      <c r="U58" s="13">
        <f t="shared" si="123"/>
        <v>244851</v>
      </c>
      <c r="V58" s="13">
        <f>SUM(V51:V57)</f>
        <v>244860</v>
      </c>
      <c r="W58" s="13">
        <f>SUM(W51:W57)</f>
        <v>246142</v>
      </c>
      <c r="AE58" s="53">
        <f t="shared" ref="AE58:AI58" si="124">SUM(AE51:AE57)</f>
        <v>204522</v>
      </c>
      <c r="AF58" s="53">
        <f t="shared" si="124"/>
        <v>219295</v>
      </c>
      <c r="AG58" s="53">
        <f t="shared" si="124"/>
        <v>236495</v>
      </c>
      <c r="AH58" s="53">
        <f t="shared" si="124"/>
        <v>252496</v>
      </c>
      <c r="AI58" s="53">
        <f t="shared" si="124"/>
        <v>244860</v>
      </c>
    </row>
    <row r="59" spans="1:35" x14ac:dyDescent="0.2">
      <c r="B59" s="27" t="s">
        <v>97</v>
      </c>
      <c r="C59" s="44">
        <v>2617</v>
      </c>
      <c r="D59" s="44">
        <v>3262</v>
      </c>
      <c r="E59" s="44">
        <v>5114</v>
      </c>
      <c r="F59" s="44">
        <v>5257</v>
      </c>
      <c r="G59" s="44">
        <v>7762</v>
      </c>
      <c r="H59" s="44">
        <v>444</v>
      </c>
      <c r="I59" s="44">
        <v>7795</v>
      </c>
      <c r="J59" s="44">
        <v>5225</v>
      </c>
      <c r="K59" s="44">
        <v>4828</v>
      </c>
      <c r="L59" s="44">
        <v>3681</v>
      </c>
      <c r="M59" s="44">
        <v>4926</v>
      </c>
      <c r="N59" s="44">
        <v>575</v>
      </c>
      <c r="O59" s="44">
        <v>4048</v>
      </c>
      <c r="P59" s="44">
        <v>357</v>
      </c>
      <c r="Q59" s="44">
        <v>240</v>
      </c>
      <c r="R59" s="44">
        <v>224</v>
      </c>
      <c r="S59" s="44">
        <v>362</v>
      </c>
      <c r="T59" s="44">
        <v>671</v>
      </c>
      <c r="U59" s="44">
        <v>447</v>
      </c>
      <c r="V59" s="44">
        <v>410</v>
      </c>
      <c r="W59" s="44">
        <v>11432</v>
      </c>
      <c r="AE59" s="3">
        <f t="shared" ref="AE59:AE67" si="125">F59</f>
        <v>5257</v>
      </c>
      <c r="AF59" s="3">
        <f t="shared" ref="AF59:AF67" si="126">J59</f>
        <v>5225</v>
      </c>
      <c r="AG59" s="3">
        <f t="shared" ref="AG59:AG67" si="127">N59</f>
        <v>575</v>
      </c>
      <c r="AH59" s="3">
        <f t="shared" ref="AH59:AH67" si="128">R59</f>
        <v>224</v>
      </c>
      <c r="AI59" s="3">
        <f t="shared" ref="AI59:AI67" si="129">V59</f>
        <v>410</v>
      </c>
    </row>
    <row r="60" spans="1:35" x14ac:dyDescent="0.2">
      <c r="B60" s="27" t="s">
        <v>98</v>
      </c>
      <c r="C60" s="44">
        <v>41367</v>
      </c>
      <c r="D60" s="44">
        <v>42389</v>
      </c>
      <c r="E60" s="44">
        <v>47587</v>
      </c>
      <c r="F60" s="44">
        <v>46092</v>
      </c>
      <c r="G60" s="44">
        <v>44612</v>
      </c>
      <c r="H60" s="44">
        <v>43128</v>
      </c>
      <c r="I60" s="44">
        <v>49729</v>
      </c>
      <c r="J60" s="44">
        <v>47060</v>
      </c>
      <c r="K60" s="44">
        <v>45110</v>
      </c>
      <c r="L60" s="44">
        <v>45871</v>
      </c>
      <c r="M60" s="44">
        <v>49750</v>
      </c>
      <c r="N60" s="44">
        <v>46973</v>
      </c>
      <c r="O60" s="44">
        <v>44096</v>
      </c>
      <c r="P60" s="44">
        <v>46326</v>
      </c>
      <c r="Q60" s="44">
        <v>54152</v>
      </c>
      <c r="R60" s="44">
        <v>49141</v>
      </c>
      <c r="S60" s="44">
        <v>48151</v>
      </c>
      <c r="T60" s="44">
        <v>49601</v>
      </c>
      <c r="U60" s="44">
        <v>57156</v>
      </c>
      <c r="V60" s="44">
        <v>55261</v>
      </c>
      <c r="W60" s="44">
        <v>52926</v>
      </c>
      <c r="AE60" s="3">
        <f t="shared" si="125"/>
        <v>46092</v>
      </c>
      <c r="AF60" s="3">
        <f t="shared" si="126"/>
        <v>47060</v>
      </c>
      <c r="AG60" s="3">
        <f t="shared" si="127"/>
        <v>46973</v>
      </c>
      <c r="AH60" s="3">
        <f t="shared" si="128"/>
        <v>49141</v>
      </c>
      <c r="AI60" s="3">
        <f t="shared" si="129"/>
        <v>55261</v>
      </c>
    </row>
    <row r="61" spans="1:35" x14ac:dyDescent="0.2">
      <c r="B61" s="27" t="s">
        <v>64</v>
      </c>
      <c r="C61" s="44">
        <v>4628</v>
      </c>
      <c r="D61" s="44">
        <v>3057</v>
      </c>
      <c r="E61" s="44">
        <v>1530</v>
      </c>
      <c r="F61" s="44">
        <v>0</v>
      </c>
      <c r="G61" s="44">
        <v>4607</v>
      </c>
      <c r="H61" s="44">
        <v>3057</v>
      </c>
      <c r="I61" s="44">
        <v>1516</v>
      </c>
      <c r="J61" s="44">
        <v>0</v>
      </c>
      <c r="K61" s="44">
        <v>4551</v>
      </c>
      <c r="L61" s="44">
        <v>3023</v>
      </c>
      <c r="M61" s="44">
        <v>1507</v>
      </c>
      <c r="N61" s="44">
        <v>0</v>
      </c>
      <c r="O61" s="44">
        <v>4588</v>
      </c>
      <c r="P61" s="44">
        <v>3060</v>
      </c>
      <c r="Q61" s="44">
        <v>1529</v>
      </c>
      <c r="R61" s="44">
        <v>0</v>
      </c>
      <c r="S61" s="44">
        <v>4651</v>
      </c>
      <c r="T61" s="44">
        <v>3109</v>
      </c>
      <c r="U61" s="44">
        <v>1528</v>
      </c>
      <c r="V61" s="44">
        <v>0</v>
      </c>
      <c r="W61" s="44">
        <v>4631</v>
      </c>
      <c r="AE61" s="3">
        <f t="shared" si="125"/>
        <v>0</v>
      </c>
      <c r="AF61" s="3">
        <f t="shared" si="126"/>
        <v>0</v>
      </c>
      <c r="AG61" s="3">
        <f t="shared" si="127"/>
        <v>0</v>
      </c>
      <c r="AH61" s="3">
        <f t="shared" si="128"/>
        <v>0</v>
      </c>
      <c r="AI61" s="3">
        <f t="shared" si="129"/>
        <v>0</v>
      </c>
    </row>
    <row r="62" spans="1:35" x14ac:dyDescent="0.2">
      <c r="B62" s="27" t="s">
        <v>99</v>
      </c>
      <c r="C62" s="44">
        <v>19708</v>
      </c>
      <c r="D62" s="44">
        <v>19686</v>
      </c>
      <c r="E62" s="44">
        <v>21757</v>
      </c>
      <c r="F62" s="44">
        <v>22122</v>
      </c>
      <c r="G62" s="44">
        <v>20782</v>
      </c>
      <c r="H62" s="44">
        <v>22846</v>
      </c>
      <c r="I62" s="44">
        <v>22795</v>
      </c>
      <c r="J62" s="44">
        <v>22159</v>
      </c>
      <c r="K62" s="44">
        <v>21023</v>
      </c>
      <c r="L62" s="44">
        <v>20691</v>
      </c>
      <c r="M62" s="44">
        <v>20973</v>
      </c>
      <c r="N62" s="44">
        <v>22296</v>
      </c>
      <c r="O62" s="44">
        <v>20377</v>
      </c>
      <c r="P62" s="44">
        <v>23768</v>
      </c>
      <c r="Q62" s="44">
        <v>24995</v>
      </c>
      <c r="R62" s="44">
        <v>37966</v>
      </c>
      <c r="S62" s="44">
        <v>21371</v>
      </c>
      <c r="T62" s="44">
        <v>23915</v>
      </c>
      <c r="U62" s="44">
        <v>24474</v>
      </c>
      <c r="V62" s="44">
        <v>26060</v>
      </c>
      <c r="W62" s="44">
        <v>21061</v>
      </c>
      <c r="AE62" s="3">
        <f t="shared" si="125"/>
        <v>22122</v>
      </c>
      <c r="AF62" s="3">
        <f t="shared" si="126"/>
        <v>22159</v>
      </c>
      <c r="AG62" s="3">
        <f t="shared" si="127"/>
        <v>22296</v>
      </c>
      <c r="AH62" s="3">
        <f t="shared" si="128"/>
        <v>37966</v>
      </c>
      <c r="AI62" s="3">
        <f t="shared" si="129"/>
        <v>26060</v>
      </c>
    </row>
    <row r="63" spans="1:35" x14ac:dyDescent="0.2">
      <c r="B63" s="27" t="s">
        <v>100</v>
      </c>
      <c r="C63" s="44">
        <v>2018</v>
      </c>
      <c r="D63" s="44">
        <v>505</v>
      </c>
      <c r="E63" s="44">
        <v>540</v>
      </c>
      <c r="F63" s="44">
        <v>645</v>
      </c>
      <c r="G63" s="44">
        <v>718</v>
      </c>
      <c r="H63" s="44">
        <v>424</v>
      </c>
      <c r="I63" s="44">
        <v>616</v>
      </c>
      <c r="J63" s="44">
        <v>428</v>
      </c>
      <c r="K63" s="44">
        <v>729</v>
      </c>
      <c r="L63" s="44">
        <v>387</v>
      </c>
      <c r="M63" s="44">
        <v>327</v>
      </c>
      <c r="N63" s="44">
        <v>280</v>
      </c>
      <c r="O63" s="44">
        <v>1303</v>
      </c>
      <c r="P63" s="44">
        <v>610</v>
      </c>
      <c r="Q63" s="44">
        <v>548</v>
      </c>
      <c r="R63" s="44">
        <v>242</v>
      </c>
      <c r="S63" s="44">
        <v>851</v>
      </c>
      <c r="T63" s="44">
        <v>267</v>
      </c>
      <c r="U63" s="44">
        <v>446</v>
      </c>
      <c r="V63" s="44">
        <v>851</v>
      </c>
      <c r="W63" s="44">
        <v>904</v>
      </c>
      <c r="AE63" s="3">
        <f t="shared" si="125"/>
        <v>645</v>
      </c>
      <c r="AF63" s="3">
        <f t="shared" si="126"/>
        <v>428</v>
      </c>
      <c r="AG63" s="3">
        <f t="shared" si="127"/>
        <v>280</v>
      </c>
      <c r="AH63" s="3">
        <f t="shared" si="128"/>
        <v>242</v>
      </c>
      <c r="AI63" s="3">
        <f t="shared" si="129"/>
        <v>851</v>
      </c>
    </row>
    <row r="64" spans="1:35" x14ac:dyDescent="0.2">
      <c r="B64" s="27" t="s">
        <v>101</v>
      </c>
      <c r="C64" s="44">
        <v>3256</v>
      </c>
      <c r="D64" s="44">
        <v>3254</v>
      </c>
      <c r="E64" s="44">
        <v>3257</v>
      </c>
      <c r="F64" s="44">
        <v>3738</v>
      </c>
      <c r="G64" s="44">
        <v>1576</v>
      </c>
      <c r="H64" s="44">
        <v>1090</v>
      </c>
      <c r="I64" s="44">
        <v>2591</v>
      </c>
      <c r="J64" s="44">
        <v>1876</v>
      </c>
      <c r="K64" s="44">
        <v>1464</v>
      </c>
      <c r="L64" s="44">
        <v>4396</v>
      </c>
      <c r="M64" s="44">
        <v>4093</v>
      </c>
      <c r="N64" s="44">
        <v>5362</v>
      </c>
      <c r="O64" s="44">
        <v>5983</v>
      </c>
      <c r="P64" s="44">
        <v>5553</v>
      </c>
      <c r="Q64" s="44">
        <v>4358</v>
      </c>
      <c r="R64" s="44">
        <v>3115</v>
      </c>
      <c r="S64" s="44">
        <v>3500</v>
      </c>
      <c r="T64" s="44">
        <v>1617</v>
      </c>
      <c r="U64" s="44">
        <v>1575</v>
      </c>
      <c r="V64" s="44">
        <v>2803</v>
      </c>
      <c r="W64" s="44">
        <v>3580</v>
      </c>
      <c r="AE64" s="3">
        <f t="shared" si="125"/>
        <v>3738</v>
      </c>
      <c r="AF64" s="3">
        <f t="shared" si="126"/>
        <v>1876</v>
      </c>
      <c r="AG64" s="3">
        <f t="shared" si="127"/>
        <v>5362</v>
      </c>
      <c r="AH64" s="3">
        <f t="shared" si="128"/>
        <v>3115</v>
      </c>
      <c r="AI64" s="3">
        <f t="shared" si="129"/>
        <v>2803</v>
      </c>
    </row>
    <row r="65" spans="1:35" x14ac:dyDescent="0.2">
      <c r="B65" s="27" t="s">
        <v>102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1748</v>
      </c>
      <c r="L65" s="44">
        <v>1795</v>
      </c>
      <c r="M65" s="44">
        <v>1740</v>
      </c>
      <c r="N65" s="44">
        <v>1793</v>
      </c>
      <c r="O65" s="44">
        <v>1729</v>
      </c>
      <c r="P65" s="44">
        <v>1734</v>
      </c>
      <c r="Q65" s="44">
        <v>1725</v>
      </c>
      <c r="R65" s="44">
        <v>1466</v>
      </c>
      <c r="S65" s="44">
        <v>1448</v>
      </c>
      <c r="T65" s="44">
        <v>1441</v>
      </c>
      <c r="U65" s="44">
        <v>1486</v>
      </c>
      <c r="V65" s="44">
        <v>1483</v>
      </c>
      <c r="W65" s="44">
        <v>1485</v>
      </c>
      <c r="AE65" s="3">
        <f t="shared" si="125"/>
        <v>0</v>
      </c>
      <c r="AF65" s="3">
        <f t="shared" si="126"/>
        <v>0</v>
      </c>
      <c r="AG65" s="3">
        <f t="shared" si="127"/>
        <v>1793</v>
      </c>
      <c r="AH65" s="3">
        <f t="shared" si="128"/>
        <v>1466</v>
      </c>
      <c r="AI65" s="3">
        <f t="shared" si="129"/>
        <v>1483</v>
      </c>
    </row>
    <row r="66" spans="1:35" x14ac:dyDescent="0.2">
      <c r="B66" s="27" t="s">
        <v>103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435</v>
      </c>
      <c r="L66" s="44">
        <v>439</v>
      </c>
      <c r="M66" s="44">
        <v>468</v>
      </c>
      <c r="N66" s="44">
        <v>511</v>
      </c>
      <c r="O66" s="44">
        <v>523</v>
      </c>
      <c r="P66" s="44">
        <v>549</v>
      </c>
      <c r="Q66" s="44">
        <v>574</v>
      </c>
      <c r="R66" s="44">
        <v>491</v>
      </c>
      <c r="S66" s="44">
        <v>507</v>
      </c>
      <c r="T66" s="44">
        <v>501</v>
      </c>
      <c r="U66" s="44">
        <v>508</v>
      </c>
      <c r="V66" s="44">
        <v>511</v>
      </c>
      <c r="W66" s="44">
        <v>511</v>
      </c>
      <c r="AE66" s="3">
        <f t="shared" si="125"/>
        <v>0</v>
      </c>
      <c r="AF66" s="3">
        <f t="shared" si="126"/>
        <v>0</v>
      </c>
      <c r="AG66" s="3">
        <f t="shared" si="127"/>
        <v>511</v>
      </c>
      <c r="AH66" s="3">
        <f t="shared" si="128"/>
        <v>491</v>
      </c>
      <c r="AI66" s="3">
        <f t="shared" si="129"/>
        <v>511</v>
      </c>
    </row>
    <row r="67" spans="1:35" x14ac:dyDescent="0.2">
      <c r="B67" s="43" t="s">
        <v>115</v>
      </c>
      <c r="C67" s="44">
        <v>599</v>
      </c>
      <c r="D67" s="44">
        <v>658</v>
      </c>
      <c r="E67" s="44">
        <v>650</v>
      </c>
      <c r="F67" s="44">
        <v>667</v>
      </c>
      <c r="G67" s="44">
        <v>700</v>
      </c>
      <c r="H67" s="44">
        <v>694</v>
      </c>
      <c r="I67" s="44">
        <v>709</v>
      </c>
      <c r="J67" s="44">
        <v>729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AE67" s="3">
        <f t="shared" si="125"/>
        <v>667</v>
      </c>
      <c r="AF67" s="3">
        <f t="shared" si="126"/>
        <v>729</v>
      </c>
      <c r="AG67" s="3">
        <f t="shared" si="127"/>
        <v>0</v>
      </c>
      <c r="AH67" s="3">
        <f t="shared" si="128"/>
        <v>0</v>
      </c>
      <c r="AI67" s="3">
        <f t="shared" si="129"/>
        <v>0</v>
      </c>
    </row>
    <row r="68" spans="1:35" s="13" customFormat="1" ht="15" x14ac:dyDescent="0.25">
      <c r="A68" s="4"/>
      <c r="B68" s="4" t="s">
        <v>104</v>
      </c>
      <c r="C68" s="13">
        <f>SUM(C59:C67)</f>
        <v>74193</v>
      </c>
      <c r="D68" s="48">
        <f t="shared" ref="D68:W68" si="130">SUM(D59:D67)</f>
        <v>72811</v>
      </c>
      <c r="E68" s="48">
        <f t="shared" si="130"/>
        <v>80435</v>
      </c>
      <c r="F68" s="48">
        <f t="shared" si="130"/>
        <v>78521</v>
      </c>
      <c r="G68" s="48">
        <f t="shared" si="130"/>
        <v>80757</v>
      </c>
      <c r="H68" s="48">
        <f t="shared" si="130"/>
        <v>71683</v>
      </c>
      <c r="I68" s="48">
        <f t="shared" si="130"/>
        <v>85751</v>
      </c>
      <c r="J68" s="48">
        <f t="shared" si="130"/>
        <v>77477</v>
      </c>
      <c r="K68" s="48">
        <f t="shared" si="130"/>
        <v>79888</v>
      </c>
      <c r="L68" s="48">
        <f t="shared" si="130"/>
        <v>80283</v>
      </c>
      <c r="M68" s="48">
        <f t="shared" si="130"/>
        <v>83784</v>
      </c>
      <c r="N68" s="48">
        <f t="shared" si="130"/>
        <v>77790</v>
      </c>
      <c r="O68" s="48">
        <f t="shared" si="130"/>
        <v>82647</v>
      </c>
      <c r="P68" s="48">
        <f t="shared" si="130"/>
        <v>81957</v>
      </c>
      <c r="Q68" s="48">
        <f t="shared" si="130"/>
        <v>88121</v>
      </c>
      <c r="R68" s="48">
        <f t="shared" si="130"/>
        <v>92645</v>
      </c>
      <c r="S68" s="48">
        <f t="shared" si="130"/>
        <v>80841</v>
      </c>
      <c r="T68" s="48">
        <f t="shared" si="130"/>
        <v>81122</v>
      </c>
      <c r="U68" s="48">
        <f t="shared" si="130"/>
        <v>87620</v>
      </c>
      <c r="V68" s="48">
        <f t="shared" si="130"/>
        <v>87379</v>
      </c>
      <c r="W68" s="48">
        <f t="shared" si="130"/>
        <v>96530</v>
      </c>
      <c r="AE68" s="53">
        <f t="shared" ref="AE68:AI68" si="131">SUM(AE59:AE67)</f>
        <v>78521</v>
      </c>
      <c r="AF68" s="53">
        <f t="shared" si="131"/>
        <v>77477</v>
      </c>
      <c r="AG68" s="53">
        <f t="shared" si="131"/>
        <v>77790</v>
      </c>
      <c r="AH68" s="53">
        <f t="shared" si="131"/>
        <v>92645</v>
      </c>
      <c r="AI68" s="53">
        <f t="shared" si="131"/>
        <v>87379</v>
      </c>
    </row>
    <row r="69" spans="1:35" x14ac:dyDescent="0.2">
      <c r="B69" s="27" t="s">
        <v>105</v>
      </c>
      <c r="C69" s="46">
        <v>33774</v>
      </c>
      <c r="D69" s="46">
        <v>33706</v>
      </c>
      <c r="E69" s="46">
        <v>34206</v>
      </c>
      <c r="F69" s="46">
        <v>30045</v>
      </c>
      <c r="G69" s="46">
        <v>29477</v>
      </c>
      <c r="H69" s="46">
        <v>44958</v>
      </c>
      <c r="I69" s="46">
        <v>43275</v>
      </c>
      <c r="J69" s="46">
        <v>43520</v>
      </c>
      <c r="K69" s="46">
        <v>47425</v>
      </c>
      <c r="L69" s="46">
        <v>44404</v>
      </c>
      <c r="M69" s="46">
        <v>44912</v>
      </c>
      <c r="N69" s="46">
        <v>43714</v>
      </c>
      <c r="O69" s="46">
        <v>43006</v>
      </c>
      <c r="P69" s="46">
        <v>40959</v>
      </c>
      <c r="Q69" s="46">
        <v>40849</v>
      </c>
      <c r="R69" s="46">
        <v>41194</v>
      </c>
      <c r="S69" s="46">
        <v>40273</v>
      </c>
      <c r="T69" s="46">
        <v>39581</v>
      </c>
      <c r="U69" s="46">
        <v>36425</v>
      </c>
      <c r="V69" s="46">
        <v>34864</v>
      </c>
      <c r="W69" s="46">
        <v>32174</v>
      </c>
      <c r="AE69" s="3">
        <f t="shared" ref="AE69:AE75" si="132">F69</f>
        <v>30045</v>
      </c>
      <c r="AF69" s="3">
        <f t="shared" ref="AF69:AF75" si="133">J69</f>
        <v>43520</v>
      </c>
      <c r="AG69" s="3">
        <f t="shared" ref="AG69:AG75" si="134">N69</f>
        <v>43714</v>
      </c>
      <c r="AH69" s="3">
        <f t="shared" ref="AH69:AH75" si="135">R69</f>
        <v>41194</v>
      </c>
      <c r="AI69" s="3">
        <f t="shared" ref="AI69:AI75" si="136">V69</f>
        <v>34864</v>
      </c>
    </row>
    <row r="70" spans="1:35" x14ac:dyDescent="0.2">
      <c r="B70" s="27" t="s">
        <v>106</v>
      </c>
      <c r="C70" s="46">
        <v>0</v>
      </c>
      <c r="D70" s="46">
        <v>0</v>
      </c>
      <c r="E70" s="46">
        <v>0</v>
      </c>
      <c r="F70" s="46">
        <v>0</v>
      </c>
      <c r="G70" s="46">
        <v>0</v>
      </c>
      <c r="H70" s="46">
        <v>0</v>
      </c>
      <c r="I70" s="46">
        <v>0</v>
      </c>
      <c r="J70" s="46">
        <v>0</v>
      </c>
      <c r="K70" s="46">
        <v>15719</v>
      </c>
      <c r="L70" s="46">
        <v>16079</v>
      </c>
      <c r="M70" s="46">
        <v>15741</v>
      </c>
      <c r="N70" s="46">
        <v>16171</v>
      </c>
      <c r="O70" s="46">
        <v>15669</v>
      </c>
      <c r="P70" s="46">
        <v>15669</v>
      </c>
      <c r="Q70" s="46">
        <v>15982</v>
      </c>
      <c r="R70" s="46">
        <v>12909</v>
      </c>
      <c r="S70" s="46">
        <v>12930</v>
      </c>
      <c r="T70" s="46">
        <v>13116</v>
      </c>
      <c r="U70" s="46">
        <v>13095</v>
      </c>
      <c r="V70" s="46">
        <v>13009</v>
      </c>
      <c r="W70" s="46">
        <v>13226</v>
      </c>
      <c r="AE70" s="3">
        <f t="shared" si="132"/>
        <v>0</v>
      </c>
      <c r="AF70" s="3">
        <f t="shared" si="133"/>
        <v>0</v>
      </c>
      <c r="AG70" s="3">
        <f t="shared" si="134"/>
        <v>16171</v>
      </c>
      <c r="AH70" s="3">
        <f t="shared" si="135"/>
        <v>12909</v>
      </c>
      <c r="AI70" s="3">
        <f t="shared" si="136"/>
        <v>13009</v>
      </c>
    </row>
    <row r="71" spans="1:35" x14ac:dyDescent="0.2">
      <c r="B71" s="27" t="s">
        <v>107</v>
      </c>
      <c r="C71" s="46">
        <v>0</v>
      </c>
      <c r="D71" s="46">
        <v>0</v>
      </c>
      <c r="E71" s="46">
        <v>0</v>
      </c>
      <c r="F71" s="46">
        <v>0</v>
      </c>
      <c r="G71" s="46">
        <v>0</v>
      </c>
      <c r="H71" s="46">
        <v>0</v>
      </c>
      <c r="I71" s="46">
        <v>0</v>
      </c>
      <c r="J71" s="46">
        <v>0</v>
      </c>
      <c r="K71" s="46">
        <v>3810</v>
      </c>
      <c r="L71" s="46">
        <v>3915</v>
      </c>
      <c r="M71" s="46">
        <v>4068</v>
      </c>
      <c r="N71" s="46">
        <v>4307</v>
      </c>
      <c r="O71" s="46">
        <v>4474</v>
      </c>
      <c r="P71" s="46">
        <v>4673</v>
      </c>
      <c r="Q71" s="46">
        <v>4750</v>
      </c>
      <c r="R71" s="46">
        <v>3847</v>
      </c>
      <c r="S71" s="46">
        <v>3802</v>
      </c>
      <c r="T71" s="46">
        <v>3952</v>
      </c>
      <c r="U71" s="46">
        <v>4061</v>
      </c>
      <c r="V71" s="46">
        <v>4243</v>
      </c>
      <c r="W71" s="46">
        <v>4409</v>
      </c>
      <c r="AE71" s="3">
        <f t="shared" si="132"/>
        <v>0</v>
      </c>
      <c r="AF71" s="3">
        <f t="shared" si="133"/>
        <v>0</v>
      </c>
      <c r="AG71" s="3">
        <f t="shared" si="134"/>
        <v>4307</v>
      </c>
      <c r="AH71" s="3">
        <f t="shared" si="135"/>
        <v>3847</v>
      </c>
      <c r="AI71" s="3">
        <f t="shared" si="136"/>
        <v>4243</v>
      </c>
    </row>
    <row r="72" spans="1:35" x14ac:dyDescent="0.2">
      <c r="B72" s="45" t="s">
        <v>116</v>
      </c>
      <c r="C72" s="46">
        <v>6251</v>
      </c>
      <c r="D72" s="46">
        <v>6763</v>
      </c>
      <c r="E72" s="46">
        <v>6700</v>
      </c>
      <c r="F72" s="46">
        <v>6780</v>
      </c>
      <c r="G72" s="46">
        <v>6828</v>
      </c>
      <c r="H72" s="46">
        <v>6610</v>
      </c>
      <c r="I72" s="46">
        <v>6621</v>
      </c>
      <c r="J72" s="46">
        <v>6683</v>
      </c>
      <c r="K72" s="46">
        <v>0</v>
      </c>
      <c r="L72" s="46">
        <v>0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46">
        <v>0</v>
      </c>
      <c r="U72" s="46">
        <v>0</v>
      </c>
      <c r="V72" s="46">
        <v>0</v>
      </c>
      <c r="W72" s="46">
        <v>0</v>
      </c>
      <c r="AE72" s="3">
        <f t="shared" si="132"/>
        <v>6780</v>
      </c>
      <c r="AF72" s="3">
        <f t="shared" si="133"/>
        <v>6683</v>
      </c>
      <c r="AG72" s="3">
        <f t="shared" si="134"/>
        <v>0</v>
      </c>
      <c r="AH72" s="3">
        <f t="shared" si="135"/>
        <v>0</v>
      </c>
      <c r="AI72" s="3">
        <f t="shared" si="136"/>
        <v>0</v>
      </c>
    </row>
    <row r="73" spans="1:35" x14ac:dyDescent="0.2">
      <c r="B73" s="27" t="s">
        <v>108</v>
      </c>
      <c r="C73" s="46">
        <v>9386</v>
      </c>
      <c r="D73" s="46">
        <v>9240</v>
      </c>
      <c r="E73" s="46">
        <v>9167</v>
      </c>
      <c r="F73" s="46">
        <v>8354</v>
      </c>
      <c r="G73" s="46">
        <v>9541</v>
      </c>
      <c r="H73" s="46">
        <v>8999</v>
      </c>
      <c r="I73" s="46">
        <v>11467</v>
      </c>
      <c r="J73" s="46">
        <v>11981</v>
      </c>
      <c r="K73" s="46">
        <v>12792</v>
      </c>
      <c r="L73" s="46">
        <v>13049</v>
      </c>
      <c r="M73" s="46">
        <v>13018</v>
      </c>
      <c r="N73" s="46">
        <v>12961</v>
      </c>
      <c r="O73" s="46">
        <v>12986</v>
      </c>
      <c r="P73" s="46">
        <v>12927</v>
      </c>
      <c r="Q73" s="46">
        <v>13657</v>
      </c>
      <c r="R73" s="46">
        <v>14370</v>
      </c>
      <c r="S73" s="46">
        <v>14143</v>
      </c>
      <c r="T73" s="46">
        <v>13654</v>
      </c>
      <c r="U73" s="46">
        <v>12893</v>
      </c>
      <c r="V73" s="46">
        <v>13474</v>
      </c>
      <c r="W73" s="46">
        <v>13943</v>
      </c>
      <c r="AE73" s="3">
        <f t="shared" si="132"/>
        <v>8354</v>
      </c>
      <c r="AF73" s="3">
        <f t="shared" si="133"/>
        <v>11981</v>
      </c>
      <c r="AG73" s="3">
        <f t="shared" si="134"/>
        <v>12961</v>
      </c>
      <c r="AH73" s="3">
        <f t="shared" si="135"/>
        <v>14370</v>
      </c>
      <c r="AI73" s="3">
        <f t="shared" si="136"/>
        <v>13474</v>
      </c>
    </row>
    <row r="74" spans="1:35" x14ac:dyDescent="0.2">
      <c r="B74" s="27" t="s">
        <v>109</v>
      </c>
      <c r="C74" s="46">
        <v>0</v>
      </c>
      <c r="D74" s="46">
        <v>0</v>
      </c>
      <c r="E74" s="46">
        <v>0</v>
      </c>
      <c r="F74" s="46">
        <v>0</v>
      </c>
      <c r="G74" s="46">
        <v>0</v>
      </c>
      <c r="H74" s="46">
        <v>0</v>
      </c>
      <c r="I74" s="46">
        <v>0</v>
      </c>
      <c r="J74" s="46">
        <v>0</v>
      </c>
      <c r="K74" s="46">
        <v>0</v>
      </c>
      <c r="L74" s="46">
        <v>0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  <c r="S74" s="46">
        <v>0</v>
      </c>
      <c r="T74" s="46">
        <v>0</v>
      </c>
      <c r="U74" s="46">
        <v>0</v>
      </c>
      <c r="V74" s="46">
        <v>0</v>
      </c>
      <c r="W74" s="46">
        <v>0</v>
      </c>
      <c r="AE74" s="3">
        <f t="shared" si="132"/>
        <v>0</v>
      </c>
      <c r="AF74" s="3">
        <f t="shared" si="133"/>
        <v>0</v>
      </c>
      <c r="AG74" s="3">
        <f t="shared" si="134"/>
        <v>0</v>
      </c>
      <c r="AH74" s="3">
        <f t="shared" si="135"/>
        <v>0</v>
      </c>
      <c r="AI74" s="3">
        <f t="shared" si="136"/>
        <v>0</v>
      </c>
    </row>
    <row r="75" spans="1:35" x14ac:dyDescent="0.2">
      <c r="B75" s="27" t="s">
        <v>110</v>
      </c>
      <c r="C75" s="46">
        <v>0</v>
      </c>
      <c r="D75" s="46">
        <v>0</v>
      </c>
      <c r="E75" s="46">
        <v>0</v>
      </c>
      <c r="F75" s="46">
        <v>0</v>
      </c>
      <c r="G75" s="46">
        <v>0</v>
      </c>
      <c r="H75" s="46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46">
        <v>0</v>
      </c>
      <c r="P75" s="46">
        <v>0</v>
      </c>
      <c r="Q75" s="46">
        <v>0</v>
      </c>
      <c r="R75" s="46">
        <v>0</v>
      </c>
      <c r="S75" s="46">
        <v>0</v>
      </c>
      <c r="T75" s="46">
        <v>0</v>
      </c>
      <c r="U75" s="46">
        <v>0</v>
      </c>
      <c r="V75" s="46">
        <v>0</v>
      </c>
      <c r="W75" s="46">
        <v>260</v>
      </c>
      <c r="AE75" s="3">
        <f t="shared" si="132"/>
        <v>0</v>
      </c>
      <c r="AF75" s="3">
        <f t="shared" si="133"/>
        <v>0</v>
      </c>
      <c r="AG75" s="3">
        <f t="shared" si="134"/>
        <v>0</v>
      </c>
      <c r="AH75" s="3">
        <f t="shared" si="135"/>
        <v>0</v>
      </c>
      <c r="AI75" s="3">
        <f t="shared" si="136"/>
        <v>0</v>
      </c>
    </row>
    <row r="76" spans="1:35" s="13" customFormat="1" ht="15" x14ac:dyDescent="0.25">
      <c r="A76" s="4"/>
      <c r="B76" s="4" t="s">
        <v>111</v>
      </c>
      <c r="C76" s="13">
        <f t="shared" ref="C76:V76" si="137">SUM(C68:C75)</f>
        <v>123604</v>
      </c>
      <c r="D76" s="13">
        <f t="shared" si="137"/>
        <v>122520</v>
      </c>
      <c r="E76" s="13">
        <f t="shared" si="137"/>
        <v>130508</v>
      </c>
      <c r="F76" s="13">
        <f t="shared" si="137"/>
        <v>123700</v>
      </c>
      <c r="G76" s="13">
        <f t="shared" si="137"/>
        <v>126603</v>
      </c>
      <c r="H76" s="13">
        <f t="shared" si="137"/>
        <v>132250</v>
      </c>
      <c r="I76" s="13">
        <f t="shared" si="137"/>
        <v>147114</v>
      </c>
      <c r="J76" s="13">
        <f t="shared" si="137"/>
        <v>139661</v>
      </c>
      <c r="K76" s="13">
        <f t="shared" si="137"/>
        <v>159634</v>
      </c>
      <c r="L76" s="13">
        <f t="shared" si="137"/>
        <v>157730</v>
      </c>
      <c r="M76" s="13">
        <f t="shared" si="137"/>
        <v>161523</v>
      </c>
      <c r="N76" s="13">
        <f t="shared" si="137"/>
        <v>154943</v>
      </c>
      <c r="O76" s="13">
        <f t="shared" si="137"/>
        <v>158782</v>
      </c>
      <c r="P76" s="13">
        <f t="shared" si="137"/>
        <v>156185</v>
      </c>
      <c r="Q76" s="13">
        <f t="shared" si="137"/>
        <v>163359</v>
      </c>
      <c r="R76" s="13">
        <f t="shared" si="137"/>
        <v>164965</v>
      </c>
      <c r="S76" s="13">
        <f t="shared" si="137"/>
        <v>151989</v>
      </c>
      <c r="T76" s="13">
        <f t="shared" si="137"/>
        <v>151425</v>
      </c>
      <c r="U76" s="13">
        <f t="shared" si="137"/>
        <v>154094</v>
      </c>
      <c r="V76" s="13">
        <f t="shared" si="137"/>
        <v>152969</v>
      </c>
      <c r="W76" s="13">
        <f>SUM(W68:W75)</f>
        <v>160542</v>
      </c>
      <c r="AE76" s="53">
        <f t="shared" ref="AE76:AI76" si="138">SUM(AE68:AE75)</f>
        <v>123700</v>
      </c>
      <c r="AF76" s="53">
        <f t="shared" si="138"/>
        <v>139661</v>
      </c>
      <c r="AG76" s="53">
        <f t="shared" si="138"/>
        <v>154943</v>
      </c>
      <c r="AH76" s="53">
        <f t="shared" si="138"/>
        <v>164965</v>
      </c>
      <c r="AI76" s="53">
        <f t="shared" si="138"/>
        <v>152969</v>
      </c>
    </row>
    <row r="77" spans="1:35" x14ac:dyDescent="0.2">
      <c r="B77" s="27" t="s">
        <v>112</v>
      </c>
      <c r="C77" s="47">
        <v>76114</v>
      </c>
      <c r="D77" s="47">
        <v>79046</v>
      </c>
      <c r="E77" s="47">
        <v>78906</v>
      </c>
      <c r="F77" s="47">
        <v>80822</v>
      </c>
      <c r="G77" s="47">
        <v>78324</v>
      </c>
      <c r="H77" s="47">
        <v>73812</v>
      </c>
      <c r="I77" s="47">
        <v>79469</v>
      </c>
      <c r="J77" s="47">
        <v>79634</v>
      </c>
      <c r="K77" s="47">
        <v>74910</v>
      </c>
      <c r="L77" s="47">
        <v>77131</v>
      </c>
      <c r="M77" s="47">
        <v>78307</v>
      </c>
      <c r="N77" s="47">
        <v>81552</v>
      </c>
      <c r="O77" s="47">
        <v>74110</v>
      </c>
      <c r="P77" s="47">
        <v>81197</v>
      </c>
      <c r="Q77" s="47">
        <v>87504</v>
      </c>
      <c r="R77" s="47">
        <v>87531</v>
      </c>
      <c r="S77" s="47">
        <v>84592</v>
      </c>
      <c r="T77" s="47">
        <v>87127</v>
      </c>
      <c r="U77" s="47">
        <v>90757</v>
      </c>
      <c r="V77" s="47">
        <v>91891</v>
      </c>
      <c r="W77" s="47">
        <v>85600</v>
      </c>
      <c r="AE77" s="3">
        <f>F77</f>
        <v>80822</v>
      </c>
      <c r="AF77" s="3">
        <f>J77</f>
        <v>79634</v>
      </c>
      <c r="AG77" s="3">
        <f>N77</f>
        <v>81552</v>
      </c>
      <c r="AH77" s="3">
        <f>R77</f>
        <v>87531</v>
      </c>
      <c r="AI77" s="3">
        <f>V77</f>
        <v>91891</v>
      </c>
    </row>
    <row r="78" spans="1:35" s="13" customFormat="1" ht="15" x14ac:dyDescent="0.25">
      <c r="A78" s="4"/>
      <c r="B78" s="4" t="s">
        <v>113</v>
      </c>
      <c r="C78" s="13">
        <f t="shared" ref="C78:V78" si="139">C76+C77</f>
        <v>199718</v>
      </c>
      <c r="D78" s="13">
        <f t="shared" si="139"/>
        <v>201566</v>
      </c>
      <c r="E78" s="13">
        <f t="shared" si="139"/>
        <v>209414</v>
      </c>
      <c r="F78" s="13">
        <f t="shared" si="139"/>
        <v>204522</v>
      </c>
      <c r="G78" s="13">
        <f t="shared" si="139"/>
        <v>204927</v>
      </c>
      <c r="H78" s="13">
        <f t="shared" si="139"/>
        <v>206062</v>
      </c>
      <c r="I78" s="13">
        <f t="shared" si="139"/>
        <v>226583</v>
      </c>
      <c r="J78" s="13">
        <f t="shared" si="139"/>
        <v>219295</v>
      </c>
      <c r="K78" s="13">
        <f t="shared" si="139"/>
        <v>234544</v>
      </c>
      <c r="L78" s="13">
        <f t="shared" si="139"/>
        <v>234861</v>
      </c>
      <c r="M78" s="13">
        <f t="shared" si="139"/>
        <v>239830</v>
      </c>
      <c r="N78" s="13">
        <f t="shared" si="139"/>
        <v>236495</v>
      </c>
      <c r="O78" s="13">
        <f t="shared" si="139"/>
        <v>232892</v>
      </c>
      <c r="P78" s="13">
        <f t="shared" si="139"/>
        <v>237382</v>
      </c>
      <c r="Q78" s="13">
        <f t="shared" si="139"/>
        <v>250863</v>
      </c>
      <c r="R78" s="13">
        <f t="shared" si="139"/>
        <v>252496</v>
      </c>
      <c r="S78" s="13">
        <f t="shared" si="139"/>
        <v>236581</v>
      </c>
      <c r="T78" s="13">
        <f t="shared" si="139"/>
        <v>238552</v>
      </c>
      <c r="U78" s="13">
        <f t="shared" si="139"/>
        <v>244851</v>
      </c>
      <c r="V78" s="13">
        <f t="shared" si="139"/>
        <v>244860</v>
      </c>
      <c r="W78" s="13">
        <f>W76+W77</f>
        <v>246142</v>
      </c>
      <c r="AE78" s="53">
        <f t="shared" ref="AE78:AI78" si="140">AE76+AE77</f>
        <v>204522</v>
      </c>
      <c r="AF78" s="53">
        <f t="shared" si="140"/>
        <v>219295</v>
      </c>
      <c r="AG78" s="53">
        <f t="shared" si="140"/>
        <v>236495</v>
      </c>
      <c r="AH78" s="53">
        <f t="shared" si="140"/>
        <v>252496</v>
      </c>
      <c r="AI78" s="53">
        <f t="shared" si="140"/>
        <v>244860</v>
      </c>
    </row>
    <row r="81" spans="2:35" x14ac:dyDescent="0.2">
      <c r="B81" s="50" t="s">
        <v>117</v>
      </c>
      <c r="C81" s="51">
        <f>C23</f>
        <v>3039</v>
      </c>
      <c r="D81" s="51">
        <f t="shared" ref="D81:W81" si="141">D23</f>
        <v>2899</v>
      </c>
      <c r="E81" s="51">
        <f t="shared" si="141"/>
        <v>1749</v>
      </c>
      <c r="F81" s="51">
        <f t="shared" si="141"/>
        <v>2175</v>
      </c>
      <c r="G81" s="51">
        <f t="shared" si="141"/>
        <v>2134</v>
      </c>
      <c r="H81" s="51">
        <f t="shared" si="141"/>
        <v>-861</v>
      </c>
      <c r="I81" s="51">
        <f t="shared" si="141"/>
        <v>1710</v>
      </c>
      <c r="J81" s="51">
        <f t="shared" si="141"/>
        <v>3687</v>
      </c>
      <c r="K81" s="51">
        <f t="shared" si="141"/>
        <v>3842</v>
      </c>
      <c r="L81" s="51">
        <f t="shared" si="141"/>
        <v>3610</v>
      </c>
      <c r="M81" s="51">
        <f t="shared" si="141"/>
        <v>3288</v>
      </c>
      <c r="N81" s="51">
        <f t="shared" si="141"/>
        <v>4141</v>
      </c>
      <c r="O81" s="51">
        <f t="shared" si="141"/>
        <v>3990</v>
      </c>
      <c r="P81" s="51">
        <f t="shared" si="141"/>
        <v>6476</v>
      </c>
      <c r="Q81" s="51">
        <f t="shared" si="141"/>
        <v>5135</v>
      </c>
      <c r="R81" s="51">
        <f t="shared" si="141"/>
        <v>-2091</v>
      </c>
      <c r="S81" s="51">
        <f t="shared" si="141"/>
        <v>2730</v>
      </c>
      <c r="T81" s="51">
        <f t="shared" si="141"/>
        <v>4276</v>
      </c>
      <c r="U81" s="51">
        <f t="shared" si="141"/>
        <v>3105</v>
      </c>
      <c r="V81" s="51">
        <f t="shared" si="141"/>
        <v>3562</v>
      </c>
      <c r="W81" s="51">
        <f t="shared" si="141"/>
        <v>2054</v>
      </c>
      <c r="AE81" s="3">
        <f t="shared" ref="AE81:AI81" si="142">AE23</f>
        <v>9862</v>
      </c>
      <c r="AF81" s="3">
        <f t="shared" si="142"/>
        <v>6670</v>
      </c>
      <c r="AG81" s="3">
        <f t="shared" si="142"/>
        <v>14881</v>
      </c>
      <c r="AH81" s="3">
        <f t="shared" si="142"/>
        <v>13510</v>
      </c>
      <c r="AI81" s="3">
        <f>AI23</f>
        <v>13673</v>
      </c>
    </row>
    <row r="82" spans="2:35" ht="15" x14ac:dyDescent="0.25">
      <c r="B82" s="50" t="s">
        <v>118</v>
      </c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51">
        <v>2811</v>
      </c>
      <c r="T82" s="49"/>
      <c r="U82" s="49"/>
      <c r="V82" s="49"/>
      <c r="W82" s="51">
        <v>2103</v>
      </c>
      <c r="AE82" s="3">
        <v>10523</v>
      </c>
      <c r="AF82" s="3">
        <v>7179</v>
      </c>
      <c r="AG82" s="3">
        <v>15201</v>
      </c>
      <c r="AH82" s="3">
        <v>13706</v>
      </c>
      <c r="AI82" s="3">
        <v>13940</v>
      </c>
    </row>
    <row r="83" spans="2:35" ht="15" x14ac:dyDescent="0.25">
      <c r="B83" s="50" t="s">
        <v>119</v>
      </c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51">
        <v>2661</v>
      </c>
      <c r="T83" s="49"/>
      <c r="U83" s="49"/>
      <c r="V83" s="49"/>
      <c r="W83" s="51">
        <v>2680</v>
      </c>
      <c r="AE83" s="3">
        <v>10529</v>
      </c>
      <c r="AF83" s="3">
        <v>10678</v>
      </c>
      <c r="AG83" s="3">
        <v>10987</v>
      </c>
      <c r="AH83" s="3">
        <v>11152</v>
      </c>
      <c r="AI83" s="3">
        <v>10658</v>
      </c>
    </row>
    <row r="84" spans="2:35" ht="15" x14ac:dyDescent="0.25">
      <c r="B84" s="50" t="s">
        <v>120</v>
      </c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51">
        <v>2077</v>
      </c>
      <c r="T84" s="49"/>
      <c r="U84" s="49"/>
      <c r="V84" s="49"/>
      <c r="W84" s="51">
        <v>1989</v>
      </c>
      <c r="AE84" s="3">
        <v>0</v>
      </c>
      <c r="AF84" s="3">
        <v>3516</v>
      </c>
      <c r="AG84" s="3">
        <v>-1886</v>
      </c>
      <c r="AH84" s="3">
        <v>-8589</v>
      </c>
      <c r="AI84" s="3">
        <v>2440</v>
      </c>
    </row>
    <row r="85" spans="2:35" ht="15" x14ac:dyDescent="0.25">
      <c r="B85" s="50" t="s">
        <v>121</v>
      </c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51">
        <v>433</v>
      </c>
      <c r="T85" s="49"/>
      <c r="U85" s="49"/>
      <c r="V85" s="49"/>
      <c r="W85" s="51">
        <v>0</v>
      </c>
      <c r="AE85" s="3">
        <v>0</v>
      </c>
      <c r="AF85" s="3">
        <v>4850</v>
      </c>
      <c r="AG85" s="3">
        <v>15</v>
      </c>
      <c r="AH85" s="3">
        <v>8401</v>
      </c>
      <c r="AI85" s="3">
        <v>433</v>
      </c>
    </row>
    <row r="86" spans="2:35" ht="15" x14ac:dyDescent="0.25">
      <c r="B86" s="55" t="s">
        <v>141</v>
      </c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51">
        <v>0</v>
      </c>
      <c r="T86" s="49"/>
      <c r="U86" s="49"/>
      <c r="V86" s="49"/>
      <c r="W86" s="51">
        <v>0</v>
      </c>
      <c r="AE86" s="3">
        <v>0</v>
      </c>
      <c r="AF86" s="3">
        <v>0</v>
      </c>
      <c r="AG86" s="3">
        <v>-1036</v>
      </c>
      <c r="AH86" s="3">
        <v>0</v>
      </c>
      <c r="AI86" s="3">
        <v>0</v>
      </c>
    </row>
    <row r="87" spans="2:35" ht="15" x14ac:dyDescent="0.25">
      <c r="B87" s="50" t="s">
        <v>122</v>
      </c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51">
        <v>-155</v>
      </c>
      <c r="T87" s="49"/>
      <c r="U87" s="49"/>
      <c r="V87" s="49"/>
      <c r="W87" s="51">
        <v>-69</v>
      </c>
      <c r="AE87" s="3">
        <v>-304</v>
      </c>
      <c r="AF87" s="3">
        <v>-499</v>
      </c>
      <c r="AG87" s="3">
        <v>320</v>
      </c>
      <c r="AH87" s="3">
        <v>1911</v>
      </c>
      <c r="AI87" s="3">
        <v>-755</v>
      </c>
    </row>
    <row r="88" spans="2:35" ht="15" x14ac:dyDescent="0.25">
      <c r="B88" s="55" t="s">
        <v>69</v>
      </c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51">
        <v>0</v>
      </c>
      <c r="T88" s="49"/>
      <c r="U88" s="49"/>
      <c r="V88" s="49"/>
      <c r="W88" s="51">
        <v>0</v>
      </c>
      <c r="AE88" s="3">
        <v>3136</v>
      </c>
      <c r="AF88" s="3">
        <v>0</v>
      </c>
      <c r="AG88" s="3">
        <v>0</v>
      </c>
      <c r="AH88" s="3">
        <v>0</v>
      </c>
      <c r="AI88" s="3">
        <v>2410</v>
      </c>
    </row>
    <row r="89" spans="2:35" ht="15" x14ac:dyDescent="0.25">
      <c r="B89" s="50" t="s">
        <v>123</v>
      </c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51">
        <v>270</v>
      </c>
      <c r="T89" s="49"/>
      <c r="U89" s="49"/>
      <c r="V89" s="49"/>
      <c r="W89" s="51">
        <v>-59</v>
      </c>
      <c r="AE89" s="3">
        <v>1210</v>
      </c>
      <c r="AF89" s="3">
        <v>1734</v>
      </c>
      <c r="AG89" s="3">
        <v>1981</v>
      </c>
      <c r="AH89" s="3">
        <v>1521</v>
      </c>
      <c r="AI89" s="3">
        <v>1652</v>
      </c>
    </row>
    <row r="90" spans="2:35" ht="15" x14ac:dyDescent="0.25">
      <c r="B90" s="50" t="s">
        <v>87</v>
      </c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51">
        <v>828</v>
      </c>
      <c r="T90" s="49"/>
      <c r="U90" s="49"/>
      <c r="V90" s="49"/>
      <c r="W90" s="51">
        <v>837</v>
      </c>
      <c r="AE90" s="3">
        <v>-1074</v>
      </c>
      <c r="AF90" s="3">
        <v>-368</v>
      </c>
      <c r="AG90" s="3">
        <v>154</v>
      </c>
      <c r="AH90" s="3">
        <v>-1086</v>
      </c>
      <c r="AI90" s="3">
        <v>-1796</v>
      </c>
    </row>
    <row r="91" spans="2:35" ht="15" x14ac:dyDescent="0.25">
      <c r="B91" s="50" t="s">
        <v>88</v>
      </c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51">
        <v>-1487</v>
      </c>
      <c r="T91" s="49"/>
      <c r="U91" s="49"/>
      <c r="V91" s="49"/>
      <c r="W91" s="51">
        <v>-4699</v>
      </c>
      <c r="AE91" s="3">
        <v>-140</v>
      </c>
      <c r="AF91" s="3">
        <v>-1311</v>
      </c>
      <c r="AG91" s="3">
        <v>-300</v>
      </c>
      <c r="AH91" s="3">
        <v>-2395</v>
      </c>
      <c r="AI91" s="3">
        <v>-11764</v>
      </c>
    </row>
    <row r="92" spans="2:35" ht="15" x14ac:dyDescent="0.25">
      <c r="B92" s="50" t="s">
        <v>98</v>
      </c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51">
        <v>-1004</v>
      </c>
      <c r="T92" s="49"/>
      <c r="U92" s="49"/>
      <c r="V92" s="49"/>
      <c r="W92" s="51">
        <v>-1640</v>
      </c>
      <c r="AE92" s="3">
        <v>4086</v>
      </c>
      <c r="AF92" s="3">
        <v>1831</v>
      </c>
      <c r="AG92" s="3">
        <v>-274</v>
      </c>
      <c r="AH92" s="3">
        <v>6966</v>
      </c>
      <c r="AI92" s="3">
        <v>5520</v>
      </c>
    </row>
    <row r="93" spans="2:35" ht="15" x14ac:dyDescent="0.25">
      <c r="B93" s="50" t="s">
        <v>99</v>
      </c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51">
        <v>-4004</v>
      </c>
      <c r="T93" s="49"/>
      <c r="U93" s="49"/>
      <c r="V93" s="49"/>
      <c r="W93" s="51">
        <v>-4949</v>
      </c>
      <c r="AE93" s="3">
        <v>928</v>
      </c>
      <c r="AF93" s="3">
        <v>183</v>
      </c>
      <c r="AG93" s="3">
        <v>186</v>
      </c>
      <c r="AH93" s="3">
        <v>4623</v>
      </c>
      <c r="AI93" s="3">
        <v>1404</v>
      </c>
    </row>
    <row r="94" spans="2:35" ht="15" x14ac:dyDescent="0.25">
      <c r="B94" s="50" t="s">
        <v>100</v>
      </c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51">
        <v>428</v>
      </c>
      <c r="T94" s="49"/>
      <c r="U94" s="49"/>
      <c r="V94" s="49"/>
      <c r="W94" s="51">
        <v>49</v>
      </c>
      <c r="AE94" s="3">
        <v>-557</v>
      </c>
      <c r="AF94" s="3">
        <v>-40</v>
      </c>
      <c r="AG94" s="3">
        <v>-93</v>
      </c>
      <c r="AH94" s="3">
        <v>-136</v>
      </c>
      <c r="AI94" s="3">
        <v>39</v>
      </c>
    </row>
    <row r="95" spans="2:35" ht="15" x14ac:dyDescent="0.25">
      <c r="B95" s="52" t="s">
        <v>124</v>
      </c>
      <c r="C95" s="53">
        <f>SUM(C82:C94)</f>
        <v>0</v>
      </c>
      <c r="D95" s="53">
        <f>SUM(D82:D94)</f>
        <v>0</v>
      </c>
      <c r="E95" s="53">
        <f>SUM(E82:E94)</f>
        <v>0</v>
      </c>
      <c r="F95" s="53">
        <f>SUM(F82:F94)</f>
        <v>0</v>
      </c>
      <c r="G95" s="53">
        <f>SUM(G82:G94)</f>
        <v>0</v>
      </c>
      <c r="H95" s="53">
        <f>SUM(H82:H94)</f>
        <v>0</v>
      </c>
      <c r="I95" s="53">
        <f>SUM(I82:I94)</f>
        <v>0</v>
      </c>
      <c r="J95" s="53">
        <f>SUM(J82:J94)</f>
        <v>0</v>
      </c>
      <c r="K95" s="53">
        <f>SUM(K82:K94)</f>
        <v>0</v>
      </c>
      <c r="L95" s="53">
        <f>SUM(L82:L94)</f>
        <v>0</v>
      </c>
      <c r="M95" s="53">
        <f>SUM(M82:M94)</f>
        <v>0</v>
      </c>
      <c r="N95" s="53">
        <f>SUM(N82:N94)</f>
        <v>0</v>
      </c>
      <c r="O95" s="53">
        <f>SUM(O82:O94)</f>
        <v>0</v>
      </c>
      <c r="P95" s="53">
        <f>SUM(P82:P94)</f>
        <v>0</v>
      </c>
      <c r="Q95" s="53">
        <f>SUM(Q82:Q94)</f>
        <v>0</v>
      </c>
      <c r="R95" s="53">
        <f>SUM(R82:R94)</f>
        <v>0</v>
      </c>
      <c r="S95" s="53">
        <f>SUM(S82:S94)</f>
        <v>2858</v>
      </c>
      <c r="T95" s="53">
        <f>SUM(T82:T94)</f>
        <v>0</v>
      </c>
      <c r="U95" s="53">
        <f>SUM(U82:U94)</f>
        <v>0</v>
      </c>
      <c r="V95" s="53">
        <f>SUM(V82:V94)</f>
        <v>0</v>
      </c>
      <c r="W95" s="53">
        <f>SUM(W82:W94)</f>
        <v>-3758</v>
      </c>
      <c r="AE95" s="53">
        <f>SUM(AE82:AE94)</f>
        <v>28337</v>
      </c>
      <c r="AF95" s="53">
        <f t="shared" ref="AE95:AI95" si="143">SUM(AF82:AF94)</f>
        <v>27753</v>
      </c>
      <c r="AG95" s="53">
        <f t="shared" si="143"/>
        <v>25255</v>
      </c>
      <c r="AH95" s="53">
        <f t="shared" si="143"/>
        <v>36074</v>
      </c>
      <c r="AI95" s="53">
        <f t="shared" si="143"/>
        <v>24181</v>
      </c>
    </row>
    <row r="96" spans="2:35" ht="15" x14ac:dyDescent="0.25">
      <c r="B96" s="50" t="s">
        <v>125</v>
      </c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51">
        <v>-2214</v>
      </c>
      <c r="T96" s="49"/>
      <c r="U96" s="49"/>
      <c r="V96" s="49"/>
      <c r="W96" s="51">
        <v>-3539</v>
      </c>
      <c r="AE96" s="3">
        <v>-10051</v>
      </c>
      <c r="AF96" s="3">
        <v>-10344</v>
      </c>
      <c r="AG96" s="3">
        <v>-10705</v>
      </c>
      <c r="AH96" s="3">
        <v>-10264</v>
      </c>
      <c r="AI96" s="3">
        <v>-13106</v>
      </c>
    </row>
    <row r="97" spans="2:35" ht="15" x14ac:dyDescent="0.25">
      <c r="B97" s="50" t="s">
        <v>126</v>
      </c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51">
        <v>72</v>
      </c>
      <c r="T97" s="49"/>
      <c r="U97" s="49"/>
      <c r="V97" s="49"/>
      <c r="W97" s="51">
        <v>35</v>
      </c>
      <c r="AE97" s="3">
        <v>378</v>
      </c>
      <c r="AF97" s="3">
        <v>519</v>
      </c>
      <c r="AG97" s="3">
        <v>321</v>
      </c>
      <c r="AH97" s="3">
        <v>215</v>
      </c>
      <c r="AI97" s="3">
        <v>394</v>
      </c>
    </row>
    <row r="98" spans="2:35" ht="15" x14ac:dyDescent="0.25">
      <c r="B98" s="50" t="s">
        <v>127</v>
      </c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51">
        <v>7935</v>
      </c>
      <c r="T98" s="49"/>
      <c r="U98" s="49"/>
      <c r="V98" s="49"/>
      <c r="W98" s="51">
        <v>0</v>
      </c>
      <c r="AE98" s="3">
        <v>1046</v>
      </c>
      <c r="AF98" s="3">
        <v>876</v>
      </c>
      <c r="AG98" s="3">
        <v>833</v>
      </c>
      <c r="AH98" s="3">
        <v>56</v>
      </c>
      <c r="AI98" s="3">
        <v>7935</v>
      </c>
    </row>
    <row r="99" spans="2:35" ht="15" x14ac:dyDescent="0.25">
      <c r="B99" s="50" t="s">
        <v>128</v>
      </c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51">
        <v>0</v>
      </c>
      <c r="T99" s="49"/>
      <c r="U99" s="49"/>
      <c r="V99" s="49"/>
      <c r="W99" s="51">
        <v>-598</v>
      </c>
      <c r="AE99" s="3">
        <v>-375</v>
      </c>
      <c r="AF99" s="3">
        <v>-14656</v>
      </c>
      <c r="AG99" s="3">
        <v>-56</v>
      </c>
      <c r="AH99" s="3">
        <v>-180</v>
      </c>
      <c r="AI99" s="3">
        <v>-359</v>
      </c>
    </row>
    <row r="100" spans="2:35" ht="15" x14ac:dyDescent="0.25">
      <c r="B100" s="50" t="s">
        <v>129</v>
      </c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51">
        <v>57</v>
      </c>
      <c r="T100" s="49"/>
      <c r="U100" s="49"/>
      <c r="V100" s="49"/>
      <c r="W100" s="51">
        <v>-456</v>
      </c>
      <c r="AE100" s="3">
        <v>-77</v>
      </c>
      <c r="AF100" s="3">
        <v>-431</v>
      </c>
      <c r="AG100" s="3">
        <v>479</v>
      </c>
      <c r="AH100" s="3">
        <v>102</v>
      </c>
      <c r="AI100" s="3">
        <v>-879</v>
      </c>
    </row>
    <row r="101" spans="2:35" ht="15" x14ac:dyDescent="0.25">
      <c r="B101" s="52" t="s">
        <v>130</v>
      </c>
      <c r="C101" s="53">
        <f t="shared" ref="C101:V101" si="144">SUM(C96:C100)</f>
        <v>0</v>
      </c>
      <c r="D101" s="53">
        <f t="shared" si="144"/>
        <v>0</v>
      </c>
      <c r="E101" s="53">
        <f t="shared" si="144"/>
        <v>0</v>
      </c>
      <c r="F101" s="53">
        <f t="shared" si="144"/>
        <v>0</v>
      </c>
      <c r="G101" s="53">
        <f t="shared" si="144"/>
        <v>0</v>
      </c>
      <c r="H101" s="53">
        <f t="shared" si="144"/>
        <v>0</v>
      </c>
      <c r="I101" s="53">
        <f t="shared" si="144"/>
        <v>0</v>
      </c>
      <c r="J101" s="53">
        <f t="shared" si="144"/>
        <v>0</v>
      </c>
      <c r="K101" s="53">
        <f t="shared" si="144"/>
        <v>0</v>
      </c>
      <c r="L101" s="53">
        <f t="shared" si="144"/>
        <v>0</v>
      </c>
      <c r="M101" s="53">
        <f t="shared" si="144"/>
        <v>0</v>
      </c>
      <c r="N101" s="53">
        <f t="shared" si="144"/>
        <v>0</v>
      </c>
      <c r="O101" s="53">
        <f t="shared" si="144"/>
        <v>0</v>
      </c>
      <c r="P101" s="53">
        <f t="shared" si="144"/>
        <v>0</v>
      </c>
      <c r="Q101" s="53">
        <f t="shared" si="144"/>
        <v>0</v>
      </c>
      <c r="R101" s="53">
        <f t="shared" si="144"/>
        <v>0</v>
      </c>
      <c r="S101" s="53">
        <f>SUM(S96:S100)</f>
        <v>5850</v>
      </c>
      <c r="T101" s="53">
        <f t="shared" si="144"/>
        <v>0</v>
      </c>
      <c r="U101" s="53">
        <f t="shared" si="144"/>
        <v>0</v>
      </c>
      <c r="V101" s="53">
        <f t="shared" si="144"/>
        <v>0</v>
      </c>
      <c r="W101" s="53">
        <f>SUM(W96:W100)</f>
        <v>-4558</v>
      </c>
      <c r="AE101" s="53">
        <f t="shared" ref="AE101:AI101" si="145">SUM(AE96:AE100)</f>
        <v>-9079</v>
      </c>
      <c r="AF101" s="53">
        <f t="shared" si="145"/>
        <v>-24036</v>
      </c>
      <c r="AG101" s="53">
        <f t="shared" si="145"/>
        <v>-9128</v>
      </c>
      <c r="AH101" s="53">
        <f t="shared" si="145"/>
        <v>-10071</v>
      </c>
      <c r="AI101" s="53">
        <f t="shared" si="145"/>
        <v>-6015</v>
      </c>
    </row>
    <row r="102" spans="2:35" ht="15" x14ac:dyDescent="0.25">
      <c r="B102" s="50" t="s">
        <v>131</v>
      </c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51">
        <v>138</v>
      </c>
      <c r="T102" s="49"/>
      <c r="U102" s="49"/>
      <c r="V102" s="49"/>
      <c r="W102" s="51">
        <v>10995</v>
      </c>
      <c r="AE102" s="3">
        <v>4148</v>
      </c>
      <c r="AF102" s="3">
        <v>-53</v>
      </c>
      <c r="AG102" s="3">
        <v>-4656</v>
      </c>
      <c r="AH102" s="3">
        <v>-324</v>
      </c>
      <c r="AI102" s="3">
        <v>193</v>
      </c>
    </row>
    <row r="103" spans="2:35" ht="15" x14ac:dyDescent="0.25">
      <c r="B103" s="55" t="s">
        <v>142</v>
      </c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51">
        <v>0</v>
      </c>
      <c r="T103" s="49"/>
      <c r="U103" s="49"/>
      <c r="V103" s="49"/>
      <c r="W103" s="51">
        <v>0</v>
      </c>
      <c r="AE103" s="3">
        <v>7476</v>
      </c>
      <c r="AF103" s="3">
        <v>15872</v>
      </c>
      <c r="AG103" s="3">
        <v>5492</v>
      </c>
      <c r="AH103" s="3">
        <v>0</v>
      </c>
      <c r="AI103" s="3">
        <v>6945</v>
      </c>
    </row>
    <row r="104" spans="2:35" ht="15" x14ac:dyDescent="0.25">
      <c r="B104" s="50" t="s">
        <v>132</v>
      </c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51">
        <v>-510</v>
      </c>
      <c r="T104" s="49"/>
      <c r="U104" s="49"/>
      <c r="V104" s="49"/>
      <c r="W104" s="51">
        <v>-926</v>
      </c>
      <c r="AE104" s="3">
        <v>-13061</v>
      </c>
      <c r="AF104" s="3">
        <v>-3784</v>
      </c>
      <c r="AG104" s="3">
        <v>-1907</v>
      </c>
      <c r="AH104" s="3">
        <v>-5382</v>
      </c>
      <c r="AI104" s="3">
        <v>-13010</v>
      </c>
    </row>
    <row r="105" spans="2:35" ht="15" x14ac:dyDescent="0.25">
      <c r="B105" s="55" t="s">
        <v>143</v>
      </c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51">
        <v>0</v>
      </c>
      <c r="T105" s="49"/>
      <c r="U105" s="49"/>
      <c r="V105" s="49"/>
      <c r="W105" s="51">
        <v>0</v>
      </c>
      <c r="AE105" s="3">
        <v>-3059</v>
      </c>
      <c r="AF105" s="3">
        <v>0</v>
      </c>
      <c r="AG105" s="3">
        <v>0</v>
      </c>
      <c r="AH105" s="3">
        <v>0</v>
      </c>
      <c r="AI105" s="3">
        <v>-2317</v>
      </c>
    </row>
    <row r="106" spans="2:35" ht="15" x14ac:dyDescent="0.25">
      <c r="B106" s="50" t="s">
        <v>64</v>
      </c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51">
        <v>-1549</v>
      </c>
      <c r="T106" s="49"/>
      <c r="U106" s="49"/>
      <c r="V106" s="49"/>
      <c r="W106" s="51">
        <v>-1543</v>
      </c>
      <c r="AE106" s="3">
        <v>-6124</v>
      </c>
      <c r="AF106" s="3">
        <v>-6102</v>
      </c>
      <c r="AG106" s="3">
        <v>-6048</v>
      </c>
      <c r="AH106" s="3">
        <v>-6116</v>
      </c>
      <c r="AI106" s="3">
        <v>-6152</v>
      </c>
    </row>
    <row r="107" spans="2:35" ht="15" x14ac:dyDescent="0.25">
      <c r="B107" s="50" t="s">
        <v>133</v>
      </c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51">
        <v>-2809</v>
      </c>
      <c r="T107" s="49"/>
      <c r="U107" s="49"/>
      <c r="V107" s="49"/>
      <c r="W107" s="51">
        <v>-2408</v>
      </c>
      <c r="AE107" s="3">
        <v>-8296</v>
      </c>
      <c r="AF107" s="3">
        <v>-7410</v>
      </c>
      <c r="AG107" s="3">
        <v>-5717</v>
      </c>
      <c r="AH107" s="3">
        <v>-2625</v>
      </c>
      <c r="AI107" s="3">
        <v>-9787</v>
      </c>
    </row>
    <row r="108" spans="2:35" ht="15" x14ac:dyDescent="0.25">
      <c r="B108" s="55" t="s">
        <v>144</v>
      </c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51">
        <v>0</v>
      </c>
      <c r="T108" s="49"/>
      <c r="U108" s="49"/>
      <c r="V108" s="49"/>
      <c r="W108" s="51">
        <v>0</v>
      </c>
      <c r="AE108" s="3">
        <v>-690</v>
      </c>
      <c r="AF108" s="3">
        <v>-431</v>
      </c>
      <c r="AG108" s="3">
        <v>-555</v>
      </c>
      <c r="AH108" s="3">
        <v>-434</v>
      </c>
      <c r="AI108" s="3">
        <v>-424</v>
      </c>
    </row>
    <row r="109" spans="2:35" ht="15" x14ac:dyDescent="0.25">
      <c r="B109" s="50" t="s">
        <v>134</v>
      </c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51">
        <v>75</v>
      </c>
      <c r="T109" s="49"/>
      <c r="U109" s="49"/>
      <c r="V109" s="49"/>
      <c r="W109" s="51">
        <v>35</v>
      </c>
      <c r="AE109" s="3">
        <v>-8</v>
      </c>
      <c r="AF109" s="3">
        <v>0</v>
      </c>
      <c r="AG109" s="3">
        <v>52</v>
      </c>
      <c r="AH109" s="3">
        <v>140</v>
      </c>
      <c r="AI109" s="3">
        <v>3239</v>
      </c>
    </row>
    <row r="110" spans="2:35" ht="15" x14ac:dyDescent="0.25">
      <c r="B110" s="50" t="s">
        <v>135</v>
      </c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51">
        <v>-744</v>
      </c>
      <c r="T110" s="49"/>
      <c r="U110" s="49"/>
      <c r="V110" s="49"/>
      <c r="W110" s="51">
        <v>-838</v>
      </c>
      <c r="AE110" s="3">
        <v>-261</v>
      </c>
      <c r="AF110" s="3">
        <v>-629</v>
      </c>
      <c r="AG110" s="3">
        <v>-960</v>
      </c>
      <c r="AH110" s="3">
        <v>-1376</v>
      </c>
      <c r="AI110" s="3">
        <v>-1515</v>
      </c>
    </row>
    <row r="111" spans="2:35" ht="15" x14ac:dyDescent="0.25">
      <c r="B111" s="52" t="s">
        <v>136</v>
      </c>
      <c r="C111" s="53">
        <f>SUM(C102:C110)</f>
        <v>0</v>
      </c>
      <c r="D111" s="53">
        <f>SUM(D102:D110)</f>
        <v>0</v>
      </c>
      <c r="E111" s="53">
        <f>SUM(E102:E110)</f>
        <v>0</v>
      </c>
      <c r="F111" s="53">
        <f>SUM(F102:F110)</f>
        <v>0</v>
      </c>
      <c r="G111" s="53">
        <f>SUM(G102:G110)</f>
        <v>0</v>
      </c>
      <c r="H111" s="53">
        <f>SUM(H102:H110)</f>
        <v>0</v>
      </c>
      <c r="I111" s="53">
        <f>SUM(I102:I110)</f>
        <v>0</v>
      </c>
      <c r="J111" s="53">
        <f>SUM(J102:J110)</f>
        <v>0</v>
      </c>
      <c r="K111" s="53">
        <f>SUM(K102:K110)</f>
        <v>0</v>
      </c>
      <c r="L111" s="53">
        <f>SUM(L102:L110)</f>
        <v>0</v>
      </c>
      <c r="M111" s="53">
        <f>SUM(M102:M110)</f>
        <v>0</v>
      </c>
      <c r="N111" s="53">
        <f>SUM(N102:N110)</f>
        <v>0</v>
      </c>
      <c r="O111" s="53">
        <f>SUM(O102:O110)</f>
        <v>0</v>
      </c>
      <c r="P111" s="53">
        <f>SUM(P102:P110)</f>
        <v>0</v>
      </c>
      <c r="Q111" s="53">
        <f>SUM(Q102:Q110)</f>
        <v>0</v>
      </c>
      <c r="R111" s="53">
        <f>SUM(R102:R110)</f>
        <v>0</v>
      </c>
      <c r="S111" s="53">
        <f>SUM(S102:S110)</f>
        <v>-5399</v>
      </c>
      <c r="T111" s="53">
        <f>SUM(T102:T110)</f>
        <v>0</v>
      </c>
      <c r="U111" s="53">
        <f>SUM(U102:U110)</f>
        <v>0</v>
      </c>
      <c r="V111" s="53">
        <f>SUM(V102:V110)</f>
        <v>0</v>
      </c>
      <c r="W111" s="53">
        <f>SUM(W102:W110)</f>
        <v>5315</v>
      </c>
      <c r="AE111" s="53">
        <f t="shared" ref="AE111:AH111" si="146">SUM(AE102:AE110)</f>
        <v>-19875</v>
      </c>
      <c r="AF111" s="53">
        <f t="shared" si="146"/>
        <v>-2537</v>
      </c>
      <c r="AG111" s="53">
        <f t="shared" si="146"/>
        <v>-14299</v>
      </c>
      <c r="AH111" s="53">
        <f t="shared" si="146"/>
        <v>-16117</v>
      </c>
      <c r="AI111" s="53">
        <f>SUM(AI102:AI110)</f>
        <v>-22828</v>
      </c>
    </row>
    <row r="112" spans="2:35" x14ac:dyDescent="0.2">
      <c r="B112" s="50" t="s">
        <v>137</v>
      </c>
      <c r="C112" s="51">
        <f t="shared" ref="C112:V112" si="147">C95+C101+C111</f>
        <v>0</v>
      </c>
      <c r="D112" s="51">
        <f t="shared" si="147"/>
        <v>0</v>
      </c>
      <c r="E112" s="51">
        <f t="shared" si="147"/>
        <v>0</v>
      </c>
      <c r="F112" s="51">
        <f t="shared" si="147"/>
        <v>0</v>
      </c>
      <c r="G112" s="51">
        <f t="shared" si="147"/>
        <v>0</v>
      </c>
      <c r="H112" s="51">
        <f t="shared" si="147"/>
        <v>0</v>
      </c>
      <c r="I112" s="51">
        <f t="shared" si="147"/>
        <v>0</v>
      </c>
      <c r="J112" s="51">
        <f t="shared" si="147"/>
        <v>0</v>
      </c>
      <c r="K112" s="51">
        <f t="shared" si="147"/>
        <v>0</v>
      </c>
      <c r="L112" s="51">
        <f t="shared" si="147"/>
        <v>0</v>
      </c>
      <c r="M112" s="51">
        <f t="shared" si="147"/>
        <v>0</v>
      </c>
      <c r="N112" s="51">
        <f t="shared" si="147"/>
        <v>0</v>
      </c>
      <c r="O112" s="51">
        <f t="shared" si="147"/>
        <v>0</v>
      </c>
      <c r="P112" s="51">
        <f t="shared" si="147"/>
        <v>0</v>
      </c>
      <c r="Q112" s="51">
        <f t="shared" si="147"/>
        <v>0</v>
      </c>
      <c r="R112" s="51">
        <f t="shared" si="147"/>
        <v>0</v>
      </c>
      <c r="S112" s="51">
        <f>S95+S101+S111</f>
        <v>3309</v>
      </c>
      <c r="T112" s="51">
        <f t="shared" si="147"/>
        <v>0</v>
      </c>
      <c r="U112" s="51">
        <f t="shared" si="147"/>
        <v>0</v>
      </c>
      <c r="V112" s="51">
        <f t="shared" si="147"/>
        <v>0</v>
      </c>
      <c r="W112" s="51">
        <f>W95+W101+W111</f>
        <v>-3001</v>
      </c>
      <c r="AE112" s="51">
        <f t="shared" ref="AE112:AI112" si="148">AE95+AE101+AE111</f>
        <v>-617</v>
      </c>
      <c r="AF112" s="51">
        <f t="shared" si="148"/>
        <v>1180</v>
      </c>
      <c r="AG112" s="51">
        <f t="shared" si="148"/>
        <v>1828</v>
      </c>
      <c r="AH112" s="51">
        <f t="shared" si="148"/>
        <v>9886</v>
      </c>
      <c r="AI112" s="51">
        <f t="shared" si="148"/>
        <v>-4662</v>
      </c>
    </row>
    <row r="113" spans="2:432" x14ac:dyDescent="0.2">
      <c r="B113" s="50" t="s">
        <v>138</v>
      </c>
      <c r="C113" s="51">
        <f t="shared" ref="C113:V113" si="149">C95-C96</f>
        <v>0</v>
      </c>
      <c r="D113" s="51">
        <f t="shared" si="149"/>
        <v>0</v>
      </c>
      <c r="E113" s="51">
        <f t="shared" si="149"/>
        <v>0</v>
      </c>
      <c r="F113" s="51">
        <f t="shared" si="149"/>
        <v>0</v>
      </c>
      <c r="G113" s="51">
        <f t="shared" si="149"/>
        <v>0</v>
      </c>
      <c r="H113" s="51">
        <f t="shared" si="149"/>
        <v>0</v>
      </c>
      <c r="I113" s="51">
        <f t="shared" si="149"/>
        <v>0</v>
      </c>
      <c r="J113" s="51">
        <f t="shared" si="149"/>
        <v>0</v>
      </c>
      <c r="K113" s="51">
        <f t="shared" si="149"/>
        <v>0</v>
      </c>
      <c r="L113" s="51">
        <f t="shared" si="149"/>
        <v>0</v>
      </c>
      <c r="M113" s="51">
        <f t="shared" si="149"/>
        <v>0</v>
      </c>
      <c r="N113" s="51">
        <f t="shared" si="149"/>
        <v>0</v>
      </c>
      <c r="O113" s="51">
        <f t="shared" si="149"/>
        <v>0</v>
      </c>
      <c r="P113" s="51">
        <f t="shared" si="149"/>
        <v>0</v>
      </c>
      <c r="Q113" s="51">
        <f t="shared" si="149"/>
        <v>0</v>
      </c>
      <c r="R113" s="51">
        <f t="shared" si="149"/>
        <v>0</v>
      </c>
      <c r="S113" s="51">
        <f>S95-S96</f>
        <v>5072</v>
      </c>
      <c r="T113" s="51">
        <f t="shared" si="149"/>
        <v>0</v>
      </c>
      <c r="U113" s="51">
        <f t="shared" si="149"/>
        <v>0</v>
      </c>
      <c r="V113" s="51">
        <f t="shared" si="149"/>
        <v>0</v>
      </c>
      <c r="W113" s="51">
        <f>W95-W96</f>
        <v>-219</v>
      </c>
      <c r="AE113" s="51">
        <f t="shared" ref="AE113:AI113" si="150">AE95-AE96</f>
        <v>38388</v>
      </c>
      <c r="AF113" s="51">
        <f t="shared" si="150"/>
        <v>38097</v>
      </c>
      <c r="AG113" s="51">
        <f t="shared" si="150"/>
        <v>35960</v>
      </c>
      <c r="AH113" s="51">
        <f t="shared" si="150"/>
        <v>46338</v>
      </c>
      <c r="AI113" s="51">
        <f t="shared" si="150"/>
        <v>37287</v>
      </c>
      <c r="AJ113" s="3">
        <f>AI113*(1+$AU$34)</f>
        <v>36914.129999999997</v>
      </c>
      <c r="AK113" s="3">
        <f t="shared" ref="AK113:CV113" si="151">AJ113*(1+$AU$34)</f>
        <v>36544.988699999994</v>
      </c>
      <c r="AL113" s="3">
        <f t="shared" si="151"/>
        <v>36179.538812999992</v>
      </c>
      <c r="AM113" s="3">
        <f t="shared" si="151"/>
        <v>35817.743424869994</v>
      </c>
      <c r="AN113" s="3">
        <f t="shared" si="151"/>
        <v>35459.565990621297</v>
      </c>
      <c r="AO113" s="3">
        <f t="shared" si="151"/>
        <v>35104.970330715085</v>
      </c>
      <c r="AP113" s="3">
        <f t="shared" si="151"/>
        <v>34753.920627407933</v>
      </c>
      <c r="AQ113" s="3">
        <f t="shared" si="151"/>
        <v>34406.381421133854</v>
      </c>
      <c r="AR113" s="3">
        <f t="shared" si="151"/>
        <v>34062.317606922516</v>
      </c>
      <c r="AS113" s="3">
        <f t="shared" si="151"/>
        <v>33721.694430853291</v>
      </c>
      <c r="AT113" s="3">
        <f t="shared" si="151"/>
        <v>33384.477486544754</v>
      </c>
      <c r="AU113" s="3">
        <f t="shared" si="151"/>
        <v>33050.632711679304</v>
      </c>
      <c r="AV113" s="3">
        <f t="shared" si="151"/>
        <v>32720.126384562511</v>
      </c>
      <c r="AW113" s="3">
        <f t="shared" si="151"/>
        <v>32392.925120716885</v>
      </c>
      <c r="AX113" s="3">
        <f t="shared" si="151"/>
        <v>32068.995869509716</v>
      </c>
      <c r="AY113" s="3">
        <f t="shared" si="151"/>
        <v>31748.305910814619</v>
      </c>
      <c r="AZ113" s="3">
        <f t="shared" si="151"/>
        <v>31430.822851706471</v>
      </c>
      <c r="BA113" s="3">
        <f t="shared" si="151"/>
        <v>31116.514623189407</v>
      </c>
      <c r="BB113" s="3">
        <f t="shared" si="151"/>
        <v>30805.349476957512</v>
      </c>
      <c r="BC113" s="3">
        <f t="shared" si="151"/>
        <v>30497.295982187938</v>
      </c>
      <c r="BD113" s="3">
        <f t="shared" si="151"/>
        <v>30192.323022366058</v>
      </c>
      <c r="BE113" s="3">
        <f t="shared" si="151"/>
        <v>29890.399792142398</v>
      </c>
      <c r="BF113" s="3">
        <f t="shared" si="151"/>
        <v>29591.495794220973</v>
      </c>
      <c r="BG113" s="3">
        <f t="shared" si="151"/>
        <v>29295.580836278765</v>
      </c>
      <c r="BH113" s="3">
        <f t="shared" si="151"/>
        <v>29002.625027915976</v>
      </c>
      <c r="BI113" s="3">
        <f t="shared" si="151"/>
        <v>28712.598777636817</v>
      </c>
      <c r="BJ113" s="3">
        <f t="shared" si="151"/>
        <v>28425.472789860447</v>
      </c>
      <c r="BK113" s="3">
        <f t="shared" si="151"/>
        <v>28141.218061961841</v>
      </c>
      <c r="BL113" s="3">
        <f t="shared" si="151"/>
        <v>27859.805881342221</v>
      </c>
      <c r="BM113" s="3">
        <f t="shared" si="151"/>
        <v>27581.207822528799</v>
      </c>
      <c r="BN113" s="3">
        <f t="shared" si="151"/>
        <v>27305.395744303511</v>
      </c>
      <c r="BO113" s="3">
        <f t="shared" si="151"/>
        <v>27032.341786860474</v>
      </c>
      <c r="BP113" s="3">
        <f t="shared" si="151"/>
        <v>26762.01836899187</v>
      </c>
      <c r="BQ113" s="3">
        <f t="shared" si="151"/>
        <v>26494.39818530195</v>
      </c>
      <c r="BR113" s="3">
        <f t="shared" si="151"/>
        <v>26229.454203448931</v>
      </c>
      <c r="BS113" s="3">
        <f t="shared" si="151"/>
        <v>25967.15966141444</v>
      </c>
      <c r="BT113" s="3">
        <f t="shared" si="151"/>
        <v>25707.488064800295</v>
      </c>
      <c r="BU113" s="3">
        <f t="shared" si="151"/>
        <v>25450.41318415229</v>
      </c>
      <c r="BV113" s="3">
        <f t="shared" si="151"/>
        <v>25195.909052310766</v>
      </c>
      <c r="BW113" s="3">
        <f t="shared" si="151"/>
        <v>24943.949961787657</v>
      </c>
      <c r="BX113" s="3">
        <f t="shared" si="151"/>
        <v>24694.510462169779</v>
      </c>
      <c r="BY113" s="3">
        <f t="shared" si="151"/>
        <v>24447.565357548083</v>
      </c>
      <c r="BZ113" s="3">
        <f t="shared" si="151"/>
        <v>24203.089703972601</v>
      </c>
      <c r="CA113" s="3">
        <f t="shared" si="151"/>
        <v>23961.058806932873</v>
      </c>
      <c r="CB113" s="3">
        <f t="shared" si="151"/>
        <v>23721.448218863545</v>
      </c>
      <c r="CC113" s="3">
        <f t="shared" si="151"/>
        <v>23484.233736674909</v>
      </c>
      <c r="CD113" s="3">
        <f t="shared" si="151"/>
        <v>23249.391399308159</v>
      </c>
      <c r="CE113" s="3">
        <f t="shared" si="151"/>
        <v>23016.897485315076</v>
      </c>
      <c r="CF113" s="3">
        <f t="shared" si="151"/>
        <v>22786.728510461926</v>
      </c>
      <c r="CG113" s="3">
        <f t="shared" si="151"/>
        <v>22558.861225357305</v>
      </c>
      <c r="CH113" s="3">
        <f t="shared" si="151"/>
        <v>22333.272613103731</v>
      </c>
      <c r="CI113" s="3">
        <f t="shared" si="151"/>
        <v>22109.939886972694</v>
      </c>
      <c r="CJ113" s="3">
        <f t="shared" si="151"/>
        <v>21888.840488102967</v>
      </c>
      <c r="CK113" s="3">
        <f t="shared" si="151"/>
        <v>21669.952083221939</v>
      </c>
      <c r="CL113" s="3">
        <f t="shared" si="151"/>
        <v>21453.25256238972</v>
      </c>
      <c r="CM113" s="3">
        <f t="shared" si="151"/>
        <v>21238.720036765822</v>
      </c>
      <c r="CN113" s="3">
        <f t="shared" si="151"/>
        <v>21026.332836398164</v>
      </c>
      <c r="CO113" s="3">
        <f t="shared" si="151"/>
        <v>20816.069508034183</v>
      </c>
      <c r="CP113" s="3">
        <f t="shared" si="151"/>
        <v>20607.90881295384</v>
      </c>
      <c r="CQ113" s="3">
        <f t="shared" si="151"/>
        <v>20401.8297248243</v>
      </c>
      <c r="CR113" s="3">
        <f t="shared" si="151"/>
        <v>20197.811427576056</v>
      </c>
      <c r="CS113" s="3">
        <f t="shared" si="151"/>
        <v>19995.833313300296</v>
      </c>
      <c r="CT113" s="3">
        <f t="shared" si="151"/>
        <v>19795.874980167293</v>
      </c>
      <c r="CU113" s="3">
        <f t="shared" si="151"/>
        <v>19597.916230365619</v>
      </c>
      <c r="CV113" s="3">
        <f t="shared" si="151"/>
        <v>19401.937068061961</v>
      </c>
      <c r="CW113" s="3">
        <f t="shared" ref="CW113:FH113" si="152">CV113*(1+$AU$34)</f>
        <v>19207.917697381341</v>
      </c>
      <c r="CX113" s="3">
        <f t="shared" si="152"/>
        <v>19015.838520407528</v>
      </c>
      <c r="CY113" s="3">
        <f t="shared" si="152"/>
        <v>18825.680135203453</v>
      </c>
      <c r="CZ113" s="3">
        <f t="shared" si="152"/>
        <v>18637.423333851417</v>
      </c>
      <c r="DA113" s="3">
        <f t="shared" si="152"/>
        <v>18451.049100512904</v>
      </c>
      <c r="DB113" s="3">
        <f t="shared" si="152"/>
        <v>18266.538609507774</v>
      </c>
      <c r="DC113" s="3">
        <f t="shared" si="152"/>
        <v>18083.873223412695</v>
      </c>
      <c r="DD113" s="3">
        <f t="shared" si="152"/>
        <v>17903.034491178569</v>
      </c>
      <c r="DE113" s="3">
        <f t="shared" si="152"/>
        <v>17724.004146266783</v>
      </c>
      <c r="DF113" s="3">
        <f t="shared" si="152"/>
        <v>17546.764104804115</v>
      </c>
      <c r="DG113" s="3">
        <f t="shared" si="152"/>
        <v>17371.296463756073</v>
      </c>
      <c r="DH113" s="3">
        <f t="shared" si="152"/>
        <v>17197.583499118511</v>
      </c>
      <c r="DI113" s="3">
        <f t="shared" si="152"/>
        <v>17025.607664127325</v>
      </c>
      <c r="DJ113" s="3">
        <f t="shared" si="152"/>
        <v>16855.351587486053</v>
      </c>
      <c r="DK113" s="3">
        <f t="shared" si="152"/>
        <v>16686.798071611192</v>
      </c>
      <c r="DL113" s="3">
        <f t="shared" si="152"/>
        <v>16519.930090895079</v>
      </c>
      <c r="DM113" s="3">
        <f t="shared" si="152"/>
        <v>16354.730789986128</v>
      </c>
      <c r="DN113" s="3">
        <f t="shared" si="152"/>
        <v>16191.183482086266</v>
      </c>
      <c r="DO113" s="3">
        <f t="shared" si="152"/>
        <v>16029.271647265403</v>
      </c>
      <c r="DP113" s="3">
        <f t="shared" si="152"/>
        <v>15868.978930792749</v>
      </c>
      <c r="DQ113" s="3">
        <f t="shared" si="152"/>
        <v>15710.289141484822</v>
      </c>
      <c r="DR113" s="3">
        <f t="shared" si="152"/>
        <v>15553.186250069974</v>
      </c>
      <c r="DS113" s="3">
        <f t="shared" si="152"/>
        <v>15397.654387569273</v>
      </c>
      <c r="DT113" s="3">
        <f t="shared" si="152"/>
        <v>15243.67784369358</v>
      </c>
      <c r="DU113" s="3">
        <f t="shared" si="152"/>
        <v>15091.241065256645</v>
      </c>
      <c r="DV113" s="3">
        <f t="shared" si="152"/>
        <v>14940.328654604078</v>
      </c>
      <c r="DW113" s="3">
        <f t="shared" si="152"/>
        <v>14790.925368058037</v>
      </c>
      <c r="DX113" s="3">
        <f t="shared" si="152"/>
        <v>14643.016114377457</v>
      </c>
      <c r="DY113" s="3">
        <f t="shared" si="152"/>
        <v>14496.585953233682</v>
      </c>
      <c r="DZ113" s="3">
        <f t="shared" si="152"/>
        <v>14351.620093701345</v>
      </c>
      <c r="EA113" s="3">
        <f t="shared" si="152"/>
        <v>14208.103892764331</v>
      </c>
      <c r="EB113" s="3">
        <f t="shared" si="152"/>
        <v>14066.022853836688</v>
      </c>
      <c r="EC113" s="3">
        <f t="shared" si="152"/>
        <v>13925.362625298321</v>
      </c>
      <c r="ED113" s="3">
        <f t="shared" si="152"/>
        <v>13786.108999045338</v>
      </c>
      <c r="EE113" s="3">
        <f t="shared" si="152"/>
        <v>13648.247909054884</v>
      </c>
      <c r="EF113" s="3">
        <f t="shared" si="152"/>
        <v>13511.765429964335</v>
      </c>
      <c r="EG113" s="3">
        <f t="shared" si="152"/>
        <v>13376.647775664691</v>
      </c>
      <c r="EH113" s="3">
        <f t="shared" si="152"/>
        <v>13242.881297908043</v>
      </c>
      <c r="EI113" s="3">
        <f t="shared" si="152"/>
        <v>13110.452484928963</v>
      </c>
      <c r="EJ113" s="3">
        <f t="shared" si="152"/>
        <v>12979.347960079673</v>
      </c>
      <c r="EK113" s="3">
        <f t="shared" si="152"/>
        <v>12849.554480478875</v>
      </c>
      <c r="EL113" s="3">
        <f t="shared" si="152"/>
        <v>12721.058935674086</v>
      </c>
      <c r="EM113" s="3">
        <f t="shared" si="152"/>
        <v>12593.848346317345</v>
      </c>
      <c r="EN113" s="3">
        <f t="shared" si="152"/>
        <v>12467.909862854172</v>
      </c>
      <c r="EO113" s="3">
        <f t="shared" si="152"/>
        <v>12343.230764225631</v>
      </c>
      <c r="EP113" s="3">
        <f t="shared" si="152"/>
        <v>12219.798456583374</v>
      </c>
      <c r="EQ113" s="3">
        <f t="shared" si="152"/>
        <v>12097.600472017541</v>
      </c>
      <c r="ER113" s="3">
        <f t="shared" si="152"/>
        <v>11976.624467297364</v>
      </c>
      <c r="ES113" s="3">
        <f t="shared" si="152"/>
        <v>11856.858222624391</v>
      </c>
      <c r="ET113" s="3">
        <f t="shared" si="152"/>
        <v>11738.289640398147</v>
      </c>
      <c r="EU113" s="3">
        <f t="shared" si="152"/>
        <v>11620.906743994165</v>
      </c>
      <c r="EV113" s="3">
        <f t="shared" si="152"/>
        <v>11504.697676554222</v>
      </c>
      <c r="EW113" s="3">
        <f t="shared" si="152"/>
        <v>11389.650699788679</v>
      </c>
      <c r="EX113" s="3">
        <f t="shared" si="152"/>
        <v>11275.754192790791</v>
      </c>
      <c r="EY113" s="3">
        <f t="shared" si="152"/>
        <v>11162.996650862884</v>
      </c>
      <c r="EZ113" s="3">
        <f t="shared" si="152"/>
        <v>11051.366684354256</v>
      </c>
      <c r="FA113" s="3">
        <f t="shared" si="152"/>
        <v>10940.853017510713</v>
      </c>
      <c r="FB113" s="3">
        <f t="shared" si="152"/>
        <v>10831.444487335606</v>
      </c>
      <c r="FC113" s="3">
        <f t="shared" si="152"/>
        <v>10723.13004246225</v>
      </c>
      <c r="FD113" s="3">
        <f t="shared" si="152"/>
        <v>10615.898742037627</v>
      </c>
      <c r="FE113" s="3">
        <f t="shared" si="152"/>
        <v>10509.739754617251</v>
      </c>
      <c r="FF113" s="3">
        <f t="shared" si="152"/>
        <v>10404.642357071078</v>
      </c>
      <c r="FG113" s="3">
        <f t="shared" si="152"/>
        <v>10300.595933500366</v>
      </c>
      <c r="FH113" s="3">
        <f t="shared" si="152"/>
        <v>10197.589974165363</v>
      </c>
      <c r="FI113" s="3">
        <f t="shared" ref="FI113:HT113" si="153">FH113*(1+$AU$34)</f>
        <v>10095.614074423709</v>
      </c>
      <c r="FJ113" s="3">
        <f t="shared" si="153"/>
        <v>9994.6579336794712</v>
      </c>
      <c r="FK113" s="3">
        <f t="shared" si="153"/>
        <v>9894.7113543426767</v>
      </c>
      <c r="FL113" s="3">
        <f t="shared" si="153"/>
        <v>9795.7642407992498</v>
      </c>
      <c r="FM113" s="3">
        <f t="shared" si="153"/>
        <v>9697.8065983912566</v>
      </c>
      <c r="FN113" s="3">
        <f t="shared" si="153"/>
        <v>9600.828532407344</v>
      </c>
      <c r="FO113" s="3">
        <f t="shared" si="153"/>
        <v>9504.8202470832712</v>
      </c>
      <c r="FP113" s="3">
        <f t="shared" si="153"/>
        <v>9409.7720446124385</v>
      </c>
      <c r="FQ113" s="3">
        <f t="shared" si="153"/>
        <v>9315.6743241663135</v>
      </c>
      <c r="FR113" s="3">
        <f t="shared" si="153"/>
        <v>9222.5175809246502</v>
      </c>
      <c r="FS113" s="3">
        <f t="shared" si="153"/>
        <v>9130.2924051154041</v>
      </c>
      <c r="FT113" s="3">
        <f t="shared" si="153"/>
        <v>9038.9894810642509</v>
      </c>
      <c r="FU113" s="3">
        <f t="shared" si="153"/>
        <v>8948.5995862536074</v>
      </c>
      <c r="FV113" s="3">
        <f t="shared" si="153"/>
        <v>8859.1135903910708</v>
      </c>
      <c r="FW113" s="3">
        <f t="shared" si="153"/>
        <v>8770.5224544871598</v>
      </c>
      <c r="FX113" s="3">
        <f t="shared" si="153"/>
        <v>8682.8172299422877</v>
      </c>
      <c r="FY113" s="3">
        <f t="shared" si="153"/>
        <v>8595.9890576428643</v>
      </c>
      <c r="FZ113" s="3">
        <f t="shared" si="153"/>
        <v>8510.0291670664355</v>
      </c>
      <c r="GA113" s="3">
        <f t="shared" si="153"/>
        <v>8424.9288753957717</v>
      </c>
      <c r="GB113" s="3">
        <f t="shared" si="153"/>
        <v>8340.6795866418142</v>
      </c>
      <c r="GC113" s="3">
        <f t="shared" si="153"/>
        <v>8257.2727907753961</v>
      </c>
      <c r="GD113" s="3">
        <f t="shared" si="153"/>
        <v>8174.7000628676424</v>
      </c>
      <c r="GE113" s="3">
        <f t="shared" si="153"/>
        <v>8092.9530622389657</v>
      </c>
      <c r="GF113" s="3">
        <f t="shared" si="153"/>
        <v>8012.0235316165763</v>
      </c>
      <c r="GG113" s="3">
        <f t="shared" si="153"/>
        <v>7931.9032963004101</v>
      </c>
      <c r="GH113" s="3">
        <f t="shared" si="153"/>
        <v>7852.5842633374059</v>
      </c>
      <c r="GI113" s="3">
        <f t="shared" si="153"/>
        <v>7774.058420704032</v>
      </c>
      <c r="GJ113" s="3">
        <f t="shared" si="153"/>
        <v>7696.3178364969917</v>
      </c>
      <c r="GK113" s="3">
        <f t="shared" si="153"/>
        <v>7619.3546581320215</v>
      </c>
      <c r="GL113" s="3">
        <f t="shared" si="153"/>
        <v>7543.1611115507012</v>
      </c>
      <c r="GM113" s="3">
        <f t="shared" si="153"/>
        <v>7467.7295004351945</v>
      </c>
      <c r="GN113" s="3">
        <f t="shared" si="153"/>
        <v>7393.0522054308422</v>
      </c>
      <c r="GO113" s="3">
        <f t="shared" si="153"/>
        <v>7319.1216833765338</v>
      </c>
      <c r="GP113" s="3">
        <f t="shared" si="153"/>
        <v>7245.930466542768</v>
      </c>
      <c r="GQ113" s="3">
        <f t="shared" si="153"/>
        <v>7173.4711618773399</v>
      </c>
      <c r="GR113" s="3">
        <f t="shared" si="153"/>
        <v>7101.736450258566</v>
      </c>
      <c r="GS113" s="3">
        <f t="shared" si="153"/>
        <v>7030.7190857559799</v>
      </c>
      <c r="GT113" s="3">
        <f t="shared" si="153"/>
        <v>6960.4118948984196</v>
      </c>
      <c r="GU113" s="3">
        <f t="shared" si="153"/>
        <v>6890.8077759494354</v>
      </c>
      <c r="GV113" s="3">
        <f t="shared" si="153"/>
        <v>6821.8996981899409</v>
      </c>
      <c r="GW113" s="3">
        <f t="shared" si="153"/>
        <v>6753.6807012080417</v>
      </c>
      <c r="GX113" s="3">
        <f t="shared" si="153"/>
        <v>6686.1438941959614</v>
      </c>
      <c r="GY113" s="3">
        <f t="shared" si="153"/>
        <v>6619.2824552540014</v>
      </c>
      <c r="GZ113" s="3">
        <f t="shared" si="153"/>
        <v>6553.0896307014609</v>
      </c>
      <c r="HA113" s="3">
        <f t="shared" si="153"/>
        <v>6487.5587343944462</v>
      </c>
      <c r="HB113" s="3">
        <f t="shared" si="153"/>
        <v>6422.6831470505012</v>
      </c>
      <c r="HC113" s="3">
        <f t="shared" si="153"/>
        <v>6358.456315579996</v>
      </c>
      <c r="HD113" s="3">
        <f t="shared" si="153"/>
        <v>6294.8717524241956</v>
      </c>
      <c r="HE113" s="3">
        <f t="shared" si="153"/>
        <v>6231.9230348999536</v>
      </c>
      <c r="HF113" s="3">
        <f t="shared" si="153"/>
        <v>6169.603804550954</v>
      </c>
      <c r="HG113" s="3">
        <f t="shared" si="153"/>
        <v>6107.9077665054447</v>
      </c>
      <c r="HH113" s="3">
        <f t="shared" si="153"/>
        <v>6046.82868884039</v>
      </c>
      <c r="HI113" s="3">
        <f t="shared" si="153"/>
        <v>5986.3604019519862</v>
      </c>
      <c r="HJ113" s="3">
        <f t="shared" si="153"/>
        <v>5926.4967979324665</v>
      </c>
      <c r="HK113" s="3">
        <f t="shared" si="153"/>
        <v>5867.2318299531416</v>
      </c>
      <c r="HL113" s="3">
        <f t="shared" si="153"/>
        <v>5808.5595116536106</v>
      </c>
      <c r="HM113" s="3">
        <f t="shared" si="153"/>
        <v>5750.4739165370747</v>
      </c>
      <c r="HN113" s="3">
        <f t="shared" si="153"/>
        <v>5692.9691773717041</v>
      </c>
      <c r="HO113" s="3">
        <f t="shared" si="153"/>
        <v>5636.0394855979866</v>
      </c>
      <c r="HP113" s="3">
        <f t="shared" si="153"/>
        <v>5579.6790907420063</v>
      </c>
      <c r="HQ113" s="3">
        <f t="shared" si="153"/>
        <v>5523.8822998345859</v>
      </c>
      <c r="HR113" s="3">
        <f t="shared" si="153"/>
        <v>5468.6434768362396</v>
      </c>
      <c r="HS113" s="3">
        <f t="shared" si="153"/>
        <v>5413.9570420678774</v>
      </c>
      <c r="HT113" s="3">
        <f t="shared" si="153"/>
        <v>5359.8174716471985</v>
      </c>
      <c r="HU113" s="3">
        <f t="shared" ref="HU113:KF113" si="154">HT113*(1+$AU$34)</f>
        <v>5306.2192969307262</v>
      </c>
      <c r="HV113" s="3">
        <f t="shared" si="154"/>
        <v>5253.1571039614191</v>
      </c>
      <c r="HW113" s="3">
        <f t="shared" si="154"/>
        <v>5200.6255329218047</v>
      </c>
      <c r="HX113" s="3">
        <f t="shared" si="154"/>
        <v>5148.6192775925865</v>
      </c>
      <c r="HY113" s="3">
        <f t="shared" si="154"/>
        <v>5097.1330848166608</v>
      </c>
      <c r="HZ113" s="3">
        <f t="shared" si="154"/>
        <v>5046.1617539684939</v>
      </c>
      <c r="IA113" s="3">
        <f t="shared" si="154"/>
        <v>4995.7001364288089</v>
      </c>
      <c r="IB113" s="3">
        <f t="shared" si="154"/>
        <v>4945.7431350645211</v>
      </c>
      <c r="IC113" s="3">
        <f t="shared" si="154"/>
        <v>4896.2857037138756</v>
      </c>
      <c r="ID113" s="3">
        <f t="shared" si="154"/>
        <v>4847.3228466767368</v>
      </c>
      <c r="IE113" s="3">
        <f t="shared" si="154"/>
        <v>4798.8496182099698</v>
      </c>
      <c r="IF113" s="3">
        <f t="shared" si="154"/>
        <v>4750.8611220278699</v>
      </c>
      <c r="IG113" s="3">
        <f t="shared" si="154"/>
        <v>4703.352510807591</v>
      </c>
      <c r="IH113" s="3">
        <f t="shared" si="154"/>
        <v>4656.318985699515</v>
      </c>
      <c r="II113" s="3">
        <f t="shared" si="154"/>
        <v>4609.7557958425195</v>
      </c>
      <c r="IJ113" s="3">
        <f t="shared" si="154"/>
        <v>4563.658237884094</v>
      </c>
      <c r="IK113" s="3">
        <f t="shared" si="154"/>
        <v>4518.021655505253</v>
      </c>
      <c r="IL113" s="3">
        <f t="shared" si="154"/>
        <v>4472.8414389502004</v>
      </c>
      <c r="IM113" s="3">
        <f t="shared" si="154"/>
        <v>4428.1130245606982</v>
      </c>
      <c r="IN113" s="3">
        <f t="shared" si="154"/>
        <v>4383.8318943150916</v>
      </c>
      <c r="IO113" s="3">
        <f t="shared" si="154"/>
        <v>4339.993575371941</v>
      </c>
      <c r="IP113" s="3">
        <f t="shared" si="154"/>
        <v>4296.5936396182215</v>
      </c>
      <c r="IQ113" s="3">
        <f t="shared" si="154"/>
        <v>4253.6277032220396</v>
      </c>
      <c r="IR113" s="3">
        <f t="shared" si="154"/>
        <v>4211.0914261898188</v>
      </c>
      <c r="IS113" s="3">
        <f t="shared" si="154"/>
        <v>4168.9805119279208</v>
      </c>
      <c r="IT113" s="3">
        <f t="shared" si="154"/>
        <v>4127.2907068086415</v>
      </c>
      <c r="IU113" s="3">
        <f t="shared" si="154"/>
        <v>4086.0177997405549</v>
      </c>
      <c r="IV113" s="3">
        <f t="shared" si="154"/>
        <v>4045.1576217431493</v>
      </c>
      <c r="IW113" s="3">
        <f t="shared" si="154"/>
        <v>4004.7060455257179</v>
      </c>
      <c r="IX113" s="3">
        <f t="shared" si="154"/>
        <v>3964.6589850704609</v>
      </c>
      <c r="IY113" s="3">
        <f t="shared" si="154"/>
        <v>3925.0123952197564</v>
      </c>
      <c r="IZ113" s="3">
        <f t="shared" si="154"/>
        <v>3885.7622712675588</v>
      </c>
      <c r="JA113" s="3">
        <f t="shared" si="154"/>
        <v>3846.9046485548834</v>
      </c>
      <c r="JB113" s="3">
        <f t="shared" si="154"/>
        <v>3808.4356020693344</v>
      </c>
      <c r="JC113" s="3">
        <f t="shared" si="154"/>
        <v>3770.3512460486409</v>
      </c>
      <c r="JD113" s="3">
        <f t="shared" si="154"/>
        <v>3732.6477335881546</v>
      </c>
      <c r="JE113" s="3">
        <f t="shared" si="154"/>
        <v>3695.3212562522731</v>
      </c>
      <c r="JF113" s="3">
        <f t="shared" si="154"/>
        <v>3658.3680436897503</v>
      </c>
      <c r="JG113" s="3">
        <f t="shared" si="154"/>
        <v>3621.7843632528529</v>
      </c>
      <c r="JH113" s="3">
        <f t="shared" si="154"/>
        <v>3585.5665196203245</v>
      </c>
      <c r="JI113" s="3">
        <f t="shared" si="154"/>
        <v>3549.7108544241214</v>
      </c>
      <c r="JJ113" s="3">
        <f t="shared" si="154"/>
        <v>3514.2137458798802</v>
      </c>
      <c r="JK113" s="3">
        <f t="shared" si="154"/>
        <v>3479.0716084210812</v>
      </c>
      <c r="JL113" s="3">
        <f t="shared" si="154"/>
        <v>3444.2808923368702</v>
      </c>
      <c r="JM113" s="3">
        <f t="shared" si="154"/>
        <v>3409.8380834135014</v>
      </c>
      <c r="JN113" s="3">
        <f t="shared" si="154"/>
        <v>3375.7397025793662</v>
      </c>
      <c r="JO113" s="3">
        <f t="shared" si="154"/>
        <v>3341.9823055535726</v>
      </c>
      <c r="JP113" s="3">
        <f t="shared" si="154"/>
        <v>3308.5624824980368</v>
      </c>
      <c r="JQ113" s="3">
        <f t="shared" si="154"/>
        <v>3275.4768576730567</v>
      </c>
      <c r="JR113" s="3">
        <f t="shared" si="154"/>
        <v>3242.7220890963263</v>
      </c>
      <c r="JS113" s="3">
        <f t="shared" si="154"/>
        <v>3210.2948682053629</v>
      </c>
      <c r="JT113" s="3">
        <f t="shared" si="154"/>
        <v>3178.1919195233095</v>
      </c>
      <c r="JU113" s="3">
        <f t="shared" si="154"/>
        <v>3146.4100003280764</v>
      </c>
      <c r="JV113" s="3">
        <f t="shared" si="154"/>
        <v>3114.9459003247957</v>
      </c>
      <c r="JW113" s="3">
        <f t="shared" si="154"/>
        <v>3083.7964413215477</v>
      </c>
      <c r="JX113" s="3">
        <f t="shared" si="154"/>
        <v>3052.9584769083322</v>
      </c>
      <c r="JY113" s="3">
        <f t="shared" si="154"/>
        <v>3022.428892139249</v>
      </c>
      <c r="JZ113" s="3">
        <f t="shared" si="154"/>
        <v>2992.2046032178564</v>
      </c>
      <c r="KA113" s="3">
        <f t="shared" si="154"/>
        <v>2962.2825571856779</v>
      </c>
      <c r="KB113" s="3">
        <f t="shared" si="154"/>
        <v>2932.6597316138209</v>
      </c>
      <c r="KC113" s="3">
        <f t="shared" si="154"/>
        <v>2903.3331342976826</v>
      </c>
      <c r="KD113" s="3">
        <f t="shared" si="154"/>
        <v>2874.2998029547057</v>
      </c>
      <c r="KE113" s="3">
        <f t="shared" si="154"/>
        <v>2845.5568049251588</v>
      </c>
      <c r="KF113" s="3">
        <f t="shared" si="154"/>
        <v>2817.101236875907</v>
      </c>
      <c r="KG113" s="3">
        <f t="shared" ref="KG113:MR113" si="155">KF113*(1+$AU$34)</f>
        <v>2788.9302245071481</v>
      </c>
      <c r="KH113" s="3">
        <f t="shared" si="155"/>
        <v>2761.0409222620765</v>
      </c>
      <c r="KI113" s="3">
        <f t="shared" si="155"/>
        <v>2733.4305130394555</v>
      </c>
      <c r="KJ113" s="3">
        <f t="shared" si="155"/>
        <v>2706.0962079090609</v>
      </c>
      <c r="KK113" s="3">
        <f t="shared" si="155"/>
        <v>2679.0352458299703</v>
      </c>
      <c r="KL113" s="3">
        <f t="shared" si="155"/>
        <v>2652.2448933716705</v>
      </c>
      <c r="KM113" s="3">
        <f t="shared" si="155"/>
        <v>2625.722444437954</v>
      </c>
      <c r="KN113" s="3">
        <f t="shared" si="155"/>
        <v>2599.4652199935745</v>
      </c>
      <c r="KO113" s="3">
        <f t="shared" si="155"/>
        <v>2573.4705677936386</v>
      </c>
      <c r="KP113" s="3">
        <f t="shared" si="155"/>
        <v>2547.7358621157023</v>
      </c>
      <c r="KQ113" s="3">
        <f t="shared" si="155"/>
        <v>2522.258503494545</v>
      </c>
      <c r="KR113" s="3">
        <f t="shared" si="155"/>
        <v>2497.0359184595995</v>
      </c>
      <c r="KS113" s="3">
        <f t="shared" si="155"/>
        <v>2472.0655592750036</v>
      </c>
      <c r="KT113" s="3">
        <f t="shared" si="155"/>
        <v>2447.3449036822535</v>
      </c>
      <c r="KU113" s="3">
        <f t="shared" si="155"/>
        <v>2422.8714546454312</v>
      </c>
      <c r="KV113" s="3">
        <f t="shared" si="155"/>
        <v>2398.6427400989769</v>
      </c>
      <c r="KW113" s="3">
        <f t="shared" si="155"/>
        <v>2374.6563126979872</v>
      </c>
      <c r="KX113" s="3">
        <f t="shared" si="155"/>
        <v>2350.9097495710075</v>
      </c>
      <c r="KY113" s="3">
        <f t="shared" si="155"/>
        <v>2327.4006520752973</v>
      </c>
      <c r="KZ113" s="3">
        <f t="shared" si="155"/>
        <v>2304.1266455545442</v>
      </c>
      <c r="LA113" s="3">
        <f t="shared" si="155"/>
        <v>2281.0853790989986</v>
      </c>
      <c r="LB113" s="3">
        <f t="shared" si="155"/>
        <v>2258.2745253080084</v>
      </c>
      <c r="LC113" s="3">
        <f t="shared" si="155"/>
        <v>2235.6917800549281</v>
      </c>
      <c r="LD113" s="3">
        <f t="shared" si="155"/>
        <v>2213.334862254379</v>
      </c>
      <c r="LE113" s="3">
        <f t="shared" si="155"/>
        <v>2191.201513631835</v>
      </c>
      <c r="LF113" s="3">
        <f t="shared" si="155"/>
        <v>2169.2894984955165</v>
      </c>
      <c r="LG113" s="3">
        <f t="shared" si="155"/>
        <v>2147.5966035105612</v>
      </c>
      <c r="LH113" s="3">
        <f t="shared" si="155"/>
        <v>2126.1206374754556</v>
      </c>
      <c r="LI113" s="3">
        <f t="shared" si="155"/>
        <v>2104.8594311007009</v>
      </c>
      <c r="LJ113" s="3">
        <f t="shared" si="155"/>
        <v>2083.8108367896939</v>
      </c>
      <c r="LK113" s="3">
        <f t="shared" si="155"/>
        <v>2062.972728421797</v>
      </c>
      <c r="LL113" s="3">
        <f t="shared" si="155"/>
        <v>2042.343001137579</v>
      </c>
      <c r="LM113" s="3">
        <f t="shared" si="155"/>
        <v>2021.9195711262032</v>
      </c>
      <c r="LN113" s="3">
        <f t="shared" si="155"/>
        <v>2001.7003754149412</v>
      </c>
      <c r="LO113" s="3">
        <f t="shared" si="155"/>
        <v>1981.6833716607916</v>
      </c>
      <c r="LP113" s="3">
        <f t="shared" si="155"/>
        <v>1961.8665379441836</v>
      </c>
      <c r="LQ113" s="3">
        <f t="shared" si="155"/>
        <v>1942.2478725647418</v>
      </c>
      <c r="LR113" s="3">
        <f t="shared" si="155"/>
        <v>1922.8253938390944</v>
      </c>
      <c r="LS113" s="3">
        <f t="shared" si="155"/>
        <v>1903.5971399007035</v>
      </c>
      <c r="LT113" s="3">
        <f t="shared" si="155"/>
        <v>1884.5611685016966</v>
      </c>
      <c r="LU113" s="3">
        <f t="shared" si="155"/>
        <v>1865.7155568166795</v>
      </c>
      <c r="LV113" s="3">
        <f t="shared" si="155"/>
        <v>1847.0584012485126</v>
      </c>
      <c r="LW113" s="3">
        <f t="shared" si="155"/>
        <v>1828.5878172360274</v>
      </c>
      <c r="LX113" s="3">
        <f t="shared" si="155"/>
        <v>1810.3019390636671</v>
      </c>
      <c r="LY113" s="3">
        <f t="shared" si="155"/>
        <v>1792.1989196730303</v>
      </c>
      <c r="LZ113" s="3">
        <f t="shared" si="155"/>
        <v>1774.2769304763001</v>
      </c>
      <c r="MA113" s="3">
        <f t="shared" si="155"/>
        <v>1756.5341611715371</v>
      </c>
      <c r="MB113" s="3">
        <f t="shared" si="155"/>
        <v>1738.9688195598217</v>
      </c>
      <c r="MC113" s="3">
        <f t="shared" si="155"/>
        <v>1721.5791313642235</v>
      </c>
      <c r="MD113" s="3">
        <f t="shared" si="155"/>
        <v>1704.3633400505812</v>
      </c>
      <c r="ME113" s="3">
        <f t="shared" si="155"/>
        <v>1687.3197066500754</v>
      </c>
      <c r="MF113" s="3">
        <f t="shared" si="155"/>
        <v>1670.4465095835747</v>
      </c>
      <c r="MG113" s="3">
        <f t="shared" si="155"/>
        <v>1653.7420444877389</v>
      </c>
      <c r="MH113" s="3">
        <f t="shared" si="155"/>
        <v>1637.2046240428615</v>
      </c>
      <c r="MI113" s="3">
        <f t="shared" si="155"/>
        <v>1620.832577802433</v>
      </c>
      <c r="MJ113" s="3">
        <f t="shared" si="155"/>
        <v>1604.6242520244086</v>
      </c>
      <c r="MK113" s="3">
        <f t="shared" si="155"/>
        <v>1588.5780095041646</v>
      </c>
      <c r="ML113" s="3">
        <f t="shared" si="155"/>
        <v>1572.692229409123</v>
      </c>
      <c r="MM113" s="3">
        <f t="shared" si="155"/>
        <v>1556.9653071150317</v>
      </c>
      <c r="MN113" s="3">
        <f t="shared" si="155"/>
        <v>1541.3956540438814</v>
      </c>
      <c r="MO113" s="3">
        <f t="shared" si="155"/>
        <v>1525.9816975034425</v>
      </c>
      <c r="MP113" s="3">
        <f t="shared" si="155"/>
        <v>1510.7218805284081</v>
      </c>
      <c r="MQ113" s="3">
        <f t="shared" si="155"/>
        <v>1495.6146617231241</v>
      </c>
      <c r="MR113" s="3">
        <f t="shared" si="155"/>
        <v>1480.6585151058928</v>
      </c>
      <c r="MS113" s="3">
        <f t="shared" ref="MS113:PD113" si="156">MR113*(1+$AU$34)</f>
        <v>1465.8519299548338</v>
      </c>
      <c r="MT113" s="3">
        <f t="shared" si="156"/>
        <v>1451.1934106552856</v>
      </c>
      <c r="MU113" s="3">
        <f t="shared" si="156"/>
        <v>1436.6814765487327</v>
      </c>
      <c r="MV113" s="3">
        <f t="shared" si="156"/>
        <v>1422.3146617832454</v>
      </c>
      <c r="MW113" s="3">
        <f t="shared" si="156"/>
        <v>1408.0915151654128</v>
      </c>
      <c r="MX113" s="3">
        <f t="shared" si="156"/>
        <v>1394.0106000137587</v>
      </c>
      <c r="MY113" s="3">
        <f t="shared" si="156"/>
        <v>1380.0704940136211</v>
      </c>
      <c r="MZ113" s="3">
        <f t="shared" si="156"/>
        <v>1366.2697890734848</v>
      </c>
      <c r="NA113" s="3">
        <f t="shared" si="156"/>
        <v>1352.6070911827501</v>
      </c>
      <c r="NB113" s="3">
        <f t="shared" si="156"/>
        <v>1339.0810202709226</v>
      </c>
      <c r="NC113" s="3">
        <f t="shared" si="156"/>
        <v>1325.6902100682134</v>
      </c>
      <c r="ND113" s="3">
        <f t="shared" si="156"/>
        <v>1312.4333079675314</v>
      </c>
      <c r="NE113" s="3">
        <f t="shared" si="156"/>
        <v>1299.308974887856</v>
      </c>
      <c r="NF113" s="3">
        <f t="shared" si="156"/>
        <v>1286.3158851389774</v>
      </c>
      <c r="NG113" s="3">
        <f t="shared" si="156"/>
        <v>1273.4527262875877</v>
      </c>
      <c r="NH113" s="3">
        <f t="shared" si="156"/>
        <v>1260.7181990247118</v>
      </c>
      <c r="NI113" s="3">
        <f t="shared" si="156"/>
        <v>1248.1110170344646</v>
      </c>
      <c r="NJ113" s="3">
        <f t="shared" si="156"/>
        <v>1235.6299068641199</v>
      </c>
      <c r="NK113" s="3">
        <f t="shared" si="156"/>
        <v>1223.2736077954787</v>
      </c>
      <c r="NL113" s="3">
        <f t="shared" si="156"/>
        <v>1211.0408717175239</v>
      </c>
      <c r="NM113" s="3">
        <f t="shared" si="156"/>
        <v>1198.9304630003487</v>
      </c>
      <c r="NN113" s="3">
        <f t="shared" si="156"/>
        <v>1186.9411583703452</v>
      </c>
      <c r="NO113" s="3">
        <f t="shared" si="156"/>
        <v>1175.0717467866418</v>
      </c>
      <c r="NP113" s="3">
        <f t="shared" si="156"/>
        <v>1163.3210293187753</v>
      </c>
      <c r="NQ113" s="3">
        <f t="shared" si="156"/>
        <v>1151.6878190255875</v>
      </c>
      <c r="NR113" s="3">
        <f t="shared" si="156"/>
        <v>1140.1709408353315</v>
      </c>
      <c r="NS113" s="3">
        <f t="shared" si="156"/>
        <v>1128.7692314269782</v>
      </c>
      <c r="NT113" s="3">
        <f t="shared" si="156"/>
        <v>1117.4815391127083</v>
      </c>
      <c r="NU113" s="3">
        <f t="shared" si="156"/>
        <v>1106.3067237215812</v>
      </c>
      <c r="NV113" s="3">
        <f t="shared" si="156"/>
        <v>1095.2436564843654</v>
      </c>
      <c r="NW113" s="3">
        <f t="shared" si="156"/>
        <v>1084.2912199195216</v>
      </c>
      <c r="NX113" s="3">
        <f t="shared" si="156"/>
        <v>1073.4483077203263</v>
      </c>
      <c r="NY113" s="3">
        <f t="shared" si="156"/>
        <v>1062.713824643123</v>
      </c>
      <c r="NZ113" s="3">
        <f t="shared" si="156"/>
        <v>1052.0866863966917</v>
      </c>
      <c r="OA113" s="3">
        <f t="shared" si="156"/>
        <v>1041.5658195327248</v>
      </c>
      <c r="OB113" s="3">
        <f t="shared" si="156"/>
        <v>1031.1501613373975</v>
      </c>
      <c r="OC113" s="3">
        <f t="shared" si="156"/>
        <v>1020.8386597240236</v>
      </c>
      <c r="OD113" s="3">
        <f t="shared" si="156"/>
        <v>1010.6302731267833</v>
      </c>
      <c r="OE113" s="3">
        <f t="shared" si="156"/>
        <v>1000.5239703955154</v>
      </c>
      <c r="OF113" s="3">
        <f t="shared" si="156"/>
        <v>990.51873069156034</v>
      </c>
      <c r="OG113" s="3">
        <f t="shared" si="156"/>
        <v>980.61354338464469</v>
      </c>
      <c r="OH113" s="3">
        <f t="shared" si="156"/>
        <v>970.80740795079828</v>
      </c>
      <c r="OI113" s="3">
        <f t="shared" si="156"/>
        <v>961.09933387129024</v>
      </c>
      <c r="OJ113" s="3">
        <f t="shared" si="156"/>
        <v>951.48834053257735</v>
      </c>
      <c r="OK113" s="3">
        <f t="shared" si="156"/>
        <v>941.97345712725155</v>
      </c>
      <c r="OL113" s="3">
        <f t="shared" si="156"/>
        <v>932.55372255597899</v>
      </c>
      <c r="OM113" s="3">
        <f t="shared" si="156"/>
        <v>923.22818533041925</v>
      </c>
      <c r="ON113" s="3">
        <f t="shared" si="156"/>
        <v>913.99590347711501</v>
      </c>
      <c r="OO113" s="3">
        <f t="shared" si="156"/>
        <v>904.8559444423438</v>
      </c>
      <c r="OP113" s="3">
        <f t="shared" si="156"/>
        <v>895.80738499792039</v>
      </c>
      <c r="OQ113" s="3">
        <f t="shared" si="156"/>
        <v>886.84931114794119</v>
      </c>
      <c r="OR113" s="3">
        <f t="shared" si="156"/>
        <v>877.98081803646176</v>
      </c>
      <c r="OS113" s="3">
        <f t="shared" si="156"/>
        <v>869.20100985609713</v>
      </c>
      <c r="OT113" s="3">
        <f t="shared" si="156"/>
        <v>860.50899975753612</v>
      </c>
      <c r="OU113" s="3">
        <f t="shared" si="156"/>
        <v>851.9039097599607</v>
      </c>
      <c r="OV113" s="3">
        <f t="shared" si="156"/>
        <v>843.3848706623611</v>
      </c>
      <c r="OW113" s="3">
        <f t="shared" si="156"/>
        <v>834.95102195573747</v>
      </c>
      <c r="OX113" s="3">
        <f t="shared" si="156"/>
        <v>826.6015117361801</v>
      </c>
      <c r="OY113" s="3">
        <f t="shared" si="156"/>
        <v>818.3354966188183</v>
      </c>
      <c r="OZ113" s="3">
        <f t="shared" si="156"/>
        <v>810.15214165263012</v>
      </c>
      <c r="PA113" s="3">
        <f t="shared" si="156"/>
        <v>802.05062023610378</v>
      </c>
      <c r="PB113" s="3">
        <f t="shared" si="156"/>
        <v>794.03011403374273</v>
      </c>
      <c r="PC113" s="3">
        <f t="shared" si="156"/>
        <v>786.08981289340534</v>
      </c>
      <c r="PD113" s="3">
        <f t="shared" si="156"/>
        <v>778.22891476447126</v>
      </c>
      <c r="PE113" s="3">
        <f t="shared" ref="PE113:PP113" si="157">PD113*(1+$AU$34)</f>
        <v>770.44662561682651</v>
      </c>
      <c r="PF113" s="3">
        <f t="shared" si="157"/>
        <v>762.74215936065821</v>
      </c>
      <c r="PG113" s="3">
        <f t="shared" si="157"/>
        <v>755.11473776705157</v>
      </c>
      <c r="PH113" s="3">
        <f t="shared" si="157"/>
        <v>747.56359038938103</v>
      </c>
      <c r="PI113" s="3">
        <f t="shared" si="157"/>
        <v>740.08795448548722</v>
      </c>
      <c r="PJ113" s="3">
        <f t="shared" si="157"/>
        <v>732.68707494063233</v>
      </c>
      <c r="PK113" s="3">
        <f t="shared" si="157"/>
        <v>725.36020419122599</v>
      </c>
      <c r="PL113" s="3">
        <f t="shared" si="157"/>
        <v>718.10660214931374</v>
      </c>
      <c r="PM113" s="3">
        <f t="shared" si="157"/>
        <v>710.92553612782058</v>
      </c>
      <c r="PN113" s="3">
        <f t="shared" si="157"/>
        <v>703.81628076654238</v>
      </c>
      <c r="PO113" s="3">
        <f t="shared" si="157"/>
        <v>696.77811795887692</v>
      </c>
      <c r="PP113" s="3">
        <f t="shared" si="157"/>
        <v>689.81033677928815</v>
      </c>
    </row>
  </sheetData>
  <phoneticPr fontId="8" type="noConversion"/>
  <conditionalFormatting sqref="AR42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AU42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6DA9A-C69A-4E56-8532-976FE6109CB8}">
  <dimension ref="B2:D18"/>
  <sheetViews>
    <sheetView workbookViewId="0">
      <selection activeCell="C18" sqref="C18"/>
    </sheetView>
  </sheetViews>
  <sheetFormatPr defaultRowHeight="15" x14ac:dyDescent="0.25"/>
  <cols>
    <col min="2" max="2" width="16.140625" bestFit="1" customWidth="1"/>
    <col min="4" max="4" width="50.7109375" bestFit="1" customWidth="1"/>
  </cols>
  <sheetData>
    <row r="2" spans="2:4" x14ac:dyDescent="0.25">
      <c r="D2" s="28" t="s">
        <v>80</v>
      </c>
    </row>
    <row r="3" spans="2:4" x14ac:dyDescent="0.25">
      <c r="B3" s="2" t="s">
        <v>6</v>
      </c>
      <c r="C3" s="3">
        <f>Main!C8</f>
        <v>47186</v>
      </c>
    </row>
    <row r="4" spans="2:4" x14ac:dyDescent="0.25">
      <c r="B4" s="2" t="s">
        <v>8</v>
      </c>
      <c r="C4" s="3">
        <f>Main!C6</f>
        <v>337274.7</v>
      </c>
      <c r="D4" s="2"/>
    </row>
    <row r="5" spans="2:4" x14ac:dyDescent="0.25">
      <c r="B5" s="2" t="s">
        <v>9</v>
      </c>
      <c r="C5" s="3">
        <f>C3+C4</f>
        <v>384460.7</v>
      </c>
      <c r="D5" s="2"/>
    </row>
    <row r="6" spans="2:4" x14ac:dyDescent="0.25">
      <c r="B6" s="4" t="s">
        <v>10</v>
      </c>
      <c r="C6" s="5">
        <f>C3/C5</f>
        <v>0.12273296074215127</v>
      </c>
      <c r="D6" s="2"/>
    </row>
    <row r="7" spans="2:4" x14ac:dyDescent="0.25">
      <c r="B7" s="4" t="s">
        <v>11</v>
      </c>
      <c r="C7" s="5">
        <f>C4/C5</f>
        <v>0.87726703925784877</v>
      </c>
      <c r="D7" s="2"/>
    </row>
    <row r="8" spans="2:4" x14ac:dyDescent="0.25">
      <c r="B8" s="2"/>
      <c r="C8" s="2"/>
      <c r="D8" s="2"/>
    </row>
    <row r="9" spans="2:4" x14ac:dyDescent="0.25">
      <c r="B9" s="2" t="s">
        <v>12</v>
      </c>
      <c r="C9" s="8">
        <f>AVERAGE(DCF!AE43:AI43)</f>
        <v>0.30198938503093642</v>
      </c>
      <c r="D9" s="27" t="s">
        <v>84</v>
      </c>
    </row>
    <row r="10" spans="2:4" x14ac:dyDescent="0.25">
      <c r="B10" s="2" t="s">
        <v>13</v>
      </c>
      <c r="C10" s="3">
        <f>DCF!AI15</f>
        <v>1674</v>
      </c>
      <c r="D10" s="27" t="s">
        <v>79</v>
      </c>
    </row>
    <row r="11" spans="2:4" x14ac:dyDescent="0.25">
      <c r="B11" s="4" t="s">
        <v>14</v>
      </c>
      <c r="C11" s="7">
        <f>C10/C3</f>
        <v>3.5476624422498201E-2</v>
      </c>
      <c r="D11" s="2"/>
    </row>
    <row r="12" spans="2:4" x14ac:dyDescent="0.25">
      <c r="B12" s="2"/>
      <c r="C12" s="2"/>
      <c r="D12" s="2"/>
    </row>
    <row r="13" spans="2:4" x14ac:dyDescent="0.25">
      <c r="B13" s="2" t="s">
        <v>15</v>
      </c>
      <c r="C13" s="6">
        <f>'[1]T-Bond Yields'!$C$7</f>
        <v>2.8799999999999999E-2</v>
      </c>
      <c r="D13" s="27" t="s">
        <v>83</v>
      </c>
    </row>
    <row r="14" spans="2:4" x14ac:dyDescent="0.25">
      <c r="B14" s="2" t="s">
        <v>16</v>
      </c>
      <c r="C14" s="2">
        <v>0.52</v>
      </c>
      <c r="D14" s="27" t="s">
        <v>82</v>
      </c>
    </row>
    <row r="15" spans="2:4" x14ac:dyDescent="0.25">
      <c r="B15" s="2" t="s">
        <v>17</v>
      </c>
      <c r="C15" s="8">
        <v>0.06</v>
      </c>
      <c r="D15" s="27" t="s">
        <v>81</v>
      </c>
    </row>
    <row r="16" spans="2:4" x14ac:dyDescent="0.25">
      <c r="B16" s="4" t="s">
        <v>18</v>
      </c>
      <c r="C16" s="5">
        <f>C13+C14*(C15-C13)</f>
        <v>4.5023999999999995E-2</v>
      </c>
      <c r="D16" s="2"/>
    </row>
    <row r="17" spans="2:4" x14ac:dyDescent="0.25">
      <c r="B17" s="2"/>
      <c r="C17" s="2"/>
      <c r="D17" s="2"/>
    </row>
    <row r="18" spans="2:4" x14ac:dyDescent="0.25">
      <c r="B18" s="4" t="s">
        <v>19</v>
      </c>
      <c r="C18" s="5">
        <f>(C6*C11)+(C7*C16)*(1-C9)</f>
        <v>3.1924224103844788E-2</v>
      </c>
      <c r="D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</dc:creator>
  <cp:lastModifiedBy>William S</cp:lastModifiedBy>
  <dcterms:created xsi:type="dcterms:W3CDTF">2020-11-16T22:00:49Z</dcterms:created>
  <dcterms:modified xsi:type="dcterms:W3CDTF">2022-07-27T04:20:14Z</dcterms:modified>
</cp:coreProperties>
</file>