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D37A8564-CAD6-404E-853A-E8D8F008EA1F}" xr6:coauthVersionLast="47" xr6:coauthVersionMax="47" xr10:uidLastSave="{00000000-0000-0000-0000-000000000000}"/>
  <bookViews>
    <workbookView xWindow="-120" yWindow="-120" windowWidth="29040" windowHeight="15840" activeTab="2"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8" i="2" l="1"/>
  <c r="AM22" i="2"/>
  <c r="AL22" i="2"/>
  <c r="AK22" i="2"/>
  <c r="Z26" i="2"/>
  <c r="AJ26" i="2" s="1"/>
  <c r="Y26" i="2"/>
  <c r="X26" i="2"/>
  <c r="AM16" i="2"/>
  <c r="AL16" i="2"/>
  <c r="AM15" i="2"/>
  <c r="AL15" i="2"/>
  <c r="X15" i="2"/>
  <c r="AK16" i="2"/>
  <c r="K22" i="2"/>
  <c r="AG22" i="2" s="1"/>
  <c r="G22" i="2"/>
  <c r="G21" i="2"/>
  <c r="I22" i="2"/>
  <c r="I21" i="2"/>
  <c r="J22" i="2"/>
  <c r="J21" i="2"/>
  <c r="M22" i="2"/>
  <c r="M21" i="2"/>
  <c r="N22" i="2"/>
  <c r="N21" i="2"/>
  <c r="AI22" i="2"/>
  <c r="AH22" i="2"/>
  <c r="AE22" i="2"/>
  <c r="X18" i="2"/>
  <c r="X16" i="2"/>
  <c r="Z22" i="2"/>
  <c r="Y22" i="2"/>
  <c r="X22" i="2"/>
  <c r="V61" i="2"/>
  <c r="V66" i="2" s="1"/>
  <c r="V68" i="2" s="1"/>
  <c r="U61" i="2"/>
  <c r="U66" i="2" s="1"/>
  <c r="U68" i="2" s="1"/>
  <c r="T61" i="2"/>
  <c r="T66" i="2" s="1"/>
  <c r="T68" i="2" s="1"/>
  <c r="S61" i="2"/>
  <c r="S66" i="2" s="1"/>
  <c r="S68" i="2" s="1"/>
  <c r="R61" i="2"/>
  <c r="R66" i="2" s="1"/>
  <c r="R68" i="2" s="1"/>
  <c r="Q61" i="2"/>
  <c r="Q66" i="2" s="1"/>
  <c r="Q68" i="2" s="1"/>
  <c r="P61" i="2"/>
  <c r="P66" i="2" s="1"/>
  <c r="P68" i="2" s="1"/>
  <c r="O61" i="2"/>
  <c r="O66" i="2" s="1"/>
  <c r="O68" i="2" s="1"/>
  <c r="N61" i="2"/>
  <c r="N66" i="2" s="1"/>
  <c r="N68" i="2" s="1"/>
  <c r="M61" i="2"/>
  <c r="M66" i="2" s="1"/>
  <c r="M68" i="2" s="1"/>
  <c r="L61" i="2"/>
  <c r="L66" i="2" s="1"/>
  <c r="L68" i="2" s="1"/>
  <c r="K61" i="2"/>
  <c r="K66" i="2" s="1"/>
  <c r="K68" i="2" s="1"/>
  <c r="J61" i="2"/>
  <c r="J66" i="2" s="1"/>
  <c r="J68" i="2" s="1"/>
  <c r="I61" i="2"/>
  <c r="I66" i="2" s="1"/>
  <c r="I68" i="2" s="1"/>
  <c r="H61" i="2"/>
  <c r="H66" i="2" s="1"/>
  <c r="H68" i="2" s="1"/>
  <c r="G61" i="2"/>
  <c r="G66" i="2" s="1"/>
  <c r="G68" i="2" s="1"/>
  <c r="F61" i="2"/>
  <c r="F66" i="2" s="1"/>
  <c r="F68" i="2" s="1"/>
  <c r="E61" i="2"/>
  <c r="E66" i="2" s="1"/>
  <c r="E68" i="2" s="1"/>
  <c r="D61" i="2"/>
  <c r="D66" i="2" s="1"/>
  <c r="D68" i="2" s="1"/>
  <c r="C61" i="2"/>
  <c r="C66" i="2" s="1"/>
  <c r="C68" i="2" s="1"/>
  <c r="W61" i="2"/>
  <c r="W66" i="2" s="1"/>
  <c r="W68" i="2" s="1"/>
  <c r="V54" i="2"/>
  <c r="U54" i="2"/>
  <c r="T54" i="2"/>
  <c r="S54" i="2"/>
  <c r="R54" i="2"/>
  <c r="Q54" i="2"/>
  <c r="P54" i="2"/>
  <c r="O54" i="2"/>
  <c r="N54" i="2"/>
  <c r="M54" i="2"/>
  <c r="L54" i="2"/>
  <c r="K54" i="2"/>
  <c r="J54" i="2"/>
  <c r="I54" i="2"/>
  <c r="H54" i="2"/>
  <c r="G54" i="2"/>
  <c r="F54" i="2"/>
  <c r="E54" i="2"/>
  <c r="D54" i="2"/>
  <c r="C54" i="2"/>
  <c r="W54" i="2"/>
  <c r="V47" i="2"/>
  <c r="U47" i="2"/>
  <c r="U57" i="2" s="1"/>
  <c r="T47" i="2"/>
  <c r="S47" i="2"/>
  <c r="R47" i="2"/>
  <c r="Q47" i="2"/>
  <c r="Q57" i="2" s="1"/>
  <c r="P47" i="2"/>
  <c r="O47" i="2"/>
  <c r="N47" i="2"/>
  <c r="M47" i="2"/>
  <c r="M57" i="2" s="1"/>
  <c r="L47" i="2"/>
  <c r="K47" i="2"/>
  <c r="J47" i="2"/>
  <c r="I47" i="2"/>
  <c r="I57" i="2" s="1"/>
  <c r="H47" i="2"/>
  <c r="G47" i="2"/>
  <c r="F47" i="2"/>
  <c r="E47" i="2"/>
  <c r="E57" i="2" s="1"/>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V7" i="2"/>
  <c r="AI7" i="2" s="1"/>
  <c r="V6" i="2"/>
  <c r="AI6" i="2" s="1"/>
  <c r="V5" i="2"/>
  <c r="AI5" i="2" s="1"/>
  <c r="V4" i="2"/>
  <c r="AI4" i="2" s="1"/>
  <c r="V3" i="2"/>
  <c r="AI3" i="2" s="1"/>
  <c r="AI16" i="2"/>
  <c r="AI8"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C21" i="2"/>
  <c r="D21" i="2"/>
  <c r="E21" i="2"/>
  <c r="F21" i="2"/>
  <c r="H21" i="2"/>
  <c r="L21" i="2"/>
  <c r="O21" i="2"/>
  <c r="P21" i="2"/>
  <c r="Q21" i="2"/>
  <c r="S21" i="2"/>
  <c r="T21" i="2"/>
  <c r="X21" i="2" s="1"/>
  <c r="U21" i="2"/>
  <c r="Y21" i="2" s="1"/>
  <c r="V21" i="2"/>
  <c r="Z21" i="2" s="1"/>
  <c r="W21" i="2"/>
  <c r="Z16" i="2"/>
  <c r="Z33" i="2" s="1"/>
  <c r="Y16" i="2"/>
  <c r="X33" i="2"/>
  <c r="Z18" i="2"/>
  <c r="Z34" i="2" s="1"/>
  <c r="Y34" i="2"/>
  <c r="X34" i="2"/>
  <c r="Y36" i="2"/>
  <c r="X36"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AF22" i="2" l="1"/>
  <c r="W15" i="2"/>
  <c r="F57" i="2"/>
  <c r="J57" i="2"/>
  <c r="N57" i="2"/>
  <c r="R57" i="2"/>
  <c r="V57" i="2"/>
  <c r="AI13" i="2"/>
  <c r="AJ22" i="2"/>
  <c r="D57" i="2"/>
  <c r="H57" i="2"/>
  <c r="L57" i="2"/>
  <c r="P57" i="2"/>
  <c r="T57" i="2"/>
  <c r="C57" i="2"/>
  <c r="G57" i="2"/>
  <c r="K57" i="2"/>
  <c r="O57" i="2"/>
  <c r="AE9" i="2"/>
  <c r="AE15" i="2" s="1"/>
  <c r="W17" i="2"/>
  <c r="W20" i="2" s="1"/>
  <c r="J13" i="2"/>
  <c r="S57" i="2"/>
  <c r="W57" i="2"/>
  <c r="N13" i="2"/>
  <c r="AG11" i="2"/>
  <c r="AG13" i="2" s="1"/>
  <c r="N9" i="2"/>
  <c r="AG4" i="2"/>
  <c r="AG9" i="2" s="1"/>
  <c r="AF9" i="2"/>
  <c r="AF15" i="2" s="1"/>
  <c r="J9" i="2"/>
  <c r="J15" i="2" s="1"/>
  <c r="F13" i="2"/>
  <c r="F9" i="2"/>
  <c r="F15" i="2" s="1"/>
  <c r="E15" i="2"/>
  <c r="G15" i="2"/>
  <c r="L15" i="2"/>
  <c r="M15" i="2"/>
  <c r="R13" i="2"/>
  <c r="AH13" i="2"/>
  <c r="V13" i="2"/>
  <c r="AH9" i="2"/>
  <c r="R9" i="2"/>
  <c r="R15" i="2" s="1"/>
  <c r="R17" i="2" s="1"/>
  <c r="R20" i="2" s="1"/>
  <c r="R23" i="2" s="1"/>
  <c r="V9" i="2"/>
  <c r="P15" i="2"/>
  <c r="Q15" i="2"/>
  <c r="Q17" i="2" s="1"/>
  <c r="U15" i="2"/>
  <c r="Y15" i="2" s="1"/>
  <c r="Y32" i="2" s="1"/>
  <c r="AI9" i="2"/>
  <c r="I15" i="2"/>
  <c r="O15" i="2"/>
  <c r="C15" i="2"/>
  <c r="S15" i="2"/>
  <c r="W32" i="2" s="1"/>
  <c r="D15" i="2"/>
  <c r="H15" i="2"/>
  <c r="T15" i="2"/>
  <c r="X32" i="2" s="1"/>
  <c r="K15" i="2"/>
  <c r="Z36" i="2"/>
  <c r="AJ21" i="2"/>
  <c r="AJ16" i="2"/>
  <c r="AI21" i="2"/>
  <c r="AJ18" i="2"/>
  <c r="Y19" i="2"/>
  <c r="X19" i="2"/>
  <c r="Y33" i="2"/>
  <c r="Z19" i="2"/>
  <c r="U17" i="2"/>
  <c r="U38" i="2" s="1"/>
  <c r="Q19" i="2"/>
  <c r="S17" i="2" l="1"/>
  <c r="S20" i="2" s="1"/>
  <c r="V15" i="2"/>
  <c r="V17" i="2" s="1"/>
  <c r="AH15" i="2"/>
  <c r="AH17" i="2" s="1"/>
  <c r="AH20" i="2" s="1"/>
  <c r="N15" i="2"/>
  <c r="AG15" i="2"/>
  <c r="Z15" i="2"/>
  <c r="Z32" i="2" s="1"/>
  <c r="V32" i="2"/>
  <c r="T17" i="2"/>
  <c r="T20" i="2" s="1"/>
  <c r="T39" i="2" s="1"/>
  <c r="U32" i="2"/>
  <c r="AI15" i="2"/>
  <c r="AI17" i="2" s="1"/>
  <c r="AI20" i="2" s="1"/>
  <c r="T32" i="2"/>
  <c r="X17" i="2"/>
  <c r="X38" i="2" s="1"/>
  <c r="Y17" i="2"/>
  <c r="Y20" i="2" s="1"/>
  <c r="Y23" i="2" s="1"/>
  <c r="W23" i="2"/>
  <c r="W25" i="2" s="1"/>
  <c r="W27" i="2" s="1"/>
  <c r="S23" i="2"/>
  <c r="S25" i="2" s="1"/>
  <c r="S27" i="2" s="1"/>
  <c r="Z17" i="2"/>
  <c r="Q20" i="2"/>
  <c r="U20" i="2"/>
  <c r="U39" i="2" s="1"/>
  <c r="S38" i="2"/>
  <c r="W38" i="2"/>
  <c r="AQ35" i="2"/>
  <c r="C3" i="3"/>
  <c r="T38" i="2" l="1"/>
  <c r="T23" i="2"/>
  <c r="T25" i="2" s="1"/>
  <c r="T27" i="2" s="1"/>
  <c r="AI23" i="2"/>
  <c r="AI25" i="2" s="1"/>
  <c r="AI27" i="2" s="1"/>
  <c r="V38" i="2"/>
  <c r="V20" i="2"/>
  <c r="AJ15" i="2"/>
  <c r="AK15" i="2" s="1"/>
  <c r="X20" i="2"/>
  <c r="X39" i="2" s="1"/>
  <c r="Y38" i="2"/>
  <c r="Q23" i="2"/>
  <c r="Q25" i="2" s="1"/>
  <c r="Q27" i="2" s="1"/>
  <c r="U23" i="2"/>
  <c r="U25" i="2" s="1"/>
  <c r="U27" i="2" s="1"/>
  <c r="Z38" i="2"/>
  <c r="Z20" i="2"/>
  <c r="Z23" i="2" s="1"/>
  <c r="Y39" i="2"/>
  <c r="Y24" i="2"/>
  <c r="T40"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X23" i="2" l="1"/>
  <c r="X24" i="2" s="1"/>
  <c r="X40" i="2" s="1"/>
  <c r="V39" i="2"/>
  <c r="V23" i="2"/>
  <c r="U40" i="2"/>
  <c r="U37" i="2"/>
  <c r="X25" i="2"/>
  <c r="X35" i="2" s="1"/>
  <c r="AF17" i="2"/>
  <c r="Z39" i="2"/>
  <c r="Y40" i="2"/>
  <c r="Y25" i="2"/>
  <c r="AG36" i="2"/>
  <c r="U35" i="2"/>
  <c r="S40" i="2"/>
  <c r="W40" i="2"/>
  <c r="AG33" i="2"/>
  <c r="AI36" i="2"/>
  <c r="AK26" i="2"/>
  <c r="AK36" i="2" s="1"/>
  <c r="AH36" i="2"/>
  <c r="AG34" i="2"/>
  <c r="AH34" i="2"/>
  <c r="R34" i="2"/>
  <c r="R36" i="2"/>
  <c r="AG17" i="2"/>
  <c r="AE26" i="2"/>
  <c r="AF36" i="2" s="1"/>
  <c r="AE24" i="2"/>
  <c r="AE18" i="2"/>
  <c r="AE19" i="2" s="1"/>
  <c r="AE16" i="2"/>
  <c r="AF33" i="2" s="1"/>
  <c r="F17" i="2"/>
  <c r="F38" i="2" s="1"/>
  <c r="F19" i="2"/>
  <c r="C17" i="2"/>
  <c r="C38" i="2" s="1"/>
  <c r="C19" i="2"/>
  <c r="D17" i="2"/>
  <c r="D38" i="2" s="1"/>
  <c r="D19" i="2"/>
  <c r="E19" i="2"/>
  <c r="E17" i="2"/>
  <c r="E38" i="2" s="1"/>
  <c r="G19" i="2"/>
  <c r="H19" i="2"/>
  <c r="V25" i="2" l="1"/>
  <c r="V27" i="2" s="1"/>
  <c r="V40" i="2"/>
  <c r="X27" i="2"/>
  <c r="X37" i="2" s="1"/>
  <c r="Z24" i="2"/>
  <c r="Z25" i="2" s="1"/>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F39" i="2" l="1"/>
  <c r="F23" i="2"/>
  <c r="E39" i="2"/>
  <c r="E23" i="2"/>
  <c r="AF39" i="2"/>
  <c r="AF23" i="2"/>
  <c r="AF40" i="2" s="1"/>
  <c r="D39" i="2"/>
  <c r="D23" i="2"/>
  <c r="C39" i="2"/>
  <c r="C23" i="2"/>
  <c r="AE17" i="2"/>
  <c r="AE20" i="2" s="1"/>
  <c r="AE23" i="2" s="1"/>
  <c r="AE25" i="2" s="1"/>
  <c r="AE27" i="2" s="1"/>
  <c r="Z27" i="2"/>
  <c r="Z37" i="2" s="1"/>
  <c r="Z35" i="2"/>
  <c r="Z40" i="2"/>
  <c r="AJ24" i="2"/>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E38" i="2" l="1"/>
  <c r="AF25" i="2"/>
  <c r="AF35" i="2" s="1"/>
  <c r="H39" i="2"/>
  <c r="H23" i="2"/>
  <c r="AH23" i="2"/>
  <c r="AH25" i="2" s="1"/>
  <c r="AH27" i="2" s="1"/>
  <c r="G39" i="2"/>
  <c r="G23" i="2"/>
  <c r="AG39" i="2"/>
  <c r="AG23" i="2"/>
  <c r="AE39" i="2"/>
  <c r="AE40" i="2"/>
  <c r="AK19" i="2"/>
  <c r="O20" i="2"/>
  <c r="AJ32" i="2"/>
  <c r="AI34" i="2"/>
  <c r="C9" i="1"/>
  <c r="C4" i="3"/>
  <c r="C5" i="3" s="1"/>
  <c r="C6" i="3" s="1"/>
  <c r="I20" i="2"/>
  <c r="M20" i="2"/>
  <c r="F25" i="2"/>
  <c r="F27" i="2" s="1"/>
  <c r="F40" i="2"/>
  <c r="C25" i="2"/>
  <c r="C40" i="2"/>
  <c r="L20" i="2"/>
  <c r="J20" i="2"/>
  <c r="P20" i="2"/>
  <c r="R32" i="2"/>
  <c r="K20" i="2"/>
  <c r="N20" i="2"/>
  <c r="Q32" i="2"/>
  <c r="D25" i="2"/>
  <c r="D27" i="2" s="1"/>
  <c r="D40" i="2"/>
  <c r="E25" i="2"/>
  <c r="E27" i="2" s="1"/>
  <c r="E40" i="2"/>
  <c r="AF27" i="2" l="1"/>
  <c r="AF37" i="2" s="1"/>
  <c r="N39" i="2"/>
  <c r="N23" i="2"/>
  <c r="J39" i="2"/>
  <c r="J23" i="2"/>
  <c r="K39" i="2"/>
  <c r="K23" i="2"/>
  <c r="L39" i="2"/>
  <c r="L23" i="2"/>
  <c r="L40" i="2" s="1"/>
  <c r="O39" i="2"/>
  <c r="O23" i="2"/>
  <c r="O25" i="2" s="1"/>
  <c r="S35" i="2" s="1"/>
  <c r="M39" i="2"/>
  <c r="M23" i="2"/>
  <c r="P39" i="2"/>
  <c r="P23" i="2"/>
  <c r="I39" i="2"/>
  <c r="I23" i="2"/>
  <c r="C27" i="2"/>
  <c r="R33" i="2"/>
  <c r="V33" i="2"/>
  <c r="AG25" i="2"/>
  <c r="AG40" i="2"/>
  <c r="AM19" i="2"/>
  <c r="AL19" i="2"/>
  <c r="AJ34" i="2"/>
  <c r="AK32" i="2"/>
  <c r="C7" i="3"/>
  <c r="Q33" i="2"/>
  <c r="H25" i="2"/>
  <c r="H40" i="2"/>
  <c r="R39" i="2"/>
  <c r="G25" i="2"/>
  <c r="G40" i="2"/>
  <c r="O40" i="2" l="1"/>
  <c r="AG27" i="2"/>
  <c r="AG37" i="2" s="1"/>
  <c r="AG35" i="2"/>
  <c r="AL32" i="2"/>
  <c r="AK34" i="2"/>
  <c r="AH33" i="2"/>
  <c r="AI33" i="2"/>
  <c r="J25" i="2"/>
  <c r="J40" i="2"/>
  <c r="L25" i="2"/>
  <c r="G27" i="2"/>
  <c r="G37" i="2" s="1"/>
  <c r="G35" i="2"/>
  <c r="M25" i="2"/>
  <c r="M40" i="2"/>
  <c r="N25" i="2"/>
  <c r="N40" i="2"/>
  <c r="O27" i="2"/>
  <c r="S37" i="2" s="1"/>
  <c r="H27" i="2"/>
  <c r="H37" i="2" s="1"/>
  <c r="H35" i="2"/>
  <c r="I25" i="2"/>
  <c r="I40" i="2"/>
  <c r="P25" i="2"/>
  <c r="T35" i="2" s="1"/>
  <c r="P40" i="2"/>
  <c r="K25" i="2"/>
  <c r="K40" i="2"/>
  <c r="AI38" i="2" l="1"/>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27" i="2" s="1"/>
  <c r="AI39" i="2"/>
  <c r="AK17" i="2"/>
  <c r="AK33" i="2"/>
  <c r="AJ20" i="2"/>
  <c r="AJ23" i="2" s="1"/>
  <c r="AJ38" i="2"/>
  <c r="AM34" i="2"/>
  <c r="AH39" i="2"/>
  <c r="Q37" i="2"/>
  <c r="Q35" i="2"/>
  <c r="Q40" i="2"/>
  <c r="P37" i="2"/>
  <c r="V35" i="2" l="1"/>
  <c r="AL17" i="2"/>
  <c r="AL33" i="2"/>
  <c r="AI40" i="2"/>
  <c r="R35" i="2"/>
  <c r="AK20" i="2"/>
  <c r="AK23" i="2" s="1"/>
  <c r="AK38" i="2"/>
  <c r="AJ39" i="2"/>
  <c r="AH40" i="2"/>
  <c r="C9" i="3" l="1"/>
  <c r="C11" i="3" s="1"/>
  <c r="C18" i="3" s="1"/>
  <c r="AQ33" i="2" s="1"/>
  <c r="R37" i="2"/>
  <c r="V37" i="2"/>
  <c r="AJ40" i="2"/>
  <c r="AM17" i="2"/>
  <c r="AM33" i="2"/>
  <c r="AK39" i="2"/>
  <c r="AL20" i="2"/>
  <c r="AL23" i="2" s="1"/>
  <c r="AL38" i="2"/>
  <c r="AH35" i="2"/>
  <c r="AI35" i="2" l="1"/>
  <c r="AJ25" i="2"/>
  <c r="AJ35" i="2" s="1"/>
  <c r="AL39" i="2"/>
  <c r="AM20" i="2"/>
  <c r="AM23" i="2" s="1"/>
  <c r="AM38" i="2"/>
  <c r="AK24" i="2"/>
  <c r="AK40" i="2" s="1"/>
  <c r="AH37" i="2"/>
  <c r="AI37" i="2"/>
  <c r="AJ27" i="2" l="1"/>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s="1"/>
  <c r="AQ36" i="2" s="1"/>
  <c r="AQ37" i="2" s="1"/>
  <c r="G4" i="1"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<sst xmlns="http://schemas.openxmlformats.org/spreadsheetml/2006/main" count="122" uniqueCount="115">
  <si>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</si>
  <si>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</si>
  <si>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</si>
  <si>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</si>
  <si>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</si>
  <si>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</si>
  <si>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</si>
  <si>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</si>
  <si>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</si>
  <si>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</si>
  <si>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</si>
  <si>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</si>
  <si>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</si>
  <si>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</si>
  <si>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</si>
  <si>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</si>
  <si>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</si>
  <si>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</si>
  <si>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</si>
  <si>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</si>
  <si>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</si>
  <si>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</si>
  <si>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</si>
  <si>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</si>
  <si>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</si>
  <si>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</si>
  <si>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</si>
  <si>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</si>
  <si>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Interest/other expense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</si>
  <si>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</si>
  <si>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</si>
  <si>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</si>
  <si>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</si>
  <si>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</si>
  <si>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</si>
  <si>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</si>
  <si>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</si>
  <si>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</si>
  <si>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</si>
  <si>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</si>
  <si>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</si>
  <si>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</si>
  <si>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</si>
  <si>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</si>
  <si>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</si>
  <si>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</si>
  <si>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</si>
  <si>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</si>
  <si>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</si>
  <si>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</si>
  <si>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</si>
  <si>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</si>
  <si>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</si>
  <si>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</si>
  <si>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</si>
  <si>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</si>
  <si>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</si>
  <si>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</si>
  <si>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</si>
  <si>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</si>
  <si>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</si>
  <si>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</si>
  <si>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</si>
  <si>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</si>
  <si>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</si>
  <si>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</si>
  <si>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Average Price</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</si>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</sst>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8">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14" fontId="4" fillId="0" borderId="0" xfId="0" applyNumberFormat="1" applyFont="1"/>
    <xf numFmtId="0" fontId="4" fillId="0" borderId="0" xfId="0" applyFont="1" applyAlignment="1">
      <alignment horizontal="right"/>
    </xf>
    <xf numFmtId="3" fontId="4" fillId="0" borderId="0" xfId="0" applyNumberFormat="1" applyFont="1" applyAlignment="1">
      <alignment horizontal="right"/>
    </xf>
    <xf numFmtId="0" fontId="6" fillId="0" borderId="0" xfId="0" applyFont="1"/>
    <xf numFmtId="3" fontId="6" fillId="0" borderId="0" xfId="0" applyNumberFormat="1" applyFont="1"/>
    <xf numFmtId="4" fontId="4" fillId="0" borderId="0" xfId="0" applyNumberFormat="1" applyFont="1"/>
    <xf numFmtId="9" fontId="4" fillId="0" borderId="0" xfId="0" applyNumberFormat="1" applyFont="1" applyAlignment="1">
      <alignment horizontal="right"/>
    </xf>
    <xf numFmtId="3" fontId="6" fillId="0" borderId="0" xfId="0" applyNumberFormat="1" applyFont="1" applyAlignment="1">
      <alignment horizontal="right"/>
    </xf>
    <xf numFmtId="2" fontId="4" fillId="0" borderId="0" xfId="0" applyNumberFormat="1" applyFont="1" applyAlignment="1">
      <alignment horizontal="right"/>
    </xf>
    <xf numFmtId="9" fontId="4" fillId="0" borderId="0" xfId="1" applyFont="1" applyAlignment="1">
      <alignment horizontal="right"/>
    </xf>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0" fontId="3" fillId="0" borderId="4" xfId="0" applyFont="1" applyBorder="1" applyAlignment="1">
      <alignment horizontal="right"/>
    </xf>
    <xf numFmtId="0" fontId="3" fillId="0" borderId="0" xfId="0" applyFont="1" applyAlignment="1">
      <alignment horizontal="right"/>
    </xf>
    <xf numFmtId="0" fontId="3" fillId="0" borderId="0" xfId="0" applyFont="1"/>
    <xf numFmtId="2" fontId="4" fillId="0" borderId="0" xfId="0" applyNumberFormat="1" applyFont="1"/>
    <xf numFmtId="0" fontId="2" fillId="0" borderId="0" xfId="0" applyFont="1"/>
    <xf numFmtId="3" fontId="2" fillId="0" borderId="0" xfId="0" applyNumberFormat="1" applyFont="1"/>
    <xf numFmtId="0" fontId="1"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3" fontId="3" fillId="0" borderId="0" xfId="0" applyNumberFormat="1" applyFont="1" applyAlignment="1">
      <alignment horizontal="right"/>
    </xf>
    <xf numFmtId="0" fontId="1" fillId="0" borderId="0" xfId="0" applyFont="1"/>
    <xf numFmtId="14" fontId="1" fillId="0" borderId="0" xfId="0" applyNumberFormat="1" applyFont="1"/>
    <xf numFmtId="3" fontId="7"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68</xdr:row>
      <xdr:rowOff>171450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297525" y="66675"/>
          <a:ext cx="0" cy="12544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47</xdr:row>
      <xdr:rowOff>19050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1469350" y="95250"/>
          <a:ext cx="0" cy="6153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G9"/>
  <sheetViews>
    <sheetView workbookViewId="0">
      <selection activeCell="C9" sqref="C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15" t="s">
        <v>0</v>
      </c>
      <c r="C3" s="16" t="e" vm="1">
        <v>#VALUE!</v>
      </c>
      <c r="D3" s="17" t="s">
        <v>1</v>
      </c>
    </row>
    <row r="4" spans="2:7" x14ac:dyDescent="0.2">
      <c r="B4" s="18" t="s">
        <v>2</v>
      </c>
      <c r="C4" s="19" cm="1">
        <f t="array" ref="C4">_FV(C3,"Price")</f>
        <v>163.38</v>
      </c>
      <c r="D4" s="20"/>
      <c r="F4" s="1" t="s">
        <v>66</v>
      </c>
      <c r="G4" s="10" t="e">
        <f>AVERAGE(DCF!AQ37,#REF!)</f>
        <v>#REF!</v>
      </c>
    </row>
    <row r="5" spans="2:7" x14ac:dyDescent="0.2">
      <c r="B5" s="18" t="s">
        <v>3</v>
      </c>
      <c r="C5" s="7">
        <v>467.8</v>
      </c>
      <c r="D5" s="25" t="s">
        <v>67</v>
      </c>
    </row>
    <row r="6" spans="2:7" x14ac:dyDescent="0.2">
      <c r="B6" s="18" t="s">
        <v>5</v>
      </c>
      <c r="C6" s="7">
        <f>C5*C4</f>
        <v>76429.164000000004</v>
      </c>
      <c r="D6" s="21"/>
    </row>
    <row r="7" spans="2:7" x14ac:dyDescent="0.2">
      <c r="B7" s="18" t="s">
        <v>6</v>
      </c>
      <c r="C7" s="7">
        <v>1112</v>
      </c>
      <c r="D7" s="25" t="s">
        <v>67</v>
      </c>
    </row>
    <row r="8" spans="2:7" x14ac:dyDescent="0.2">
      <c r="B8" s="18" t="s">
        <v>7</v>
      </c>
      <c r="C8" s="7">
        <f>1089+13379</f>
        <v>14468</v>
      </c>
      <c r="D8" s="25" t="s">
        <v>67</v>
      </c>
    </row>
    <row r="9" spans="2:7" x14ac:dyDescent="0.2">
      <c r="B9" s="22" t="s">
        <v>8</v>
      </c>
      <c r="C9" s="23">
        <f>C6-C7+C8</f>
        <v>89785.164000000004</v>
      </c>
      <c r="D9"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68"/>
  <sheetViews>
    <sheetView workbookViewId="0">
      <pane xSplit="2" ySplit="2" topLeftCell="X15" activePane="bottomRight" state="frozen"/>
      <selection pane="topRight" activeCell="C1" sqref="C1"/>
      <selection pane="bottomLeft" activeCell="A3" sqref="A3"/>
      <selection pane="bottomRight" activeCell="AQ39" sqref="AQ39"/>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8.28515625" style="2"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9.28515625" style="2" bestFit="1" customWidth="1"/>
    <col min="19" max="19" width="9.28515625" style="2" customWidth="1"/>
    <col min="20" max="20" width="10.140625" style="2" bestFit="1" customWidth="1"/>
    <col min="21" max="21" width="11.28515625" style="2" bestFit="1" customWidth="1"/>
    <col min="22" max="22" width="9.140625" style="2"/>
    <col min="23"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24" width="9.28515625" style="2" bestFit="1" customWidth="1"/>
    <col min="425" max="16384" width="9.140625" style="2"/>
  </cols>
  <sheetData>
    <row r="1" spans="1:39" s="1" customFormat="1" x14ac:dyDescent="0.2">
      <c r="B1" s="35"/>
      <c r="C1" s="36">
        <v>42854</v>
      </c>
      <c r="D1" s="5">
        <v>42945</v>
      </c>
      <c r="E1" s="5">
        <v>43036</v>
      </c>
      <c r="F1" s="5"/>
      <c r="G1" s="5">
        <v>43225</v>
      </c>
      <c r="H1" s="5">
        <v>43316</v>
      </c>
      <c r="I1" s="5">
        <v>43772</v>
      </c>
      <c r="J1" s="5"/>
      <c r="K1" s="5">
        <v>43589</v>
      </c>
      <c r="L1" s="5">
        <v>43680</v>
      </c>
      <c r="M1" s="5">
        <v>43771</v>
      </c>
      <c r="N1" s="5"/>
      <c r="O1" s="5">
        <v>43953</v>
      </c>
      <c r="P1" s="5">
        <v>44044</v>
      </c>
      <c r="Q1" s="5">
        <v>44135</v>
      </c>
      <c r="R1" s="5"/>
      <c r="S1" s="5">
        <v>44317</v>
      </c>
      <c r="T1" s="5">
        <v>44408</v>
      </c>
      <c r="U1" s="5">
        <v>44499</v>
      </c>
      <c r="V1" s="5"/>
      <c r="W1" s="5">
        <v>44681</v>
      </c>
    </row>
    <row r="2" spans="1:39" s="6" customFormat="1" x14ac:dyDescent="0.2">
      <c r="C2" s="6" t="s">
        <v>33</v>
      </c>
      <c r="D2" s="6" t="s">
        <v>34</v>
      </c>
      <c r="E2" s="7" t="s">
        <v>35</v>
      </c>
      <c r="F2" s="7" t="s">
        <v>36</v>
      </c>
      <c r="G2" s="6" t="s">
        <v>37</v>
      </c>
      <c r="H2" s="6" t="s">
        <v>38</v>
      </c>
      <c r="I2" s="6" t="s">
        <v>39</v>
      </c>
      <c r="J2" s="6" t="s">
        <v>40</v>
      </c>
      <c r="K2" s="6" t="s">
        <v>41</v>
      </c>
      <c r="L2" s="6" t="s">
        <v>42</v>
      </c>
      <c r="M2" s="6" t="s">
        <v>43</v>
      </c>
      <c r="N2" s="6" t="s">
        <v>44</v>
      </c>
      <c r="O2" s="6" t="s">
        <v>45</v>
      </c>
      <c r="P2" s="6" t="s">
        <v>47</v>
      </c>
      <c r="Q2" s="6" t="s">
        <v>46</v>
      </c>
      <c r="R2" s="6" t="s">
        <v>4</v>
      </c>
      <c r="S2" s="26" t="s">
        <v>68</v>
      </c>
      <c r="T2" s="26" t="s">
        <v>69</v>
      </c>
      <c r="U2" s="26" t="s">
        <v>70</v>
      </c>
      <c r="V2" s="26" t="s">
        <v>71</v>
      </c>
      <c r="W2" s="26" t="s">
        <v>72</v>
      </c>
      <c r="X2" s="26" t="s">
        <v>73</v>
      </c>
      <c r="Y2" s="26" t="s">
        <v>74</v>
      </c>
      <c r="Z2" s="26" t="s">
        <v>75</v>
      </c>
      <c r="AA2" s="26"/>
      <c r="AB2" s="26"/>
      <c r="AC2" s="26"/>
      <c r="AE2" s="6">
        <v>2017</v>
      </c>
      <c r="AF2" s="6">
        <v>2018</v>
      </c>
      <c r="AG2" s="6">
        <v>2019</v>
      </c>
      <c r="AH2" s="6">
        <v>2020</v>
      </c>
      <c r="AI2" s="6">
        <v>2021</v>
      </c>
      <c r="AJ2" s="6">
        <v>2022</v>
      </c>
      <c r="AK2" s="6">
        <v>2023</v>
      </c>
      <c r="AL2" s="6">
        <v>2024</v>
      </c>
      <c r="AM2" s="6">
        <v>2025</v>
      </c>
    </row>
    <row r="3" spans="1:39" s="6" customFormat="1" x14ac:dyDescent="0.2">
      <c r="B3" s="31" t="s">
        <v>81</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82</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83</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84</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85</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86</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87</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86</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88</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M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11134</v>
      </c>
      <c r="D16" s="2">
        <v>11419</v>
      </c>
      <c r="E16" s="2">
        <v>11712</v>
      </c>
      <c r="F16" s="2">
        <v>11713</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45978</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48</v>
      </c>
      <c r="C17" s="2">
        <f t="shared" ref="C17:P17" si="15">+C15-C16</f>
        <v>5089</v>
      </c>
      <c r="D17" s="2">
        <f t="shared" si="15"/>
        <v>5215</v>
      </c>
      <c r="E17" s="2">
        <f t="shared" si="15"/>
        <v>5162</v>
      </c>
      <c r="F17" s="2">
        <f t="shared" si="15"/>
        <v>11270</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26736</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3132</v>
      </c>
      <c r="D18" s="2">
        <v>3382</v>
      </c>
      <c r="E18" s="2">
        <v>3512</v>
      </c>
      <c r="F18" s="2">
        <v>4221</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Y18:Z18" si="18">V18*1.05</f>
        <v>5811.75</v>
      </c>
      <c r="AE18" s="2">
        <f>SUM(C18:F18)</f>
        <v>14247</v>
      </c>
      <c r="AF18" s="2">
        <f>SUM(G18:J18)</f>
        <v>15723</v>
      </c>
      <c r="AG18" s="2">
        <f>SUM(K18:N18)</f>
        <v>16232</v>
      </c>
      <c r="AH18" s="2">
        <f>SUM(O18:R18)</f>
        <v>18615</v>
      </c>
      <c r="AI18" s="2">
        <f>SUM(S18:V18)</f>
        <v>19752</v>
      </c>
      <c r="AJ18" s="2">
        <f>SUM(W18:Z18)</f>
        <v>21203.86</v>
      </c>
      <c r="AK18" s="2">
        <f t="shared" ref="AK18:AM18" si="19">AJ18*1.05</f>
        <v>22264.053</v>
      </c>
      <c r="AL18" s="2">
        <f t="shared" ref="AL18:AM18" si="20">AK18*1.03</f>
        <v>22931.974590000002</v>
      </c>
      <c r="AM18" s="2">
        <f t="shared" si="20"/>
        <v>23619.933827700002</v>
      </c>
    </row>
    <row r="19" spans="1:424" x14ac:dyDescent="0.2">
      <c r="B19" s="1" t="s">
        <v>26</v>
      </c>
      <c r="C19" s="2">
        <f t="shared" ref="C19:P19" si="21">+C18</f>
        <v>3132</v>
      </c>
      <c r="D19" s="2">
        <f t="shared" si="21"/>
        <v>3382</v>
      </c>
      <c r="E19" s="2">
        <f t="shared" si="21"/>
        <v>3512</v>
      </c>
      <c r="F19" s="2">
        <f t="shared" si="21"/>
        <v>4221</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14247</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1957</v>
      </c>
      <c r="D20" s="2">
        <f t="shared" si="25"/>
        <v>1833</v>
      </c>
      <c r="E20" s="2">
        <f t="shared" si="25"/>
        <v>1650</v>
      </c>
      <c r="F20" s="2">
        <f t="shared" si="25"/>
        <v>7049</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12489</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1" t="s">
        <v>28</v>
      </c>
      <c r="C21" s="2">
        <f>144</f>
        <v>144</v>
      </c>
      <c r="D21" s="2">
        <f>135</f>
        <v>135</v>
      </c>
      <c r="E21" s="2">
        <f>254</f>
        <v>254</v>
      </c>
      <c r="F21" s="2">
        <f>134</f>
        <v>134</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667</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80</v>
      </c>
      <c r="C22" s="2">
        <v>-4</v>
      </c>
      <c r="D22" s="2">
        <v>-1</v>
      </c>
      <c r="E22" s="2">
        <v>-2</v>
      </c>
      <c r="F22" s="2">
        <v>1</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29</v>
      </c>
      <c r="C23" s="2">
        <f>+C20-C21-C22</f>
        <v>1817</v>
      </c>
      <c r="D23" s="2">
        <f t="shared" ref="D23:AM23" si="30">+D20-D21-D22</f>
        <v>1699</v>
      </c>
      <c r="E23" s="2">
        <f t="shared" si="30"/>
        <v>1398</v>
      </c>
      <c r="F23" s="2">
        <f t="shared" si="30"/>
        <v>6914</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11828</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30</v>
      </c>
      <c r="C24" s="2">
        <v>357</v>
      </c>
      <c r="D24" s="2">
        <v>308</v>
      </c>
      <c r="E24" s="2">
        <v>137</v>
      </c>
      <c r="F24" s="2">
        <v>-84</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718</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31</v>
      </c>
      <c r="C25" s="9">
        <f t="shared" ref="C25:P25" si="33">+C23-C24</f>
        <v>1460</v>
      </c>
      <c r="D25" s="9">
        <f t="shared" si="33"/>
        <v>1391</v>
      </c>
      <c r="E25" s="9">
        <f t="shared" si="33"/>
        <v>1261</v>
      </c>
      <c r="F25" s="9">
        <f t="shared" si="33"/>
        <v>6998</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11110</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AM25*(1+$AQ$32)</f>
        <v>5498.7246872953601</v>
      </c>
      <c r="AO25" s="9">
        <f>AN25*(1+$AQ$32)</f>
        <v>5443.7374404224065</v>
      </c>
      <c r="AP25" s="9">
        <f>AO25*(1+$AQ$32)</f>
        <v>5389.3000660181824</v>
      </c>
      <c r="AQ25" s="9">
        <f>AP25*(1+$AQ$32)</f>
        <v>5335.4070653580002</v>
      </c>
      <c r="AR25" s="9">
        <f>AQ25*(1+$AQ$32)</f>
        <v>5282.0529947044197</v>
      </c>
      <c r="AS25" s="9">
        <f>AR25*(1+$AQ$32)</f>
        <v>5229.2324647573751</v>
      </c>
      <c r="AT25" s="9">
        <f>AS25*(1+$AQ$32)</f>
        <v>5176.9401401098012</v>
      </c>
      <c r="AU25" s="9">
        <f>AT25*(1+$AQ$32)</f>
        <v>5125.1707387087035</v>
      </c>
      <c r="AV25" s="9">
        <f>AU25*(1+$AQ$32)</f>
        <v>5073.9190313216168</v>
      </c>
      <c r="AW25" s="9">
        <f>AV25*(1+$AQ$32)</f>
        <v>5023.1798410084002</v>
      </c>
      <c r="AX25" s="9">
        <f>AW25*(1+$AQ$32)</f>
        <v>4972.9480425983165</v>
      </c>
      <c r="AY25" s="9">
        <f>AX25*(1+$AQ$32)</f>
        <v>4923.2185621723329</v>
      </c>
      <c r="AZ25" s="9">
        <f>AY25*(1+$AQ$32)</f>
        <v>4873.9863765506097</v>
      </c>
      <c r="BA25" s="9">
        <f>AZ25*(1+$AQ$32)</f>
        <v>4825.2465127851037</v>
      </c>
      <c r="BB25" s="9">
        <f>BA25*(1+$AQ$32)</f>
        <v>4776.9940476572528</v>
      </c>
      <c r="BC25" s="9">
        <f>BB25*(1+$AQ$32)</f>
        <v>4729.2241071806802</v>
      </c>
      <c r="BD25" s="9">
        <f>BC25*(1+$AQ$32)</f>
        <v>4681.9318661088737</v>
      </c>
      <c r="BE25" s="9">
        <f>BD25*(1+$AQ$32)</f>
        <v>4635.1125474477849</v>
      </c>
      <c r="BF25" s="9">
        <f>BE25*(1+$AQ$32)</f>
        <v>4588.7614219733068</v>
      </c>
      <c r="BG25" s="9">
        <f>BF25*(1+$AQ$32)</f>
        <v>4542.8738077535736</v>
      </c>
      <c r="BH25" s="9">
        <f>BG25*(1+$AQ$32)</f>
        <v>4497.4450696760377</v>
      </c>
      <c r="BI25" s="9">
        <f>BH25*(1+$AQ$32)</f>
        <v>4452.4706189792769</v>
      </c>
      <c r="BJ25" s="9">
        <f>BI25*(1+$AQ$32)</f>
        <v>4407.9459127894843</v>
      </c>
      <c r="BK25" s="9">
        <f>BJ25*(1+$AQ$32)</f>
        <v>4363.8664536615897</v>
      </c>
      <c r="BL25" s="9">
        <f>BK25*(1+$AQ$32)</f>
        <v>4320.2277891249742</v>
      </c>
      <c r="BM25" s="9">
        <f>BL25*(1+$AQ$32)</f>
        <v>4277.0255112337245</v>
      </c>
      <c r="BN25" s="9">
        <f>BM25*(1+$AQ$32)</f>
        <v>4234.255256121387</v>
      </c>
      <c r="BO25" s="9">
        <f>BN25*(1+$AQ$32)</f>
        <v>4191.9127035601732</v>
      </c>
      <c r="BP25" s="9">
        <f>BO25*(1+$AQ$32)</f>
        <v>4149.9935765245718</v>
      </c>
      <c r="BQ25" s="9">
        <f>BP25*(1+$AQ$32)</f>
        <v>4108.4936407593259</v>
      </c>
      <c r="BR25" s="9">
        <f>BQ25*(1+$AQ$32)</f>
        <v>4067.4087043517325</v>
      </c>
      <c r="BS25" s="9">
        <f>BR25*(1+$AQ$32)</f>
        <v>4026.7346173082151</v>
      </c>
      <c r="BT25" s="9">
        <f>BS25*(1+$AQ$32)</f>
        <v>3986.4672711351327</v>
      </c>
      <c r="BU25" s="9">
        <f>BT25*(1+$AQ$32)</f>
        <v>3946.6025984237813</v>
      </c>
      <c r="BV25" s="9">
        <f>BU25*(1+$AQ$32)</f>
        <v>3907.1365724395432</v>
      </c>
      <c r="BW25" s="9">
        <f>BV25*(1+$AQ$32)</f>
        <v>3868.0652067151477</v>
      </c>
      <c r="BX25" s="9">
        <f>BW25*(1+$AQ$32)</f>
        <v>3829.3845546479961</v>
      </c>
      <c r="BY25" s="9">
        <f>BX25*(1+$AQ$32)</f>
        <v>3791.090709101516</v>
      </c>
      <c r="BZ25" s="9">
        <f>BY25*(1+$AQ$32)</f>
        <v>3753.1798020105007</v>
      </c>
      <c r="CA25" s="9">
        <f>BZ25*(1+$AQ$32)</f>
        <v>3715.6480039903959</v>
      </c>
      <c r="CB25" s="9">
        <f>CA25*(1+$AQ$32)</f>
        <v>3678.4915239504917</v>
      </c>
      <c r="CC25" s="9">
        <f>CB25*(1+$AQ$32)</f>
        <v>3641.7066087109865</v>
      </c>
      <c r="CD25" s="9">
        <f>CC25*(1+$AQ$32)</f>
        <v>3605.2895426238765</v>
      </c>
      <c r="CE25" s="9">
        <f>CD25*(1+$AQ$32)</f>
        <v>3569.2366471976379</v>
      </c>
      <c r="CF25" s="9">
        <f>CE25*(1+$AQ$32)</f>
        <v>3533.5442807256613</v>
      </c>
      <c r="CG25" s="9">
        <f>CF25*(1+$AQ$32)</f>
        <v>3498.2088379184047</v>
      </c>
      <c r="CH25" s="9">
        <f>CG25*(1+$AQ$32)</f>
        <v>3463.2267495392207</v>
      </c>
      <c r="CI25" s="9">
        <f>CH25*(1+$AQ$32)</f>
        <v>3428.5944820438285</v>
      </c>
      <c r="CJ25" s="9">
        <f>CI25*(1+$AQ$32)</f>
        <v>3394.3085372233904</v>
      </c>
      <c r="CK25" s="9">
        <f>CJ25*(1+$AQ$32)</f>
        <v>3360.3654518511566</v>
      </c>
      <c r="CL25" s="9">
        <f>CK25*(1+$AQ$32)</f>
        <v>3326.7617973326451</v>
      </c>
      <c r="CM25" s="9">
        <f>CL25*(1+$AQ$32)</f>
        <v>3293.4941793593184</v>
      </c>
      <c r="CN25" s="9">
        <f>CM25*(1+$AQ$32)</f>
        <v>3260.5592375657252</v>
      </c>
      <c r="CO25" s="9">
        <f>CN25*(1+$AQ$32)</f>
        <v>3227.9536451900681</v>
      </c>
      <c r="CP25" s="9">
        <f>CO25*(1+$AQ$32)</f>
        <v>3195.6741087381674</v>
      </c>
      <c r="CQ25" s="9">
        <f>CP25*(1+$AQ$32)</f>
        <v>3163.7173676507859</v>
      </c>
      <c r="CR25" s="9">
        <f>CQ25*(1+$AQ$32)</f>
        <v>3132.0801939742782</v>
      </c>
      <c r="CS25" s="9">
        <f>CR25*(1+$AQ$32)</f>
        <v>3100.7593920345353</v>
      </c>
      <c r="CT25" s="9">
        <f>CS25*(1+$AQ$32)</f>
        <v>3069.75179811419</v>
      </c>
      <c r="CU25" s="9">
        <f>CT25*(1+$AQ$32)</f>
        <v>3039.054280133048</v>
      </c>
      <c r="CV25" s="9">
        <f>CU25*(1+$AQ$32)</f>
        <v>3008.6637373317176</v>
      </c>
      <c r="CW25" s="9">
        <f>CV25*(1+$AQ$32)</f>
        <v>2978.5770999584006</v>
      </c>
      <c r="CX25" s="9">
        <f>CW25*(1+$AQ$32)</f>
        <v>2948.7913289588164</v>
      </c>
      <c r="CY25" s="9">
        <f>CX25*(1+$AQ$32)</f>
        <v>2919.3034156692283</v>
      </c>
      <c r="CZ25" s="9">
        <f>CY25*(1+$AQ$32)</f>
        <v>2890.1103815125362</v>
      </c>
      <c r="DA25" s="9">
        <f>CZ25*(1+$AQ$32)</f>
        <v>2861.2092776974109</v>
      </c>
      <c r="DB25" s="9">
        <f>DA25*(1+$AQ$32)</f>
        <v>2832.5971849204366</v>
      </c>
      <c r="DC25" s="9">
        <f>DB25*(1+$AQ$32)</f>
        <v>2804.2712130712321</v>
      </c>
      <c r="DD25" s="9">
        <f>DC25*(1+$AQ$32)</f>
        <v>2776.2285009405196</v>
      </c>
      <c r="DE25" s="9">
        <f>DD25*(1+$AQ$32)</f>
        <v>2748.4662159311142</v>
      </c>
      <c r="DF25" s="9">
        <f>DE25*(1+$AQ$32)</f>
        <v>2720.9815537718032</v>
      </c>
      <c r="DG25" s="9">
        <f>DF25*(1+$AQ$32)</f>
        <v>2693.7717382340852</v>
      </c>
      <c r="DH25" s="9">
        <f>DG25*(1+$AQ$32)</f>
        <v>2666.8340208517443</v>
      </c>
      <c r="DI25" s="9">
        <f>DH25*(1+$AQ$32)</f>
        <v>2640.165680643227</v>
      </c>
      <c r="DJ25" s="9">
        <f>DI25*(1+$AQ$32)</f>
        <v>2613.7640238367949</v>
      </c>
      <c r="DK25" s="9">
        <f>DJ25*(1+$AQ$32)</f>
        <v>2587.6263835984269</v>
      </c>
      <c r="DL25" s="9">
        <f>DK25*(1+$AQ$32)</f>
        <v>2561.7501197624424</v>
      </c>
      <c r="DM25" s="9">
        <f>DL25*(1+$AQ$32)</f>
        <v>2536.1326185648181</v>
      </c>
      <c r="DN25" s="9">
        <f>DM25*(1+$AQ$32)</f>
        <v>2510.7712923791701</v>
      </c>
      <c r="DO25" s="9">
        <f>DN25*(1+$AQ$32)</f>
        <v>2485.6635794553786</v>
      </c>
      <c r="DP25" s="9">
        <f>DO25*(1+$AQ$32)</f>
        <v>2460.8069436608248</v>
      </c>
      <c r="DQ25" s="9">
        <f>DP25*(1+$AQ$32)</f>
        <v>2436.1988742242165</v>
      </c>
      <c r="DR25" s="9">
        <f>DQ25*(1+$AQ$32)</f>
        <v>2411.8368854819742</v>
      </c>
      <c r="DS25" s="9">
        <f>DR25*(1+$AQ$32)</f>
        <v>2387.7185166271543</v>
      </c>
      <c r="DT25" s="9">
        <f>DS25*(1+$AQ$32)</f>
        <v>2363.8413314608829</v>
      </c>
      <c r="DU25" s="9">
        <f>DT25*(1+$AQ$32)</f>
        <v>2340.202918146274</v>
      </c>
      <c r="DV25" s="9">
        <f>DU25*(1+$AQ$32)</f>
        <v>2316.8008889648113</v>
      </c>
      <c r="DW25" s="9">
        <f>DV25*(1+$AQ$32)</f>
        <v>2293.632880075163</v>
      </c>
      <c r="DX25" s="9">
        <f>DW25*(1+$AQ$32)</f>
        <v>2270.6965512744114</v>
      </c>
      <c r="DY25" s="9">
        <f>DX25*(1+$AQ$32)</f>
        <v>2247.9895857616671</v>
      </c>
      <c r="DZ25" s="9">
        <f>DY25*(1+$AQ$32)</f>
        <v>2225.5096899040504</v>
      </c>
      <c r="EA25" s="9">
        <f>DZ25*(1+$AQ$32)</f>
        <v>2203.2545930050101</v>
      </c>
      <c r="EB25" s="9">
        <f>EA25*(1+$AQ$32)</f>
        <v>2181.2220470749598</v>
      </c>
      <c r="EC25" s="9">
        <f>EB25*(1+$AQ$32)</f>
        <v>2159.4098266042101</v>
      </c>
      <c r="ED25" s="9">
        <f>EC25*(1+$AQ$32)</f>
        <v>2137.8157283381679</v>
      </c>
      <c r="EE25" s="9">
        <f>ED25*(1+$AQ$32)</f>
        <v>2116.4375710547861</v>
      </c>
      <c r="EF25" s="9">
        <f>EE25*(1+$AQ$32)</f>
        <v>2095.273195344238</v>
      </c>
      <c r="EG25" s="9">
        <f>EF25*(1+$AQ$32)</f>
        <v>2074.3204633907958</v>
      </c>
      <c r="EH25" s="9">
        <f>EG25*(1+$AQ$32)</f>
        <v>2053.5772587568877</v>
      </c>
      <c r="EI25" s="9">
        <f>EH25*(1+$AQ$32)</f>
        <v>2033.0414861693187</v>
      </c>
      <c r="EJ25" s="9">
        <f>EI25*(1+$AQ$32)</f>
        <v>2012.7110713076254</v>
      </c>
      <c r="EK25" s="9">
        <f>EJ25*(1+$AQ$32)</f>
        <v>1992.5839605945491</v>
      </c>
      <c r="EL25" s="9">
        <f>EK25*(1+$AQ$32)</f>
        <v>1972.6581209886035</v>
      </c>
      <c r="EM25" s="9">
        <f>EL25*(1+$AQ$32)</f>
        <v>1952.9315397787175</v>
      </c>
      <c r="EN25" s="9">
        <f>EM25*(1+$AQ$32)</f>
        <v>1933.4022243809302</v>
      </c>
      <c r="EO25" s="9">
        <f>EN25*(1+$AQ$32)</f>
        <v>1914.0682021371208</v>
      </c>
      <c r="EP25" s="9">
        <f>EO25*(1+$AQ$32)</f>
        <v>1894.9275201157495</v>
      </c>
      <c r="EQ25" s="9">
        <f>EP25*(1+$AQ$32)</f>
        <v>1875.9782449145921</v>
      </c>
      <c r="ER25" s="9">
        <f>EQ25*(1+$AQ$32)</f>
        <v>1857.2184624654462</v>
      </c>
      <c r="ES25" s="9">
        <f>ER25*(1+$AQ$32)</f>
        <v>1838.6462778407918</v>
      </c>
      <c r="ET25" s="9">
        <f>ES25*(1+$AQ$32)</f>
        <v>1820.2598150623837</v>
      </c>
      <c r="EU25" s="9">
        <f>ET25*(1+$AQ$32)</f>
        <v>1802.05721691176</v>
      </c>
      <c r="EV25" s="9">
        <f>EU25*(1+$AQ$32)</f>
        <v>1784.0366447426422</v>
      </c>
      <c r="EW25" s="9">
        <f>EV25*(1+$AQ$32)</f>
        <v>1766.1962782952157</v>
      </c>
      <c r="EX25" s="9">
        <f>EW25*(1+$AQ$32)</f>
        <v>1748.5343155122637</v>
      </c>
      <c r="EY25" s="9">
        <f>EX25*(1+$AQ$32)</f>
        <v>1731.0489723571411</v>
      </c>
      <c r="EZ25" s="9">
        <f>EY25*(1+$AQ$32)</f>
        <v>1713.7384826335697</v>
      </c>
      <c r="FA25" s="9">
        <f>EZ25*(1+$AQ$32)</f>
        <v>1696.6010978072341</v>
      </c>
      <c r="FB25" s="9">
        <f>FA25*(1+$AQ$32)</f>
        <v>1679.6350868291618</v>
      </c>
      <c r="FC25" s="9">
        <f>FB25*(1+$AQ$32)</f>
        <v>1662.8387359608701</v>
      </c>
      <c r="FD25" s="9">
        <f>FC25*(1+$AQ$32)</f>
        <v>1646.2103486012613</v>
      </c>
      <c r="FE25" s="9">
        <f>FD25*(1+$AQ$32)</f>
        <v>1629.7482451152487</v>
      </c>
      <c r="FF25" s="9">
        <f>FE25*(1+$AQ$32)</f>
        <v>1613.4507626640961</v>
      </c>
      <c r="FG25" s="9">
        <f>FF25*(1+$AQ$32)</f>
        <v>1597.3162550374552</v>
      </c>
      <c r="FH25" s="9">
        <f>FG25*(1+$AQ$32)</f>
        <v>1581.3430924870806</v>
      </c>
      <c r="FI25" s="9">
        <f>FH25*(1+$AQ$32)</f>
        <v>1565.5296615622099</v>
      </c>
      <c r="FJ25" s="9">
        <f>FI25*(1+$AQ$32)</f>
        <v>1549.8743649465878</v>
      </c>
      <c r="FK25" s="9">
        <f>FJ25*(1+$AQ$32)</f>
        <v>1534.3756212971218</v>
      </c>
      <c r="FL25" s="9">
        <f>FK25*(1+$AQ$32)</f>
        <v>1519.0318650841507</v>
      </c>
      <c r="FM25" s="9">
        <f>FL25*(1+$AQ$32)</f>
        <v>1503.8415464333091</v>
      </c>
      <c r="FN25" s="9">
        <f>FM25*(1+$AQ$32)</f>
        <v>1488.8031309689759</v>
      </c>
      <c r="FO25" s="9">
        <f>FN25*(1+$AQ$32)</f>
        <v>1473.9150996592862</v>
      </c>
      <c r="FP25" s="9">
        <f>FO25*(1+$AQ$32)</f>
        <v>1459.1759486626934</v>
      </c>
      <c r="FQ25" s="9">
        <f>FP25*(1+$AQ$32)</f>
        <v>1444.5841891760665</v>
      </c>
      <c r="FR25" s="9">
        <f>FQ25*(1+$AQ$32)</f>
        <v>1430.1383472843058</v>
      </c>
      <c r="FS25" s="9">
        <f>FR25*(1+$AQ$32)</f>
        <v>1415.8369638114627</v>
      </c>
      <c r="FT25" s="9">
        <f>FS25*(1+$AQ$32)</f>
        <v>1401.6785941733481</v>
      </c>
      <c r="FU25" s="9">
        <f>FT25*(1+$AQ$32)</f>
        <v>1387.6618082316145</v>
      </c>
      <c r="FV25" s="9">
        <f>FU25*(1+$AQ$32)</f>
        <v>1373.7851901492984</v>
      </c>
      <c r="FW25" s="9">
        <f>FV25*(1+$AQ$32)</f>
        <v>1360.0473382478053</v>
      </c>
      <c r="FX25" s="9">
        <f>FW25*(1+$AQ$32)</f>
        <v>1346.4468648653274</v>
      </c>
      <c r="FY25" s="9">
        <f>FX25*(1+$AQ$32)</f>
        <v>1332.982396216674</v>
      </c>
      <c r="FZ25" s="9">
        <f>FY25*(1+$AQ$32)</f>
        <v>1319.6525722545073</v>
      </c>
      <c r="GA25" s="9">
        <f>FZ25*(1+$AQ$32)</f>
        <v>1306.4560465319621</v>
      </c>
      <c r="GB25" s="9">
        <f>GA25*(1+$AQ$32)</f>
        <v>1293.3914860666425</v>
      </c>
      <c r="GC25" s="9">
        <f>GB25*(1+$AQ$32)</f>
        <v>1280.4575712059761</v>
      </c>
      <c r="GD25" s="9">
        <f>GC25*(1+$AQ$32)</f>
        <v>1267.6529954939165</v>
      </c>
      <c r="GE25" s="9">
        <f>GD25*(1+$AQ$32)</f>
        <v>1254.9764655389772</v>
      </c>
      <c r="GF25" s="9">
        <f>GE25*(1+$AQ$32)</f>
        <v>1242.4267008835875</v>
      </c>
      <c r="GG25" s="9">
        <f>GF25*(1+$AQ$32)</f>
        <v>1230.0024338747517</v>
      </c>
      <c r="GH25" s="9">
        <f>GG25*(1+$AQ$32)</f>
        <v>1217.7024095360041</v>
      </c>
      <c r="GI25" s="9">
        <f>GH25*(1+$AQ$32)</f>
        <v>1205.525385440644</v>
      </c>
      <c r="GJ25" s="9">
        <f>GI25*(1+$AQ$32)</f>
        <v>1193.4701315862376</v>
      </c>
      <c r="GK25" s="9">
        <f>GJ25*(1+$AQ$32)</f>
        <v>1181.5354302703752</v>
      </c>
      <c r="GL25" s="9">
        <f>GK25*(1+$AQ$32)</f>
        <v>1169.7200759676714</v>
      </c>
      <c r="GM25" s="9">
        <f>GL25*(1+$AQ$32)</f>
        <v>1158.0228752079947</v>
      </c>
      <c r="GN25" s="9">
        <f>GM25*(1+$AQ$32)</f>
        <v>1146.4426464559149</v>
      </c>
      <c r="GO25" s="9">
        <f>GN25*(1+$AQ$32)</f>
        <v>1134.9782199913557</v>
      </c>
      <c r="GP25" s="9">
        <f>GO25*(1+$AQ$32)</f>
        <v>1123.6284377914421</v>
      </c>
      <c r="GQ25" s="9">
        <f>GP25*(1+$AQ$32)</f>
        <v>1112.3921534135277</v>
      </c>
      <c r="GR25" s="9">
        <f>GQ25*(1+$AQ$32)</f>
        <v>1101.2682318793925</v>
      </c>
      <c r="GS25" s="9">
        <f>GR25*(1+$AQ$32)</f>
        <v>1090.2555495605986</v>
      </c>
      <c r="GT25" s="9">
        <f>GS25*(1+$AQ$32)</f>
        <v>1079.3529940649926</v>
      </c>
      <c r="GU25" s="9">
        <f>GT25*(1+$AQ$32)</f>
        <v>1068.5594641243426</v>
      </c>
      <c r="GV25" s="9">
        <f>GU25*(1+$AQ$32)</f>
        <v>1057.8738694830993</v>
      </c>
      <c r="GW25" s="9">
        <f>GV25*(1+$AQ$32)</f>
        <v>1047.2951307882684</v>
      </c>
      <c r="GX25" s="9">
        <f>GW25*(1+$AQ$32)</f>
        <v>1036.8221794803856</v>
      </c>
      <c r="GY25" s="9">
        <f>GX25*(1+$AQ$32)</f>
        <v>1026.4539576855816</v>
      </c>
      <c r="GZ25" s="9">
        <f>GY25*(1+$AQ$32)</f>
        <v>1016.1894181087258</v>
      </c>
      <c r="HA25" s="9">
        <f>GZ25*(1+$AQ$32)</f>
        <v>1006.0275239276385</v>
      </c>
      <c r="HB25" s="9">
        <f>HA25*(1+$AQ$32)</f>
        <v>995.96724868836213</v>
      </c>
      <c r="HC25" s="9">
        <f>HB25*(1+$AQ$32)</f>
        <v>986.00757620147851</v>
      </c>
      <c r="HD25" s="9">
        <f>HC25*(1+$AQ$32)</f>
        <v>976.14750043946367</v>
      </c>
      <c r="HE25" s="9">
        <f>HD25*(1+$AQ$32)</f>
        <v>966.38602543506897</v>
      </c>
      <c r="HF25" s="9">
        <f>HE25*(1+$AQ$32)</f>
        <v>956.72216518071832</v>
      </c>
      <c r="HG25" s="9">
        <f>HF25*(1+$AQ$32)</f>
        <v>947.15494352891108</v>
      </c>
      <c r="HH25" s="9">
        <f>HG25*(1+$AQ$32)</f>
        <v>937.68339409362193</v>
      </c>
      <c r="HI25" s="9">
        <f>HH25*(1+$AQ$32)</f>
        <v>928.30656015268573</v>
      </c>
      <c r="HJ25" s="9">
        <f>HI25*(1+$AQ$32)</f>
        <v>919.02349455115882</v>
      </c>
      <c r="HK25" s="9">
        <f>HJ25*(1+$AQ$32)</f>
        <v>909.83325960564719</v>
      </c>
      <c r="HL25" s="9">
        <f>HK25*(1+$AQ$32)</f>
        <v>900.73492700959071</v>
      </c>
      <c r="HM25" s="9">
        <f>HL25*(1+$AQ$32)</f>
        <v>891.72757773949479</v>
      </c>
      <c r="HN25" s="9">
        <f>HM25*(1+$AQ$32)</f>
        <v>882.81030196209986</v>
      </c>
      <c r="HO25" s="9">
        <f>HN25*(1+$AQ$32)</f>
        <v>873.98219894247882</v>
      </c>
      <c r="HP25" s="9">
        <f>HO25*(1+$AQ$32)</f>
        <v>865.24237695305408</v>
      </c>
      <c r="HQ25" s="9">
        <f>HP25*(1+$AQ$32)</f>
        <v>856.58995318352356</v>
      </c>
      <c r="HR25" s="9">
        <f>HQ25*(1+$AQ$32)</f>
        <v>848.02405365168829</v>
      </c>
      <c r="HS25" s="9">
        <f>HR25*(1+$AQ$32)</f>
        <v>839.54381311517136</v>
      </c>
      <c r="HT25" s="9">
        <f>HS25*(1+$AQ$32)</f>
        <v>831.1483749840196</v>
      </c>
      <c r="HU25" s="9">
        <f>HT25*(1+$AQ$32)</f>
        <v>822.83689123417935</v>
      </c>
      <c r="HV25" s="9">
        <f>HU25*(1+$AQ$32)</f>
        <v>814.60852232183754</v>
      </c>
      <c r="HW25" s="9">
        <f>HV25*(1+$AQ$32)</f>
        <v>806.46243709861915</v>
      </c>
      <c r="HX25" s="9">
        <f>HW25*(1+$AQ$32)</f>
        <v>798.39781272763298</v>
      </c>
      <c r="HY25" s="9">
        <f>HX25*(1+$AQ$32)</f>
        <v>790.41383460035661</v>
      </c>
      <c r="HZ25" s="9">
        <f>HY25*(1+$AQ$32)</f>
        <v>782.509696254353</v>
      </c>
      <c r="IA25" s="9">
        <f>HZ25*(1+$AQ$32)</f>
        <v>774.68459929180949</v>
      </c>
      <c r="IB25" s="9">
        <f>IA25*(1+$AQ$32)</f>
        <v>766.93775329889138</v>
      </c>
      <c r="IC25" s="9">
        <f>IB25*(1+$AQ$32)</f>
        <v>759.26837576590242</v>
      </c>
      <c r="ID25" s="9">
        <f>IC25*(1+$AQ$32)</f>
        <v>751.67569200824335</v>
      </c>
      <c r="IE25" s="9">
        <f>ID25*(1+$AQ$32)</f>
        <v>744.15893508816089</v>
      </c>
      <c r="IF25" s="9">
        <f>IE25*(1+$AQ$32)</f>
        <v>736.71734573727929</v>
      </c>
      <c r="IG25" s="9">
        <f>IF25*(1+$AQ$32)</f>
        <v>729.35017227990647</v>
      </c>
      <c r="IH25" s="9">
        <f>IG25*(1+$AQ$32)</f>
        <v>722.0566705571074</v>
      </c>
      <c r="II25" s="9">
        <f>IH25*(1+$AQ$32)</f>
        <v>714.83610385153634</v>
      </c>
      <c r="IJ25" s="9">
        <f>II25*(1+$AQ$32)</f>
        <v>707.68774281302092</v>
      </c>
      <c r="IK25" s="9">
        <f>IJ25*(1+$AQ$32)</f>
        <v>700.61086538489076</v>
      </c>
      <c r="IL25" s="9">
        <f>IK25*(1+$AQ$32)</f>
        <v>693.60475673104179</v>
      </c>
      <c r="IM25" s="9">
        <f>IL25*(1+$AQ$32)</f>
        <v>686.66870916373136</v>
      </c>
      <c r="IN25" s="9">
        <f>IM25*(1+$AQ$32)</f>
        <v>679.80202207209402</v>
      </c>
      <c r="IO25" s="9">
        <f>IN25*(1+$AQ$32)</f>
        <v>673.00400185137312</v>
      </c>
      <c r="IP25" s="9">
        <f>IO25*(1+$AQ$32)</f>
        <v>666.27396183285941</v>
      </c>
      <c r="IQ25" s="9">
        <f>IP25*(1+$AQ$32)</f>
        <v>659.61122221453081</v>
      </c>
      <c r="IR25" s="9">
        <f>IQ25*(1+$AQ$32)</f>
        <v>653.01510999238553</v>
      </c>
      <c r="IS25" s="9">
        <f>IR25*(1+$AQ$32)</f>
        <v>646.48495889246169</v>
      </c>
      <c r="IT25" s="9">
        <f>IS25*(1+$AQ$32)</f>
        <v>640.02010930353708</v>
      </c>
      <c r="IU25" s="9">
        <f>IT25*(1+$AQ$32)</f>
        <v>633.61990821050176</v>
      </c>
      <c r="IV25" s="9">
        <f>IU25*(1+$AQ$32)</f>
        <v>627.28370912839671</v>
      </c>
      <c r="IW25" s="9">
        <f>IV25*(1+$AQ$32)</f>
        <v>621.01087203711279</v>
      </c>
      <c r="IX25" s="9">
        <f>IW25*(1+$AQ$32)</f>
        <v>614.80076331674161</v>
      </c>
      <c r="IY25" s="9">
        <f>IX25*(1+$AQ$32)</f>
        <v>608.65275568357424</v>
      </c>
      <c r="IZ25" s="9">
        <f>IY25*(1+$AQ$32)</f>
        <v>602.56622812673845</v>
      </c>
      <c r="JA25" s="9">
        <f>IZ25*(1+$AQ$32)</f>
        <v>596.54056584547106</v>
      </c>
      <c r="JB25" s="9">
        <f>JA25*(1+$AQ$32)</f>
        <v>590.57516018701631</v>
      </c>
      <c r="JC25" s="9">
        <f>JB25*(1+$AQ$32)</f>
        <v>584.66940858514613</v>
      </c>
      <c r="JD25" s="9">
        <f>JC25*(1+$AQ$32)</f>
        <v>578.82271449929465</v>
      </c>
      <c r="JE25" s="9">
        <f>JD25*(1+$AQ$32)</f>
        <v>573.03448735430175</v>
      </c>
      <c r="JF25" s="9">
        <f>JE25*(1+$AQ$32)</f>
        <v>567.30414248075874</v>
      </c>
      <c r="JG25" s="9">
        <f>JF25*(1+$AQ$32)</f>
        <v>561.63110105595115</v>
      </c>
      <c r="JH25" s="9">
        <f>JG25*(1+$AQ$32)</f>
        <v>556.01479004539158</v>
      </c>
      <c r="JI25" s="9">
        <f>JH25*(1+$AQ$32)</f>
        <v>550.45464214493768</v>
      </c>
      <c r="JJ25" s="9">
        <f>JI25*(1+$AQ$32)</f>
        <v>544.95009572348829</v>
      </c>
      <c r="JK25" s="9">
        <f>JJ25*(1+$AQ$32)</f>
        <v>539.50059476625336</v>
      </c>
      <c r="JL25" s="9">
        <f>JK25*(1+$AQ$32)</f>
        <v>534.10558881859083</v>
      </c>
      <c r="JM25" s="9">
        <f>JL25*(1+$AQ$32)</f>
        <v>528.76453293040493</v>
      </c>
      <c r="JN25" s="9">
        <f>JM25*(1+$AQ$32)</f>
        <v>523.47688760110088</v>
      </c>
      <c r="JO25" s="9">
        <f>JN25*(1+$AQ$32)</f>
        <v>518.24211872508988</v>
      </c>
      <c r="JP25" s="9">
        <f>JO25*(1+$AQ$32)</f>
        <v>513.05969753783893</v>
      </c>
      <c r="JQ25" s="9">
        <f>JP25*(1+$AQ$32)</f>
        <v>507.92910056246052</v>
      </c>
      <c r="JR25" s="9">
        <f>JQ25*(1+$AQ$32)</f>
        <v>502.84980955683591</v>
      </c>
      <c r="JS25" s="9">
        <f>JR25*(1+$AQ$32)</f>
        <v>497.82131146126756</v>
      </c>
      <c r="JT25" s="9">
        <f>JS25*(1+$AQ$32)</f>
        <v>492.84309834665487</v>
      </c>
      <c r="JU25" s="9">
        <f>JT25*(1+$AQ$32)</f>
        <v>487.9146673631883</v>
      </c>
      <c r="JV25" s="9">
        <f>JU25*(1+$AQ$32)</f>
        <v>483.03552068955639</v>
      </c>
      <c r="JW25" s="9">
        <f>JV25*(1+$AQ$32)</f>
        <v>478.20516548266085</v>
      </c>
      <c r="JX25" s="9">
        <f>JW25*(1+$AQ$32)</f>
        <v>473.42311382783424</v>
      </c>
      <c r="JY25" s="9">
        <f>JX25*(1+$AQ$32)</f>
        <v>468.6888826895559</v>
      </c>
      <c r="JZ25" s="9">
        <f>JY25*(1+$AQ$32)</f>
        <v>464.00199386266036</v>
      </c>
      <c r="KA25" s="9">
        <f>JZ25*(1+$AQ$32)</f>
        <v>459.36197392403375</v>
      </c>
      <c r="KB25" s="9">
        <f>KA25*(1+$AQ$32)</f>
        <v>454.7683541847934</v>
      </c>
      <c r="KC25" s="9">
        <f>KB25*(1+$AQ$32)</f>
        <v>450.22067064294544</v>
      </c>
      <c r="KD25" s="9">
        <f>KC25*(1+$AQ$32)</f>
        <v>445.718463936516</v>
      </c>
      <c r="KE25" s="9">
        <f>KD25*(1+$AQ$32)</f>
        <v>441.26127929715085</v>
      </c>
      <c r="KF25" s="9">
        <f>KE25*(1+$AQ$32)</f>
        <v>436.84866650417933</v>
      </c>
      <c r="KG25" s="9">
        <f>KF25*(1+$AQ$32)</f>
        <v>432.48017983913752</v>
      </c>
      <c r="KH25" s="9">
        <f>KG25*(1+$AQ$32)</f>
        <v>428.15537804074614</v>
      </c>
      <c r="KI25" s="9">
        <f>KH25*(1+$AQ$32)</f>
        <v>423.87382426033867</v>
      </c>
      <c r="KJ25" s="9">
        <f>KI25*(1+$AQ$32)</f>
        <v>419.63508601773526</v>
      </c>
      <c r="KK25" s="9">
        <f>KJ25*(1+$AQ$32)</f>
        <v>415.43873515755791</v>
      </c>
      <c r="KL25" s="9">
        <f>KK25*(1+$AQ$32)</f>
        <v>411.28434780598235</v>
      </c>
      <c r="KM25" s="9">
        <f>KL25*(1+$AQ$32)</f>
        <v>407.17150432792255</v>
      </c>
      <c r="KN25" s="9">
        <f>KM25*(1+$AQ$32)</f>
        <v>403.09978928464329</v>
      </c>
      <c r="KO25" s="9">
        <f>KN25*(1+$AQ$32)</f>
        <v>399.06879139179688</v>
      </c>
      <c r="KP25" s="9">
        <f>KO25*(1+$AQ$32)</f>
        <v>395.07810347787893</v>
      </c>
      <c r="KQ25" s="9">
        <f>KP25*(1+$AQ$32)</f>
        <v>391.12732244310013</v>
      </c>
      <c r="KR25" s="9">
        <f>KQ25*(1+$AQ$32)</f>
        <v>387.21604921866913</v>
      </c>
      <c r="KS25" s="9">
        <f>KR25*(1+$AQ$32)</f>
        <v>383.34388872648242</v>
      </c>
      <c r="KT25" s="9">
        <f>KS25*(1+$AQ$32)</f>
        <v>379.51044983921759</v>
      </c>
      <c r="KU25" s="9">
        <f>KT25*(1+$AQ$32)</f>
        <v>375.71534534082542</v>
      </c>
      <c r="KV25" s="9">
        <f>KU25*(1+$AQ$32)</f>
        <v>371.95819188741717</v>
      </c>
      <c r="KW25" s="9">
        <f>KV25*(1+$AQ$32)</f>
        <v>368.23860996854302</v>
      </c>
      <c r="KX25" s="9">
        <f>KW25*(1+$AQ$32)</f>
        <v>364.55622386885756</v>
      </c>
      <c r="KY25" s="9">
        <f>KX25*(1+$AQ$32)</f>
        <v>360.91066163016899</v>
      </c>
      <c r="KZ25" s="9">
        <f>KY25*(1+$AQ$32)</f>
        <v>357.3015550138673</v>
      </c>
      <c r="LA25" s="9">
        <f>KZ25*(1+$AQ$32)</f>
        <v>353.72853946372862</v>
      </c>
      <c r="LB25" s="9">
        <f>LA25*(1+$AQ$32)</f>
        <v>350.19125406909131</v>
      </c>
      <c r="LC25" s="9">
        <f>LB25*(1+$AQ$32)</f>
        <v>346.6893415284004</v>
      </c>
      <c r="LD25" s="9">
        <f>LC25*(1+$AQ$32)</f>
        <v>343.2224481131164</v>
      </c>
      <c r="LE25" s="9">
        <f>LD25*(1+$AQ$32)</f>
        <v>339.79022363198521</v>
      </c>
      <c r="LF25" s="9">
        <f>LE25*(1+$AQ$32)</f>
        <v>336.39232139566536</v>
      </c>
      <c r="LG25" s="9">
        <f>LF25*(1+$AQ$32)</f>
        <v>333.02839818170872</v>
      </c>
      <c r="LH25" s="9">
        <f>LG25*(1+$AQ$32)</f>
        <v>329.69811419989162</v>
      </c>
      <c r="LI25" s="9">
        <f>LH25*(1+$AQ$32)</f>
        <v>326.40113305789271</v>
      </c>
      <c r="LJ25" s="9">
        <f>LI25*(1+$AQ$32)</f>
        <v>323.1371217273138</v>
      </c>
      <c r="LK25" s="9">
        <f>LJ25*(1+$AQ$32)</f>
        <v>319.90575051004066</v>
      </c>
      <c r="LL25" s="9">
        <f>LK25*(1+$AQ$32)</f>
        <v>316.70669300494023</v>
      </c>
      <c r="LM25" s="9">
        <f>LL25*(1+$AQ$32)</f>
        <v>313.5396260748908</v>
      </c>
      <c r="LN25" s="9">
        <f>LM25*(1+$AQ$32)</f>
        <v>310.4042298141419</v>
      </c>
      <c r="LO25" s="9">
        <f>LN25*(1+$AQ$32)</f>
        <v>307.30018751600051</v>
      </c>
      <c r="LP25" s="9">
        <f>LO25*(1+$AQ$32)</f>
        <v>304.2271856408405</v>
      </c>
      <c r="LQ25" s="9">
        <f>LP25*(1+$AQ$32)</f>
        <v>301.18491378443207</v>
      </c>
      <c r="LR25" s="9">
        <f>LQ25*(1+$AQ$32)</f>
        <v>298.17306464658776</v>
      </c>
      <c r="LS25" s="9">
        <f>LR25*(1+$AQ$32)</f>
        <v>295.19133400012186</v>
      </c>
      <c r="LT25" s="9">
        <f>LS25*(1+$AQ$32)</f>
        <v>292.23942066012063</v>
      </c>
      <c r="LU25" s="9">
        <f>LT25*(1+$AQ$32)</f>
        <v>289.31702645351942</v>
      </c>
      <c r="LV25" s="9">
        <f>LU25*(1+$AQ$32)</f>
        <v>286.42385618898425</v>
      </c>
      <c r="LW25" s="9">
        <f>LV25*(1+$AQ$32)</f>
        <v>283.55961762709438</v>
      </c>
      <c r="LX25" s="9">
        <f>LW25*(1+$AQ$32)</f>
        <v>280.72402145082344</v>
      </c>
      <c r="LY25" s="9">
        <f>LX25*(1+$AQ$32)</f>
        <v>277.91678123631522</v>
      </c>
      <c r="LZ25" s="9">
        <f>LY25*(1+$AQ$32)</f>
        <v>275.13761342395208</v>
      </c>
      <c r="MA25" s="9">
        <f>LZ25*(1+$AQ$32)</f>
        <v>272.38623728971254</v>
      </c>
      <c r="MB25" s="9">
        <f>MA25*(1+$AQ$32)</f>
        <v>269.66237491681539</v>
      </c>
      <c r="MC25" s="9">
        <f>MB25*(1+$AQ$32)</f>
        <v>266.96575116764723</v>
      </c>
      <c r="MD25" s="9">
        <f>MC25*(1+$AQ$32)</f>
        <v>264.29609365597076</v>
      </c>
      <c r="ME25" s="9">
        <f>MD25*(1+$AQ$32)</f>
        <v>261.65313271941108</v>
      </c>
      <c r="MF25" s="9">
        <f>ME25*(1+$AQ$32)</f>
        <v>259.03660139221694</v>
      </c>
      <c r="MG25" s="9">
        <f>MF25*(1+$AQ$32)</f>
        <v>256.44623537829477</v>
      </c>
      <c r="MH25" s="9">
        <f>MG25*(1+$AQ$32)</f>
        <v>253.88177302451183</v>
      </c>
      <c r="MI25" s="9">
        <f>MH25*(1+$AQ$32)</f>
        <v>251.34295529426672</v>
      </c>
      <c r="MJ25" s="9">
        <f>MI25*(1+$AQ$32)</f>
        <v>248.82952574132403</v>
      </c>
      <c r="MK25" s="9">
        <f>MJ25*(1+$AQ$32)</f>
        <v>246.34123048391078</v>
      </c>
      <c r="ML25" s="9">
        <f>MK25*(1+$AQ$32)</f>
        <v>243.87781817907168</v>
      </c>
      <c r="MM25" s="9">
        <f>ML25*(1+$AQ$32)</f>
        <v>241.43903999728096</v>
      </c>
      <c r="MN25" s="9">
        <f>MM25*(1+$AQ$32)</f>
        <v>239.02464959730816</v>
      </c>
      <c r="MO25" s="9">
        <f>MN25*(1+$AQ$32)</f>
        <v>236.63440310133507</v>
      </c>
      <c r="MP25" s="9">
        <f>MO25*(1+$AQ$32)</f>
        <v>234.26805907032173</v>
      </c>
      <c r="MQ25" s="9">
        <f>MP25*(1+$AQ$32)</f>
        <v>231.9253784796185</v>
      </c>
      <c r="MR25" s="9">
        <f>MQ25*(1+$AQ$32)</f>
        <v>229.60612469482231</v>
      </c>
      <c r="MS25" s="9">
        <f>MR25*(1+$AQ$32)</f>
        <v>227.31006344787409</v>
      </c>
      <c r="MT25" s="9">
        <f>MS25*(1+$AQ$32)</f>
        <v>225.03696281339535</v>
      </c>
      <c r="MU25" s="9">
        <f>MT25*(1+$AQ$32)</f>
        <v>222.78659318526138</v>
      </c>
      <c r="MV25" s="9">
        <f>MU25*(1+$AQ$32)</f>
        <v>220.55872725340876</v>
      </c>
      <c r="MW25" s="9">
        <f>MV25*(1+$AQ$32)</f>
        <v>218.35313998087466</v>
      </c>
      <c r="MX25" s="9">
        <f>MW25*(1+$AQ$32)</f>
        <v>216.16960858106592</v>
      </c>
      <c r="MY25" s="9">
        <f>MX25*(1+$AQ$32)</f>
        <v>214.00791249525525</v>
      </c>
      <c r="MZ25" s="9">
        <f>MY25*(1+$AQ$32)</f>
        <v>211.86783337030269</v>
      </c>
      <c r="NA25" s="9">
        <f>MZ25*(1+$AQ$32)</f>
        <v>209.74915503659966</v>
      </c>
      <c r="NB25" s="9">
        <f>NA25*(1+$AQ$32)</f>
        <v>207.65166348623367</v>
      </c>
      <c r="NC25" s="9">
        <f>NB25*(1+$AQ$32)</f>
        <v>205.57514685137133</v>
      </c>
      <c r="ND25" s="9">
        <f>NC25*(1+$AQ$32)</f>
        <v>203.51939538285762</v>
      </c>
      <c r="NE25" s="9">
        <f>ND25*(1+$AQ$32)</f>
        <v>201.48420142902904</v>
      </c>
      <c r="NF25" s="9">
        <f>NE25*(1+$AQ$32)</f>
        <v>199.46935941473876</v>
      </c>
      <c r="NG25" s="9">
        <f>NF25*(1+$AQ$32)</f>
        <v>197.47466582059138</v>
      </c>
      <c r="NH25" s="9">
        <f>NG25*(1+$AQ$32)</f>
        <v>195.49991916238548</v>
      </c>
      <c r="NI25" s="9">
        <f>NH25*(1+$AQ$32)</f>
        <v>193.54491997076161</v>
      </c>
      <c r="NJ25" s="9">
        <f>NI25*(1+$AQ$32)</f>
        <v>191.60947077105399</v>
      </c>
      <c r="NK25" s="9">
        <f>NJ25*(1+$AQ$32)</f>
        <v>189.69337606334346</v>
      </c>
      <c r="NL25" s="9">
        <f>NK25*(1+$AQ$32)</f>
        <v>187.79644230271003</v>
      </c>
      <c r="NM25" s="9">
        <f>NL25*(1+$AQ$32)</f>
        <v>185.91847787968294</v>
      </c>
      <c r="NN25" s="9">
        <f>NM25*(1+$AQ$32)</f>
        <v>184.05929310088609</v>
      </c>
      <c r="NO25" s="9">
        <f>NN25*(1+$AQ$32)</f>
        <v>182.21870016987722</v>
      </c>
      <c r="NP25" s="9">
        <f>NO25*(1+$AQ$32)</f>
        <v>180.39651316817844</v>
      </c>
      <c r="NQ25" s="9">
        <f>NP25*(1+$AQ$32)</f>
        <v>178.59254803649665</v>
      </c>
      <c r="NR25" s="9">
        <f>NQ25*(1+$AQ$32)</f>
        <v>176.80662255613169</v>
      </c>
      <c r="NS25" s="9">
        <f>NR25*(1+$AQ$32)</f>
        <v>175.03855633057037</v>
      </c>
      <c r="NT25" s="9">
        <f>NS25*(1+$AQ$32)</f>
        <v>173.28817076726466</v>
      </c>
      <c r="NU25" s="9">
        <f>NT25*(1+$AQ$32)</f>
        <v>171.55528905959201</v>
      </c>
      <c r="NV25" s="9">
        <f>NU25*(1+$AQ$32)</f>
        <v>169.8397361689961</v>
      </c>
      <c r="NW25" s="9">
        <f>NV25*(1+$AQ$32)</f>
        <v>168.14133880730614</v>
      </c>
      <c r="NX25" s="9">
        <f>NW25*(1+$AQ$32)</f>
        <v>166.45992541923309</v>
      </c>
      <c r="NY25" s="9">
        <f>NX25*(1+$AQ$32)</f>
        <v>164.79532616504076</v>
      </c>
      <c r="NZ25" s="9">
        <f>NY25*(1+$AQ$32)</f>
        <v>163.14737290339036</v>
      </c>
      <c r="OA25" s="9">
        <f>NZ25*(1+$AQ$32)</f>
        <v>161.51589917435646</v>
      </c>
      <c r="OB25" s="9">
        <f>OA25*(1+$AQ$32)</f>
        <v>159.90074018261291</v>
      </c>
      <c r="OC25" s="9">
        <f>OB25*(1+$AQ$32)</f>
        <v>158.30173278078678</v>
      </c>
      <c r="OD25" s="9">
        <f>OC25*(1+$AQ$32)</f>
        <v>156.7187154529789</v>
      </c>
      <c r="OE25" s="9">
        <f>OD25*(1+$AQ$32)</f>
        <v>155.15152829844911</v>
      </c>
      <c r="OF25" s="9">
        <f>OE25*(1+$AQ$32)</f>
        <v>153.60001301546461</v>
      </c>
      <c r="OG25" s="9">
        <f>OF25*(1+$AQ$32)</f>
        <v>152.06401288530998</v>
      </c>
      <c r="OH25" s="9">
        <f>OG25*(1+$AQ$32)</f>
        <v>150.54337275645688</v>
      </c>
      <c r="OI25" s="9">
        <f>OH25*(1+$AQ$32)</f>
        <v>149.03793902889231</v>
      </c>
      <c r="OJ25" s="9">
        <f>OI25*(1+$AQ$32)</f>
        <v>147.54755963860339</v>
      </c>
      <c r="OK25" s="9">
        <f>OJ25*(1+$AQ$32)</f>
        <v>146.07208404221734</v>
      </c>
      <c r="OL25" s="9">
        <f>OK25*(1+$AQ$32)</f>
        <v>144.61136320179517</v>
      </c>
      <c r="OM25" s="9">
        <f>OL25*(1+$AQ$32)</f>
        <v>143.16524956977722</v>
      </c>
      <c r="ON25" s="9">
        <f>OM25*(1+$AQ$32)</f>
        <v>141.73359707407946</v>
      </c>
      <c r="OO25" s="9">
        <f>ON25*(1+$AQ$32)</f>
        <v>140.31626110333866</v>
      </c>
      <c r="OP25" s="9">
        <f>OO25*(1+$AQ$32)</f>
        <v>138.91309849230527</v>
      </c>
      <c r="OQ25" s="9">
        <f>OP25*(1+$AQ$32)</f>
        <v>137.52396750738222</v>
      </c>
      <c r="OR25" s="9">
        <f>OQ25*(1+$AQ$32)</f>
        <v>136.1487278323084</v>
      </c>
      <c r="OS25" s="9">
        <f>OR25*(1+$AQ$32)</f>
        <v>134.7872405539853</v>
      </c>
      <c r="OT25" s="9">
        <f>OS25*(1+$AQ$32)</f>
        <v>133.43936814844545</v>
      </c>
      <c r="OU25" s="9">
        <f>OT25*(1+$AQ$32)</f>
        <v>132.10497446696101</v>
      </c>
      <c r="OV25" s="9">
        <f>OU25*(1+$AQ$32)</f>
        <v>130.7839247222914</v>
      </c>
      <c r="OW25" s="9">
        <f>OV25*(1+$AQ$32)</f>
        <v>129.47608547506849</v>
      </c>
      <c r="OX25" s="9">
        <f>OW25*(1+$AQ$32)</f>
        <v>128.18132462031781</v>
      </c>
      <c r="OY25" s="9">
        <f>OX25*(1+$AQ$32)</f>
        <v>126.89951137411462</v>
      </c>
      <c r="OZ25" s="9">
        <f>OY25*(1+$AQ$32)</f>
        <v>125.63051626037348</v>
      </c>
      <c r="PA25" s="9">
        <f>OZ25*(1+$AQ$32)</f>
        <v>124.37421109776975</v>
      </c>
      <c r="PB25" s="9">
        <f>PA25*(1+$AQ$32)</f>
        <v>123.13046898679205</v>
      </c>
      <c r="PC25" s="9">
        <f>PB25*(1+$AQ$32)</f>
        <v>121.89916429692413</v>
      </c>
      <c r="PD25" s="9">
        <f>PC25*(1+$AQ$32)</f>
        <v>120.68017265395488</v>
      </c>
      <c r="PE25" s="9">
        <f>PD25*(1+$AQ$32)</f>
        <v>119.47337092741533</v>
      </c>
      <c r="PF25" s="9">
        <f>PE25*(1+$AQ$32)</f>
        <v>118.27863721814117</v>
      </c>
      <c r="PG25" s="9">
        <f>PF25*(1+$AQ$32)</f>
        <v>117.09585084595976</v>
      </c>
      <c r="PH25" s="9">
        <f>PG25*(1+$AQ$32)</f>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36">AJ26*0.98</f>
        <v>442.72872000000001</v>
      </c>
      <c r="AL26" s="2">
        <f t="shared" si="36"/>
        <v>433.87414560000002</v>
      </c>
      <c r="AM26" s="2">
        <f t="shared" si="36"/>
        <v>425.196662688</v>
      </c>
    </row>
    <row r="27" spans="1:424" x14ac:dyDescent="0.2">
      <c r="B27" s="1" t="s">
        <v>32</v>
      </c>
      <c r="C27" s="10">
        <f>C25/C26</f>
        <v>2.6296829971181555</v>
      </c>
      <c r="D27" s="10">
        <f>D25/D26</f>
        <v>2.5203841275593404</v>
      </c>
      <c r="E27" s="10">
        <f>E25/E26</f>
        <v>2.3015148749771859</v>
      </c>
      <c r="F27" s="10">
        <f>F25/F26</f>
        <v>12.819197655248214</v>
      </c>
      <c r="G27" s="10">
        <f>G25/G26</f>
        <v>2.3807763401109057</v>
      </c>
      <c r="H27" s="10">
        <f>H25/H26</f>
        <v>2.4948722729815405</v>
      </c>
      <c r="I27" s="10">
        <f>I25/I26</f>
        <v>2.1686746987951806</v>
      </c>
      <c r="J27" s="10">
        <f>J25/J26</f>
        <v>2.6397100896433341</v>
      </c>
      <c r="K27" s="10">
        <f>K25/K26</f>
        <v>2.6487006737247354</v>
      </c>
      <c r="L27" s="10">
        <f>L25/L26</f>
        <v>2.9044758767680681</v>
      </c>
      <c r="M27" s="10">
        <f>M25/M26</f>
        <v>2.5038850038850042</v>
      </c>
      <c r="N27" s="10">
        <f>N25/N26</f>
        <v>2.8794686462199648</v>
      </c>
      <c r="O27" s="10">
        <f>O25/O26</f>
        <v>1.7022538552787663</v>
      </c>
      <c r="P27" s="10">
        <f>P25/P26</f>
        <v>4.4250594766058686</v>
      </c>
      <c r="Q27" s="10">
        <f>Q25/Q26</f>
        <v>3.0767708745548084</v>
      </c>
      <c r="R27" s="10">
        <f>R25/R26</f>
        <v>3.8537549407114624</v>
      </c>
      <c r="S27" s="10">
        <f>S25/S26</f>
        <v>5.3535955502582437</v>
      </c>
      <c r="T27" s="10">
        <f>T25/T26</f>
        <v>4.7859296482412059</v>
      </c>
      <c r="U27" s="10">
        <f>U25/U26</f>
        <v>4.2194523906824681</v>
      </c>
      <c r="V27" s="10">
        <f>V25/V26</f>
        <v>4.4714939658759878</v>
      </c>
      <c r="W27" s="10">
        <f>W25/W26</f>
        <v>3.4416417272338604</v>
      </c>
      <c r="X27" s="10">
        <f>X25/X26</f>
        <v>2.307872126590397</v>
      </c>
      <c r="Y27" s="10">
        <f>Y25/Y26</f>
        <v>2.9367069098940122</v>
      </c>
      <c r="Z27" s="10">
        <f>Z25/Z26</f>
        <v>4.3860745876165455</v>
      </c>
      <c r="AE27" s="10">
        <f>AE25/AE26</f>
        <v>20.351712767906211</v>
      </c>
      <c r="AF27" s="10">
        <f>AF25/AF26</f>
        <v>9.8455082967766554</v>
      </c>
      <c r="AG27" s="10">
        <f>AG25/AG26</f>
        <v>11.013869896464154</v>
      </c>
      <c r="AH27" s="10">
        <f>AH25/AH26</f>
        <v>13.039525691699605</v>
      </c>
      <c r="AI27" s="10">
        <f>AI25/AI26</f>
        <v>19.330004161464835</v>
      </c>
      <c r="AJ27" s="10">
        <f>AJ25/AJ26</f>
        <v>13.329388574565485</v>
      </c>
      <c r="AK27" s="10">
        <f>AK25/AK26</f>
        <v>11.788164517540235</v>
      </c>
      <c r="AL27" s="10">
        <f>AL25/AL26</f>
        <v>12.409450658956256</v>
      </c>
      <c r="AM27" s="10">
        <f>AM25/AM26</f>
        <v>13.062819745083473</v>
      </c>
    </row>
    <row r="29" spans="1:424" x14ac:dyDescent="0.2">
      <c r="B29" s="29" t="s">
        <v>78</v>
      </c>
      <c r="C29" s="2"/>
    </row>
    <row r="30" spans="1:424" x14ac:dyDescent="0.2">
      <c r="B30" s="29" t="s">
        <v>79</v>
      </c>
    </row>
    <row r="31" spans="1:424" x14ac:dyDescent="0.2">
      <c r="AP31" s="37" t="s">
        <v>114</v>
      </c>
    </row>
    <row r="32" spans="1:424" x14ac:dyDescent="0.2">
      <c r="B32" s="1" t="s">
        <v>49</v>
      </c>
      <c r="G32" s="4">
        <f>G15/C15-1</f>
        <v>3.4395611169327545E-2</v>
      </c>
      <c r="H32" s="4">
        <f>H15/D15-1</f>
        <v>6.8654562943369024E-2</v>
      </c>
      <c r="I32" s="4">
        <f>I15/E15-1</f>
        <v>5.6121844257437381E-2</v>
      </c>
      <c r="J32" s="4">
        <f>J15/F15-1</f>
        <v>-2.1755210372886857E-4</v>
      </c>
      <c r="K32" s="4">
        <f>K15/G15-1</f>
        <v>5.0414158870150771E-2</v>
      </c>
      <c r="L32" s="4">
        <f>L15/H15-1</f>
        <v>3.6341134113411444E-2</v>
      </c>
      <c r="M32" s="4">
        <f>M15/I15-1</f>
        <v>4.7359856349250773E-2</v>
      </c>
      <c r="N32" s="4">
        <f>N15/J15-1</f>
        <v>1.8278353207415776E-2</v>
      </c>
      <c r="O32" s="4">
        <f>O15/K15-1</f>
        <v>0.11278152833721</v>
      </c>
      <c r="P32" s="4">
        <f>P15/L15-1</f>
        <v>0.247150146563891</v>
      </c>
      <c r="Q32" s="4">
        <f>Q15/M15-1</f>
        <v>0.21253683364586129</v>
      </c>
      <c r="R32" s="4">
        <f>R15/N15-1</f>
        <v>0.21117189503376355</v>
      </c>
      <c r="S32" s="4">
        <f>S15/O15-1</f>
        <v>0.23359673719092533</v>
      </c>
      <c r="T32" s="4">
        <f>T15/P15-1</f>
        <v>9.5103373231773647E-2</v>
      </c>
      <c r="U32" s="4">
        <f>U15/Q15-1</f>
        <v>0.13343937787203952</v>
      </c>
      <c r="V32" s="4">
        <f>V15/R15-1</f>
        <v>9.3757719044426313E-2</v>
      </c>
      <c r="W32" s="4">
        <f>W15/S15-1</f>
        <v>4.0211596478902267E-2</v>
      </c>
      <c r="X32" s="4">
        <f>X15/T15-1</f>
        <v>4.0000000000000036E-2</v>
      </c>
      <c r="Y32" s="4">
        <f>Y15/U15-1</f>
        <v>4.0000000000000036E-2</v>
      </c>
      <c r="Z32" s="4">
        <f>Z15/V15-1</f>
        <v>4.0000000000000036E-2</v>
      </c>
      <c r="AE32" s="4"/>
      <c r="AF32" s="4">
        <f>AF15/AE15-1</f>
        <v>3.6334130978903589E-2</v>
      </c>
      <c r="AG32" s="4">
        <f>AG15/AF15-1</f>
        <v>3.6573066510961372E-2</v>
      </c>
      <c r="AH32" s="4">
        <f>AH15/AG15-1</f>
        <v>0.19778011061040557</v>
      </c>
      <c r="AI32" s="4">
        <f>AI15/AH15-1</f>
        <v>0.13300413633885921</v>
      </c>
      <c r="AJ32" s="4">
        <f>AJ15/AI15-1</f>
        <v>4.0048299608509197E-2</v>
      </c>
      <c r="AK32" s="4">
        <f>AK15/AJ15-1</f>
        <v>4.0000000000000036E-2</v>
      </c>
      <c r="AL32" s="4">
        <f>AL15/AK15-1</f>
        <v>3.0000000000000027E-2</v>
      </c>
      <c r="AM32" s="4">
        <f>AM15/AL15-1</f>
        <v>3.0000000000000027E-2</v>
      </c>
      <c r="AP32" s="1" t="s">
        <v>57</v>
      </c>
      <c r="AQ32" s="11">
        <v>-0.01</v>
      </c>
      <c r="AR32" s="7"/>
      <c r="AS32" s="7"/>
      <c r="AT32" s="7"/>
      <c r="AU32" s="7"/>
      <c r="AV32" s="7"/>
      <c r="AW32" s="7"/>
      <c r="AX32" s="7"/>
      <c r="AY32" s="7"/>
      <c r="AZ32" s="1"/>
      <c r="BA32" s="1"/>
      <c r="BB32" s="1"/>
    </row>
    <row r="33" spans="1:54" ht="15" x14ac:dyDescent="0.25">
      <c r="B33" s="1" t="s">
        <v>50</v>
      </c>
      <c r="G33" s="4">
        <f>G16/C16-1</f>
        <v>4.409915573917722E-2</v>
      </c>
      <c r="H33" s="4">
        <f>H16/D16-1</f>
        <v>7.1810140993081806E-2</v>
      </c>
      <c r="I33" s="4">
        <f>I16/E16-1</f>
        <v>7.026980874316946E-2</v>
      </c>
      <c r="J33" s="4">
        <f>J16/F16-1</f>
        <v>0.44284128745837958</v>
      </c>
      <c r="K33" s="4">
        <f>K16/G16-1</f>
        <v>5.359139784946243E-2</v>
      </c>
      <c r="L33" s="4">
        <f>L16/H16-1</f>
        <v>3.1538524389247424E-2</v>
      </c>
      <c r="M33" s="4">
        <f>M16/I16-1</f>
        <v>3.1910650179497457E-2</v>
      </c>
      <c r="N33" s="4">
        <f>N16/J16-1</f>
        <v>9.2307692307691536E-3</v>
      </c>
      <c r="O33" s="4">
        <f>O16/K16-1</f>
        <v>0.18468321358589157</v>
      </c>
      <c r="P33" s="4">
        <f>P16/L16-1</f>
        <v>0.24142574257425742</v>
      </c>
      <c r="Q33" s="4">
        <f>Q16/M16-1</f>
        <v>0.19899497487437179</v>
      </c>
      <c r="R33" s="4">
        <f>R16/N16-1</f>
        <v>0.20104362101313322</v>
      </c>
      <c r="S33" s="4">
        <f>S16/O16-1</f>
        <v>0.15203308063404553</v>
      </c>
      <c r="T33" s="4">
        <f>T16/P16-1</f>
        <v>0.1025330185669624</v>
      </c>
      <c r="U33" s="4">
        <f>U16/Q16-1</f>
        <v>0.17389902637178412</v>
      </c>
      <c r="V33" s="4">
        <f>V16/R16-1</f>
        <v>0.1111056870881133</v>
      </c>
      <c r="W33" s="4">
        <f>W16/S16-1</f>
        <v>0.10439100263220857</v>
      </c>
      <c r="X33" s="4">
        <f>X16/T16-1</f>
        <v>0.12000000000000011</v>
      </c>
      <c r="Y33" s="4">
        <f>Y16/U16-1</f>
        <v>8.0000000000000071E-2</v>
      </c>
      <c r="Z33" s="4">
        <f>Z16/V16-1</f>
        <v>5.0000000000000044E-2</v>
      </c>
      <c r="AF33" s="4">
        <f>AF16/AE16-1</f>
        <v>0.15922832659097819</v>
      </c>
      <c r="AG33" s="4">
        <f>AG16/AF16-1</f>
        <v>2.9362652207358453E-2</v>
      </c>
      <c r="AH33" s="4">
        <f>AH16/AG16-1</f>
        <v>0.20620078740157477</v>
      </c>
      <c r="AI33" s="4">
        <f>AI16/AH16-1</f>
        <v>0.13276516010094142</v>
      </c>
      <c r="AJ33" s="4">
        <f>AJ16/AI16-1</f>
        <v>8.5550604965116239E-2</v>
      </c>
      <c r="AK33" s="4">
        <f>AK16/AJ16-1</f>
        <v>5.0000000000000044E-2</v>
      </c>
      <c r="AL33" s="4">
        <f>AL16/AK16-1</f>
        <v>3.0000000000000027E-2</v>
      </c>
      <c r="AM33" s="4">
        <f>AM16/AL16-1</f>
        <v>3.0000000000000027E-2</v>
      </c>
      <c r="AP33" s="1" t="s">
        <v>58</v>
      </c>
      <c r="AQ33" s="11">
        <f>WACC!C18</f>
        <v>5.3950410437967056E-2</v>
      </c>
      <c r="AR33" s="12"/>
      <c r="AS33" s="12"/>
      <c r="AT33" s="12"/>
      <c r="AU33" s="12"/>
      <c r="AV33" s="12"/>
      <c r="AW33" s="12"/>
      <c r="AX33" s="12"/>
      <c r="AY33" s="12"/>
      <c r="AZ33" s="8"/>
      <c r="BA33" s="8"/>
      <c r="BB33" s="8"/>
    </row>
    <row r="34" spans="1:54" ht="15" x14ac:dyDescent="0.25">
      <c r="B34" s="1" t="s">
        <v>51</v>
      </c>
      <c r="G34" s="4">
        <f>G18/C18-1</f>
        <v>0.13186462324393355</v>
      </c>
      <c r="H34" s="4">
        <f>H18/D18-1</f>
        <v>0.14281490242460082</v>
      </c>
      <c r="I34" s="4">
        <f>I18/E18-1</f>
        <v>0.12101366742596809</v>
      </c>
      <c r="J34" s="4">
        <f>J18/F18-1</f>
        <v>3.6721156124141174E-2</v>
      </c>
      <c r="K34" s="4">
        <f>K18/G18-1</f>
        <v>3.328631875881527E-2</v>
      </c>
      <c r="L34" s="4">
        <f>L18/H18-1</f>
        <v>1.2160413971539441E-2</v>
      </c>
      <c r="M34" s="4">
        <f>M18/I18-1</f>
        <v>5.4864109728219423E-2</v>
      </c>
      <c r="N34" s="4">
        <f>N18/J18-1</f>
        <v>2.9250457038391131E-2</v>
      </c>
      <c r="O34" s="4">
        <f>O18/K18-1</f>
        <v>0.10838110838110837</v>
      </c>
      <c r="P34" s="4">
        <f>P18/L18-1</f>
        <v>0.14008179959100198</v>
      </c>
      <c r="Q34" s="4">
        <f>Q18/M18-1</f>
        <v>0.11895015651336394</v>
      </c>
      <c r="R34" s="4">
        <f>R18/N18-1</f>
        <v>0.20959147424511548</v>
      </c>
      <c r="S34" s="4">
        <f>S18/O18-1</f>
        <v>0.11059113300492607</v>
      </c>
      <c r="T34" s="4">
        <f>T18/P18-1</f>
        <v>8.7219730941703988E-2</v>
      </c>
      <c r="U34" s="4">
        <f>U18/Q18-1</f>
        <v>4.5620830643425814E-2</v>
      </c>
      <c r="V34" s="4">
        <f>V18/R18-1</f>
        <v>1.5969162995594699E-2</v>
      </c>
      <c r="W34" s="4">
        <f>W18/S18-1</f>
        <v>5.6110002217786725E-2</v>
      </c>
      <c r="X34" s="4">
        <f>X18/T18-1</f>
        <v>0.1100000000000001</v>
      </c>
      <c r="Y34" s="4">
        <f>Y18/U18-1</f>
        <v>8.0000000000000071E-2</v>
      </c>
      <c r="Z34" s="4">
        <f>Z18/V18-1</f>
        <v>5.0000000000000044E-2</v>
      </c>
      <c r="AF34" s="4">
        <f>AF18/AE18-1</f>
        <v>0.10360075805432722</v>
      </c>
      <c r="AG34" s="4">
        <f>AG18/AF18-1</f>
        <v>3.237295681485719E-2</v>
      </c>
      <c r="AH34" s="4">
        <f>AH18/AG18-1</f>
        <v>0.14680877279448001</v>
      </c>
      <c r="AI34" s="4">
        <f>AI18/AH18-1</f>
        <v>6.1079774375503604E-2</v>
      </c>
      <c r="AJ34" s="4">
        <f>AJ18/AI18-1</f>
        <v>7.3504455245038569E-2</v>
      </c>
      <c r="AK34" s="4">
        <f>AK18/AJ18-1</f>
        <v>5.0000000000000044E-2</v>
      </c>
      <c r="AL34" s="4">
        <f>AL18/AK18-1</f>
        <v>3.0000000000000027E-2</v>
      </c>
      <c r="AM34" s="4">
        <f>AM18/AL18-1</f>
        <v>3.0000000000000027E-2</v>
      </c>
      <c r="AP34" s="1" t="s">
        <v>59</v>
      </c>
      <c r="AQ34" s="7">
        <f>NPV(AQ33,AG25:PH25)</f>
        <v>95412.82122862144</v>
      </c>
      <c r="AR34" s="12"/>
      <c r="AS34" s="12"/>
      <c r="AT34" s="12"/>
      <c r="AU34" s="12"/>
      <c r="AV34" s="12"/>
      <c r="AW34" s="12"/>
      <c r="AX34" s="12"/>
      <c r="AY34" s="12"/>
      <c r="AZ34" s="8"/>
      <c r="BA34" s="8"/>
      <c r="BB34" s="8"/>
    </row>
    <row r="35" spans="1:54" ht="15" x14ac:dyDescent="0.25">
      <c r="B35" s="1" t="s">
        <v>52</v>
      </c>
      <c r="G35" s="4">
        <f>G25/C25-1</f>
        <v>-0.11780821917808215</v>
      </c>
      <c r="H35" s="4">
        <f>H25/D25-1</f>
        <v>-3.8102084831056815E-2</v>
      </c>
      <c r="I35" s="4">
        <f>I25/E25-1</f>
        <v>-8.64393338620143E-2</v>
      </c>
      <c r="J35" s="4">
        <f>J25/F25-1</f>
        <v>-0.80222920834524147</v>
      </c>
      <c r="K35" s="4">
        <f>K25/G25-1</f>
        <v>6.8322981366459645E-2</v>
      </c>
      <c r="L35" s="4">
        <f>L25/H25-1</f>
        <v>0.12032884902840069</v>
      </c>
      <c r="M35" s="4">
        <f>M25/I25-1</f>
        <v>0.11892361111111116</v>
      </c>
      <c r="N35" s="4">
        <f>N25/J25-1</f>
        <v>6.5028901734104139E-2</v>
      </c>
      <c r="O35" s="4">
        <f>O25/K25-1</f>
        <v>-0.37427325581395354</v>
      </c>
      <c r="P35" s="4">
        <f>P25/L25-1</f>
        <v>0.48899266177451639</v>
      </c>
      <c r="Q35" s="4">
        <f>Q25/M25-1</f>
        <v>0.20636152055857249</v>
      </c>
      <c r="R35" s="4">
        <f>R25/N25-1</f>
        <v>0.32293080054274093</v>
      </c>
      <c r="S35" s="4">
        <f>S25/O25-1</f>
        <v>2.1300813008130079</v>
      </c>
      <c r="T35" s="4">
        <f>T25/P25-1</f>
        <v>6.6756272401433669E-2</v>
      </c>
      <c r="U35" s="4">
        <f>U25/Q25-1</f>
        <v>0.32797427652733124</v>
      </c>
      <c r="V35" s="4">
        <f>V25/R25-1</f>
        <v>0.102051282051282</v>
      </c>
      <c r="W35" s="4">
        <f>W25/S25-1</f>
        <v>-0.40259740259740262</v>
      </c>
      <c r="X35" s="4">
        <f>X25/T25-1</f>
        <v>-0.54671297774044558</v>
      </c>
      <c r="Y35" s="4">
        <f>Y25/U25-1</f>
        <v>-0.34576711864406706</v>
      </c>
      <c r="Z35" s="4">
        <f>Z25/V25-1</f>
        <v>-7.7956910190785988E-2</v>
      </c>
      <c r="AF35" s="4">
        <f>AF25/AE25-1</f>
        <v>-0.53537353735373538</v>
      </c>
      <c r="AG35" s="4">
        <f>AG25/AF25-1</f>
        <v>9.2212320805889147E-2</v>
      </c>
      <c r="AH35" s="4">
        <f>AH25/AG25-1</f>
        <v>0.17027314650585312</v>
      </c>
      <c r="AI35" s="4">
        <f>AI25/AH25-1</f>
        <v>0.4080024249772658</v>
      </c>
      <c r="AJ35" s="4">
        <f>AJ25/AI25-1</f>
        <v>-0.35180431646932164</v>
      </c>
      <c r="AK35" s="4">
        <f>AK25/AJ25-1</f>
        <v>-0.1333134927709152</v>
      </c>
      <c r="AL35" s="4">
        <f>AL25/AK25-1</f>
        <v>3.1650146015670844E-2</v>
      </c>
      <c r="AM35" s="4">
        <f>AM25/AL25-1</f>
        <v>3.1597908884270165E-2</v>
      </c>
      <c r="AP35" s="1" t="s">
        <v>60</v>
      </c>
      <c r="AQ35" s="7">
        <f>+Main!C7-Main!C8</f>
        <v>-13356</v>
      </c>
      <c r="AR35" s="12"/>
      <c r="AS35" s="12"/>
      <c r="AT35" s="12"/>
      <c r="AU35" s="12"/>
      <c r="AV35" s="12"/>
      <c r="AW35" s="12"/>
      <c r="AX35" s="12"/>
      <c r="AY35" s="12"/>
      <c r="AZ35" s="8"/>
      <c r="BA35" s="8"/>
      <c r="BB35" s="8"/>
    </row>
    <row r="36" spans="1:54" ht="15" x14ac:dyDescent="0.25">
      <c r="B36" s="1" t="s">
        <v>53</v>
      </c>
      <c r="G36" s="4">
        <f>G26/C26-1</f>
        <v>-2.5576368876080724E-2</v>
      </c>
      <c r="H36" s="4">
        <f t="shared" ref="H36:R36" si="37">H26/D26-1</f>
        <v>-2.8265990215618819E-2</v>
      </c>
      <c r="I36" s="4">
        <f t="shared" si="37"/>
        <v>-3.048001460120453E-2</v>
      </c>
      <c r="J36" s="4">
        <f t="shared" si="37"/>
        <v>-3.9567686389448631E-2</v>
      </c>
      <c r="K36" s="4">
        <f t="shared" si="37"/>
        <v>-3.9741219963031371E-2</v>
      </c>
      <c r="L36" s="4">
        <f t="shared" si="37"/>
        <v>-3.7665485735595583E-2</v>
      </c>
      <c r="M36" s="4">
        <f t="shared" si="37"/>
        <v>-3.0873493975903776E-2</v>
      </c>
      <c r="N36" s="4">
        <f t="shared" si="37"/>
        <v>-2.3650581728018261E-2</v>
      </c>
      <c r="O36" s="4">
        <f t="shared" si="37"/>
        <v>-2.6371511068334907E-2</v>
      </c>
      <c r="P36" s="4">
        <f t="shared" si="37"/>
        <v>-2.267002518891692E-2</v>
      </c>
      <c r="Q36" s="4">
        <f t="shared" si="37"/>
        <v>-1.8259518259518215E-2</v>
      </c>
      <c r="R36" s="4">
        <f t="shared" si="37"/>
        <v>-1.152568861105685E-2</v>
      </c>
      <c r="S36" s="4">
        <f t="shared" ref="S36:S37" si="38">S26/O26-1</f>
        <v>-4.7449584816133816E-3</v>
      </c>
      <c r="T36" s="4">
        <f t="shared" ref="T36:T37" si="39">T26/P26-1</f>
        <v>-1.3679619349722394E-2</v>
      </c>
      <c r="U36" s="4">
        <f t="shared" ref="U36:U37" si="40">U26/Q26-1</f>
        <v>-3.1658092599920806E-2</v>
      </c>
      <c r="V36" s="4">
        <f t="shared" ref="V36:V37" si="41">V26/R26-1</f>
        <v>-5.0197628458497956E-2</v>
      </c>
      <c r="W36" s="4">
        <f t="shared" ref="W36:W37" si="42">W26/S26-1</f>
        <v>-7.071911005164877E-2</v>
      </c>
      <c r="X36" s="4">
        <f t="shared" ref="X36:X37" si="43">X26/T26-1</f>
        <v>-6.0000000000000053E-2</v>
      </c>
      <c r="Y36" s="4">
        <f t="shared" ref="Y36:Y37" si="44">Y26/U26-1</f>
        <v>-6.0000000000000053E-2</v>
      </c>
      <c r="Z36" s="4">
        <f t="shared" ref="Z36:Z37" si="45">Z26/V26-1</f>
        <v>-6.0000000000000053E-2</v>
      </c>
      <c r="AF36" s="4">
        <f t="shared" ref="AF36:AH36" si="46">AF26/AE26-1</f>
        <v>-3.9567686389448631E-2</v>
      </c>
      <c r="AG36" s="4">
        <f t="shared" si="46"/>
        <v>-2.3650581728018261E-2</v>
      </c>
      <c r="AH36" s="4">
        <f t="shared" si="46"/>
        <v>-1.152568861105685E-2</v>
      </c>
      <c r="AI36" s="4">
        <f t="shared" ref="AI36:AM36" si="47">AI26/AH26-1</f>
        <v>-5.0197628458497956E-2</v>
      </c>
      <c r="AJ36" s="4">
        <f t="shared" si="47"/>
        <v>-6.0000000000000053E-2</v>
      </c>
      <c r="AK36" s="4">
        <f t="shared" si="47"/>
        <v>-2.0000000000000018E-2</v>
      </c>
      <c r="AL36" s="4">
        <f t="shared" si="47"/>
        <v>-2.0000000000000018E-2</v>
      </c>
      <c r="AM36" s="4">
        <f t="shared" si="47"/>
        <v>-2.0000000000000018E-2</v>
      </c>
      <c r="AP36" s="1" t="s">
        <v>61</v>
      </c>
      <c r="AQ36" s="7">
        <f>+AQ34+AQ35</f>
        <v>82056.82122862144</v>
      </c>
      <c r="AR36" s="12"/>
      <c r="AS36" s="12"/>
      <c r="AT36" s="12"/>
      <c r="AU36" s="12"/>
      <c r="AV36" s="12"/>
      <c r="AW36" s="12"/>
      <c r="AX36" s="12"/>
      <c r="AY36" s="12"/>
      <c r="AZ36" s="8"/>
      <c r="BA36" s="8"/>
      <c r="BB36" s="8"/>
    </row>
    <row r="37" spans="1:54" ht="15" x14ac:dyDescent="0.25">
      <c r="B37" s="1" t="s">
        <v>54</v>
      </c>
      <c r="G37" s="4">
        <f>G27/C27-1</f>
        <v>-9.4652723267414474E-2</v>
      </c>
      <c r="H37" s="4">
        <f t="shared" ref="H37:R37" si="48">H27/D27-1</f>
        <v>-1.012220887238513E-2</v>
      </c>
      <c r="I37" s="4">
        <f t="shared" si="48"/>
        <v>-5.7718582498113125E-2</v>
      </c>
      <c r="J37" s="4">
        <f t="shared" si="48"/>
        <v>-0.79408148929175537</v>
      </c>
      <c r="K37" s="4">
        <f t="shared" si="48"/>
        <v>0.1125365407492871</v>
      </c>
      <c r="L37" s="4">
        <f t="shared" si="48"/>
        <v>0.16417818588244759</v>
      </c>
      <c r="M37" s="4">
        <f t="shared" si="48"/>
        <v>0.15456919623586307</v>
      </c>
      <c r="N37" s="4">
        <f t="shared" si="48"/>
        <v>9.082760925804001E-2</v>
      </c>
      <c r="O37" s="4">
        <f t="shared" si="48"/>
        <v>-0.35732494344671584</v>
      </c>
      <c r="P37" s="4">
        <f t="shared" si="48"/>
        <v>0.52353115135176043</v>
      </c>
      <c r="Q37" s="4">
        <f t="shared" si="48"/>
        <v>0.22879879458558183</v>
      </c>
      <c r="R37" s="4">
        <f t="shared" si="48"/>
        <v>0.33835627825657921</v>
      </c>
      <c r="S37" s="4">
        <f t="shared" si="38"/>
        <v>2.1450042152388149</v>
      </c>
      <c r="T37" s="4">
        <f t="shared" si="39"/>
        <v>8.15514850236847E-2</v>
      </c>
      <c r="U37" s="4">
        <f t="shared" si="40"/>
        <v>0.37138986382695771</v>
      </c>
      <c r="V37" s="4">
        <f t="shared" si="41"/>
        <v>0.16029535729910238</v>
      </c>
      <c r="W37" s="4">
        <f t="shared" si="42"/>
        <v>-0.35713452857531525</v>
      </c>
      <c r="X37" s="4">
        <f t="shared" si="43"/>
        <v>-0.5177797635536654</v>
      </c>
      <c r="Y37" s="4">
        <f t="shared" si="44"/>
        <v>-0.30400757302560311</v>
      </c>
      <c r="Z37" s="4">
        <f t="shared" si="45"/>
        <v>-1.9103095947644477E-2</v>
      </c>
      <c r="AF37" s="4">
        <f t="shared" ref="AF37:AH37" si="49">AF27/AE27-1</f>
        <v>-0.51623195506657282</v>
      </c>
      <c r="AG37" s="4">
        <f t="shared" si="49"/>
        <v>0.11866950536926679</v>
      </c>
      <c r="AH37" s="4">
        <f t="shared" si="49"/>
        <v>0.18391862390582259</v>
      </c>
      <c r="AI37" s="4">
        <f t="shared" ref="AI37:AM37" si="50">AI27/AH27-1</f>
        <v>0.48241620274343822</v>
      </c>
      <c r="AJ37" s="4">
        <f>AJ27/AI27-1</f>
        <v>-0.31043012390353364</v>
      </c>
      <c r="AK37" s="4">
        <f t="shared" si="50"/>
        <v>-0.11562601303154607</v>
      </c>
      <c r="AL37" s="4">
        <f t="shared" si="50"/>
        <v>5.2704230628235482E-2</v>
      </c>
      <c r="AM37" s="4">
        <f t="shared" si="50"/>
        <v>5.2650927432928762E-2</v>
      </c>
      <c r="AP37" s="1" t="s">
        <v>62</v>
      </c>
      <c r="AQ37" s="13">
        <f>AQ36/Main!C5</f>
        <v>175.4100496550266</v>
      </c>
      <c r="AR37" s="12"/>
      <c r="AS37" s="12"/>
      <c r="AT37" s="12"/>
      <c r="AU37" s="12"/>
      <c r="AV37" s="12"/>
      <c r="AW37" s="12"/>
      <c r="AX37" s="12"/>
      <c r="AY37" s="12"/>
      <c r="AZ37" s="8"/>
      <c r="BA37" s="8"/>
      <c r="BB37" s="8"/>
    </row>
    <row r="38" spans="1:54" x14ac:dyDescent="0.2">
      <c r="B38" s="1" t="s">
        <v>55</v>
      </c>
      <c r="C38" s="4">
        <f>C17/C15</f>
        <v>0.31369043949947606</v>
      </c>
      <c r="D38" s="4">
        <f>D17/D15</f>
        <v>0.31351448839725865</v>
      </c>
      <c r="E38" s="4">
        <f>E17/E15</f>
        <v>0.30591442455849238</v>
      </c>
      <c r="F38" s="4">
        <f>F17/F15</f>
        <v>0.49036244180481225</v>
      </c>
      <c r="G38" s="4">
        <f>G17/G15</f>
        <v>0.30725224956796376</v>
      </c>
      <c r="H38" s="4">
        <f>H17/H15</f>
        <v>0.31148739873987397</v>
      </c>
      <c r="I38" s="4">
        <f>I17/I15</f>
        <v>0.29661635149542676</v>
      </c>
      <c r="J38" s="4">
        <f>J17/J15</f>
        <v>0.26451388284445992</v>
      </c>
      <c r="K38" s="4">
        <f>K17/K15</f>
        <v>0.30515686163272254</v>
      </c>
      <c r="L38" s="4">
        <f>L17/L15</f>
        <v>0.31467810226902615</v>
      </c>
      <c r="M38" s="4">
        <f>M17/M15</f>
        <v>0.30699169568711493</v>
      </c>
      <c r="N38" s="4">
        <f>N17/N15</f>
        <v>0.27104880759039235</v>
      </c>
      <c r="O38" s="4">
        <f>O17/O15</f>
        <v>0.26026000509813918</v>
      </c>
      <c r="P38" s="4">
        <f>P17/P15</f>
        <v>0.31782372143634385</v>
      </c>
      <c r="Q38" s="4">
        <f>Q17/Q15</f>
        <v>0.31473135383527751</v>
      </c>
      <c r="R38" s="4">
        <f>R17/R15</f>
        <v>0.27714457108578283</v>
      </c>
      <c r="S38" s="4">
        <f>S17/S15</f>
        <v>0.30917055833367774</v>
      </c>
      <c r="T38" s="4">
        <f>T17/T15</f>
        <v>0.31319554848966613</v>
      </c>
      <c r="U38" s="4">
        <f>U17/U15</f>
        <v>0.29026976454077652</v>
      </c>
      <c r="V38" s="4">
        <f>V17/V15</f>
        <v>0.26567944250871078</v>
      </c>
      <c r="W38" s="4">
        <f>W17/W15</f>
        <v>0.26654747715534366</v>
      </c>
      <c r="X38" s="4">
        <f>X17/X15</f>
        <v>0.26036443683502503</v>
      </c>
      <c r="Y38" s="4">
        <f>Y17/Y15</f>
        <v>0.26297244779234497</v>
      </c>
      <c r="Z38" s="4">
        <f>Z17/Z15</f>
        <v>0.25861866791744842</v>
      </c>
      <c r="AE38" s="4">
        <f>AE17/AE15</f>
        <v>0.36768710289627859</v>
      </c>
      <c r="AF38" s="4">
        <f>AF17/AF15</f>
        <v>0.2927039651786188</v>
      </c>
      <c r="AG38" s="4">
        <f>AG17/AG15</f>
        <v>0.29762392462105697</v>
      </c>
      <c r="AH38" s="4">
        <f>AH17/AH15</f>
        <v>0.29268605508705553</v>
      </c>
      <c r="AI38" s="4">
        <f>AI17/AI15</f>
        <v>0.29283524362058394</v>
      </c>
      <c r="AJ38" s="4">
        <f>AJ17/AJ15</f>
        <v>0.26189665481243046</v>
      </c>
      <c r="AK38" s="4">
        <f>AK17/AK15</f>
        <v>0.25479950726255002</v>
      </c>
      <c r="AL38" s="4">
        <f>AL17/AL15</f>
        <v>0.25479950726255002</v>
      </c>
      <c r="AM38" s="4">
        <f>AM17/AM15</f>
        <v>0.25479950726255002</v>
      </c>
      <c r="AP38" s="1" t="s">
        <v>63</v>
      </c>
      <c r="AQ38" s="6">
        <f>Main!C4</f>
        <v>163.38</v>
      </c>
      <c r="AR38" s="7"/>
      <c r="AS38" s="7"/>
      <c r="AT38" s="7"/>
      <c r="AU38" s="7"/>
      <c r="AV38" s="7"/>
      <c r="AW38" s="7"/>
      <c r="AX38" s="7"/>
      <c r="AY38" s="7"/>
      <c r="AZ38" s="1"/>
      <c r="BA38" s="1"/>
      <c r="BB38" s="1"/>
    </row>
    <row r="39" spans="1:54" ht="15" x14ac:dyDescent="0.25">
      <c r="B39" s="1" t="s">
        <v>56</v>
      </c>
      <c r="C39" s="4">
        <f>C20/C15</f>
        <v>0.12063120261357332</v>
      </c>
      <c r="D39" s="4">
        <f>D20/D15</f>
        <v>0.11019598412889263</v>
      </c>
      <c r="E39" s="4">
        <f>E20/E15</f>
        <v>9.7783572359843543E-2</v>
      </c>
      <c r="F39" s="4">
        <f>F20/F15</f>
        <v>0.30670495583692292</v>
      </c>
      <c r="G39" s="4">
        <f>G20/G15</f>
        <v>9.6001430188904113E-2</v>
      </c>
      <c r="H39" s="4">
        <f>H20/H15</f>
        <v>9.405940594059406E-2</v>
      </c>
      <c r="I39" s="4">
        <f>I20/I15</f>
        <v>7.5697211155378488E-2</v>
      </c>
      <c r="J39" s="4">
        <f>J20/J15</f>
        <v>7.4070850378623029E-2</v>
      </c>
      <c r="K39" s="4">
        <f>K20/K15</f>
        <v>9.7350655244794915E-2</v>
      </c>
      <c r="L39" s="4">
        <f>L20/L15</f>
        <v>0.10232330908696124</v>
      </c>
      <c r="M39" s="4">
        <f>M20/M15</f>
        <v>8.4489686579158854E-2</v>
      </c>
      <c r="N39" s="4">
        <f>N20/N15</f>
        <v>7.8553722540388074E-2</v>
      </c>
      <c r="O39" s="4">
        <f>O20/O15</f>
        <v>5.3275554422635735E-2</v>
      </c>
      <c r="P39" s="4">
        <f>P20/P15</f>
        <v>0.12369967355821546</v>
      </c>
      <c r="Q39" s="4">
        <f>Q20/Q15</f>
        <v>0.10940261576528809</v>
      </c>
      <c r="R39" s="4">
        <f>R20/R15</f>
        <v>8.4900666925438448E-2</v>
      </c>
      <c r="S39" s="4">
        <f>S20/S15</f>
        <v>0.12282514361284456</v>
      </c>
      <c r="T39" s="4">
        <f>T20/T15</f>
        <v>0.12046899841017487</v>
      </c>
      <c r="U39" s="4">
        <f>U20/U15</f>
        <v>0.1008498362700764</v>
      </c>
      <c r="V39" s="4">
        <f>V20/V15</f>
        <v>8.7108013937282236E-2</v>
      </c>
      <c r="W39" s="4">
        <f>W20/W15</f>
        <v>7.7353992848629316E-2</v>
      </c>
      <c r="X39" s="4">
        <f>X20/X15</f>
        <v>5.4665907423260322E-2</v>
      </c>
      <c r="Y39" s="4">
        <f>Y20/Y15</f>
        <v>6.6267137665079412E-2</v>
      </c>
      <c r="Z39" s="4">
        <f>Z20/Z15</f>
        <v>7.8330206378986897E-2</v>
      </c>
      <c r="AE39" s="4">
        <f>AE20/AE15</f>
        <v>0.17175509530489314</v>
      </c>
      <c r="AF39" s="4">
        <f>AF20/AF15</f>
        <v>8.405435532671586E-2</v>
      </c>
      <c r="AG39" s="4">
        <f>AG20/AG15</f>
        <v>8.9819746005735349E-2</v>
      </c>
      <c r="AH39" s="4">
        <f>AH20/AH15</f>
        <v>9.3724949498188354E-2</v>
      </c>
      <c r="AI39" s="4">
        <f>AI20/AI15</f>
        <v>0.10650441016933164</v>
      </c>
      <c r="AJ39" s="4">
        <f>AJ20/AJ15</f>
        <v>6.9571952262814304E-2</v>
      </c>
      <c r="AK39" s="4">
        <f>AK20/AK15</f>
        <v>6.0625528726879874E-2</v>
      </c>
      <c r="AL39" s="4">
        <f>AL20/AL15</f>
        <v>6.0625528726879839E-2</v>
      </c>
      <c r="AM39" s="4">
        <f>AM20/AM15</f>
        <v>6.0625528726879846E-2</v>
      </c>
      <c r="AP39" s="1" t="s">
        <v>64</v>
      </c>
      <c r="AQ39" s="14">
        <f>AQ37/AQ38-1</f>
        <v>7.3632327427020527E-2</v>
      </c>
      <c r="AR39" s="12"/>
      <c r="AS39" s="12"/>
      <c r="AT39" s="12"/>
      <c r="AU39" s="12"/>
      <c r="AV39" s="12"/>
      <c r="AW39" s="12"/>
      <c r="AX39" s="12"/>
      <c r="AY39" s="12"/>
      <c r="AZ39" s="8"/>
      <c r="BA39" s="8"/>
      <c r="BB39" s="8"/>
    </row>
    <row r="40" spans="1:54" x14ac:dyDescent="0.2">
      <c r="B40" s="1" t="s">
        <v>30</v>
      </c>
      <c r="C40" s="4">
        <f>C24/C23</f>
        <v>0.19647771051183269</v>
      </c>
      <c r="D40" s="4">
        <f>D24/D23</f>
        <v>0.18128310771041789</v>
      </c>
      <c r="E40" s="4">
        <f>E24/E23</f>
        <v>9.7997138769670963E-2</v>
      </c>
      <c r="F40" s="4">
        <f>F24/F23</f>
        <v>-1.2149262366213481E-2</v>
      </c>
      <c r="G40" s="4">
        <f>G24/G23</f>
        <v>0.14018691588785046</v>
      </c>
      <c r="H40" s="4">
        <f>H24/H23</f>
        <v>0.14285714285714285</v>
      </c>
      <c r="I40" s="4">
        <f>I24/I23</f>
        <v>7.7662129703763016E-2</v>
      </c>
      <c r="J40" s="4">
        <f>J24/J23</f>
        <v>0.13500000000000001</v>
      </c>
      <c r="K40" s="4">
        <f>K24/K23</f>
        <v>0.1426791277258567</v>
      </c>
      <c r="L40" s="4">
        <f>L24/L23</f>
        <v>0.15691788526434194</v>
      </c>
      <c r="M40" s="4">
        <f>M24/M23</f>
        <v>0.13140161725067384</v>
      </c>
      <c r="N40" s="4">
        <f>N24/N23</f>
        <v>0.12884160756501181</v>
      </c>
      <c r="O40" s="4">
        <f>O24/O23</f>
        <v>4.9668874172185427E-2</v>
      </c>
      <c r="P40" s="4">
        <f>P24/P23</f>
        <v>0.18271695349688757</v>
      </c>
      <c r="Q40" s="4">
        <f>Q24/Q23</f>
        <v>0.15443175638934203</v>
      </c>
      <c r="R40" s="4">
        <f>R24/R23</f>
        <v>0.15217391304347827</v>
      </c>
      <c r="S40" s="4">
        <f>S24/S23</f>
        <v>0.15965076395385094</v>
      </c>
      <c r="T40" s="4">
        <f>T24/T23</f>
        <v>0.18847989093387865</v>
      </c>
      <c r="U40" s="4">
        <f>U24/U23</f>
        <v>0.170016077170418</v>
      </c>
      <c r="V40" s="4">
        <f>V24/V23</f>
        <v>0.18039664378337147</v>
      </c>
      <c r="W40" s="4">
        <f>W24/W23</f>
        <v>0.12972972972972974</v>
      </c>
      <c r="X40" s="4">
        <f>X24/X23</f>
        <v>0.19</v>
      </c>
      <c r="Y40" s="4">
        <f>Y24/Y23</f>
        <v>0.19</v>
      </c>
      <c r="Z40" s="4">
        <f>Z24/Z23</f>
        <v>0.19</v>
      </c>
      <c r="AE40" s="4">
        <f>AE24/AE23</f>
        <v>6.0703415623943185E-2</v>
      </c>
      <c r="AF40" s="4">
        <f>AF24/AF23</f>
        <v>0.12626946513202436</v>
      </c>
      <c r="AG40" s="4">
        <f>AG24/AG23</f>
        <v>0.14041774660771458</v>
      </c>
      <c r="AH40" s="4">
        <f>AH24/AH23</f>
        <v>0.1514917695473251</v>
      </c>
      <c r="AI40" s="4">
        <f>AI24/AI23</f>
        <v>0.17429561816727401</v>
      </c>
      <c r="AJ40" s="4">
        <f>AJ24/AJ23</f>
        <v>0.17471888923456028</v>
      </c>
      <c r="AK40" s="4">
        <f>AK24/AK23</f>
        <v>0.21</v>
      </c>
      <c r="AL40" s="4">
        <f>AL24/AL23</f>
        <v>0.21</v>
      </c>
      <c r="AM40" s="4">
        <f>AM24/AM23</f>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60</v>
      </c>
      <c r="C43" s="9">
        <f t="shared" ref="C43:V43" si="51">C44-C60-C62</f>
        <v>0</v>
      </c>
      <c r="D43" s="9">
        <f t="shared" si="51"/>
        <v>0</v>
      </c>
      <c r="E43" s="9">
        <f t="shared" si="51"/>
        <v>0</v>
      </c>
      <c r="F43" s="9">
        <f t="shared" si="51"/>
        <v>0</v>
      </c>
      <c r="G43" s="9">
        <f t="shared" si="51"/>
        <v>0</v>
      </c>
      <c r="H43" s="9">
        <f t="shared" si="51"/>
        <v>0</v>
      </c>
      <c r="I43" s="9">
        <f t="shared" si="51"/>
        <v>0</v>
      </c>
      <c r="J43" s="9">
        <f t="shared" si="51"/>
        <v>0</v>
      </c>
      <c r="K43" s="9">
        <f t="shared" si="51"/>
        <v>0</v>
      </c>
      <c r="L43" s="9">
        <f t="shared" si="51"/>
        <v>0</v>
      </c>
      <c r="M43" s="9">
        <f t="shared" si="51"/>
        <v>0</v>
      </c>
      <c r="N43" s="9">
        <f t="shared" si="51"/>
        <v>0</v>
      </c>
      <c r="O43" s="9">
        <f t="shared" si="51"/>
        <v>0</v>
      </c>
      <c r="P43" s="9">
        <f t="shared" si="51"/>
        <v>0</v>
      </c>
      <c r="Q43" s="9">
        <f t="shared" si="51"/>
        <v>0</v>
      </c>
      <c r="R43" s="9">
        <f t="shared" si="51"/>
        <v>0</v>
      </c>
      <c r="S43" s="9">
        <f t="shared" si="51"/>
        <v>-4866</v>
      </c>
      <c r="T43" s="9">
        <f t="shared" si="51"/>
        <v>0</v>
      </c>
      <c r="U43" s="9">
        <f t="shared" si="51"/>
        <v>0</v>
      </c>
      <c r="V43" s="9">
        <f t="shared" si="51"/>
        <v>0</v>
      </c>
      <c r="W43" s="9">
        <f>W44-W60-W62</f>
        <v>-13356</v>
      </c>
    </row>
    <row r="44" spans="1:54" x14ac:dyDescent="0.2">
      <c r="B44" s="35" t="s">
        <v>89</v>
      </c>
      <c r="S44" s="2">
        <v>7816</v>
      </c>
      <c r="W44" s="2">
        <v>1112</v>
      </c>
    </row>
    <row r="45" spans="1:54" x14ac:dyDescent="0.2">
      <c r="B45" s="35" t="s">
        <v>90</v>
      </c>
      <c r="S45" s="2">
        <v>10539</v>
      </c>
      <c r="W45" s="2">
        <v>15083</v>
      </c>
    </row>
    <row r="46" spans="1:54" x14ac:dyDescent="0.2">
      <c r="B46" s="35" t="s">
        <v>91</v>
      </c>
      <c r="S46" s="2">
        <v>1576</v>
      </c>
      <c r="W46" s="2">
        <v>1758</v>
      </c>
    </row>
    <row r="47" spans="1:54" x14ac:dyDescent="0.2">
      <c r="B47" s="35" t="s">
        <v>92</v>
      </c>
      <c r="C47" s="2">
        <f t="shared" ref="C47:V47" si="52">SUM(C44:C46)</f>
        <v>0</v>
      </c>
      <c r="D47" s="2">
        <f t="shared" si="52"/>
        <v>0</v>
      </c>
      <c r="E47" s="2">
        <f t="shared" si="52"/>
        <v>0</v>
      </c>
      <c r="F47" s="2">
        <f t="shared" si="52"/>
        <v>0</v>
      </c>
      <c r="G47" s="2">
        <f t="shared" si="52"/>
        <v>0</v>
      </c>
      <c r="H47" s="2">
        <f t="shared" si="52"/>
        <v>0</v>
      </c>
      <c r="I47" s="2">
        <f t="shared" si="52"/>
        <v>0</v>
      </c>
      <c r="J47" s="2">
        <f t="shared" si="52"/>
        <v>0</v>
      </c>
      <c r="K47" s="2">
        <f t="shared" si="52"/>
        <v>0</v>
      </c>
      <c r="L47" s="2">
        <f t="shared" si="52"/>
        <v>0</v>
      </c>
      <c r="M47" s="2">
        <f t="shared" si="52"/>
        <v>0</v>
      </c>
      <c r="N47" s="2">
        <f t="shared" si="52"/>
        <v>0</v>
      </c>
      <c r="O47" s="2">
        <f t="shared" si="52"/>
        <v>0</v>
      </c>
      <c r="P47" s="2">
        <f t="shared" si="52"/>
        <v>0</v>
      </c>
      <c r="Q47" s="2">
        <f t="shared" si="52"/>
        <v>0</v>
      </c>
      <c r="R47" s="2">
        <f t="shared" si="52"/>
        <v>0</v>
      </c>
      <c r="S47" s="2">
        <f t="shared" si="52"/>
        <v>19931</v>
      </c>
      <c r="T47" s="2">
        <f t="shared" si="52"/>
        <v>0</v>
      </c>
      <c r="U47" s="2">
        <f t="shared" si="52"/>
        <v>0</v>
      </c>
      <c r="V47" s="2">
        <f t="shared" si="52"/>
        <v>0</v>
      </c>
      <c r="W47" s="2">
        <f>SUM(W44:W46)</f>
        <v>17953</v>
      </c>
    </row>
    <row r="48" spans="1:54" x14ac:dyDescent="0.2">
      <c r="B48" s="35" t="s">
        <v>93</v>
      </c>
      <c r="S48" s="2">
        <v>6146</v>
      </c>
      <c r="W48" s="2">
        <v>6164</v>
      </c>
    </row>
    <row r="49" spans="1:23" x14ac:dyDescent="0.2">
      <c r="B49" s="35" t="s">
        <v>94</v>
      </c>
      <c r="S49" s="2">
        <v>31710</v>
      </c>
      <c r="W49" s="2">
        <v>33300</v>
      </c>
    </row>
    <row r="50" spans="1:23" x14ac:dyDescent="0.2">
      <c r="B50" s="35" t="s">
        <v>95</v>
      </c>
      <c r="S50" s="2">
        <v>5496</v>
      </c>
      <c r="W50" s="2">
        <v>6459</v>
      </c>
    </row>
    <row r="51" spans="1:23" x14ac:dyDescent="0.2">
      <c r="B51" s="35" t="s">
        <v>96</v>
      </c>
      <c r="S51" s="2">
        <v>2256</v>
      </c>
      <c r="W51" s="2">
        <v>2588</v>
      </c>
    </row>
    <row r="52" spans="1:23" x14ac:dyDescent="0.2">
      <c r="B52" s="35" t="s">
        <v>97</v>
      </c>
      <c r="S52" s="2">
        <v>973</v>
      </c>
      <c r="W52" s="2">
        <v>1444</v>
      </c>
    </row>
    <row r="53" spans="1:23" x14ac:dyDescent="0.2">
      <c r="B53" s="35" t="s">
        <v>98</v>
      </c>
      <c r="S53" s="2">
        <v>-19777</v>
      </c>
      <c r="W53" s="2">
        <v>-21285</v>
      </c>
    </row>
    <row r="54" spans="1:23" x14ac:dyDescent="0.2">
      <c r="B54" s="35" t="s">
        <v>99</v>
      </c>
      <c r="C54" s="2">
        <f t="shared" ref="C54:V54" si="53">SUM(C48:C53)</f>
        <v>0</v>
      </c>
      <c r="D54" s="2">
        <f t="shared" si="53"/>
        <v>0</v>
      </c>
      <c r="E54" s="2">
        <f t="shared" si="53"/>
        <v>0</v>
      </c>
      <c r="F54" s="2">
        <f t="shared" si="53"/>
        <v>0</v>
      </c>
      <c r="G54" s="2">
        <f t="shared" si="53"/>
        <v>0</v>
      </c>
      <c r="H54" s="2">
        <f t="shared" si="53"/>
        <v>0</v>
      </c>
      <c r="I54" s="2">
        <f t="shared" si="53"/>
        <v>0</v>
      </c>
      <c r="J54" s="2">
        <f t="shared" si="53"/>
        <v>0</v>
      </c>
      <c r="K54" s="2">
        <f t="shared" si="53"/>
        <v>0</v>
      </c>
      <c r="L54" s="2">
        <f t="shared" si="53"/>
        <v>0</v>
      </c>
      <c r="M54" s="2">
        <f t="shared" si="53"/>
        <v>0</v>
      </c>
      <c r="N54" s="2">
        <f t="shared" si="53"/>
        <v>0</v>
      </c>
      <c r="O54" s="2">
        <f t="shared" si="53"/>
        <v>0</v>
      </c>
      <c r="P54" s="2">
        <f t="shared" si="53"/>
        <v>0</v>
      </c>
      <c r="Q54" s="2">
        <f t="shared" si="53"/>
        <v>0</v>
      </c>
      <c r="R54" s="2">
        <f t="shared" si="53"/>
        <v>0</v>
      </c>
      <c r="S54" s="2">
        <f t="shared" si="53"/>
        <v>26804</v>
      </c>
      <c r="T54" s="2">
        <f t="shared" si="53"/>
        <v>0</v>
      </c>
      <c r="U54" s="2">
        <f t="shared" si="53"/>
        <v>0</v>
      </c>
      <c r="V54" s="2">
        <f t="shared" si="53"/>
        <v>0</v>
      </c>
      <c r="W54" s="2">
        <f>SUM(W48:W53)</f>
        <v>28670</v>
      </c>
    </row>
    <row r="55" spans="1:23" x14ac:dyDescent="0.2">
      <c r="B55" s="35" t="s">
        <v>100</v>
      </c>
      <c r="S55" s="2">
        <v>2362</v>
      </c>
      <c r="W55" s="2">
        <v>2571</v>
      </c>
    </row>
    <row r="56" spans="1:23" x14ac:dyDescent="0.2">
      <c r="B56" s="35" t="s">
        <v>101</v>
      </c>
      <c r="S56" s="2">
        <v>1374</v>
      </c>
      <c r="W56" s="2">
        <v>1648</v>
      </c>
    </row>
    <row r="57" spans="1:23" s="9" customFormat="1" ht="15" x14ac:dyDescent="0.25">
      <c r="A57" s="8"/>
      <c r="B57" s="8" t="s">
        <v>102</v>
      </c>
      <c r="C57" s="9">
        <f t="shared" ref="C57:V57" si="54">C47+C54+C55+C56</f>
        <v>0</v>
      </c>
      <c r="D57" s="9">
        <f t="shared" si="54"/>
        <v>0</v>
      </c>
      <c r="E57" s="9">
        <f t="shared" si="54"/>
        <v>0</v>
      </c>
      <c r="F57" s="9">
        <f t="shared" si="54"/>
        <v>0</v>
      </c>
      <c r="G57" s="9">
        <f t="shared" si="54"/>
        <v>0</v>
      </c>
      <c r="H57" s="9">
        <f t="shared" si="54"/>
        <v>0</v>
      </c>
      <c r="I57" s="9">
        <f t="shared" si="54"/>
        <v>0</v>
      </c>
      <c r="J57" s="9">
        <f t="shared" si="54"/>
        <v>0</v>
      </c>
      <c r="K57" s="9">
        <f t="shared" si="54"/>
        <v>0</v>
      </c>
      <c r="L57" s="9">
        <f t="shared" si="54"/>
        <v>0</v>
      </c>
      <c r="M57" s="9">
        <f t="shared" si="54"/>
        <v>0</v>
      </c>
      <c r="N57" s="9">
        <f t="shared" si="54"/>
        <v>0</v>
      </c>
      <c r="O57" s="9">
        <f t="shared" si="54"/>
        <v>0</v>
      </c>
      <c r="P57" s="9">
        <f t="shared" si="54"/>
        <v>0</v>
      </c>
      <c r="Q57" s="9">
        <f t="shared" si="54"/>
        <v>0</v>
      </c>
      <c r="R57" s="9">
        <f t="shared" si="54"/>
        <v>0</v>
      </c>
      <c r="S57" s="9">
        <f t="shared" si="54"/>
        <v>50471</v>
      </c>
      <c r="T57" s="9">
        <f t="shared" si="54"/>
        <v>0</v>
      </c>
      <c r="U57" s="9">
        <f t="shared" si="54"/>
        <v>0</v>
      </c>
      <c r="V57" s="9">
        <f t="shared" si="54"/>
        <v>0</v>
      </c>
      <c r="W57" s="9">
        <f>W47+W54+W55+W56</f>
        <v>50842</v>
      </c>
    </row>
    <row r="58" spans="1:23" x14ac:dyDescent="0.2">
      <c r="B58" s="35" t="s">
        <v>103</v>
      </c>
      <c r="S58" s="2">
        <v>11637</v>
      </c>
      <c r="W58" s="2">
        <v>14053</v>
      </c>
    </row>
    <row r="59" spans="1:23" x14ac:dyDescent="0.2">
      <c r="B59" s="35" t="s">
        <v>104</v>
      </c>
      <c r="S59" s="2">
        <v>5788</v>
      </c>
      <c r="W59" s="2">
        <v>5582</v>
      </c>
    </row>
    <row r="60" spans="1:23" x14ac:dyDescent="0.2">
      <c r="B60" s="35" t="s">
        <v>105</v>
      </c>
      <c r="S60" s="2">
        <v>1173</v>
      </c>
      <c r="W60" s="2">
        <v>1089</v>
      </c>
    </row>
    <row r="61" spans="1:23" x14ac:dyDescent="0.2">
      <c r="B61" s="35" t="s">
        <v>106</v>
      </c>
      <c r="C61" s="2">
        <f t="shared" ref="C61:V61" si="55">SUM(C58:C60)</f>
        <v>0</v>
      </c>
      <c r="D61" s="2">
        <f t="shared" si="55"/>
        <v>0</v>
      </c>
      <c r="E61" s="2">
        <f t="shared" si="55"/>
        <v>0</v>
      </c>
      <c r="F61" s="2">
        <f t="shared" si="55"/>
        <v>0</v>
      </c>
      <c r="G61" s="2">
        <f t="shared" si="55"/>
        <v>0</v>
      </c>
      <c r="H61" s="2">
        <f t="shared" si="55"/>
        <v>0</v>
      </c>
      <c r="I61" s="2">
        <f t="shared" si="55"/>
        <v>0</v>
      </c>
      <c r="J61" s="2">
        <f t="shared" si="55"/>
        <v>0</v>
      </c>
      <c r="K61" s="2">
        <f t="shared" si="55"/>
        <v>0</v>
      </c>
      <c r="L61" s="2">
        <f t="shared" si="55"/>
        <v>0</v>
      </c>
      <c r="M61" s="2">
        <f t="shared" si="55"/>
        <v>0</v>
      </c>
      <c r="N61" s="2">
        <f t="shared" si="55"/>
        <v>0</v>
      </c>
      <c r="O61" s="2">
        <f t="shared" si="55"/>
        <v>0</v>
      </c>
      <c r="P61" s="2">
        <f t="shared" si="55"/>
        <v>0</v>
      </c>
      <c r="Q61" s="2">
        <f t="shared" si="55"/>
        <v>0</v>
      </c>
      <c r="R61" s="2">
        <f t="shared" si="55"/>
        <v>0</v>
      </c>
      <c r="S61" s="2">
        <f t="shared" si="55"/>
        <v>18598</v>
      </c>
      <c r="T61" s="2">
        <f t="shared" si="55"/>
        <v>0</v>
      </c>
      <c r="U61" s="2">
        <f t="shared" si="55"/>
        <v>0</v>
      </c>
      <c r="V61" s="2">
        <f t="shared" si="55"/>
        <v>0</v>
      </c>
      <c r="W61" s="2">
        <f>SUM(W58:W60)</f>
        <v>20724</v>
      </c>
    </row>
    <row r="62" spans="1:23" x14ac:dyDescent="0.2">
      <c r="B62" s="35" t="s">
        <v>107</v>
      </c>
      <c r="C62" s="2"/>
      <c r="D62" s="2"/>
      <c r="S62" s="2">
        <v>11509</v>
      </c>
      <c r="W62" s="2">
        <v>13379</v>
      </c>
    </row>
    <row r="63" spans="1:23" x14ac:dyDescent="0.2">
      <c r="B63" s="35" t="s">
        <v>108</v>
      </c>
      <c r="C63" s="2"/>
      <c r="D63" s="2"/>
      <c r="S63" s="2">
        <v>2337</v>
      </c>
      <c r="W63" s="2">
        <v>2581</v>
      </c>
    </row>
    <row r="64" spans="1:23" x14ac:dyDescent="0.2">
      <c r="B64" s="35" t="s">
        <v>109</v>
      </c>
      <c r="C64" s="2"/>
      <c r="D64" s="2"/>
      <c r="S64" s="2">
        <v>1169</v>
      </c>
      <c r="W64" s="2">
        <v>1752</v>
      </c>
    </row>
    <row r="65" spans="1:23" x14ac:dyDescent="0.2">
      <c r="B65" s="35" t="s">
        <v>110</v>
      </c>
      <c r="C65" s="2"/>
      <c r="D65" s="2"/>
      <c r="S65" s="2">
        <v>1899</v>
      </c>
      <c r="W65" s="2">
        <v>1632</v>
      </c>
    </row>
    <row r="66" spans="1:23" s="9" customFormat="1" ht="15" x14ac:dyDescent="0.25">
      <c r="A66" s="8"/>
      <c r="B66" s="8" t="s">
        <v>111</v>
      </c>
      <c r="C66" s="9">
        <f t="shared" ref="C66:V66" si="56">SUM(C61:C65)</f>
        <v>0</v>
      </c>
      <c r="D66" s="9">
        <f t="shared" si="56"/>
        <v>0</v>
      </c>
      <c r="E66" s="9">
        <f t="shared" si="56"/>
        <v>0</v>
      </c>
      <c r="F66" s="9">
        <f t="shared" si="56"/>
        <v>0</v>
      </c>
      <c r="G66" s="9">
        <f t="shared" si="56"/>
        <v>0</v>
      </c>
      <c r="H66" s="9">
        <f t="shared" si="56"/>
        <v>0</v>
      </c>
      <c r="I66" s="9">
        <f t="shared" si="56"/>
        <v>0</v>
      </c>
      <c r="J66" s="9">
        <f t="shared" si="56"/>
        <v>0</v>
      </c>
      <c r="K66" s="9">
        <f t="shared" si="56"/>
        <v>0</v>
      </c>
      <c r="L66" s="9">
        <f t="shared" si="56"/>
        <v>0</v>
      </c>
      <c r="M66" s="9">
        <f t="shared" si="56"/>
        <v>0</v>
      </c>
      <c r="N66" s="9">
        <f t="shared" si="56"/>
        <v>0</v>
      </c>
      <c r="O66" s="9">
        <f t="shared" si="56"/>
        <v>0</v>
      </c>
      <c r="P66" s="9">
        <f t="shared" si="56"/>
        <v>0</v>
      </c>
      <c r="Q66" s="9">
        <f t="shared" si="56"/>
        <v>0</v>
      </c>
      <c r="R66" s="9">
        <f t="shared" si="56"/>
        <v>0</v>
      </c>
      <c r="S66" s="9">
        <f t="shared" si="56"/>
        <v>35512</v>
      </c>
      <c r="T66" s="9">
        <f t="shared" si="56"/>
        <v>0</v>
      </c>
      <c r="U66" s="9">
        <f t="shared" si="56"/>
        <v>0</v>
      </c>
      <c r="V66" s="9">
        <f t="shared" si="56"/>
        <v>0</v>
      </c>
      <c r="W66" s="9">
        <f>SUM(W61:W65)</f>
        <v>40068</v>
      </c>
    </row>
    <row r="67" spans="1:23" x14ac:dyDescent="0.2">
      <c r="B67" s="35" t="s">
        <v>112</v>
      </c>
      <c r="S67" s="2">
        <v>14959</v>
      </c>
      <c r="W67" s="2">
        <v>10774</v>
      </c>
    </row>
    <row r="68" spans="1:23" s="9" customFormat="1" ht="15" x14ac:dyDescent="0.25">
      <c r="A68" s="8"/>
      <c r="B68" s="8" t="s">
        <v>113</v>
      </c>
      <c r="C68" s="9">
        <f t="shared" ref="C68:V68" si="57">C66+C67</f>
        <v>0</v>
      </c>
      <c r="D68" s="9">
        <f t="shared" si="57"/>
        <v>0</v>
      </c>
      <c r="E68" s="9">
        <f t="shared" si="57"/>
        <v>0</v>
      </c>
      <c r="F68" s="9">
        <f t="shared" si="57"/>
        <v>0</v>
      </c>
      <c r="G68" s="9">
        <f t="shared" si="57"/>
        <v>0</v>
      </c>
      <c r="H68" s="9">
        <f t="shared" si="57"/>
        <v>0</v>
      </c>
      <c r="I68" s="9">
        <f t="shared" si="57"/>
        <v>0</v>
      </c>
      <c r="J68" s="9">
        <f t="shared" si="57"/>
        <v>0</v>
      </c>
      <c r="K68" s="9">
        <f t="shared" si="57"/>
        <v>0</v>
      </c>
      <c r="L68" s="9">
        <f t="shared" si="57"/>
        <v>0</v>
      </c>
      <c r="M68" s="9">
        <f t="shared" si="57"/>
        <v>0</v>
      </c>
      <c r="N68" s="9">
        <f t="shared" si="57"/>
        <v>0</v>
      </c>
      <c r="O68" s="9">
        <f t="shared" si="57"/>
        <v>0</v>
      </c>
      <c r="P68" s="9">
        <f t="shared" si="57"/>
        <v>0</v>
      </c>
      <c r="Q68" s="9">
        <f t="shared" si="57"/>
        <v>0</v>
      </c>
      <c r="R68" s="9">
        <f t="shared" si="57"/>
        <v>0</v>
      </c>
      <c r="S68" s="9">
        <f t="shared" si="57"/>
        <v>50471</v>
      </c>
      <c r="T68" s="9">
        <f t="shared" si="57"/>
        <v>0</v>
      </c>
      <c r="U68" s="9">
        <f t="shared" si="57"/>
        <v>0</v>
      </c>
      <c r="V68" s="9">
        <f t="shared" si="57"/>
        <v>0</v>
      </c>
      <c r="W68" s="9">
        <f>W66+W67</f>
        <v>50842</v>
      </c>
    </row>
  </sheetData>
  <conditionalFormatting sqref="AQ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tabSelected="1"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0.13063560301565624</v>
      </c>
      <c r="D9" s="27" t="s">
        <v>76</v>
      </c>
    </row>
    <row r="10" spans="2:4" x14ac:dyDescent="0.2">
      <c r="B10" s="1" t="s">
        <v>14</v>
      </c>
      <c r="C10" s="2">
        <v>421</v>
      </c>
      <c r="D10" s="27" t="s">
        <v>77</v>
      </c>
    </row>
    <row r="11" spans="2:4" x14ac:dyDescent="0.2">
      <c r="B11" s="1" t="s">
        <v>15</v>
      </c>
      <c r="C11" s="3">
        <f>(C10*(1-C9))/C3</f>
        <v>2.5297374283274037E-2</v>
      </c>
    </row>
    <row r="13" spans="2:4" x14ac:dyDescent="0.2">
      <c r="B13" s="1" t="s">
        <v>16</v>
      </c>
      <c r="C13" s="3">
        <f>'[1]T-Bond Yields'!$C$7</f>
        <v>2.8799999999999999E-2</v>
      </c>
    </row>
    <row r="14" spans="2:4" x14ac:dyDescent="0.2">
      <c r="B14" s="1" t="s">
        <v>17</v>
      </c>
      <c r="C14" s="28">
        <v>1</v>
      </c>
      <c r="D14" s="1" t="s">
        <v>65</v>
      </c>
    </row>
    <row r="15" spans="2:4" x14ac:dyDescent="0.2">
      <c r="B15" s="1" t="s">
        <v>18</v>
      </c>
      <c r="C15" s="4">
        <v>0.06</v>
      </c>
      <c r="D15" s="1" t="s">
        <v>19</v>
      </c>
    </row>
    <row r="16" spans="2:4" x14ac:dyDescent="0.2">
      <c r="B16" s="1" t="s">
        <v>20</v>
      </c>
      <c r="C16" s="3">
        <f>(C13+C14*(C15-C13))</f>
        <v>0.06</v>
      </c>
    </row>
    <row r="18" spans="2:3" x14ac:dyDescent="0.2">
      <c r="B18" s="1" t="s">
        <v>21</v>
      </c>
      <c r="C18" s="3">
        <f>(C7*C16)+(C6*C11)*(1-C9)</f>
        <v>5.3950410437967056E-2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2022-07-30T19:04:57Z</dcterms:modified>
</cp:coreProperties>
</file>