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William S\Documents\Models Backup\"/>
    </mc:Choice>
  </mc:AlternateContent>
  <xr:revisionPtr revIDLastSave="0" documentId="13_ncr:1_{44574F1A-85DA-407D-A137-1EEEBB95C390}" xr6:coauthVersionLast="47" xr6:coauthVersionMax="47" xr10:uidLastSave="{00000000-0000-0000-0000-000000000000}"/>
  <bookViews>
    <workbookView xWindow="-120" yWindow="-120" windowWidth="29040" windowHeight="15840" activeTab="1" xr2:uid="{FB0A6173-1360-433C-88A0-C11949A07E2D}"/>
  </bookViews>
  <sheets>
    <sheet name="Main" sheetId="2" r:id="rId1"/>
    <sheet name="Model" sheetId="1" r:id="rId2"/>
    <sheet name="WACC" sheetId="3" r:id="rId3"/>
  </sheets>
  <externalReferences>
    <externalReference r:id="rId4"/>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D16" i="1" l="1"/>
  <c r="AD15" i="1"/>
  <c r="AD11" i="1"/>
  <c r="AD3" i="1"/>
  <c r="F13" i="1"/>
  <c r="AC13" i="1" s="1"/>
  <c r="F9" i="1"/>
  <c r="AC9" i="1" s="1"/>
  <c r="F5" i="1"/>
  <c r="F22" i="1" s="1"/>
  <c r="J12" i="1"/>
  <c r="J13" i="1" s="1"/>
  <c r="J11" i="1"/>
  <c r="J8" i="1"/>
  <c r="AD8" i="1" s="1"/>
  <c r="J7" i="1"/>
  <c r="AD7" i="1" s="1"/>
  <c r="J4" i="1"/>
  <c r="AD4" i="1" s="1"/>
  <c r="J3" i="1"/>
  <c r="C22" i="1"/>
  <c r="D22" i="1"/>
  <c r="E22" i="1"/>
  <c r="E17" i="1"/>
  <c r="AG1" i="1"/>
  <c r="AD1" i="1"/>
  <c r="AE1" i="1"/>
  <c r="AF1" i="1"/>
  <c r="N12" i="1"/>
  <c r="N11" i="1"/>
  <c r="N13" i="1" s="1"/>
  <c r="N8" i="1"/>
  <c r="N20" i="1" s="1"/>
  <c r="N7" i="1"/>
  <c r="N4" i="1"/>
  <c r="N3" i="1"/>
  <c r="N19" i="1" s="1"/>
  <c r="AE15" i="1"/>
  <c r="AE17" i="1" s="1"/>
  <c r="AE16" i="1"/>
  <c r="AE12" i="1"/>
  <c r="AE11" i="1"/>
  <c r="AE8" i="1"/>
  <c r="AE7" i="1"/>
  <c r="AE4" i="1"/>
  <c r="AE3" i="1"/>
  <c r="AF15" i="1"/>
  <c r="AF12" i="1"/>
  <c r="AF7" i="1"/>
  <c r="R16" i="1"/>
  <c r="AF16" i="1" s="1"/>
  <c r="R15" i="1"/>
  <c r="R12" i="1"/>
  <c r="R11" i="1"/>
  <c r="R13" i="1" s="1"/>
  <c r="R8" i="1"/>
  <c r="AF8" i="1" s="1"/>
  <c r="R7" i="1"/>
  <c r="R4" i="1"/>
  <c r="AF4" i="1" s="1"/>
  <c r="R3" i="1"/>
  <c r="AF3" i="1" s="1"/>
  <c r="AF5" i="1" s="1"/>
  <c r="V16" i="1"/>
  <c r="AG16" i="1" s="1"/>
  <c r="V15" i="1"/>
  <c r="AG15" i="1" s="1"/>
  <c r="V12" i="1"/>
  <c r="V11" i="1"/>
  <c r="AG11" i="1" s="1"/>
  <c r="V8" i="1"/>
  <c r="V9" i="1" s="1"/>
  <c r="V7" i="1"/>
  <c r="AG7" i="1" s="1"/>
  <c r="AG12" i="1"/>
  <c r="AC20" i="1"/>
  <c r="AC19" i="1"/>
  <c r="AD17" i="1"/>
  <c r="AC17" i="1"/>
  <c r="V4" i="1"/>
  <c r="AG4" i="1" s="1"/>
  <c r="V3" i="1"/>
  <c r="AG3" i="1" s="1"/>
  <c r="W20" i="1"/>
  <c r="U20" i="1"/>
  <c r="T20" i="1"/>
  <c r="S20" i="1"/>
  <c r="Q20" i="1"/>
  <c r="P20" i="1"/>
  <c r="O20" i="1"/>
  <c r="M20" i="1"/>
  <c r="L20" i="1"/>
  <c r="K20" i="1"/>
  <c r="I20" i="1"/>
  <c r="H20" i="1"/>
  <c r="G20" i="1"/>
  <c r="F20" i="1"/>
  <c r="E20" i="1"/>
  <c r="D20" i="1"/>
  <c r="C20" i="1"/>
  <c r="W19" i="1"/>
  <c r="U19" i="1"/>
  <c r="T19" i="1"/>
  <c r="S19" i="1"/>
  <c r="Q19" i="1"/>
  <c r="P19" i="1"/>
  <c r="O19" i="1"/>
  <c r="M19" i="1"/>
  <c r="L19" i="1"/>
  <c r="K19" i="1"/>
  <c r="I19" i="1"/>
  <c r="H19" i="1"/>
  <c r="G19" i="1"/>
  <c r="F19" i="1"/>
  <c r="E19" i="1"/>
  <c r="D19" i="1"/>
  <c r="C19" i="1"/>
  <c r="W17" i="1"/>
  <c r="V17" i="1"/>
  <c r="U17" i="1"/>
  <c r="T17" i="1"/>
  <c r="S17" i="1"/>
  <c r="Q17" i="1"/>
  <c r="P17" i="1"/>
  <c r="O17" i="1"/>
  <c r="N17" i="1"/>
  <c r="M17" i="1"/>
  <c r="L17" i="1"/>
  <c r="K17" i="1"/>
  <c r="J17" i="1"/>
  <c r="I17" i="1"/>
  <c r="H17" i="1"/>
  <c r="G17" i="1"/>
  <c r="F17" i="1"/>
  <c r="D17" i="1"/>
  <c r="C17" i="1"/>
  <c r="W13" i="1"/>
  <c r="U13" i="1"/>
  <c r="T13" i="1"/>
  <c r="S13" i="1"/>
  <c r="Q13" i="1"/>
  <c r="P13" i="1"/>
  <c r="O13" i="1"/>
  <c r="M13" i="1"/>
  <c r="L13" i="1"/>
  <c r="K13" i="1"/>
  <c r="I13" i="1"/>
  <c r="H13" i="1"/>
  <c r="G13" i="1"/>
  <c r="W9" i="1"/>
  <c r="U9" i="1"/>
  <c r="T9" i="1"/>
  <c r="S9" i="1"/>
  <c r="R9" i="1"/>
  <c r="Q9" i="1"/>
  <c r="P9" i="1"/>
  <c r="O9" i="1"/>
  <c r="N9" i="1"/>
  <c r="M9" i="1"/>
  <c r="L9" i="1"/>
  <c r="K9" i="1"/>
  <c r="I9" i="1"/>
  <c r="H9" i="1"/>
  <c r="G9" i="1"/>
  <c r="W5" i="1"/>
  <c r="V5" i="1"/>
  <c r="U5" i="1"/>
  <c r="T5" i="1"/>
  <c r="S5" i="1"/>
  <c r="Q5" i="1"/>
  <c r="P5" i="1"/>
  <c r="O5" i="1"/>
  <c r="M5" i="1"/>
  <c r="L5" i="1"/>
  <c r="K5" i="1"/>
  <c r="J5" i="1"/>
  <c r="I5" i="1"/>
  <c r="H5" i="1"/>
  <c r="G5" i="1"/>
  <c r="X20" i="1"/>
  <c r="X19" i="1"/>
  <c r="X22" i="1" s="1"/>
  <c r="X17" i="1"/>
  <c r="X13" i="1"/>
  <c r="X9" i="1"/>
  <c r="X5" i="1"/>
  <c r="X29" i="1"/>
  <c r="C8" i="2"/>
  <c r="C7" i="2"/>
  <c r="AH33" i="1"/>
  <c r="AH26" i="1"/>
  <c r="Z35" i="1"/>
  <c r="AH35" i="1" s="1"/>
  <c r="Y35" i="1"/>
  <c r="X44" i="1"/>
  <c r="Z25" i="1"/>
  <c r="Z27" i="1" s="1"/>
  <c r="Y25" i="1"/>
  <c r="Z23" i="1"/>
  <c r="Z40" i="1" s="1"/>
  <c r="Y23" i="1"/>
  <c r="AG35" i="1"/>
  <c r="AG33" i="1"/>
  <c r="AG31" i="1"/>
  <c r="AG26" i="1"/>
  <c r="AG25" i="1"/>
  <c r="AG23" i="1"/>
  <c r="AE26" i="1"/>
  <c r="AE27" i="1" s="1"/>
  <c r="AD26" i="1"/>
  <c r="AD27" i="1" s="1"/>
  <c r="AC26" i="1"/>
  <c r="AF35" i="1"/>
  <c r="AF33" i="1"/>
  <c r="AF31" i="1"/>
  <c r="AF26" i="1"/>
  <c r="AF25" i="1"/>
  <c r="AF23" i="1"/>
  <c r="T29" i="1"/>
  <c r="U29" i="1"/>
  <c r="Y29" i="1" s="1"/>
  <c r="U27" i="1"/>
  <c r="T27" i="1"/>
  <c r="S27" i="1"/>
  <c r="R27" i="1"/>
  <c r="Q27" i="1"/>
  <c r="P27" i="1"/>
  <c r="O27" i="1"/>
  <c r="M27" i="1"/>
  <c r="L27" i="1"/>
  <c r="K27" i="1"/>
  <c r="I27" i="1"/>
  <c r="H27" i="1"/>
  <c r="G27" i="1"/>
  <c r="E27" i="1"/>
  <c r="D27" i="1"/>
  <c r="C27" i="1"/>
  <c r="Y27" i="1"/>
  <c r="W27" i="1"/>
  <c r="V27" i="1"/>
  <c r="V29" i="1"/>
  <c r="Z29" i="1" s="1"/>
  <c r="W29" i="1"/>
  <c r="S40" i="1"/>
  <c r="T40" i="1"/>
  <c r="U40" i="1"/>
  <c r="V40" i="1"/>
  <c r="W40" i="1"/>
  <c r="X40" i="1"/>
  <c r="S44" i="1"/>
  <c r="T44" i="1"/>
  <c r="U44" i="1"/>
  <c r="V44" i="1"/>
  <c r="W44" i="1"/>
  <c r="S29" i="1"/>
  <c r="C13" i="3"/>
  <c r="R29" i="1"/>
  <c r="AD5" i="1" l="1"/>
  <c r="AG5" i="1"/>
  <c r="AD19" i="1"/>
  <c r="AD9" i="1"/>
  <c r="AF9" i="1"/>
  <c r="N5" i="1"/>
  <c r="AD12" i="1"/>
  <c r="AD20" i="1" s="1"/>
  <c r="AD22" i="1" s="1"/>
  <c r="AC5" i="1"/>
  <c r="AC22" i="1" s="1"/>
  <c r="AG8" i="1"/>
  <c r="AF11" i="1"/>
  <c r="AF13" i="1" s="1"/>
  <c r="J19" i="1"/>
  <c r="V13" i="1"/>
  <c r="V19" i="1"/>
  <c r="J20" i="1"/>
  <c r="J9" i="1"/>
  <c r="J22" i="1"/>
  <c r="AF17" i="1"/>
  <c r="AF20" i="1"/>
  <c r="G22" i="1"/>
  <c r="H22" i="1"/>
  <c r="I22" i="1"/>
  <c r="N22" i="1"/>
  <c r="AE13" i="1"/>
  <c r="K22" i="1"/>
  <c r="L22" i="1"/>
  <c r="AE9" i="1"/>
  <c r="AE5" i="1"/>
  <c r="AE20" i="1"/>
  <c r="AE19" i="1"/>
  <c r="M22" i="1"/>
  <c r="R17" i="1"/>
  <c r="R20" i="1"/>
  <c r="R19" i="1"/>
  <c r="R22" i="1" s="1"/>
  <c r="R5" i="1"/>
  <c r="V20" i="1"/>
  <c r="V22" i="1" s="1"/>
  <c r="V24" i="1" s="1"/>
  <c r="AG17" i="1"/>
  <c r="AG20" i="1"/>
  <c r="AG13" i="1"/>
  <c r="AG9" i="1"/>
  <c r="AG19" i="1"/>
  <c r="O22" i="1"/>
  <c r="P22" i="1"/>
  <c r="T39" i="1" s="1"/>
  <c r="Q22" i="1"/>
  <c r="U22" i="1"/>
  <c r="S22" i="1"/>
  <c r="S24" i="1" s="1"/>
  <c r="W22" i="1"/>
  <c r="W24" i="1" s="1"/>
  <c r="W46" i="1" s="1"/>
  <c r="T22" i="1"/>
  <c r="T24" i="1" s="1"/>
  <c r="U24" i="1"/>
  <c r="U46" i="1" s="1"/>
  <c r="X24" i="1"/>
  <c r="X46" i="1" s="1"/>
  <c r="Z44" i="1"/>
  <c r="X39" i="1"/>
  <c r="AH23" i="1"/>
  <c r="AI23" i="1" s="1"/>
  <c r="AJ23" i="1" s="1"/>
  <c r="AK23" i="1" s="1"/>
  <c r="AG29" i="1"/>
  <c r="Y40" i="1"/>
  <c r="AF27" i="1"/>
  <c r="AH25" i="1"/>
  <c r="AI25" i="1" s="1"/>
  <c r="AJ25" i="1" s="1"/>
  <c r="AK25" i="1" s="1"/>
  <c r="S41" i="1"/>
  <c r="AH29" i="1"/>
  <c r="AI29" i="1" s="1"/>
  <c r="AJ29" i="1" s="1"/>
  <c r="AK29" i="1" s="1"/>
  <c r="AG27" i="1"/>
  <c r="Z41" i="1"/>
  <c r="X27" i="1"/>
  <c r="X41" i="1" s="1"/>
  <c r="W41" i="1"/>
  <c r="T41" i="1"/>
  <c r="U41" i="1"/>
  <c r="V41" i="1"/>
  <c r="Y41" i="1"/>
  <c r="AO42" i="1"/>
  <c r="AF19" i="1" l="1"/>
  <c r="AF22" i="1" s="1"/>
  <c r="AD13" i="1"/>
  <c r="W39" i="1"/>
  <c r="AE22" i="1"/>
  <c r="AG22" i="1"/>
  <c r="Z22" i="1"/>
  <c r="Z39" i="1" s="1"/>
  <c r="V39" i="1"/>
  <c r="V46" i="1"/>
  <c r="V28" i="1"/>
  <c r="V30" i="1" s="1"/>
  <c r="V32" i="1" s="1"/>
  <c r="Z24" i="1"/>
  <c r="Z46" i="1" s="1"/>
  <c r="AF24" i="1"/>
  <c r="AF28" i="1" s="1"/>
  <c r="U39" i="1"/>
  <c r="Y22" i="1"/>
  <c r="S46" i="1"/>
  <c r="S28" i="1"/>
  <c r="S47" i="1" s="1"/>
  <c r="S39" i="1"/>
  <c r="W28" i="1"/>
  <c r="T46" i="1"/>
  <c r="T28" i="1"/>
  <c r="T30" i="1" s="1"/>
  <c r="T48" i="1" s="1"/>
  <c r="U28" i="1"/>
  <c r="U30" i="1" s="1"/>
  <c r="U48" i="1" s="1"/>
  <c r="X28" i="1"/>
  <c r="W47" i="1"/>
  <c r="W30" i="1"/>
  <c r="C3" i="3"/>
  <c r="C16" i="3"/>
  <c r="T47" i="1" l="1"/>
  <c r="V48" i="1"/>
  <c r="V34" i="1"/>
  <c r="V36" i="1" s="1"/>
  <c r="Z28" i="1"/>
  <c r="Z42" i="1" s="1"/>
  <c r="V47" i="1"/>
  <c r="Y39" i="1"/>
  <c r="Y24" i="1"/>
  <c r="AH22" i="1"/>
  <c r="AI22" i="1" s="1"/>
  <c r="AJ22" i="1" s="1"/>
  <c r="AK22" i="1" s="1"/>
  <c r="S30" i="1"/>
  <c r="S32" i="1" s="1"/>
  <c r="W42" i="1"/>
  <c r="X42" i="1"/>
  <c r="U47" i="1"/>
  <c r="X30" i="1"/>
  <c r="X47" i="1"/>
  <c r="S48" i="1"/>
  <c r="S34" i="1"/>
  <c r="W48" i="1"/>
  <c r="W34" i="1"/>
  <c r="W32" i="1"/>
  <c r="T34" i="1"/>
  <c r="T32" i="1"/>
  <c r="U34" i="1"/>
  <c r="U32" i="1"/>
  <c r="N33" i="1"/>
  <c r="N31" i="1"/>
  <c r="N25" i="1"/>
  <c r="N27" i="1" s="1"/>
  <c r="N23" i="1"/>
  <c r="J33" i="1"/>
  <c r="J31" i="1"/>
  <c r="J25" i="1"/>
  <c r="J27" i="1" s="1"/>
  <c r="J23" i="1"/>
  <c r="F33" i="1"/>
  <c r="F31" i="1"/>
  <c r="F23" i="1"/>
  <c r="AE29" i="1"/>
  <c r="AD29" i="1"/>
  <c r="AE35" i="1"/>
  <c r="AE44" i="1" s="1"/>
  <c r="AD24" i="1"/>
  <c r="AE24" i="1"/>
  <c r="AE40" i="1"/>
  <c r="AD40" i="1"/>
  <c r="AE39" i="1"/>
  <c r="AD39" i="1"/>
  <c r="R44" i="1"/>
  <c r="Q44" i="1"/>
  <c r="P44" i="1"/>
  <c r="O44" i="1"/>
  <c r="N44" i="1"/>
  <c r="M44" i="1"/>
  <c r="L44" i="1"/>
  <c r="K44" i="1"/>
  <c r="I44" i="1"/>
  <c r="H44" i="1"/>
  <c r="G44" i="1"/>
  <c r="Z30" i="1" l="1"/>
  <c r="Z47" i="1"/>
  <c r="Y46" i="1"/>
  <c r="Y28" i="1"/>
  <c r="Z31" i="1"/>
  <c r="Z48" i="1" s="1"/>
  <c r="X34" i="1"/>
  <c r="X36" i="1" s="1"/>
  <c r="S36" i="1"/>
  <c r="W36" i="1"/>
  <c r="W43" i="1"/>
  <c r="T36" i="1"/>
  <c r="U36" i="1"/>
  <c r="AH39" i="1"/>
  <c r="AF44" i="1"/>
  <c r="AG44" i="1"/>
  <c r="AH24" i="1"/>
  <c r="AH46" i="1" s="1"/>
  <c r="AG40" i="1"/>
  <c r="AH27" i="1"/>
  <c r="AJ39" i="1"/>
  <c r="AH40" i="1"/>
  <c r="AG24" i="1"/>
  <c r="AG46" i="1" s="1"/>
  <c r="AF41" i="1"/>
  <c r="AF40" i="1"/>
  <c r="R24" i="1"/>
  <c r="R28" i="1" s="1"/>
  <c r="V42" i="1" s="1"/>
  <c r="AG39" i="1"/>
  <c r="AF39" i="1"/>
  <c r="AE41" i="1"/>
  <c r="AE28" i="1"/>
  <c r="AD44" i="1"/>
  <c r="AD28" i="1"/>
  <c r="AD30" i="1" s="1"/>
  <c r="R40" i="1"/>
  <c r="Q40" i="1"/>
  <c r="P40" i="1"/>
  <c r="O40" i="1"/>
  <c r="N40" i="1"/>
  <c r="M40" i="1"/>
  <c r="L40" i="1"/>
  <c r="K40" i="1"/>
  <c r="J40" i="1"/>
  <c r="I40" i="1"/>
  <c r="H40" i="1"/>
  <c r="R39" i="1"/>
  <c r="Q39" i="1"/>
  <c r="P39" i="1"/>
  <c r="O39" i="1"/>
  <c r="N39" i="1"/>
  <c r="M39" i="1"/>
  <c r="L39" i="1"/>
  <c r="K39" i="1"/>
  <c r="J39" i="1"/>
  <c r="I39" i="1"/>
  <c r="H39" i="1"/>
  <c r="G40" i="1"/>
  <c r="Z32" i="1" l="1"/>
  <c r="Z34" i="1"/>
  <c r="Y30" i="1"/>
  <c r="Y42" i="1"/>
  <c r="Y47" i="1"/>
  <c r="Z36" i="1"/>
  <c r="Z45" i="1" s="1"/>
  <c r="Z43" i="1"/>
  <c r="W45" i="1"/>
  <c r="X32" i="1"/>
  <c r="X48" i="1"/>
  <c r="X43" i="1"/>
  <c r="AI39" i="1"/>
  <c r="X45" i="1"/>
  <c r="R30" i="1"/>
  <c r="R32" i="1" s="1"/>
  <c r="AI24" i="1"/>
  <c r="AI46" i="1" s="1"/>
  <c r="AI35" i="1"/>
  <c r="AI40" i="1"/>
  <c r="AG28" i="1"/>
  <c r="AG47" i="1" s="1"/>
  <c r="AG41" i="1"/>
  <c r="AI27" i="1"/>
  <c r="AK39" i="1"/>
  <c r="AE30" i="1"/>
  <c r="AE34" i="1" s="1"/>
  <c r="AE42" i="1"/>
  <c r="AD34" i="1"/>
  <c r="AD32" i="1"/>
  <c r="G39" i="1"/>
  <c r="AD48" i="1"/>
  <c r="AE47" i="1"/>
  <c r="AD47" i="1"/>
  <c r="R47" i="1"/>
  <c r="AF46" i="1"/>
  <c r="AE46" i="1"/>
  <c r="AD46" i="1"/>
  <c r="R46" i="1"/>
  <c r="F35" i="1"/>
  <c r="J44" i="1" s="1"/>
  <c r="Y31" i="1" l="1"/>
  <c r="Y32" i="1"/>
  <c r="AE48" i="1"/>
  <c r="AE32" i="1"/>
  <c r="AJ40" i="1"/>
  <c r="AJ35" i="1"/>
  <c r="AI44" i="1"/>
  <c r="AH44" i="1"/>
  <c r="AJ24" i="1"/>
  <c r="AJ46" i="1" s="1"/>
  <c r="AF47" i="1"/>
  <c r="AF42" i="1"/>
  <c r="AG42" i="1"/>
  <c r="AJ27" i="1"/>
  <c r="AH41" i="1"/>
  <c r="AH28" i="1"/>
  <c r="R48" i="1"/>
  <c r="R34" i="1"/>
  <c r="V43" i="1" s="1"/>
  <c r="AE36" i="1"/>
  <c r="AD36" i="1"/>
  <c r="AE43" i="1"/>
  <c r="F24" i="1"/>
  <c r="F46" i="1" s="1"/>
  <c r="AC29" i="1"/>
  <c r="AC24" i="1"/>
  <c r="AC46" i="1" s="1"/>
  <c r="C29" i="1"/>
  <c r="G29" i="1"/>
  <c r="C24" i="1"/>
  <c r="G24" i="1"/>
  <c r="D29" i="1"/>
  <c r="H29" i="1"/>
  <c r="H24" i="1"/>
  <c r="D24" i="1"/>
  <c r="D46" i="1" s="1"/>
  <c r="E29" i="1"/>
  <c r="E24" i="1"/>
  <c r="I29" i="1"/>
  <c r="I41" i="1"/>
  <c r="I24" i="1"/>
  <c r="J24" i="1"/>
  <c r="R41" i="1"/>
  <c r="N24" i="1"/>
  <c r="N46" i="1" s="1"/>
  <c r="K29" i="1"/>
  <c r="O29" i="1"/>
  <c r="K41" i="1"/>
  <c r="K24" i="1"/>
  <c r="O24" i="1"/>
  <c r="O46" i="1" s="1"/>
  <c r="L29" i="1"/>
  <c r="P29" i="1"/>
  <c r="L24" i="1"/>
  <c r="L46" i="1" s="1"/>
  <c r="P41" i="1"/>
  <c r="P24" i="1"/>
  <c r="P46" i="1" s="1"/>
  <c r="M29" i="1"/>
  <c r="M24" i="1"/>
  <c r="M46" i="1" s="1"/>
  <c r="Q29" i="1"/>
  <c r="Q24" i="1"/>
  <c r="Q46" i="1" s="1"/>
  <c r="C4" i="2" a="1"/>
  <c r="C4" i="2" s="1"/>
  <c r="Y34" i="1" l="1"/>
  <c r="Y36" i="1" s="1"/>
  <c r="Y48" i="1"/>
  <c r="AH31" i="1"/>
  <c r="AF29" i="1"/>
  <c r="AF30" i="1" s="1"/>
  <c r="Y43" i="1"/>
  <c r="Y44" i="1"/>
  <c r="AK27" i="1"/>
  <c r="L41" i="1"/>
  <c r="Q41" i="1"/>
  <c r="J29" i="1"/>
  <c r="C6" i="2"/>
  <c r="C4" i="3" s="1"/>
  <c r="AO45" i="1"/>
  <c r="I28" i="1"/>
  <c r="I46" i="1"/>
  <c r="H28" i="1"/>
  <c r="H46" i="1"/>
  <c r="R36" i="1"/>
  <c r="V45" i="1" s="1"/>
  <c r="O41" i="1"/>
  <c r="G28" i="1"/>
  <c r="G46" i="1"/>
  <c r="AJ44" i="1"/>
  <c r="AK35" i="1"/>
  <c r="AK44" i="1" s="1"/>
  <c r="E28" i="1"/>
  <c r="E46" i="1"/>
  <c r="C28" i="1"/>
  <c r="C47" i="1" s="1"/>
  <c r="C46" i="1"/>
  <c r="M28" i="1"/>
  <c r="M30" i="1" s="1"/>
  <c r="M34" i="1" s="1"/>
  <c r="M41" i="1"/>
  <c r="N29" i="1"/>
  <c r="H41" i="1"/>
  <c r="Q28" i="1"/>
  <c r="U42" i="1" s="1"/>
  <c r="K28" i="1"/>
  <c r="K46" i="1"/>
  <c r="G41" i="1"/>
  <c r="F29" i="1"/>
  <c r="AK40" i="1"/>
  <c r="AK24" i="1"/>
  <c r="AK46" i="1" s="1"/>
  <c r="AI41" i="1"/>
  <c r="AI28" i="1"/>
  <c r="AH42" i="1"/>
  <c r="AH47" i="1"/>
  <c r="N41" i="1"/>
  <c r="J28" i="1"/>
  <c r="J46" i="1"/>
  <c r="AE45" i="1"/>
  <c r="D28" i="1"/>
  <c r="N28" i="1"/>
  <c r="O28" i="1"/>
  <c r="S42" i="1" s="1"/>
  <c r="L28" i="1"/>
  <c r="P28" i="1"/>
  <c r="T42" i="1" s="1"/>
  <c r="J30" i="1" l="1"/>
  <c r="Y45" i="1"/>
  <c r="C9" i="2"/>
  <c r="C30" i="1"/>
  <c r="C48" i="1" s="1"/>
  <c r="AF34" i="1"/>
  <c r="AF36" i="1" s="1"/>
  <c r="AF32" i="1"/>
  <c r="C5" i="3"/>
  <c r="C6" i="3" s="1"/>
  <c r="K42" i="1"/>
  <c r="K47" i="1"/>
  <c r="H42" i="1"/>
  <c r="H47" i="1"/>
  <c r="O30" i="1"/>
  <c r="O42" i="1"/>
  <c r="O47" i="1"/>
  <c r="H30" i="1"/>
  <c r="Q42" i="1"/>
  <c r="Q47" i="1"/>
  <c r="Q30" i="1"/>
  <c r="M42" i="1"/>
  <c r="M47" i="1"/>
  <c r="E30" i="1"/>
  <c r="E47" i="1"/>
  <c r="M48" i="1"/>
  <c r="M32" i="1"/>
  <c r="D30" i="1"/>
  <c r="D47" i="1"/>
  <c r="I30" i="1"/>
  <c r="I42" i="1"/>
  <c r="I47" i="1"/>
  <c r="L30" i="1"/>
  <c r="L42" i="1"/>
  <c r="L47" i="1"/>
  <c r="K30" i="1"/>
  <c r="P30" i="1"/>
  <c r="P42" i="1"/>
  <c r="P47" i="1"/>
  <c r="G30" i="1"/>
  <c r="G42" i="1"/>
  <c r="G47" i="1"/>
  <c r="AJ41" i="1"/>
  <c r="AJ28" i="1"/>
  <c r="AK41" i="1"/>
  <c r="AK28" i="1"/>
  <c r="AI47" i="1"/>
  <c r="AI42" i="1"/>
  <c r="N30" i="1"/>
  <c r="N34" i="1" s="1"/>
  <c r="R42" i="1"/>
  <c r="N47" i="1"/>
  <c r="J34" i="1"/>
  <c r="J48" i="1"/>
  <c r="J32" i="1"/>
  <c r="N42" i="1"/>
  <c r="J47" i="1"/>
  <c r="C34" i="1" l="1"/>
  <c r="C32" i="1"/>
  <c r="C7" i="3"/>
  <c r="AF48" i="1"/>
  <c r="G48" i="1"/>
  <c r="G32" i="1"/>
  <c r="G34" i="1"/>
  <c r="O34" i="1"/>
  <c r="S43" i="1" s="1"/>
  <c r="O48" i="1"/>
  <c r="O32" i="1"/>
  <c r="AG30" i="1"/>
  <c r="AG48" i="1" s="1"/>
  <c r="L34" i="1"/>
  <c r="L48" i="1"/>
  <c r="L32" i="1"/>
  <c r="H48" i="1"/>
  <c r="H32" i="1"/>
  <c r="H34" i="1"/>
  <c r="K34" i="1"/>
  <c r="K48" i="1"/>
  <c r="K32" i="1"/>
  <c r="D48" i="1"/>
  <c r="D34" i="1"/>
  <c r="D32" i="1"/>
  <c r="M36" i="1"/>
  <c r="Q48" i="1"/>
  <c r="Q32" i="1"/>
  <c r="Q34" i="1"/>
  <c r="U43" i="1" s="1"/>
  <c r="I48" i="1"/>
  <c r="I34" i="1"/>
  <c r="M43" i="1" s="1"/>
  <c r="I32" i="1"/>
  <c r="P34" i="1"/>
  <c r="T43" i="1" s="1"/>
  <c r="P48" i="1"/>
  <c r="P32" i="1"/>
  <c r="E48" i="1"/>
  <c r="E32" i="1"/>
  <c r="E34" i="1"/>
  <c r="AK47" i="1"/>
  <c r="AK42" i="1"/>
  <c r="AJ42" i="1"/>
  <c r="AJ47" i="1"/>
  <c r="N48" i="1"/>
  <c r="N32" i="1"/>
  <c r="J36" i="1"/>
  <c r="C36" i="1" l="1"/>
  <c r="Q36" i="1"/>
  <c r="U45" i="1" s="1"/>
  <c r="Q43" i="1"/>
  <c r="AH30" i="1"/>
  <c r="D36" i="1"/>
  <c r="K36" i="1"/>
  <c r="K43" i="1"/>
  <c r="I36" i="1"/>
  <c r="M45" i="1" s="1"/>
  <c r="I43" i="1"/>
  <c r="H43" i="1"/>
  <c r="H36" i="1"/>
  <c r="L36" i="1"/>
  <c r="L43" i="1"/>
  <c r="G36" i="1"/>
  <c r="G45" i="1" s="1"/>
  <c r="G43" i="1"/>
  <c r="AF43" i="1"/>
  <c r="N43" i="1"/>
  <c r="P36" i="1"/>
  <c r="T45" i="1" s="1"/>
  <c r="P43" i="1"/>
  <c r="E36" i="1"/>
  <c r="O36" i="1"/>
  <c r="S45" i="1" s="1"/>
  <c r="O43" i="1"/>
  <c r="N36" i="1"/>
  <c r="R45" i="1" s="1"/>
  <c r="R43" i="1"/>
  <c r="Q45" i="1" l="1"/>
  <c r="P45" i="1"/>
  <c r="O45" i="1"/>
  <c r="H45" i="1"/>
  <c r="K45" i="1"/>
  <c r="AG34" i="1"/>
  <c r="AG36" i="1" s="1"/>
  <c r="AI30" i="1"/>
  <c r="AG32" i="1"/>
  <c r="L45" i="1"/>
  <c r="AF45" i="1"/>
  <c r="I45" i="1"/>
  <c r="AH48" i="1"/>
  <c r="N45" i="1"/>
  <c r="AG43" i="1" l="1"/>
  <c r="AH32" i="1"/>
  <c r="AH34" i="1"/>
  <c r="AH36" i="1" s="1"/>
  <c r="AI31" i="1"/>
  <c r="AI48" i="1" s="1"/>
  <c r="AK30" i="1"/>
  <c r="AJ30" i="1"/>
  <c r="AG45" i="1"/>
  <c r="AH43" i="1" l="1"/>
  <c r="AI32" i="1"/>
  <c r="AJ31" i="1"/>
  <c r="AJ48" i="1" s="1"/>
  <c r="AK31" i="1"/>
  <c r="AK48" i="1" s="1"/>
  <c r="AH45" i="1"/>
  <c r="AI34" i="1"/>
  <c r="AJ32" i="1" l="1"/>
  <c r="AJ34" i="1"/>
  <c r="AJ43" i="1" s="1"/>
  <c r="AK32" i="1"/>
  <c r="AK34" i="1"/>
  <c r="AL34" i="1" s="1"/>
  <c r="AM34" i="1" s="1"/>
  <c r="AN34" i="1" s="1"/>
  <c r="AO34" i="1" s="1"/>
  <c r="AP34" i="1" s="1"/>
  <c r="AQ34" i="1" s="1"/>
  <c r="AR34" i="1" s="1"/>
  <c r="AS34" i="1" s="1"/>
  <c r="AT34" i="1" s="1"/>
  <c r="AU34" i="1" s="1"/>
  <c r="AV34" i="1" s="1"/>
  <c r="AW34" i="1" s="1"/>
  <c r="AX34" i="1" s="1"/>
  <c r="AY34" i="1" s="1"/>
  <c r="AZ34" i="1" s="1"/>
  <c r="BA34" i="1" s="1"/>
  <c r="BB34" i="1" s="1"/>
  <c r="BC34" i="1" s="1"/>
  <c r="BD34" i="1" s="1"/>
  <c r="BE34" i="1" s="1"/>
  <c r="BF34" i="1" s="1"/>
  <c r="BG34" i="1" s="1"/>
  <c r="BH34" i="1" s="1"/>
  <c r="BI34" i="1" s="1"/>
  <c r="BJ34" i="1" s="1"/>
  <c r="BK34" i="1" s="1"/>
  <c r="BL34" i="1" s="1"/>
  <c r="BM34" i="1" s="1"/>
  <c r="BN34" i="1" s="1"/>
  <c r="BO34" i="1" s="1"/>
  <c r="BP34" i="1" s="1"/>
  <c r="BQ34" i="1" s="1"/>
  <c r="BR34" i="1" s="1"/>
  <c r="BS34" i="1" s="1"/>
  <c r="BT34" i="1" s="1"/>
  <c r="BU34" i="1" s="1"/>
  <c r="BV34" i="1" s="1"/>
  <c r="BW34" i="1" s="1"/>
  <c r="BX34" i="1" s="1"/>
  <c r="BY34" i="1" s="1"/>
  <c r="BZ34" i="1" s="1"/>
  <c r="CA34" i="1" s="1"/>
  <c r="CB34" i="1" s="1"/>
  <c r="CC34" i="1" s="1"/>
  <c r="CD34" i="1" s="1"/>
  <c r="CE34" i="1" s="1"/>
  <c r="CF34" i="1" s="1"/>
  <c r="CG34" i="1" s="1"/>
  <c r="CH34" i="1" s="1"/>
  <c r="CI34" i="1" s="1"/>
  <c r="CJ34" i="1" s="1"/>
  <c r="CK34" i="1" s="1"/>
  <c r="CL34" i="1" s="1"/>
  <c r="CM34" i="1" s="1"/>
  <c r="CN34" i="1" s="1"/>
  <c r="CO34" i="1" s="1"/>
  <c r="CP34" i="1" s="1"/>
  <c r="CQ34" i="1" s="1"/>
  <c r="CR34" i="1" s="1"/>
  <c r="CS34" i="1" s="1"/>
  <c r="CT34" i="1" s="1"/>
  <c r="CU34" i="1" s="1"/>
  <c r="CV34" i="1" s="1"/>
  <c r="CW34" i="1" s="1"/>
  <c r="CX34" i="1" s="1"/>
  <c r="CY34" i="1" s="1"/>
  <c r="CZ34" i="1" s="1"/>
  <c r="DA34" i="1" s="1"/>
  <c r="DB34" i="1" s="1"/>
  <c r="DC34" i="1" s="1"/>
  <c r="DD34" i="1" s="1"/>
  <c r="DE34" i="1" s="1"/>
  <c r="DF34" i="1" s="1"/>
  <c r="DG34" i="1" s="1"/>
  <c r="DH34" i="1" s="1"/>
  <c r="DI34" i="1" s="1"/>
  <c r="DJ34" i="1" s="1"/>
  <c r="DK34" i="1" s="1"/>
  <c r="DL34" i="1" s="1"/>
  <c r="DM34" i="1" s="1"/>
  <c r="DN34" i="1" s="1"/>
  <c r="DO34" i="1" s="1"/>
  <c r="DP34" i="1" s="1"/>
  <c r="DQ34" i="1" s="1"/>
  <c r="DR34" i="1" s="1"/>
  <c r="DS34" i="1" s="1"/>
  <c r="DT34" i="1" s="1"/>
  <c r="DU34" i="1" s="1"/>
  <c r="DV34" i="1" s="1"/>
  <c r="DW34" i="1" s="1"/>
  <c r="DX34" i="1" s="1"/>
  <c r="DY34" i="1" s="1"/>
  <c r="DZ34" i="1" s="1"/>
  <c r="EA34" i="1" s="1"/>
  <c r="EB34" i="1" s="1"/>
  <c r="EC34" i="1" s="1"/>
  <c r="ED34" i="1" s="1"/>
  <c r="EE34" i="1" s="1"/>
  <c r="EF34" i="1" s="1"/>
  <c r="EG34" i="1" s="1"/>
  <c r="EH34" i="1" s="1"/>
  <c r="EI34" i="1" s="1"/>
  <c r="EJ34" i="1" s="1"/>
  <c r="EK34" i="1" s="1"/>
  <c r="EL34" i="1" s="1"/>
  <c r="EM34" i="1" s="1"/>
  <c r="EN34" i="1" s="1"/>
  <c r="EO34" i="1" s="1"/>
  <c r="EP34" i="1" s="1"/>
  <c r="EQ34" i="1" s="1"/>
  <c r="ER34" i="1" s="1"/>
  <c r="ES34" i="1" s="1"/>
  <c r="ET34" i="1" s="1"/>
  <c r="EU34" i="1" s="1"/>
  <c r="EV34" i="1" s="1"/>
  <c r="EW34" i="1" s="1"/>
  <c r="EX34" i="1" s="1"/>
  <c r="EY34" i="1" s="1"/>
  <c r="EZ34" i="1" s="1"/>
  <c r="FA34" i="1" s="1"/>
  <c r="FB34" i="1" s="1"/>
  <c r="FC34" i="1" s="1"/>
  <c r="FD34" i="1" s="1"/>
  <c r="FE34" i="1" s="1"/>
  <c r="FF34" i="1" s="1"/>
  <c r="FG34" i="1" s="1"/>
  <c r="FH34" i="1" s="1"/>
  <c r="FI34" i="1" s="1"/>
  <c r="FJ34" i="1" s="1"/>
  <c r="FK34" i="1" s="1"/>
  <c r="FL34" i="1" s="1"/>
  <c r="FM34" i="1" s="1"/>
  <c r="FN34" i="1" s="1"/>
  <c r="FO34" i="1" s="1"/>
  <c r="FP34" i="1" s="1"/>
  <c r="FQ34" i="1" s="1"/>
  <c r="FR34" i="1" s="1"/>
  <c r="FS34" i="1" s="1"/>
  <c r="FT34" i="1" s="1"/>
  <c r="FU34" i="1" s="1"/>
  <c r="FV34" i="1" s="1"/>
  <c r="FW34" i="1" s="1"/>
  <c r="FX34" i="1" s="1"/>
  <c r="FY34" i="1" s="1"/>
  <c r="FZ34" i="1" s="1"/>
  <c r="GA34" i="1" s="1"/>
  <c r="GB34" i="1" s="1"/>
  <c r="GC34" i="1" s="1"/>
  <c r="GD34" i="1" s="1"/>
  <c r="GE34" i="1" s="1"/>
  <c r="GF34" i="1" s="1"/>
  <c r="GG34" i="1" s="1"/>
  <c r="GH34" i="1" s="1"/>
  <c r="GI34" i="1" s="1"/>
  <c r="GJ34" i="1" s="1"/>
  <c r="GK34" i="1" s="1"/>
  <c r="GL34" i="1" s="1"/>
  <c r="GM34" i="1" s="1"/>
  <c r="GN34" i="1" s="1"/>
  <c r="GO34" i="1" s="1"/>
  <c r="GP34" i="1" s="1"/>
  <c r="GQ34" i="1" s="1"/>
  <c r="GR34" i="1" s="1"/>
  <c r="GS34" i="1" s="1"/>
  <c r="GT34" i="1" s="1"/>
  <c r="GU34" i="1" s="1"/>
  <c r="GV34" i="1" s="1"/>
  <c r="GW34" i="1" s="1"/>
  <c r="GX34" i="1" s="1"/>
  <c r="GY34" i="1" s="1"/>
  <c r="GZ34" i="1" s="1"/>
  <c r="HA34" i="1" s="1"/>
  <c r="HB34" i="1" s="1"/>
  <c r="HC34" i="1" s="1"/>
  <c r="HD34" i="1" s="1"/>
  <c r="HE34" i="1" s="1"/>
  <c r="HF34" i="1" s="1"/>
  <c r="HG34" i="1" s="1"/>
  <c r="HH34" i="1" s="1"/>
  <c r="HI34" i="1" s="1"/>
  <c r="HJ34" i="1" s="1"/>
  <c r="HK34" i="1" s="1"/>
  <c r="HL34" i="1" s="1"/>
  <c r="HM34" i="1" s="1"/>
  <c r="HN34" i="1" s="1"/>
  <c r="HO34" i="1" s="1"/>
  <c r="HP34" i="1" s="1"/>
  <c r="HQ34" i="1" s="1"/>
  <c r="HR34" i="1" s="1"/>
  <c r="HS34" i="1" s="1"/>
  <c r="HT34" i="1" s="1"/>
  <c r="HU34" i="1" s="1"/>
  <c r="HV34" i="1" s="1"/>
  <c r="HW34" i="1" s="1"/>
  <c r="HX34" i="1" s="1"/>
  <c r="HY34" i="1" s="1"/>
  <c r="HZ34" i="1" s="1"/>
  <c r="IA34" i="1" s="1"/>
  <c r="IB34" i="1" s="1"/>
  <c r="IC34" i="1" s="1"/>
  <c r="ID34" i="1" s="1"/>
  <c r="IE34" i="1" s="1"/>
  <c r="IF34" i="1" s="1"/>
  <c r="IG34" i="1" s="1"/>
  <c r="IH34" i="1" s="1"/>
  <c r="II34" i="1" s="1"/>
  <c r="IJ34" i="1" s="1"/>
  <c r="IK34" i="1" s="1"/>
  <c r="IL34" i="1" s="1"/>
  <c r="IM34" i="1" s="1"/>
  <c r="IN34" i="1" s="1"/>
  <c r="IO34" i="1" s="1"/>
  <c r="IP34" i="1" s="1"/>
  <c r="IQ34" i="1" s="1"/>
  <c r="IR34" i="1" s="1"/>
  <c r="IS34" i="1" s="1"/>
  <c r="IT34" i="1" s="1"/>
  <c r="IU34" i="1" s="1"/>
  <c r="IV34" i="1" s="1"/>
  <c r="IW34" i="1" s="1"/>
  <c r="IX34" i="1" s="1"/>
  <c r="IY34" i="1" s="1"/>
  <c r="IZ34" i="1" s="1"/>
  <c r="JA34" i="1" s="1"/>
  <c r="JB34" i="1" s="1"/>
  <c r="JC34" i="1" s="1"/>
  <c r="JD34" i="1" s="1"/>
  <c r="JE34" i="1" s="1"/>
  <c r="AI43" i="1"/>
  <c r="AI36" i="1"/>
  <c r="AJ36" i="1" l="1"/>
  <c r="AK36" i="1"/>
  <c r="AK43" i="1"/>
  <c r="AI45" i="1"/>
  <c r="AK45" i="1" l="1"/>
  <c r="AJ45" i="1"/>
  <c r="F25" i="1" l="1"/>
  <c r="F27" i="1" s="1"/>
  <c r="AC27" i="1"/>
  <c r="AC28" i="1" s="1"/>
  <c r="AD42" i="1" l="1"/>
  <c r="AC30" i="1"/>
  <c r="AC47" i="1"/>
  <c r="F28" i="1"/>
  <c r="J41" i="1"/>
  <c r="AD41" i="1"/>
  <c r="F30" i="1" l="1"/>
  <c r="J42" i="1"/>
  <c r="F47" i="1"/>
  <c r="AC48" i="1"/>
  <c r="C9" i="3" s="1"/>
  <c r="C11" i="3" s="1"/>
  <c r="C18" i="3" s="1"/>
  <c r="AC34" i="1"/>
  <c r="AC32" i="1"/>
  <c r="AO40" i="1" l="1"/>
  <c r="AO41" i="1" s="1"/>
  <c r="AO43" i="1" s="1"/>
  <c r="AO44" i="1" s="1"/>
  <c r="AD43" i="1"/>
  <c r="AC36" i="1"/>
  <c r="AD45" i="1" s="1"/>
  <c r="F34" i="1"/>
  <c r="F32" i="1"/>
  <c r="F48" i="1"/>
  <c r="J43" i="1" l="1"/>
  <c r="F36" i="1"/>
  <c r="J45" i="1" s="1"/>
  <c r="AO4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tc={ABA6AA22-41D5-454C-8CF1-CFF0070551D4}</author>
  </authors>
  <commentList>
    <comment ref="B8" authorId="0" shapeId="0" xr:uid="{ABA6AA22-41D5-454C-8CF1-CFF0070551D4}">
      <text>
        <t>[Threaded comment]
Your version of Excel allows you to read this threaded comment; however, any edits to it will get removed if the file is opened in a newer version of Excel. Learn more: https://go.microsoft.com/fwlink/?linkid=870924
Comment:
    Includes ST accrued salaries/wages/ee benefits, LT debt, postretirement medical benefits, pension liabilities, LT ee related benefits</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<sst xmlns="http://schemas.openxmlformats.org/spreadsheetml/2006/main" count="99" uniqueCount="92">
  <si>
    <t>Company</t>
  </si>
  <si>
    <t>Source</t>
  </si>
  <si>
    <t>Price</t>
  </si>
  <si>
    <t>Shares</t>
  </si>
  <si>
    <t>4Q20</t>
  </si>
  <si>
    <t>Market Cap</t>
  </si>
  <si>
    <t>Cash</t>
  </si>
  <si>
    <t>Debt</t>
  </si>
  <si>
    <t>EV</t>
  </si>
  <si>
    <t>3Q20</t>
  </si>
  <si>
    <t>COGS</t>
  </si>
  <si>
    <t>Gross Profit</t>
  </si>
  <si>
    <t>SG&amp;A</t>
  </si>
  <si>
    <t>Opex</t>
  </si>
  <si>
    <t>Operating Income</t>
  </si>
  <si>
    <t>Pretax Income</t>
  </si>
  <si>
    <t>Interest Income/(Expense)</t>
  </si>
  <si>
    <t>Taxes</t>
  </si>
  <si>
    <t>Net Income</t>
  </si>
  <si>
    <t>EPS</t>
  </si>
  <si>
    <t>1Q17</t>
  </si>
  <si>
    <t>2Q17</t>
  </si>
  <si>
    <t>3Q17</t>
  </si>
  <si>
    <t>4Q17</t>
  </si>
  <si>
    <t>1Q18</t>
  </si>
  <si>
    <t>2Q18</t>
  </si>
  <si>
    <t>3Q18</t>
  </si>
  <si>
    <t>4Q18</t>
  </si>
  <si>
    <t>1Q19</t>
  </si>
  <si>
    <t>2Q19</t>
  </si>
  <si>
    <t>3Q19</t>
  </si>
  <si>
    <t>4Q19</t>
  </si>
  <si>
    <t>1Q20</t>
  </si>
  <si>
    <t>2Q20</t>
  </si>
  <si>
    <t>Net Income/(Loss) attributale to NCI</t>
  </si>
  <si>
    <t>Revenue Y/Y</t>
  </si>
  <si>
    <t>COGS Y/Y</t>
  </si>
  <si>
    <t>Opex Y/Y</t>
  </si>
  <si>
    <t>OI Y/Y</t>
  </si>
  <si>
    <t>NI Y/Y</t>
  </si>
  <si>
    <t>Shares Y/Y</t>
  </si>
  <si>
    <t>EPS Y/Y</t>
  </si>
  <si>
    <t>GM</t>
  </si>
  <si>
    <t>OM</t>
  </si>
  <si>
    <t>Maturity Value</t>
  </si>
  <si>
    <t>Discount Rate</t>
  </si>
  <si>
    <t>NPV</t>
  </si>
  <si>
    <t>Net Cash</t>
  </si>
  <si>
    <t>Total Value</t>
  </si>
  <si>
    <t>Per Share</t>
  </si>
  <si>
    <t>Current</t>
  </si>
  <si>
    <t>Difference</t>
  </si>
  <si>
    <t>Equity</t>
  </si>
  <si>
    <t>D+E</t>
  </si>
  <si>
    <t>Wdebt</t>
  </si>
  <si>
    <t>Wequity</t>
  </si>
  <si>
    <t>Tax rate</t>
  </si>
  <si>
    <t>average</t>
  </si>
  <si>
    <t>Interest expense</t>
  </si>
  <si>
    <t>Cost of debt</t>
  </si>
  <si>
    <t>Risk-free rate</t>
  </si>
  <si>
    <t>Beta</t>
  </si>
  <si>
    <t>Market return</t>
  </si>
  <si>
    <t xml:space="preserve">average </t>
  </si>
  <si>
    <t>Cost of equity</t>
  </si>
  <si>
    <t>WACC</t>
  </si>
  <si>
    <t>1Q21</t>
  </si>
  <si>
    <t>2Q21</t>
  </si>
  <si>
    <t>3Q21</t>
  </si>
  <si>
    <t>4Q21</t>
  </si>
  <si>
    <t>1Q22</t>
  </si>
  <si>
    <t>2Q22</t>
  </si>
  <si>
    <t>3Q22</t>
  </si>
  <si>
    <t>4Q22</t>
  </si>
  <si>
    <t>Restructuring Charges</t>
  </si>
  <si>
    <t>10K21</t>
  </si>
  <si>
    <t>koyfin</t>
  </si>
  <si>
    <t>Americas Wholesale Revenue</t>
  </si>
  <si>
    <t>Americas D2C Revenue</t>
  </si>
  <si>
    <t>Americas Total Revenue</t>
  </si>
  <si>
    <t>Europe Wholesale Revenue</t>
  </si>
  <si>
    <t>Europe D2C Revenue</t>
  </si>
  <si>
    <t>Europe Total Revenue</t>
  </si>
  <si>
    <t>Asia Wholesale Revenue</t>
  </si>
  <si>
    <t>Asia D2C Revenue</t>
  </si>
  <si>
    <t>Asia Total Revenue</t>
  </si>
  <si>
    <t>Other Brands Wholesale Revenue</t>
  </si>
  <si>
    <t>Other Brands D2C Revenue</t>
  </si>
  <si>
    <t>Other Brands Total Revenue</t>
  </si>
  <si>
    <t>Total LEVI Revenue</t>
  </si>
  <si>
    <t>Total Wholesale Revenue</t>
  </si>
  <si>
    <t>Total D2C Revenue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</si>
</sst>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9" x14ac:knownFonts="1">
    <font>
      <sz val="11"/>
      <color theme="1"/>
      <name val="Calibri"/>
      <family val="2"/>
      <scheme val="minor"/>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Calibri"/>
      <family val="2"/>
      <scheme val="minor"/>
    </font>
    <font>
      <b/>
      <sz val="11"/>
      <color theme="1"/>
      <name val="Arial"/>
      <family val="2"/>
    </font>
    <font>
      <sz val="8"/>
      <name val="Calibri"/>
      <family val="2"/>
      <scheme val="minor"/>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9" fontId="6" fillId="0" borderId="0" applyFont="0" applyFill="0" applyBorder="0" applyAlignment="0" applyProtection="0"/>
  </cellStyleXfs>
  <cellXfs count="31">
    <xf numFmtId="0" fontId="0" fillId="0" borderId="0" xfId="0"/>
    <xf numFmtId="0" fontId="5" fillId="0" borderId="0" xfId="0" applyFont="1"/>
    <xf numFmtId="3" fontId="5" fillId="0" borderId="0" xfId="0" applyNumberFormat="1" applyFont="1"/>
    <xf numFmtId="10" fontId="5" fillId="0" borderId="0" xfId="0" applyNumberFormat="1" applyFont="1"/>
    <xf numFmtId="9" fontId="5" fillId="0" borderId="0" xfId="0" applyNumberFormat="1" applyFont="1"/>
    <xf numFmtId="2" fontId="5" fillId="0" borderId="0" xfId="0" applyNumberFormat="1" applyFont="1"/>
    <xf numFmtId="0" fontId="5" fillId="0" borderId="1" xfId="0" applyFont="1" applyBorder="1"/>
    <xf numFmtId="0" fontId="5" fillId="0" borderId="2" xfId="0" applyFont="1" applyBorder="1"/>
    <xf numFmtId="0" fontId="5" fillId="0" borderId="3" xfId="0" applyFont="1" applyBorder="1"/>
    <xf numFmtId="0" fontId="5" fillId="0" borderId="4" xfId="0" applyFont="1" applyBorder="1"/>
    <xf numFmtId="164" fontId="5" fillId="0" borderId="0" xfId="0" applyNumberFormat="1" applyFont="1" applyAlignment="1">
      <alignment horizontal="right"/>
    </xf>
    <xf numFmtId="0" fontId="5" fillId="0" borderId="1" xfId="0" applyFont="1" applyBorder="1" applyAlignment="1">
      <alignment horizontal="right"/>
    </xf>
    <xf numFmtId="3" fontId="5" fillId="0" borderId="0" xfId="0" applyNumberFormat="1" applyFont="1" applyAlignment="1">
      <alignment horizontal="right"/>
    </xf>
    <xf numFmtId="0" fontId="5" fillId="0" borderId="4" xfId="0" applyFont="1" applyBorder="1" applyAlignment="1">
      <alignment horizontal="right"/>
    </xf>
    <xf numFmtId="0" fontId="5" fillId="0" borderId="5" xfId="0" applyFont="1" applyBorder="1"/>
    <xf numFmtId="3" fontId="5" fillId="0" borderId="6" xfId="0" applyNumberFormat="1" applyFont="1" applyBorder="1" applyAlignment="1">
      <alignment horizontal="right"/>
    </xf>
    <xf numFmtId="0" fontId="5" fillId="0" borderId="5" xfId="0" applyFont="1" applyBorder="1" applyAlignment="1">
      <alignment horizontal="right"/>
    </xf>
    <xf numFmtId="14" fontId="5" fillId="0" borderId="0" xfId="0" applyNumberFormat="1" applyFont="1"/>
    <xf numFmtId="0" fontId="5" fillId="0" borderId="0" xfId="0" applyFont="1" applyAlignment="1">
      <alignment horizontal="right"/>
    </xf>
    <xf numFmtId="0" fontId="7" fillId="0" borderId="0" xfId="0" applyFont="1"/>
    <xf numFmtId="3" fontId="7" fillId="0" borderId="0" xfId="0" applyNumberFormat="1" applyFont="1"/>
    <xf numFmtId="4" fontId="5" fillId="0" borderId="0" xfId="0" applyNumberFormat="1" applyFont="1"/>
    <xf numFmtId="10" fontId="5" fillId="0" borderId="0" xfId="1" applyNumberFormat="1" applyFont="1"/>
    <xf numFmtId="0" fontId="4" fillId="0" borderId="0" xfId="0" applyFont="1"/>
    <xf numFmtId="3" fontId="4" fillId="0" borderId="0" xfId="0" applyNumberFormat="1" applyFont="1"/>
    <xf numFmtId="3" fontId="3" fillId="0" borderId="0" xfId="0" applyNumberFormat="1" applyFont="1"/>
    <xf numFmtId="0" fontId="3" fillId="0" borderId="0" xfId="0" applyFont="1"/>
    <xf numFmtId="0" fontId="2" fillId="0" borderId="4" xfId="0" applyFont="1" applyBorder="1" applyAlignment="1">
      <alignment horizontal="right"/>
    </xf>
    <xf numFmtId="0" fontId="1" fillId="0" borderId="0" xfId="0" applyFont="1"/>
    <xf numFmtId="3" fontId="7" fillId="0" borderId="0" xfId="0" applyNumberFormat="1" applyFont="1" applyAlignment="1">
      <alignment horizontal="right"/>
    </xf>
    <xf numFmtId="0" fontId="7" fillId="0" borderId="0" xfId="0" applyFont="1" applyAlignment="1">
      <alignment horizontal="right"/>
    </xf>
  </cellXfs>
  <cellStyles count="2">
    <cellStyle name="Normal" xfId="0" builtinId="0"/>
    <cellStyle name="Percent" xfId="1" builtinId="5"/>
  </cellStyles>
  <dxfs count="3">
    <dxf>
      <font>
        <color rgb="FF006100"/>
      </font>
      <fill>
        <patternFill>
          <bgColor rgb="FFC6EF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ichStyles" Target="richData/richStyles.xml"/><Relationship Id="rId5" Type="http://schemas.openxmlformats.org/officeDocument/2006/relationships/theme" Target="theme/theme1.xml"/><Relationship Id="rId15" Type="http://schemas.microsoft.com/office/2017/10/relationships/person" Target="persons/person.xml"/><Relationship Id="rId10" Type="http://schemas.microsoft.com/office/2017/06/relationships/rdRichValueStructure" Target="richData/rdrichvaluestructure.xml"/><Relationship Id="rId4" Type="http://schemas.openxmlformats.org/officeDocument/2006/relationships/externalLink" Target="externalLinks/externalLink1.xml"/><Relationship Id="rId9" Type="http://schemas.microsoft.com/office/2017/06/relationships/rdRichValue" Target="richData/rdrichvalue.xml"/><Relationship Id="rId14" Type="http://schemas.microsoft.com/office/2017/06/relationships/rdRichValueTypes" Target="richData/rdRichValueTypes.xml"/></Relationships>
</file>

<file path=xl/drawings/drawing1.xml><?xml version="1.0" encoding="utf-8"?>
<xdr:wsDr xmlns:xdr="http://schemas.openxmlformats.org/drawingml/2006/spreadsheetDrawing" xmlns:a="http://schemas.openxmlformats.org/drawingml/2006/main">
  <xdr:twoCellAnchor>
    <xdr:from>
      <xdr:col>24</xdr:col>
      <xdr:colOff>142875</xdr:colOff>
      <xdr:row>0</xdr:row>
      <xdr:rowOff>57150</xdr:rowOff>
    </xdr:from>
    <xdr:to>
      <xdr:col>24</xdr:col>
      <xdr:colOff>142875</xdr:colOff>
      <xdr:row>54</xdr:row>
      <xdr:rowOff>47625</xdr:rowOff>
    </xdr:to>
    <xdr:cxnSp macro="">
      <xdr:nvCxnSpPr>
        <xdr:cNvPr id="3" name="Straight Connector 2">
          <a:extLst>
            <a:ext uri="{FF2B5EF4-FFF2-40B4-BE49-F238E27FC236}">
              <a16:creationId xmlns:a16="http://schemas.microsoft.com/office/drawing/2014/main" id="{BA876773-7A66-48B4-A407-5C4A5C8F1C1B}"/>
            </a:ext>
          </a:extLst>
        </xdr:cNvPr>
        <xdr:cNvCxnSpPr/>
      </xdr:nvCxnSpPr>
      <xdr:spPr>
        <a:xfrm>
          <a:off x="17973675" y="57150"/>
          <a:ext cx="0" cy="65532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76200</xdr:colOff>
      <xdr:row>0</xdr:row>
      <xdr:rowOff>47625</xdr:rowOff>
    </xdr:from>
    <xdr:to>
      <xdr:col>33</xdr:col>
      <xdr:colOff>76200</xdr:colOff>
      <xdr:row>54</xdr:row>
      <xdr:rowOff>38100</xdr:rowOff>
    </xdr:to>
    <xdr:cxnSp macro="">
      <xdr:nvCxnSpPr>
        <xdr:cNvPr id="4" name="Straight Connector 3">
          <a:extLst>
            <a:ext uri="{FF2B5EF4-FFF2-40B4-BE49-F238E27FC236}">
              <a16:creationId xmlns:a16="http://schemas.microsoft.com/office/drawing/2014/main" id="{C075AF88-BE1C-4548-8045-D4254D050DAB}"/>
            </a:ext>
          </a:extLst>
        </xdr:cNvPr>
        <xdr:cNvCxnSpPr/>
      </xdr:nvCxnSpPr>
      <xdr:spPr>
        <a:xfrm>
          <a:off x="23479125" y="47625"/>
          <a:ext cx="0" cy="65532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William%20S/Desktop/Models/!Model%20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Bond Yields"/>
      <sheetName val="All Sectors"/>
    </sheetNames>
    <sheetDataSet>
      <sheetData sheetId="0">
        <row r="7">
          <cell r="C7">
            <v>2.92E-2</v>
          </cell>
        </row>
      </sheetData>
      <sheetData sheetId="1"/>
    </sheetDataSet>
  </externalBook>
</externalLink>
</file>

<file path=xl/persons/person.xml><?xml version="1.0" encoding="utf-8"?>
<personList xmlns="http://schemas.microsoft.com/office/spreadsheetml/2018/threadedcomments" xmlns:x="http://schemas.openxmlformats.org/spreadsheetml/2006/main">
  <person displayName="William Sheldon" id="{18A704A9-EEE7-4A56-A6AA-C95E7BF8E316}" userId="667679d5bb2810d2" providerId="Windows Live"/>
</personList>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https://www.bing.com/financeapi/forcetrigger?t=bpipfr&amp;q=XNYS%3aLEVI&amp;form=skydnc</v>
    <v>Learn more on Bing</v>
  </rv>
  <rv s="1">
    <v>en-US</v>
    <v>bpipfr</v>
    <v>268435456</v>
    <v>1</v>
    <v>Powered by Refinitiv</v>
    <v>0</v>
    <v>LEVI STRAUSS &amp; CO. (XNYS:LEVI)</v>
    <v>2</v>
    <v>3</v>
    <v>Finance</v>
    <v>4</v>
    <v>28.62</v>
    <v>15.615</v>
    <v>1.1186</v>
    <v>0.49</v>
    <v>0</v>
    <v>2.8454999999999998E-2</v>
    <v>0</v>
    <v>USD</v>
    <v>Levi Strauss &amp; Co. is an apparel company. The Company offers a range of products, including jeans, casual and dress pants, activewear, tops, shorts, skirts, dresses, jackets, footwear and related accessories for men, women and children around the world. The Company operates through three geographical segments: the Americas, Europe, and Asia. Its Levi's Brands business, which includes Levi's, Signature by Levi Strauss &amp; Co. and Denizen brands. Its other brands include Dockers and Beyond Yoga. The Company's products are sold in approximately 50,000 retail locations in more than 110 countries, including approximately 3,100 brand-dedicated stores and shop-in-shops. It has approximately 1,083 Company-operated stores located in approximately 37 countries and approximately 500 Company-operated shop-in-shops. The remainder of its brand-dedicated stores and shop-in-shops are operated by franchisees and other partners.</v>
    <v>16600</v>
    <v>New York Stock Exchange</v>
    <v>XNYS</v>
    <v>XNYS</v>
    <v>1155 Battery St, SAN FRANCISCO, CA, 94111 US</v>
    <v>17.739999999999998</v>
    <v>Textiles &amp; Apparel</v>
    <v>Stock</v>
    <v>44806.993831550782</v>
    <v>0</v>
    <v>17.22</v>
    <v>7025811000</v>
    <v>LEVI STRAUSS &amp; CO.</v>
    <v>LEVI STRAUSS &amp; CO.</v>
    <v>17.37</v>
    <v>11.8725</v>
    <v>17.22</v>
    <v>17.71</v>
    <v>17.71</v>
    <v>396714400</v>
    <v>LEVI</v>
    <v>LEVI STRAUSS &amp; CO. (XNYS:LEVI)</v>
    <v>2249834</v>
    <v>1405905</v>
    <v>1970</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4" formatCode="#,##0.00"/>
    </x:dxf>
    <x:dxf>
      <x:numFmt numFmtId="3" formatCode="#,##0"/>
    </x:dxf>
    <x:dxf>
      <x:numFmt numFmtId="14" formatCode="0.00%"/>
    </x:dxf>
    <x:dxf>
      <x:numFmt numFmtId="27" formatCode="m/d/yyyy\ h:mm"/>
    </x:dxf>
    <x:dxf>
      <x:numFmt numFmtId="1" formatCode="0"/>
    </x:dxf>
    <x:dxf>
      <x:numFmt numFmtId="2" formatCode="0.00"/>
    </x:dxf>
    <x:dxf>
      <x:numFmt numFmtId="0" formatCode="General"/>
    </x:dxf>
  </dxfs>
  <richProperties>
    <rPr n="NumberFormat" t="s"/>
    <rPr n="IsTitleField" t="b"/>
  </richProperties>
  <richStyles>
    <rSty dxfid="6">
      <rpv i="0">_([$$-en-US]* #,##0.00_);_([$$-en-US]* (#,##0.00);_([$$-en-US]* "-"??_);_(@_)</rpv>
    </rSty>
    <rSty dxfid="0">
      <rpv i="0">#,##0.00</rpv>
    </rSty>
    <rSty>
      <rpv i="1">1</rpv>
    </rSty>
    <rSty dxfid="1">
      <rpv i="0">#,##0</rpv>
    </rSty>
    <rSty dxfid="2"/>
    <rSty dxfid="6">
      <rpv i="0">_([$$-en-US]* #,##0_);_([$$-en-US]* (#,##0);_([$$-en-US]* "-"_);_(@_)</rpv>
    </rSty>
    <rSty dxfid="3"/>
    <rSty dxfid="4">
      <rpv i="0">0</rpv>
    </rSty>
    <rSty dxfid="5">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8" dT="2022-06-26T17:38:27.02" personId="{18A704A9-EEE7-4A56-A6AA-C95E7BF8E316}" id="{ABA6AA22-41D5-454C-8CF1-CFF0070551D4}">
    <text>Includes ST accrued salaries/wages/ee benefits, LT debt, postretirement medical benefits, pension liabilities, LT ee related benefits</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FBE55-BD61-437B-8CF8-13D35FE9B341}">
  <dimension ref="B3:D9"/>
  <sheetViews>
    <sheetView workbookViewId="0">
      <selection activeCell="C7" sqref="C7"/>
    </sheetView>
  </sheetViews>
  <sheetFormatPr defaultRowHeight="14.25" x14ac:dyDescent="0.2"/>
  <cols>
    <col min="1" max="1" width="9.140625" style="1"/>
    <col min="2" max="2" width="11.5703125" style="1" bestFit="1" customWidth="1"/>
    <col min="3" max="3" width="37.5703125" style="1" bestFit="1" customWidth="1"/>
    <col min="4" max="4" width="7.7109375" style="1" bestFit="1" customWidth="1"/>
    <col min="5" max="16384" width="9.140625" style="1"/>
  </cols>
  <sheetData>
    <row r="3" spans="2:4" x14ac:dyDescent="0.2">
      <c r="B3" s="6" t="s">
        <v>0</v>
      </c>
      <c r="C3" s="7" t="e" vm="1">
        <v>#VALUE!</v>
      </c>
      <c r="D3" s="8" t="s">
        <v>1</v>
      </c>
    </row>
    <row r="4" spans="2:4" x14ac:dyDescent="0.2">
      <c r="B4" s="9" t="s">
        <v>2</v>
      </c>
      <c r="C4" s="10" cm="1">
        <f t="array" ref="C4">_FV(C3,"Price")</f>
        <v>17.71</v>
      </c>
      <c r="D4" s="11"/>
    </row>
    <row r="5" spans="2:4" x14ac:dyDescent="0.2">
      <c r="B5" s="9" t="s">
        <v>3</v>
      </c>
      <c r="C5" s="12">
        <v>403.78241600000001</v>
      </c>
      <c r="D5" s="27" t="s">
        <v>71</v>
      </c>
    </row>
    <row r="6" spans="2:4" x14ac:dyDescent="0.2">
      <c r="B6" s="9" t="s">
        <v>5</v>
      </c>
      <c r="C6" s="12">
        <f>C5*C4</f>
        <v>7150.9865873600002</v>
      </c>
      <c r="D6" s="13"/>
    </row>
    <row r="7" spans="2:4" x14ac:dyDescent="0.2">
      <c r="B7" s="9" t="s">
        <v>6</v>
      </c>
      <c r="C7" s="12">
        <f>601.87+96.396</f>
        <v>698.26599999999996</v>
      </c>
      <c r="D7" s="27" t="s">
        <v>71</v>
      </c>
    </row>
    <row r="8" spans="2:4" x14ac:dyDescent="0.2">
      <c r="B8" s="9" t="s">
        <v>7</v>
      </c>
      <c r="C8" s="12">
        <f>221.815+998.484+47.033+151.105+104.802</f>
        <v>1523.2389999999998</v>
      </c>
      <c r="D8" s="27" t="s">
        <v>71</v>
      </c>
    </row>
    <row r="9" spans="2:4" x14ac:dyDescent="0.2">
      <c r="B9" s="14" t="s">
        <v>8</v>
      </c>
      <c r="C9" s="15">
        <f>C6-C7+C8</f>
        <v>7975.9595873600001</v>
      </c>
      <c r="D9" s="16"/>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8B7B3-4096-45A6-AA5A-71A143F7BC7F}">
  <dimension ref="A1:JE48"/>
  <sheetViews>
    <sheetView tabSelected="1" topLeftCell="B1" workbookViewId="0">
      <pane xSplit="1" ySplit="2" topLeftCell="T34" activePane="bottomRight" state="frozen"/>
      <selection activeCell="B1" sqref="B1"/>
      <selection pane="topRight" activeCell="C1" sqref="C1"/>
      <selection pane="bottomLeft" activeCell="B3" sqref="B3"/>
      <selection pane="bottomRight" activeCell="AO45" sqref="AO45"/>
    </sheetView>
  </sheetViews>
  <sheetFormatPr defaultRowHeight="14.25" x14ac:dyDescent="0.2"/>
  <cols>
    <col min="1" max="1" width="9.140625" style="1"/>
    <col min="2" max="2" width="34.85546875" style="1" bestFit="1" customWidth="1"/>
    <col min="3" max="3" width="8.7109375" style="2" customWidth="1"/>
    <col min="4" max="5" width="10.140625" style="2" bestFit="1" customWidth="1"/>
    <col min="6" max="8" width="8.7109375" style="2" customWidth="1"/>
    <col min="9" max="9" width="10.140625" style="2" bestFit="1" customWidth="1"/>
    <col min="10" max="10" width="11.28515625" style="2" bestFit="1" customWidth="1"/>
    <col min="11" max="13" width="10.140625" style="2" bestFit="1" customWidth="1"/>
    <col min="14" max="14" width="11.28515625" style="2" bestFit="1" customWidth="1"/>
    <col min="15" max="17" width="10.140625" style="2" bestFit="1" customWidth="1"/>
    <col min="18" max="18" width="11.28515625" style="2" bestFit="1" customWidth="1"/>
    <col min="19" max="23" width="11.28515625" style="2" customWidth="1"/>
    <col min="24" max="24" width="10.140625" style="2" bestFit="1" customWidth="1"/>
    <col min="25" max="26" width="11.28515625" style="2" customWidth="1"/>
    <col min="27" max="29" width="8.7109375" style="2" customWidth="1"/>
    <col min="30" max="33" width="11.28515625" style="2" bestFit="1" customWidth="1"/>
    <col min="34" max="37" width="8.7109375" style="2" customWidth="1"/>
    <col min="38" max="39" width="7" style="2" bestFit="1" customWidth="1"/>
    <col min="40" max="40" width="14.42578125" style="2" bestFit="1" customWidth="1"/>
    <col min="41" max="41" width="9.85546875" style="2" bestFit="1" customWidth="1"/>
    <col min="42" max="265" width="7" style="2" bestFit="1" customWidth="1"/>
    <col min="266" max="16384" width="9.140625" style="2"/>
  </cols>
  <sheetData>
    <row r="1" spans="2:37" s="1" customFormat="1" x14ac:dyDescent="0.2">
      <c r="D1" s="17">
        <v>42883</v>
      </c>
      <c r="E1" s="17">
        <v>42974</v>
      </c>
      <c r="I1" s="17">
        <v>43338</v>
      </c>
      <c r="J1" s="17">
        <v>43429</v>
      </c>
      <c r="K1" s="17">
        <v>43520</v>
      </c>
      <c r="L1" s="17">
        <v>43611</v>
      </c>
      <c r="M1" s="17">
        <v>43702</v>
      </c>
      <c r="N1" s="17">
        <v>43793</v>
      </c>
      <c r="O1" s="17">
        <v>43884</v>
      </c>
      <c r="P1" s="17">
        <v>43975</v>
      </c>
      <c r="Q1" s="17">
        <v>44066</v>
      </c>
      <c r="R1" s="17">
        <v>44164</v>
      </c>
      <c r="S1" s="17">
        <v>44255</v>
      </c>
      <c r="T1" s="17">
        <v>44346</v>
      </c>
      <c r="U1" s="17">
        <v>44437</v>
      </c>
      <c r="V1" s="17">
        <v>44528</v>
      </c>
      <c r="W1" s="17">
        <v>44619</v>
      </c>
      <c r="X1" s="17">
        <v>44710</v>
      </c>
      <c r="Y1" s="17"/>
      <c r="Z1" s="17"/>
      <c r="AD1" s="17">
        <f>J1</f>
        <v>43429</v>
      </c>
      <c r="AE1" s="17">
        <f>N1</f>
        <v>43793</v>
      </c>
      <c r="AF1" s="17">
        <f>R1</f>
        <v>44164</v>
      </c>
      <c r="AG1" s="17">
        <f>V1</f>
        <v>44528</v>
      </c>
    </row>
    <row r="2" spans="2:37" s="1" customFormat="1" x14ac:dyDescent="0.2">
      <c r="C2" s="18" t="s">
        <v>20</v>
      </c>
      <c r="D2" s="18" t="s">
        <v>21</v>
      </c>
      <c r="E2" s="18" t="s">
        <v>22</v>
      </c>
      <c r="F2" s="18" t="s">
        <v>23</v>
      </c>
      <c r="G2" s="18" t="s">
        <v>24</v>
      </c>
      <c r="H2" s="18" t="s">
        <v>25</v>
      </c>
      <c r="I2" s="18" t="s">
        <v>26</v>
      </c>
      <c r="J2" s="18" t="s">
        <v>27</v>
      </c>
      <c r="K2" s="18" t="s">
        <v>28</v>
      </c>
      <c r="L2" s="18" t="s">
        <v>29</v>
      </c>
      <c r="M2" s="18" t="s">
        <v>30</v>
      </c>
      <c r="N2" s="18" t="s">
        <v>31</v>
      </c>
      <c r="O2" s="18" t="s">
        <v>32</v>
      </c>
      <c r="P2" s="18" t="s">
        <v>33</v>
      </c>
      <c r="Q2" s="18" t="s">
        <v>9</v>
      </c>
      <c r="R2" s="18" t="s">
        <v>4</v>
      </c>
      <c r="S2" s="18" t="s">
        <v>66</v>
      </c>
      <c r="T2" s="18" t="s">
        <v>67</v>
      </c>
      <c r="U2" s="18" t="s">
        <v>68</v>
      </c>
      <c r="V2" s="18" t="s">
        <v>69</v>
      </c>
      <c r="W2" s="18" t="s">
        <v>70</v>
      </c>
      <c r="X2" s="18" t="s">
        <v>71</v>
      </c>
      <c r="Y2" s="18" t="s">
        <v>72</v>
      </c>
      <c r="Z2" s="18" t="s">
        <v>73</v>
      </c>
      <c r="AC2" s="1">
        <v>2017</v>
      </c>
      <c r="AD2" s="1">
        <v>2018</v>
      </c>
      <c r="AE2" s="1">
        <v>2019</v>
      </c>
      <c r="AF2" s="1">
        <v>2020</v>
      </c>
      <c r="AG2" s="1">
        <v>2021</v>
      </c>
      <c r="AH2" s="1">
        <v>2022</v>
      </c>
      <c r="AI2" s="1">
        <v>2023</v>
      </c>
      <c r="AJ2" s="1">
        <v>2024</v>
      </c>
      <c r="AK2" s="1">
        <v>2025</v>
      </c>
    </row>
    <row r="3" spans="2:37" s="1" customFormat="1" x14ac:dyDescent="0.2">
      <c r="B3" s="28" t="s">
        <v>77</v>
      </c>
      <c r="C3" s="12"/>
      <c r="D3" s="12"/>
      <c r="E3" s="12"/>
      <c r="F3" s="12"/>
      <c r="G3" s="12">
        <v>448.74200000000002</v>
      </c>
      <c r="H3" s="12">
        <v>480.68</v>
      </c>
      <c r="I3" s="12">
        <v>588.68299999999999</v>
      </c>
      <c r="J3" s="12">
        <f>2209.897-SUM(G3:I3)</f>
        <v>691.79199999999992</v>
      </c>
      <c r="K3" s="12">
        <v>483.80099999999999</v>
      </c>
      <c r="L3" s="12">
        <v>487.95800000000003</v>
      </c>
      <c r="M3" s="12">
        <v>548.21400000000006</v>
      </c>
      <c r="N3" s="12">
        <f>2181.168-SUM(K3:M3)</f>
        <v>661.19500000000016</v>
      </c>
      <c r="O3" s="12">
        <v>460.86599999999999</v>
      </c>
      <c r="P3" s="12">
        <v>206.44</v>
      </c>
      <c r="Q3" s="12">
        <v>404.529</v>
      </c>
      <c r="R3" s="12">
        <f>1500.043-SUM(O3:Q3)</f>
        <v>428.20799999999986</v>
      </c>
      <c r="S3" s="12">
        <v>411.20499999999998</v>
      </c>
      <c r="T3" s="12">
        <v>458.92099999999999</v>
      </c>
      <c r="U3" s="12">
        <v>606.29399999999998</v>
      </c>
      <c r="V3" s="12">
        <f>2061.33-SUM(S3:U3)</f>
        <v>584.90999999999985</v>
      </c>
      <c r="W3" s="12">
        <v>510.73500000000001</v>
      </c>
      <c r="X3" s="12">
        <v>547.71699999999998</v>
      </c>
      <c r="Y3" s="18"/>
      <c r="Z3" s="18"/>
      <c r="AD3" s="2">
        <f>SUM(G3:J3)</f>
        <v>2209.8969999999999</v>
      </c>
      <c r="AE3" s="2">
        <f>SUM(K3:N3)</f>
        <v>2181.1680000000001</v>
      </c>
      <c r="AF3" s="2">
        <f>SUM(O3:R3)</f>
        <v>1500.0429999999999</v>
      </c>
      <c r="AG3" s="2">
        <f>SUM(S3:V3)</f>
        <v>2061.33</v>
      </c>
    </row>
    <row r="4" spans="2:37" s="1" customFormat="1" x14ac:dyDescent="0.2">
      <c r="B4" s="28" t="s">
        <v>78</v>
      </c>
      <c r="C4" s="12"/>
      <c r="D4" s="12"/>
      <c r="E4" s="12"/>
      <c r="F4" s="12"/>
      <c r="G4" s="12">
        <v>208.45500000000001</v>
      </c>
      <c r="H4" s="12">
        <v>189.11099999999999</v>
      </c>
      <c r="I4" s="12">
        <v>204.149</v>
      </c>
      <c r="J4" s="12">
        <f>832.767-SUM(G4:I4)</f>
        <v>231.05200000000002</v>
      </c>
      <c r="K4" s="12">
        <v>233.46299999999999</v>
      </c>
      <c r="L4" s="12">
        <v>204.74</v>
      </c>
      <c r="M4" s="12">
        <v>222.60300000000001</v>
      </c>
      <c r="N4" s="12">
        <f>875.856-SUM(K4:M4)</f>
        <v>215.04999999999995</v>
      </c>
      <c r="O4" s="12">
        <v>284.714</v>
      </c>
      <c r="P4" s="12">
        <v>76.287999999999997</v>
      </c>
      <c r="Q4" s="12">
        <v>145.26900000000001</v>
      </c>
      <c r="R4" s="12">
        <f>687.856-SUM(O4:Q4)</f>
        <v>181.58499999999998</v>
      </c>
      <c r="S4" s="12">
        <v>194.916</v>
      </c>
      <c r="T4" s="12">
        <v>202.51400000000001</v>
      </c>
      <c r="U4" s="12">
        <v>231.68199999999999</v>
      </c>
      <c r="V4" s="12">
        <f>873.496-SUM(S4:U4)</f>
        <v>244.38400000000001</v>
      </c>
      <c r="W4" s="12">
        <v>255.11699999999999</v>
      </c>
      <c r="X4" s="12">
        <v>228.37700000000001</v>
      </c>
      <c r="Y4" s="18"/>
      <c r="Z4" s="18"/>
      <c r="AD4" s="2">
        <f>SUM(G4:J4)</f>
        <v>832.76700000000005</v>
      </c>
      <c r="AE4" s="2">
        <f>SUM(K4:N4)</f>
        <v>875.85599999999999</v>
      </c>
      <c r="AF4" s="2">
        <f>SUM(O4:R4)</f>
        <v>687.85599999999999</v>
      </c>
      <c r="AG4" s="2">
        <f>SUM(S4:V4)</f>
        <v>873.49599999999998</v>
      </c>
    </row>
    <row r="5" spans="2:37" s="19" customFormat="1" ht="15" x14ac:dyDescent="0.25">
      <c r="B5" s="19" t="s">
        <v>79</v>
      </c>
      <c r="C5" s="29">
        <v>577.90700000000004</v>
      </c>
      <c r="D5" s="29">
        <v>602.06299999999999</v>
      </c>
      <c r="E5" s="29">
        <v>738.68700000000001</v>
      </c>
      <c r="F5" s="29">
        <f>2774.05-SUM(C5:E5)</f>
        <v>855.39300000000003</v>
      </c>
      <c r="G5" s="29">
        <f t="shared" ref="C5:W5" si="0">+G3+G4</f>
        <v>657.197</v>
      </c>
      <c r="H5" s="29">
        <f t="shared" si="0"/>
        <v>669.79099999999994</v>
      </c>
      <c r="I5" s="29">
        <f t="shared" si="0"/>
        <v>792.83199999999999</v>
      </c>
      <c r="J5" s="29">
        <f t="shared" si="0"/>
        <v>922.84399999999994</v>
      </c>
      <c r="K5" s="29">
        <f t="shared" si="0"/>
        <v>717.26400000000001</v>
      </c>
      <c r="L5" s="29">
        <f t="shared" si="0"/>
        <v>692.69800000000009</v>
      </c>
      <c r="M5" s="29">
        <f t="shared" si="0"/>
        <v>770.81700000000001</v>
      </c>
      <c r="N5" s="29">
        <f t="shared" si="0"/>
        <v>876.24500000000012</v>
      </c>
      <c r="O5" s="29">
        <f t="shared" si="0"/>
        <v>745.57999999999993</v>
      </c>
      <c r="P5" s="29">
        <f t="shared" si="0"/>
        <v>282.72800000000001</v>
      </c>
      <c r="Q5" s="29">
        <f t="shared" si="0"/>
        <v>549.798</v>
      </c>
      <c r="R5" s="29">
        <f t="shared" si="0"/>
        <v>609.79299999999989</v>
      </c>
      <c r="S5" s="29">
        <f t="shared" si="0"/>
        <v>606.12099999999998</v>
      </c>
      <c r="T5" s="29">
        <f t="shared" si="0"/>
        <v>661.43499999999995</v>
      </c>
      <c r="U5" s="29">
        <f t="shared" si="0"/>
        <v>837.976</v>
      </c>
      <c r="V5" s="29">
        <f t="shared" si="0"/>
        <v>829.29399999999987</v>
      </c>
      <c r="W5" s="29">
        <f t="shared" si="0"/>
        <v>765.85199999999998</v>
      </c>
      <c r="X5" s="29">
        <f>+X3+X4</f>
        <v>776.09400000000005</v>
      </c>
      <c r="Y5" s="30"/>
      <c r="Z5" s="30"/>
      <c r="AC5" s="29">
        <f>SUM(C5:F5)</f>
        <v>2774.05</v>
      </c>
      <c r="AD5" s="29">
        <f t="shared" ref="AC5:AG5" si="1">+AD3+AD4</f>
        <v>3042.6639999999998</v>
      </c>
      <c r="AE5" s="29">
        <f t="shared" si="1"/>
        <v>3057.0240000000003</v>
      </c>
      <c r="AF5" s="29">
        <f>+AF3+AF4</f>
        <v>2187.8989999999999</v>
      </c>
      <c r="AG5" s="29">
        <f t="shared" si="1"/>
        <v>2934.826</v>
      </c>
    </row>
    <row r="6" spans="2:37" s="1" customFormat="1" x14ac:dyDescent="0.2">
      <c r="B6" s="28"/>
      <c r="C6" s="12"/>
      <c r="D6" s="12"/>
      <c r="E6" s="12"/>
      <c r="F6" s="12"/>
      <c r="G6" s="12"/>
      <c r="H6" s="12"/>
      <c r="I6" s="12"/>
      <c r="J6" s="12"/>
      <c r="K6" s="12"/>
      <c r="L6" s="12"/>
      <c r="M6" s="12"/>
      <c r="N6" s="12"/>
      <c r="O6" s="12"/>
      <c r="P6" s="12"/>
      <c r="Q6" s="12"/>
      <c r="R6" s="12"/>
      <c r="S6" s="12"/>
      <c r="T6" s="12"/>
      <c r="U6" s="12"/>
      <c r="V6" s="12"/>
      <c r="W6" s="12"/>
      <c r="X6" s="12"/>
      <c r="Y6" s="18"/>
      <c r="Z6" s="18"/>
    </row>
    <row r="7" spans="2:37" s="1" customFormat="1" x14ac:dyDescent="0.2">
      <c r="B7" s="28" t="s">
        <v>80</v>
      </c>
      <c r="C7" s="12"/>
      <c r="D7" s="12"/>
      <c r="E7" s="12"/>
      <c r="F7" s="12"/>
      <c r="G7" s="12">
        <v>259.86500000000001</v>
      </c>
      <c r="H7" s="12">
        <v>196.58099999999999</v>
      </c>
      <c r="I7" s="12">
        <v>237.92</v>
      </c>
      <c r="J7" s="12">
        <f>925.317-SUM(G7:I7)</f>
        <v>230.95100000000002</v>
      </c>
      <c r="K7" s="12">
        <v>252.93299999999999</v>
      </c>
      <c r="L7" s="12">
        <v>207.98</v>
      </c>
      <c r="M7" s="12">
        <v>272.48399999999998</v>
      </c>
      <c r="N7" s="12">
        <f>981.308-SUM(K7:M7)</f>
        <v>247.91100000000006</v>
      </c>
      <c r="O7" s="12">
        <v>276.95499999999998</v>
      </c>
      <c r="P7" s="12">
        <v>70.186000000000007</v>
      </c>
      <c r="Q7" s="12">
        <v>222.77699999999999</v>
      </c>
      <c r="R7" s="12">
        <f>776.947-SUM(O7:Q7)</f>
        <v>207.02900000000011</v>
      </c>
      <c r="S7" s="12">
        <v>276.78500000000003</v>
      </c>
      <c r="T7" s="12">
        <v>211.642</v>
      </c>
      <c r="U7" s="12">
        <v>280.89999999999998</v>
      </c>
      <c r="V7" s="12">
        <f>1003.844-SUM(S7:U7)</f>
        <v>234.51700000000005</v>
      </c>
      <c r="W7" s="12">
        <v>265.71800000000002</v>
      </c>
      <c r="X7" s="12">
        <v>190.61799999999999</v>
      </c>
      <c r="Y7" s="18"/>
      <c r="Z7" s="18"/>
      <c r="AD7" s="2">
        <f t="shared" ref="AD7:AD8" si="2">SUM(G7:J7)</f>
        <v>925.31700000000001</v>
      </c>
      <c r="AE7" s="2">
        <f t="shared" ref="AE7:AE8" si="3">SUM(K7:N7)</f>
        <v>981.30799999999999</v>
      </c>
      <c r="AF7" s="2">
        <f t="shared" ref="AF7:AF8" si="4">SUM(O7:R7)</f>
        <v>776.947</v>
      </c>
      <c r="AG7" s="2">
        <f t="shared" ref="AG7:AG8" si="5">SUM(S7:V7)</f>
        <v>1003.8440000000001</v>
      </c>
    </row>
    <row r="8" spans="2:37" s="1" customFormat="1" x14ac:dyDescent="0.2">
      <c r="B8" s="28" t="s">
        <v>81</v>
      </c>
      <c r="C8" s="12"/>
      <c r="D8" s="12"/>
      <c r="E8" s="12"/>
      <c r="F8" s="12"/>
      <c r="G8" s="12">
        <v>192.857</v>
      </c>
      <c r="H8" s="12">
        <v>170.255</v>
      </c>
      <c r="I8" s="12">
        <v>167.81700000000001</v>
      </c>
      <c r="J8" s="12">
        <f>720.919-SUM(G8:I8)</f>
        <v>189.99</v>
      </c>
      <c r="K8" s="12">
        <v>211.74299999999999</v>
      </c>
      <c r="L8" s="12">
        <v>190.38900000000001</v>
      </c>
      <c r="M8" s="12">
        <v>190.774</v>
      </c>
      <c r="N8" s="12">
        <f>786.748-SUM(K8:M8)</f>
        <v>193.8420000000001</v>
      </c>
      <c r="O8" s="12">
        <v>235.988</v>
      </c>
      <c r="P8" s="12">
        <v>58.837000000000003</v>
      </c>
      <c r="Q8" s="12">
        <v>167.596</v>
      </c>
      <c r="R8" s="12">
        <f>614.817-SUM(O8:Q8)</f>
        <v>152.39600000000002</v>
      </c>
      <c r="S8" s="12">
        <v>139.93199999999999</v>
      </c>
      <c r="T8" s="12">
        <v>143.244</v>
      </c>
      <c r="U8" s="12">
        <v>213.58099999999999</v>
      </c>
      <c r="V8" s="12">
        <f>700.174-SUM(S8:U8)</f>
        <v>203.41700000000003</v>
      </c>
      <c r="W8" s="12">
        <v>203.63900000000001</v>
      </c>
      <c r="X8" s="12">
        <v>176.51900000000001</v>
      </c>
      <c r="Y8" s="18"/>
      <c r="Z8" s="18"/>
      <c r="AD8" s="2">
        <f t="shared" si="2"/>
        <v>720.91899999999998</v>
      </c>
      <c r="AE8" s="2">
        <f t="shared" si="3"/>
        <v>786.74800000000005</v>
      </c>
      <c r="AF8" s="2">
        <f t="shared" si="4"/>
        <v>614.81700000000001</v>
      </c>
      <c r="AG8" s="2">
        <f t="shared" si="5"/>
        <v>700.17399999999998</v>
      </c>
    </row>
    <row r="9" spans="2:37" s="19" customFormat="1" ht="15" x14ac:dyDescent="0.25">
      <c r="B9" s="19" t="s">
        <v>82</v>
      </c>
      <c r="C9" s="29">
        <v>310.31700000000001</v>
      </c>
      <c r="D9" s="29">
        <v>280.38600000000002</v>
      </c>
      <c r="E9" s="29">
        <v>348.01600000000002</v>
      </c>
      <c r="F9" s="29">
        <f>1312.276-SUM(C9:E9)</f>
        <v>373.55700000000002</v>
      </c>
      <c r="G9" s="29">
        <f t="shared" ref="C9:W9" si="6">+G7+G8</f>
        <v>452.72199999999998</v>
      </c>
      <c r="H9" s="29">
        <f t="shared" si="6"/>
        <v>366.83600000000001</v>
      </c>
      <c r="I9" s="29">
        <f t="shared" si="6"/>
        <v>405.73699999999997</v>
      </c>
      <c r="J9" s="29">
        <f t="shared" si="6"/>
        <v>420.94100000000003</v>
      </c>
      <c r="K9" s="29">
        <f t="shared" si="6"/>
        <v>464.67599999999999</v>
      </c>
      <c r="L9" s="29">
        <f t="shared" si="6"/>
        <v>398.36900000000003</v>
      </c>
      <c r="M9" s="29">
        <f t="shared" si="6"/>
        <v>463.25799999999998</v>
      </c>
      <c r="N9" s="29">
        <f t="shared" si="6"/>
        <v>441.75300000000016</v>
      </c>
      <c r="O9" s="29">
        <f t="shared" si="6"/>
        <v>512.94299999999998</v>
      </c>
      <c r="P9" s="29">
        <f t="shared" si="6"/>
        <v>129.02300000000002</v>
      </c>
      <c r="Q9" s="29">
        <f t="shared" si="6"/>
        <v>390.37299999999999</v>
      </c>
      <c r="R9" s="29">
        <f t="shared" si="6"/>
        <v>359.42500000000013</v>
      </c>
      <c r="S9" s="29">
        <f t="shared" si="6"/>
        <v>416.71699999999998</v>
      </c>
      <c r="T9" s="29">
        <f t="shared" si="6"/>
        <v>354.88599999999997</v>
      </c>
      <c r="U9" s="29">
        <f t="shared" si="6"/>
        <v>494.48099999999999</v>
      </c>
      <c r="V9" s="29">
        <f t="shared" si="6"/>
        <v>437.93400000000008</v>
      </c>
      <c r="W9" s="29">
        <f t="shared" si="6"/>
        <v>469.35700000000003</v>
      </c>
      <c r="X9" s="29">
        <f>+X7+X8</f>
        <v>367.137</v>
      </c>
      <c r="Y9" s="30"/>
      <c r="Z9" s="30"/>
      <c r="AC9" s="29">
        <f>SUM(C9:F9)</f>
        <v>1312.2760000000001</v>
      </c>
      <c r="AD9" s="29">
        <f t="shared" ref="AC9:AG9" si="7">+AD7+AD8</f>
        <v>1646.2359999999999</v>
      </c>
      <c r="AE9" s="29">
        <f t="shared" si="7"/>
        <v>1768.056</v>
      </c>
      <c r="AF9" s="29">
        <f t="shared" si="7"/>
        <v>1391.7640000000001</v>
      </c>
      <c r="AG9" s="29">
        <f t="shared" si="7"/>
        <v>1704.018</v>
      </c>
    </row>
    <row r="10" spans="2:37" s="1" customFormat="1" x14ac:dyDescent="0.2">
      <c r="B10" s="28"/>
      <c r="C10" s="12"/>
      <c r="D10" s="12"/>
      <c r="E10" s="12"/>
      <c r="F10" s="12"/>
      <c r="G10" s="12"/>
      <c r="H10" s="12"/>
      <c r="I10" s="12"/>
      <c r="J10" s="12"/>
      <c r="K10" s="12"/>
      <c r="L10" s="12"/>
      <c r="M10" s="12"/>
      <c r="N10" s="12"/>
      <c r="O10" s="12"/>
      <c r="P10" s="12"/>
      <c r="Q10" s="12"/>
      <c r="R10" s="12"/>
      <c r="S10" s="12"/>
      <c r="T10" s="12"/>
      <c r="U10" s="12"/>
      <c r="V10" s="12"/>
      <c r="W10" s="12"/>
      <c r="X10" s="12"/>
      <c r="Y10" s="18"/>
      <c r="Z10" s="18"/>
    </row>
    <row r="11" spans="2:37" s="1" customFormat="1" x14ac:dyDescent="0.2">
      <c r="B11" s="28" t="s">
        <v>83</v>
      </c>
      <c r="C11" s="12"/>
      <c r="D11" s="12"/>
      <c r="E11" s="12"/>
      <c r="F11" s="12"/>
      <c r="G11" s="12">
        <v>119.633</v>
      </c>
      <c r="H11" s="12">
        <v>108.693</v>
      </c>
      <c r="I11" s="12">
        <v>107.509</v>
      </c>
      <c r="J11" s="12">
        <f>464.953-SUM(G11:I11)</f>
        <v>129.11799999999999</v>
      </c>
      <c r="K11" s="12">
        <v>132.57499999999999</v>
      </c>
      <c r="L11" s="12">
        <v>115.736</v>
      </c>
      <c r="M11" s="12">
        <v>122.114</v>
      </c>
      <c r="N11" s="12">
        <f>498.043-SUM(K11:M11)</f>
        <v>127.61800000000005</v>
      </c>
      <c r="O11" s="12">
        <v>138.50299999999999</v>
      </c>
      <c r="P11" s="12">
        <v>24.1</v>
      </c>
      <c r="Q11" s="12">
        <v>41.484000000000002</v>
      </c>
      <c r="R11" s="12">
        <f>291.88-SUM(O11:Q11)</f>
        <v>87.793000000000006</v>
      </c>
      <c r="S11" s="12">
        <v>116.813</v>
      </c>
      <c r="T11" s="12">
        <v>79.506</v>
      </c>
      <c r="U11" s="12">
        <v>83.522000000000006</v>
      </c>
      <c r="V11" s="12">
        <f>389.327-SUM(S11:U11)</f>
        <v>109.48599999999999</v>
      </c>
      <c r="W11" s="12">
        <v>122.76300000000001</v>
      </c>
      <c r="X11" s="12">
        <v>107.285</v>
      </c>
      <c r="Y11" s="18"/>
      <c r="Z11" s="18"/>
      <c r="AD11" s="2">
        <f t="shared" ref="AD11:AD12" si="8">SUM(G11:J11)</f>
        <v>464.95299999999997</v>
      </c>
      <c r="AE11" s="2">
        <f t="shared" ref="AE11:AE12" si="9">SUM(K11:N11)</f>
        <v>498.04300000000001</v>
      </c>
      <c r="AF11" s="2">
        <f t="shared" ref="AF11:AF12" si="10">SUM(O11:R11)</f>
        <v>291.88</v>
      </c>
      <c r="AG11" s="2">
        <f t="shared" ref="AG11:AG12" si="11">SUM(S11:V11)</f>
        <v>389.327</v>
      </c>
    </row>
    <row r="12" spans="2:37" s="1" customFormat="1" x14ac:dyDescent="0.2">
      <c r="B12" s="28" t="s">
        <v>84</v>
      </c>
      <c r="C12" s="12"/>
      <c r="D12" s="12"/>
      <c r="E12" s="12"/>
      <c r="F12" s="12"/>
      <c r="G12" s="12">
        <v>114.133</v>
      </c>
      <c r="H12" s="12">
        <v>100.422</v>
      </c>
      <c r="I12" s="12">
        <v>88.075000000000003</v>
      </c>
      <c r="J12" s="12">
        <f>421.587-SUM(G12:I12)</f>
        <v>118.95699999999999</v>
      </c>
      <c r="K12" s="12">
        <v>119.943</v>
      </c>
      <c r="L12" s="12">
        <v>106.137</v>
      </c>
      <c r="M12" s="12">
        <v>90.891999999999996</v>
      </c>
      <c r="N12" s="12">
        <f>439.964-SUM(K12:M12)</f>
        <v>122.99200000000002</v>
      </c>
      <c r="O12" s="12">
        <v>109.1</v>
      </c>
      <c r="P12" s="12">
        <v>61.691000000000003</v>
      </c>
      <c r="Q12" s="12">
        <v>81.430000000000007</v>
      </c>
      <c r="R12" s="12">
        <f>371.511-SUM(O12:Q12)</f>
        <v>119.29000000000002</v>
      </c>
      <c r="S12" s="12">
        <v>116.10299999999999</v>
      </c>
      <c r="T12" s="12">
        <v>112.283</v>
      </c>
      <c r="U12" s="12">
        <v>81.602999999999994</v>
      </c>
      <c r="V12" s="12">
        <f>445.322-SUM(S12:U12)</f>
        <v>135.33300000000003</v>
      </c>
      <c r="W12" s="12">
        <v>135.642</v>
      </c>
      <c r="X12" s="12">
        <v>114.563</v>
      </c>
      <c r="Y12" s="18"/>
      <c r="Z12" s="18"/>
      <c r="AD12" s="2">
        <f t="shared" si="8"/>
        <v>421.58699999999999</v>
      </c>
      <c r="AE12" s="2">
        <f t="shared" si="9"/>
        <v>439.964</v>
      </c>
      <c r="AF12" s="2">
        <f t="shared" si="10"/>
        <v>371.51100000000002</v>
      </c>
      <c r="AG12" s="2">
        <f t="shared" si="11"/>
        <v>445.322</v>
      </c>
    </row>
    <row r="13" spans="2:37" s="19" customFormat="1" ht="15" x14ac:dyDescent="0.25">
      <c r="B13" s="19" t="s">
        <v>85</v>
      </c>
      <c r="C13" s="29">
        <v>213.767</v>
      </c>
      <c r="D13" s="29">
        <v>185.40600000000001</v>
      </c>
      <c r="E13" s="29">
        <v>181.68799999999999</v>
      </c>
      <c r="F13" s="29">
        <f>817.704-SUM(C13:E13)</f>
        <v>236.84299999999996</v>
      </c>
      <c r="G13" s="29">
        <f t="shared" ref="C13:W13" si="12">+G11+G12</f>
        <v>233.76599999999999</v>
      </c>
      <c r="H13" s="29">
        <f t="shared" si="12"/>
        <v>209.11500000000001</v>
      </c>
      <c r="I13" s="29">
        <f t="shared" si="12"/>
        <v>195.584</v>
      </c>
      <c r="J13" s="29">
        <f t="shared" si="12"/>
        <v>248.07499999999999</v>
      </c>
      <c r="K13" s="29">
        <f t="shared" si="12"/>
        <v>252.51799999999997</v>
      </c>
      <c r="L13" s="29">
        <f t="shared" si="12"/>
        <v>221.87299999999999</v>
      </c>
      <c r="M13" s="29">
        <f t="shared" si="12"/>
        <v>213.006</v>
      </c>
      <c r="N13" s="29">
        <f t="shared" si="12"/>
        <v>250.61000000000007</v>
      </c>
      <c r="O13" s="29">
        <f t="shared" si="12"/>
        <v>247.60299999999998</v>
      </c>
      <c r="P13" s="29">
        <f t="shared" si="12"/>
        <v>85.790999999999997</v>
      </c>
      <c r="Q13" s="29">
        <f t="shared" si="12"/>
        <v>122.91400000000002</v>
      </c>
      <c r="R13" s="29">
        <f t="shared" si="12"/>
        <v>207.08300000000003</v>
      </c>
      <c r="S13" s="29">
        <f t="shared" si="12"/>
        <v>232.916</v>
      </c>
      <c r="T13" s="29">
        <f t="shared" si="12"/>
        <v>191.78899999999999</v>
      </c>
      <c r="U13" s="29">
        <f t="shared" si="12"/>
        <v>165.125</v>
      </c>
      <c r="V13" s="29">
        <f t="shared" si="12"/>
        <v>244.81900000000002</v>
      </c>
      <c r="W13" s="29">
        <f t="shared" si="12"/>
        <v>258.40499999999997</v>
      </c>
      <c r="X13" s="29">
        <f>+X11+X12</f>
        <v>221.84800000000001</v>
      </c>
      <c r="Y13" s="30"/>
      <c r="Z13" s="30"/>
      <c r="AC13" s="29">
        <f>SUM(C13:F13)</f>
        <v>817.70399999999995</v>
      </c>
      <c r="AD13" s="29">
        <f t="shared" ref="AC13:AG13" si="13">+AD11+AD12</f>
        <v>886.54</v>
      </c>
      <c r="AE13" s="29">
        <f t="shared" si="13"/>
        <v>938.00700000000006</v>
      </c>
      <c r="AF13" s="29">
        <f t="shared" si="13"/>
        <v>663.39100000000008</v>
      </c>
      <c r="AG13" s="29">
        <f t="shared" si="13"/>
        <v>834.649</v>
      </c>
    </row>
    <row r="14" spans="2:37" s="1" customFormat="1" x14ac:dyDescent="0.2">
      <c r="B14" s="28"/>
      <c r="C14" s="12"/>
      <c r="D14" s="12"/>
      <c r="E14" s="12"/>
      <c r="F14" s="12"/>
      <c r="G14" s="12"/>
      <c r="H14" s="12"/>
      <c r="I14" s="12"/>
      <c r="J14" s="12"/>
      <c r="K14" s="12"/>
      <c r="L14" s="12"/>
      <c r="M14" s="12"/>
      <c r="N14" s="12"/>
      <c r="O14" s="12"/>
      <c r="P14" s="12"/>
      <c r="Q14" s="12"/>
      <c r="R14" s="12"/>
      <c r="S14" s="12"/>
      <c r="T14" s="12"/>
      <c r="U14" s="12"/>
      <c r="V14" s="12"/>
      <c r="W14" s="12"/>
      <c r="X14" s="12"/>
      <c r="Y14" s="18"/>
      <c r="Z14" s="18"/>
    </row>
    <row r="15" spans="2:37" s="1" customFormat="1" x14ac:dyDescent="0.2">
      <c r="B15" s="28" t="s">
        <v>86</v>
      </c>
      <c r="C15" s="12"/>
      <c r="D15" s="12"/>
      <c r="E15" s="12"/>
      <c r="F15" s="12"/>
      <c r="G15" s="12"/>
      <c r="H15" s="12"/>
      <c r="I15" s="12"/>
      <c r="J15" s="12"/>
      <c r="K15" s="12"/>
      <c r="L15" s="12"/>
      <c r="M15" s="12"/>
      <c r="N15" s="12"/>
      <c r="O15" s="12"/>
      <c r="P15" s="12"/>
      <c r="Q15" s="12"/>
      <c r="R15" s="12">
        <f>154.435-SUM(O15:Q15)</f>
        <v>154.435</v>
      </c>
      <c r="S15" s="12">
        <v>33.956000000000003</v>
      </c>
      <c r="T15" s="12">
        <v>52.414999999999999</v>
      </c>
      <c r="U15" s="12">
        <v>0</v>
      </c>
      <c r="V15" s="12">
        <f>206.901-SUM(S15:U15)</f>
        <v>120.53</v>
      </c>
      <c r="W15" s="12">
        <v>63.853999999999999</v>
      </c>
      <c r="X15" s="12">
        <v>74.872</v>
      </c>
      <c r="Y15" s="18"/>
      <c r="Z15" s="18"/>
      <c r="AD15" s="2">
        <f t="shared" ref="AD15:AD16" si="14">SUM(G15:J15)</f>
        <v>0</v>
      </c>
      <c r="AE15" s="2">
        <f>SUM(K15:N15)</f>
        <v>0</v>
      </c>
      <c r="AF15" s="2">
        <f t="shared" ref="AF15:AF16" si="15">SUM(O15:R15)</f>
        <v>154.435</v>
      </c>
      <c r="AG15" s="2">
        <f t="shared" ref="AG15:AG16" si="16">SUM(S15:V15)</f>
        <v>206.90100000000001</v>
      </c>
    </row>
    <row r="16" spans="2:37" s="1" customFormat="1" x14ac:dyDescent="0.2">
      <c r="B16" s="28" t="s">
        <v>87</v>
      </c>
      <c r="C16" s="12"/>
      <c r="D16" s="12"/>
      <c r="E16" s="12"/>
      <c r="F16" s="12"/>
      <c r="G16" s="12"/>
      <c r="H16" s="12"/>
      <c r="I16" s="12"/>
      <c r="J16" s="12"/>
      <c r="K16" s="12"/>
      <c r="L16" s="12"/>
      <c r="M16" s="12"/>
      <c r="N16" s="12"/>
      <c r="O16" s="12"/>
      <c r="P16" s="12"/>
      <c r="Q16" s="12"/>
      <c r="R16" s="12">
        <f>55.12-SUM(O16:Q16)</f>
        <v>55.12</v>
      </c>
      <c r="S16" s="12">
        <v>15.891999999999999</v>
      </c>
      <c r="T16" s="12">
        <v>15.446</v>
      </c>
      <c r="U16" s="12">
        <v>0</v>
      </c>
      <c r="V16" s="12">
        <f>83.542-SUM(S16:U16)</f>
        <v>52.204000000000001</v>
      </c>
      <c r="W16" s="12">
        <v>34.094000000000001</v>
      </c>
      <c r="X16" s="12">
        <v>31.198</v>
      </c>
      <c r="Y16" s="18"/>
      <c r="Z16" s="18"/>
      <c r="AD16" s="2">
        <f t="shared" si="14"/>
        <v>0</v>
      </c>
      <c r="AE16" s="2">
        <f t="shared" ref="AE15:AE16" si="17">SUM(K16:N16)</f>
        <v>0</v>
      </c>
      <c r="AF16" s="2">
        <f t="shared" si="15"/>
        <v>55.12</v>
      </c>
      <c r="AG16" s="2">
        <f t="shared" si="16"/>
        <v>83.542000000000002</v>
      </c>
    </row>
    <row r="17" spans="1:37" s="19" customFormat="1" ht="15" x14ac:dyDescent="0.25">
      <c r="B17" s="19" t="s">
        <v>88</v>
      </c>
      <c r="C17" s="29">
        <f t="shared" ref="C17:W17" si="18">+C15+C16</f>
        <v>0</v>
      </c>
      <c r="D17" s="29">
        <f t="shared" si="18"/>
        <v>0</v>
      </c>
      <c r="E17" s="29">
        <f t="shared" si="18"/>
        <v>0</v>
      </c>
      <c r="F17" s="29">
        <f t="shared" si="18"/>
        <v>0</v>
      </c>
      <c r="G17" s="29">
        <f t="shared" si="18"/>
        <v>0</v>
      </c>
      <c r="H17" s="29">
        <f t="shared" si="18"/>
        <v>0</v>
      </c>
      <c r="I17" s="29">
        <f t="shared" si="18"/>
        <v>0</v>
      </c>
      <c r="J17" s="29">
        <f t="shared" si="18"/>
        <v>0</v>
      </c>
      <c r="K17" s="29">
        <f t="shared" si="18"/>
        <v>0</v>
      </c>
      <c r="L17" s="29">
        <f t="shared" si="18"/>
        <v>0</v>
      </c>
      <c r="M17" s="29">
        <f t="shared" si="18"/>
        <v>0</v>
      </c>
      <c r="N17" s="29">
        <f t="shared" si="18"/>
        <v>0</v>
      </c>
      <c r="O17" s="29">
        <f t="shared" si="18"/>
        <v>0</v>
      </c>
      <c r="P17" s="29">
        <f t="shared" si="18"/>
        <v>0</v>
      </c>
      <c r="Q17" s="29">
        <f t="shared" si="18"/>
        <v>0</v>
      </c>
      <c r="R17" s="29">
        <f t="shared" si="18"/>
        <v>209.55500000000001</v>
      </c>
      <c r="S17" s="29">
        <f t="shared" si="18"/>
        <v>49.847999999999999</v>
      </c>
      <c r="T17" s="29">
        <f t="shared" si="18"/>
        <v>67.861000000000004</v>
      </c>
      <c r="U17" s="29">
        <f t="shared" si="18"/>
        <v>0</v>
      </c>
      <c r="V17" s="29">
        <f t="shared" si="18"/>
        <v>172.73400000000001</v>
      </c>
      <c r="W17" s="29">
        <f t="shared" si="18"/>
        <v>97.948000000000008</v>
      </c>
      <c r="X17" s="29">
        <f>+X15+X16</f>
        <v>106.07</v>
      </c>
      <c r="Y17" s="30"/>
      <c r="Z17" s="30"/>
      <c r="AC17" s="29">
        <f t="shared" ref="AC17:AG17" si="19">+AC15+AC16</f>
        <v>0</v>
      </c>
      <c r="AD17" s="29">
        <f t="shared" si="19"/>
        <v>0</v>
      </c>
      <c r="AE17" s="29">
        <f t="shared" si="19"/>
        <v>0</v>
      </c>
      <c r="AF17" s="29">
        <f t="shared" si="19"/>
        <v>209.55500000000001</v>
      </c>
      <c r="AG17" s="29">
        <f t="shared" si="19"/>
        <v>290.44299999999998</v>
      </c>
    </row>
    <row r="18" spans="1:37" s="19" customFormat="1" ht="15" x14ac:dyDescent="0.25">
      <c r="C18" s="29"/>
      <c r="D18" s="29"/>
      <c r="E18" s="29"/>
      <c r="F18" s="29"/>
      <c r="G18" s="29"/>
      <c r="H18" s="29"/>
      <c r="I18" s="29"/>
      <c r="J18" s="29"/>
      <c r="K18" s="29"/>
      <c r="L18" s="29"/>
      <c r="M18" s="29"/>
      <c r="N18" s="29"/>
      <c r="O18" s="29"/>
      <c r="P18" s="29"/>
      <c r="Q18" s="29"/>
      <c r="R18" s="29"/>
      <c r="S18" s="29"/>
      <c r="T18" s="29"/>
      <c r="U18" s="29"/>
      <c r="V18" s="29"/>
      <c r="W18" s="29"/>
      <c r="X18" s="29"/>
      <c r="Y18" s="30"/>
      <c r="Z18" s="30"/>
    </row>
    <row r="19" spans="1:37" s="19" customFormat="1" ht="15" x14ac:dyDescent="0.25">
      <c r="B19" s="19" t="s">
        <v>90</v>
      </c>
      <c r="C19" s="29">
        <f t="shared" ref="C19:W19" si="20">C3+C7+C11+C15</f>
        <v>0</v>
      </c>
      <c r="D19" s="29">
        <f t="shared" si="20"/>
        <v>0</v>
      </c>
      <c r="E19" s="29">
        <f t="shared" si="20"/>
        <v>0</v>
      </c>
      <c r="F19" s="29">
        <f t="shared" si="20"/>
        <v>0</v>
      </c>
      <c r="G19" s="29">
        <f t="shared" si="20"/>
        <v>828.24</v>
      </c>
      <c r="H19" s="29">
        <f t="shared" si="20"/>
        <v>785.95399999999995</v>
      </c>
      <c r="I19" s="29">
        <f t="shared" si="20"/>
        <v>934.11199999999997</v>
      </c>
      <c r="J19" s="29">
        <f t="shared" si="20"/>
        <v>1051.8609999999999</v>
      </c>
      <c r="K19" s="29">
        <f t="shared" si="20"/>
        <v>869.30899999999997</v>
      </c>
      <c r="L19" s="29">
        <f t="shared" si="20"/>
        <v>811.67399999999998</v>
      </c>
      <c r="M19" s="29">
        <f t="shared" si="20"/>
        <v>942.81200000000013</v>
      </c>
      <c r="N19" s="29">
        <f t="shared" si="20"/>
        <v>1036.7240000000002</v>
      </c>
      <c r="O19" s="29">
        <f t="shared" si="20"/>
        <v>876.32399999999984</v>
      </c>
      <c r="P19" s="29">
        <f t="shared" si="20"/>
        <v>300.726</v>
      </c>
      <c r="Q19" s="29">
        <f t="shared" si="20"/>
        <v>668.79000000000008</v>
      </c>
      <c r="R19" s="29">
        <f t="shared" si="20"/>
        <v>877.46499999999992</v>
      </c>
      <c r="S19" s="29">
        <f t="shared" si="20"/>
        <v>838.75900000000001</v>
      </c>
      <c r="T19" s="29">
        <f t="shared" si="20"/>
        <v>802.48399999999992</v>
      </c>
      <c r="U19" s="29">
        <f t="shared" si="20"/>
        <v>970.71600000000001</v>
      </c>
      <c r="V19" s="29">
        <f t="shared" si="20"/>
        <v>1049.443</v>
      </c>
      <c r="W19" s="29">
        <f t="shared" si="20"/>
        <v>963.07</v>
      </c>
      <c r="X19" s="29">
        <f>X3+X7+X11+X15</f>
        <v>920.49199999999996</v>
      </c>
      <c r="Y19" s="30"/>
      <c r="Z19" s="30"/>
      <c r="AC19" s="29">
        <f t="shared" ref="AC19:AF19" si="21">AC3+AC7+AC11+AC15</f>
        <v>0</v>
      </c>
      <c r="AD19" s="29">
        <f t="shared" si="21"/>
        <v>3600.1669999999999</v>
      </c>
      <c r="AE19" s="29">
        <f t="shared" si="21"/>
        <v>3660.5190000000002</v>
      </c>
      <c r="AF19" s="29">
        <f t="shared" si="21"/>
        <v>2723.3049999999998</v>
      </c>
      <c r="AG19" s="29">
        <f>AG3+AG7+AG11+AG15</f>
        <v>3661.402</v>
      </c>
    </row>
    <row r="20" spans="1:37" s="19" customFormat="1" ht="15" x14ac:dyDescent="0.25">
      <c r="B20" s="19" t="s">
        <v>91</v>
      </c>
      <c r="C20" s="29">
        <f t="shared" ref="C20:W20" si="22">C4+C8+C12+C16</f>
        <v>0</v>
      </c>
      <c r="D20" s="29">
        <f t="shared" si="22"/>
        <v>0</v>
      </c>
      <c r="E20" s="29">
        <f t="shared" si="22"/>
        <v>0</v>
      </c>
      <c r="F20" s="29">
        <f t="shared" si="22"/>
        <v>0</v>
      </c>
      <c r="G20" s="29">
        <f t="shared" si="22"/>
        <v>515.44500000000005</v>
      </c>
      <c r="H20" s="29">
        <f t="shared" si="22"/>
        <v>459.78800000000001</v>
      </c>
      <c r="I20" s="29">
        <f t="shared" si="22"/>
        <v>460.041</v>
      </c>
      <c r="J20" s="29">
        <f t="shared" si="22"/>
        <v>539.99900000000002</v>
      </c>
      <c r="K20" s="29">
        <f t="shared" si="22"/>
        <v>565.149</v>
      </c>
      <c r="L20" s="29">
        <f t="shared" si="22"/>
        <v>501.26600000000002</v>
      </c>
      <c r="M20" s="29">
        <f t="shared" si="22"/>
        <v>504.26900000000001</v>
      </c>
      <c r="N20" s="29">
        <f t="shared" si="22"/>
        <v>531.88400000000001</v>
      </c>
      <c r="O20" s="29">
        <f t="shared" si="22"/>
        <v>629.80200000000002</v>
      </c>
      <c r="P20" s="29">
        <f t="shared" si="22"/>
        <v>196.816</v>
      </c>
      <c r="Q20" s="29">
        <f t="shared" si="22"/>
        <v>394.29500000000002</v>
      </c>
      <c r="R20" s="29">
        <f t="shared" si="22"/>
        <v>508.39100000000002</v>
      </c>
      <c r="S20" s="29">
        <f t="shared" si="22"/>
        <v>466.84299999999996</v>
      </c>
      <c r="T20" s="29">
        <f t="shared" si="22"/>
        <v>473.48700000000008</v>
      </c>
      <c r="U20" s="29">
        <f t="shared" si="22"/>
        <v>526.86599999999999</v>
      </c>
      <c r="V20" s="29">
        <f t="shared" si="22"/>
        <v>635.33799999999997</v>
      </c>
      <c r="W20" s="29">
        <f t="shared" si="22"/>
        <v>628.49199999999996</v>
      </c>
      <c r="X20" s="29">
        <f>X4+X8+X12+X16</f>
        <v>550.65700000000004</v>
      </c>
      <c r="Y20" s="30"/>
      <c r="Z20" s="30"/>
      <c r="AC20" s="29">
        <f t="shared" ref="AC20:AF20" si="23">AC4+AC8+AC12+AC16</f>
        <v>0</v>
      </c>
      <c r="AD20" s="29">
        <f t="shared" si="23"/>
        <v>1975.2730000000001</v>
      </c>
      <c r="AE20" s="29">
        <f t="shared" si="23"/>
        <v>2102.5680000000002</v>
      </c>
      <c r="AF20" s="29">
        <f t="shared" si="23"/>
        <v>1729.3039999999999</v>
      </c>
      <c r="AG20" s="29">
        <f>AG4+AG8+AG12+AG16</f>
        <v>2102.5340000000001</v>
      </c>
    </row>
    <row r="21" spans="1:37" s="19" customFormat="1" ht="15" x14ac:dyDescent="0.25">
      <c r="B21" s="28"/>
      <c r="C21" s="29"/>
      <c r="D21" s="29"/>
      <c r="E21" s="29"/>
      <c r="F21" s="29"/>
      <c r="G21" s="29"/>
      <c r="H21" s="29"/>
      <c r="I21" s="29"/>
      <c r="J21" s="29"/>
      <c r="K21" s="29"/>
      <c r="L21" s="29"/>
      <c r="M21" s="29"/>
      <c r="N21" s="29"/>
      <c r="O21" s="29"/>
      <c r="P21" s="29"/>
      <c r="Q21" s="29"/>
      <c r="R21" s="29"/>
      <c r="S21" s="29"/>
      <c r="T21" s="29"/>
      <c r="U21" s="29"/>
      <c r="V21" s="29"/>
      <c r="W21" s="29"/>
      <c r="X21" s="29"/>
      <c r="Y21" s="30"/>
      <c r="Z21" s="30"/>
    </row>
    <row r="22" spans="1:37" s="20" customFormat="1" ht="15" x14ac:dyDescent="0.25">
      <c r="A22" s="19"/>
      <c r="B22" s="19" t="s">
        <v>89</v>
      </c>
      <c r="C22" s="20">
        <f>C5+C9+C13</f>
        <v>1101.991</v>
      </c>
      <c r="D22" s="20">
        <f>D5+D9+D13</f>
        <v>1067.855</v>
      </c>
      <c r="E22" s="20">
        <f>E5+E9+E13</f>
        <v>1268.3910000000001</v>
      </c>
      <c r="F22" s="20">
        <f>F5+F9+F13</f>
        <v>1465.7930000000001</v>
      </c>
      <c r="G22" s="20">
        <f t="shared" ref="C22:W22" si="24">G19+G20</f>
        <v>1343.6849999999999</v>
      </c>
      <c r="H22" s="20">
        <f t="shared" si="24"/>
        <v>1245.742</v>
      </c>
      <c r="I22" s="20">
        <f t="shared" si="24"/>
        <v>1394.153</v>
      </c>
      <c r="J22" s="20">
        <f t="shared" si="24"/>
        <v>1591.86</v>
      </c>
      <c r="K22" s="20">
        <f t="shared" si="24"/>
        <v>1434.4580000000001</v>
      </c>
      <c r="L22" s="20">
        <f t="shared" si="24"/>
        <v>1312.94</v>
      </c>
      <c r="M22" s="20">
        <f t="shared" si="24"/>
        <v>1447.0810000000001</v>
      </c>
      <c r="N22" s="20">
        <f t="shared" si="24"/>
        <v>1568.6080000000002</v>
      </c>
      <c r="O22" s="20">
        <f t="shared" si="24"/>
        <v>1506.1259999999997</v>
      </c>
      <c r="P22" s="20">
        <f t="shared" si="24"/>
        <v>497.54200000000003</v>
      </c>
      <c r="Q22" s="20">
        <f t="shared" si="24"/>
        <v>1063.085</v>
      </c>
      <c r="R22" s="20">
        <f t="shared" si="24"/>
        <v>1385.856</v>
      </c>
      <c r="S22" s="20">
        <f t="shared" si="24"/>
        <v>1305.6019999999999</v>
      </c>
      <c r="T22" s="20">
        <f t="shared" si="24"/>
        <v>1275.971</v>
      </c>
      <c r="U22" s="20">
        <f t="shared" si="24"/>
        <v>1497.5819999999999</v>
      </c>
      <c r="V22" s="20">
        <f t="shared" si="24"/>
        <v>1684.7809999999999</v>
      </c>
      <c r="W22" s="20">
        <f t="shared" si="24"/>
        <v>1591.5619999999999</v>
      </c>
      <c r="X22" s="20">
        <f>X19+X20</f>
        <v>1471.1489999999999</v>
      </c>
      <c r="Y22" s="20">
        <f t="shared" ref="Y22:Z22" si="25">U22*1.1</f>
        <v>1647.3402000000001</v>
      </c>
      <c r="Z22" s="20">
        <f t="shared" si="25"/>
        <v>1853.2591</v>
      </c>
      <c r="AC22" s="20">
        <f>AC5+AC9+AC13</f>
        <v>4904.03</v>
      </c>
      <c r="AD22" s="20">
        <f t="shared" ref="AC22:AF22" si="26">AD19+AD20</f>
        <v>5575.4400000000005</v>
      </c>
      <c r="AE22" s="20">
        <f t="shared" si="26"/>
        <v>5763.0870000000004</v>
      </c>
      <c r="AF22" s="20">
        <f t="shared" si="26"/>
        <v>4452.6089999999995</v>
      </c>
      <c r="AG22" s="20">
        <f>AG19+AG20</f>
        <v>5763.9359999999997</v>
      </c>
      <c r="AH22" s="20">
        <f>SUM(W22:Z22)</f>
        <v>6563.3103000000001</v>
      </c>
      <c r="AI22" s="20">
        <f>AH22*1.05</f>
        <v>6891.4758150000007</v>
      </c>
      <c r="AJ22" s="20">
        <f t="shared" ref="AJ22:AK22" si="27">AI22*1.05</f>
        <v>7236.0496057500013</v>
      </c>
      <c r="AK22" s="20">
        <f t="shared" si="27"/>
        <v>7597.852086037502</v>
      </c>
    </row>
    <row r="23" spans="1:37" x14ac:dyDescent="0.2">
      <c r="B23" s="1" t="s">
        <v>10</v>
      </c>
      <c r="C23" s="2">
        <v>537.43799999999999</v>
      </c>
      <c r="D23" s="2">
        <v>509.46300000000002</v>
      </c>
      <c r="E23" s="2">
        <v>611.76199999999994</v>
      </c>
      <c r="F23" s="2">
        <f>AC23-SUM(C23:E23)</f>
        <v>682.63799999999992</v>
      </c>
      <c r="G23" s="2">
        <v>605.56100000000004</v>
      </c>
      <c r="H23" s="2">
        <v>574.86500000000001</v>
      </c>
      <c r="I23" s="2">
        <v>652.59100000000001</v>
      </c>
      <c r="J23" s="2">
        <f>AD23-SUM(G23:I23)</f>
        <v>744.44800000000032</v>
      </c>
      <c r="K23" s="2">
        <v>651.65</v>
      </c>
      <c r="L23" s="2">
        <v>612.51700000000005</v>
      </c>
      <c r="M23" s="2">
        <v>680.33500000000004</v>
      </c>
      <c r="N23" s="2">
        <f>AE23-SUM(K23:M23)</f>
        <v>717.21199999999999</v>
      </c>
      <c r="O23" s="2">
        <v>666.79899999999998</v>
      </c>
      <c r="P23" s="2">
        <v>327.89</v>
      </c>
      <c r="Q23" s="2">
        <v>485.68700000000001</v>
      </c>
      <c r="R23" s="2">
        <v>619.30899999999997</v>
      </c>
      <c r="S23" s="2">
        <v>545.57299999999998</v>
      </c>
      <c r="T23" s="2">
        <v>525.77</v>
      </c>
      <c r="U23" s="2">
        <v>635.42700000000002</v>
      </c>
      <c r="V23" s="2">
        <v>710.45500000000004</v>
      </c>
      <c r="W23" s="2">
        <v>647.95399999999995</v>
      </c>
      <c r="X23" s="2">
        <v>616.12599999999998</v>
      </c>
      <c r="Y23" s="2">
        <f t="shared" ref="Y23:Z23" si="28">U23*1.05</f>
        <v>667.19835</v>
      </c>
      <c r="Z23" s="2">
        <f t="shared" si="28"/>
        <v>745.97775000000013</v>
      </c>
      <c r="AC23" s="2">
        <v>2341.3009999999999</v>
      </c>
      <c r="AD23" s="2">
        <v>2577.4650000000001</v>
      </c>
      <c r="AE23" s="2">
        <v>2661.7139999999999</v>
      </c>
      <c r="AF23" s="24">
        <f>SUM(O23:R23)</f>
        <v>2099.6849999999999</v>
      </c>
      <c r="AG23" s="2">
        <f>SUM(S23:V23)</f>
        <v>2417.2249999999999</v>
      </c>
      <c r="AH23" s="2">
        <f>SUM(W23:Z23)</f>
        <v>2677.2561000000001</v>
      </c>
      <c r="AI23" s="25">
        <f>AH23*1.06</f>
        <v>2837.891466</v>
      </c>
      <c r="AJ23" s="25">
        <f t="shared" ref="AJ23:AK23" si="29">AI23*1.06</f>
        <v>3008.1649539600003</v>
      </c>
      <c r="AK23" s="25">
        <f t="shared" si="29"/>
        <v>3188.6548511976002</v>
      </c>
    </row>
    <row r="24" spans="1:37" s="20" customFormat="1" ht="15" x14ac:dyDescent="0.25">
      <c r="A24" s="19"/>
      <c r="B24" s="19" t="s">
        <v>11</v>
      </c>
      <c r="C24" s="20">
        <f t="shared" ref="C24:Z24" si="30">+C22-C23</f>
        <v>564.553</v>
      </c>
      <c r="D24" s="20">
        <f t="shared" si="30"/>
        <v>558.39200000000005</v>
      </c>
      <c r="E24" s="20">
        <f t="shared" si="30"/>
        <v>656.62900000000013</v>
      </c>
      <c r="F24" s="20">
        <f t="shared" si="30"/>
        <v>783.1550000000002</v>
      </c>
      <c r="G24" s="20">
        <f t="shared" si="30"/>
        <v>738.12399999999991</v>
      </c>
      <c r="H24" s="20">
        <f t="shared" si="30"/>
        <v>670.87699999999995</v>
      </c>
      <c r="I24" s="20">
        <f t="shared" si="30"/>
        <v>741.56200000000001</v>
      </c>
      <c r="J24" s="20">
        <f t="shared" si="30"/>
        <v>847.41199999999958</v>
      </c>
      <c r="K24" s="20">
        <f t="shared" si="30"/>
        <v>782.80800000000011</v>
      </c>
      <c r="L24" s="20">
        <f t="shared" si="30"/>
        <v>700.423</v>
      </c>
      <c r="M24" s="20">
        <f t="shared" si="30"/>
        <v>766.74600000000009</v>
      </c>
      <c r="N24" s="20">
        <f t="shared" si="30"/>
        <v>851.39600000000019</v>
      </c>
      <c r="O24" s="20">
        <f t="shared" si="30"/>
        <v>839.32699999999977</v>
      </c>
      <c r="P24" s="20">
        <f t="shared" si="30"/>
        <v>169.65200000000004</v>
      </c>
      <c r="Q24" s="20">
        <f t="shared" si="30"/>
        <v>577.39800000000002</v>
      </c>
      <c r="R24" s="20">
        <f t="shared" si="30"/>
        <v>766.54700000000003</v>
      </c>
      <c r="S24" s="20">
        <f>+S22-S23</f>
        <v>760.02899999999988</v>
      </c>
      <c r="T24" s="20">
        <f t="shared" si="30"/>
        <v>750.20100000000002</v>
      </c>
      <c r="U24" s="20">
        <f t="shared" si="30"/>
        <v>862.15499999999986</v>
      </c>
      <c r="V24" s="20">
        <f t="shared" si="30"/>
        <v>974.32599999999991</v>
      </c>
      <c r="W24" s="20">
        <f t="shared" ref="W24" si="31">+W22-W23</f>
        <v>943.60799999999995</v>
      </c>
      <c r="X24" s="20">
        <f t="shared" si="30"/>
        <v>855.02299999999991</v>
      </c>
      <c r="Y24" s="20">
        <f t="shared" si="30"/>
        <v>980.14185000000009</v>
      </c>
      <c r="Z24" s="20">
        <f t="shared" si="30"/>
        <v>1107.2813499999997</v>
      </c>
      <c r="AC24" s="20">
        <f>+AC22-AC23</f>
        <v>2562.7289999999998</v>
      </c>
      <c r="AD24" s="20">
        <f t="shared" ref="AD24:AK24" si="32">+AD22-AD23</f>
        <v>2997.9750000000004</v>
      </c>
      <c r="AE24" s="20">
        <f t="shared" si="32"/>
        <v>3101.3730000000005</v>
      </c>
      <c r="AF24" s="20">
        <f>+AF22-AF23</f>
        <v>2352.9239999999995</v>
      </c>
      <c r="AG24" s="20">
        <f t="shared" si="32"/>
        <v>3346.7109999999998</v>
      </c>
      <c r="AH24" s="20">
        <f t="shared" si="32"/>
        <v>3886.0542</v>
      </c>
      <c r="AI24" s="20">
        <f t="shared" si="32"/>
        <v>4053.5843490000007</v>
      </c>
      <c r="AJ24" s="20">
        <f t="shared" si="32"/>
        <v>4227.884651790001</v>
      </c>
      <c r="AK24" s="20">
        <f t="shared" si="32"/>
        <v>4409.1972348399013</v>
      </c>
    </row>
    <row r="25" spans="1:37" x14ac:dyDescent="0.2">
      <c r="B25" s="1" t="s">
        <v>12</v>
      </c>
      <c r="C25" s="2">
        <v>456.21300000000002</v>
      </c>
      <c r="D25" s="2">
        <v>495.74099999999999</v>
      </c>
      <c r="E25" s="2">
        <v>510.30900000000003</v>
      </c>
      <c r="F25" s="2">
        <f>AC25-SUM(C25:E25)</f>
        <v>633.29700000000003</v>
      </c>
      <c r="G25" s="2">
        <v>564.02499999999998</v>
      </c>
      <c r="H25" s="2">
        <v>594.35299999999995</v>
      </c>
      <c r="I25" s="2">
        <v>582.95299999999997</v>
      </c>
      <c r="J25" s="2">
        <f>AD25-SUM(G25:I25)</f>
        <v>716.23299999999995</v>
      </c>
      <c r="K25" s="2">
        <v>581.89599999999996</v>
      </c>
      <c r="L25" s="2">
        <v>637.52499999999998</v>
      </c>
      <c r="M25" s="2">
        <v>595.52800000000002</v>
      </c>
      <c r="N25" s="2">
        <f>AE25-SUM(K25:M25)</f>
        <v>719.74900000000002</v>
      </c>
      <c r="O25" s="2">
        <v>660.54499999999996</v>
      </c>
      <c r="P25" s="2">
        <v>550.52499999999998</v>
      </c>
      <c r="Q25" s="2">
        <v>484.00200000000001</v>
      </c>
      <c r="R25" s="2">
        <v>652.55600000000004</v>
      </c>
      <c r="S25" s="2">
        <v>582.90599999999995</v>
      </c>
      <c r="T25" s="2">
        <v>628.23099999999999</v>
      </c>
      <c r="U25" s="2">
        <v>649.46</v>
      </c>
      <c r="V25" s="2">
        <v>790.83900000000006</v>
      </c>
      <c r="W25" s="2">
        <v>709.37599999999998</v>
      </c>
      <c r="X25" s="2">
        <v>778.85699999999997</v>
      </c>
      <c r="Y25" s="2">
        <f t="shared" ref="Y25" si="33">U25*1.1</f>
        <v>714.40600000000006</v>
      </c>
      <c r="Z25" s="2">
        <f t="shared" ref="Z25" si="34">V25*1.1</f>
        <v>869.92290000000014</v>
      </c>
      <c r="AC25" s="2">
        <v>2095.56</v>
      </c>
      <c r="AD25" s="2">
        <v>2457.5639999999999</v>
      </c>
      <c r="AE25" s="2">
        <v>2534.6979999999999</v>
      </c>
      <c r="AF25" s="24">
        <f>SUM(O25:R25)</f>
        <v>2347.6279999999997</v>
      </c>
      <c r="AG25" s="2">
        <f>SUM(S25:V25)</f>
        <v>2651.4360000000001</v>
      </c>
      <c r="AH25" s="2">
        <f t="shared" ref="AH25:AH26" si="35">SUM(W25:Z25)</f>
        <v>3072.5619000000002</v>
      </c>
      <c r="AI25" s="25">
        <f>AH25*1.05</f>
        <v>3226.1899950000002</v>
      </c>
      <c r="AJ25" s="2">
        <f t="shared" ref="AJ25:AK25" si="36">AI25*1.05</f>
        <v>3387.4994947500004</v>
      </c>
      <c r="AK25" s="2">
        <f t="shared" si="36"/>
        <v>3556.8744694875004</v>
      </c>
    </row>
    <row r="26" spans="1:37" x14ac:dyDescent="0.2">
      <c r="B26" s="23" t="s">
        <v>74</v>
      </c>
      <c r="C26" s="2">
        <v>0</v>
      </c>
      <c r="D26" s="2">
        <v>0</v>
      </c>
      <c r="E26" s="2">
        <v>0</v>
      </c>
      <c r="F26" s="2">
        <v>0</v>
      </c>
      <c r="G26" s="2">
        <v>0</v>
      </c>
      <c r="H26" s="2">
        <v>0</v>
      </c>
      <c r="I26" s="2">
        <v>0</v>
      </c>
      <c r="J26" s="2">
        <v>0</v>
      </c>
      <c r="K26" s="2">
        <v>0</v>
      </c>
      <c r="L26" s="2">
        <v>0</v>
      </c>
      <c r="M26" s="2">
        <v>0</v>
      </c>
      <c r="N26" s="2">
        <v>0</v>
      </c>
      <c r="O26" s="2">
        <v>0</v>
      </c>
      <c r="P26" s="2">
        <v>67.370999999999995</v>
      </c>
      <c r="Q26" s="2">
        <v>1.071</v>
      </c>
      <c r="R26" s="2">
        <v>21.972999999999999</v>
      </c>
      <c r="S26" s="2">
        <v>0</v>
      </c>
      <c r="T26" s="2">
        <v>15.515000000000001</v>
      </c>
      <c r="U26" s="2">
        <v>-3.6150000000000002</v>
      </c>
      <c r="V26" s="2">
        <v>-2.8359999999999999</v>
      </c>
      <c r="W26" s="2">
        <v>0</v>
      </c>
      <c r="X26" s="2">
        <v>0</v>
      </c>
      <c r="Y26" s="2">
        <v>0</v>
      </c>
      <c r="Z26" s="2">
        <v>0</v>
      </c>
      <c r="AC26" s="2">
        <f>SUM(C26:F26)</f>
        <v>0</v>
      </c>
      <c r="AD26" s="2">
        <f>SUM(G26:J26)</f>
        <v>0</v>
      </c>
      <c r="AE26" s="2">
        <f>SUM(K26:N26)</f>
        <v>0</v>
      </c>
      <c r="AF26" s="24">
        <f>SUM(O26:R26)</f>
        <v>90.414999999999992</v>
      </c>
      <c r="AG26" s="2">
        <f>SUM(S26:V26)</f>
        <v>9.0640000000000001</v>
      </c>
      <c r="AH26" s="2">
        <f t="shared" si="35"/>
        <v>0</v>
      </c>
      <c r="AI26" s="2">
        <v>0</v>
      </c>
      <c r="AJ26" s="2">
        <v>0</v>
      </c>
      <c r="AK26" s="2">
        <v>0</v>
      </c>
    </row>
    <row r="27" spans="1:37" s="20" customFormat="1" ht="15" x14ac:dyDescent="0.25">
      <c r="A27" s="19"/>
      <c r="B27" s="20" t="s">
        <v>13</v>
      </c>
      <c r="C27" s="20">
        <f t="shared" ref="C27:U27" si="37">+C25+C26</f>
        <v>456.21300000000002</v>
      </c>
      <c r="D27" s="20">
        <f t="shared" si="37"/>
        <v>495.74099999999999</v>
      </c>
      <c r="E27" s="20">
        <f t="shared" si="37"/>
        <v>510.30900000000003</v>
      </c>
      <c r="F27" s="20">
        <f t="shared" si="37"/>
        <v>633.29700000000003</v>
      </c>
      <c r="G27" s="20">
        <f t="shared" si="37"/>
        <v>564.02499999999998</v>
      </c>
      <c r="H27" s="20">
        <f t="shared" si="37"/>
        <v>594.35299999999995</v>
      </c>
      <c r="I27" s="20">
        <f t="shared" si="37"/>
        <v>582.95299999999997</v>
      </c>
      <c r="J27" s="20">
        <f t="shared" si="37"/>
        <v>716.23299999999995</v>
      </c>
      <c r="K27" s="20">
        <f t="shared" si="37"/>
        <v>581.89599999999996</v>
      </c>
      <c r="L27" s="20">
        <f t="shared" si="37"/>
        <v>637.52499999999998</v>
      </c>
      <c r="M27" s="20">
        <f t="shared" si="37"/>
        <v>595.52800000000002</v>
      </c>
      <c r="N27" s="20">
        <f t="shared" si="37"/>
        <v>719.74900000000002</v>
      </c>
      <c r="O27" s="20">
        <f t="shared" si="37"/>
        <v>660.54499999999996</v>
      </c>
      <c r="P27" s="20">
        <f t="shared" si="37"/>
        <v>617.89599999999996</v>
      </c>
      <c r="Q27" s="20">
        <f t="shared" si="37"/>
        <v>485.07300000000004</v>
      </c>
      <c r="R27" s="20">
        <f t="shared" si="37"/>
        <v>674.529</v>
      </c>
      <c r="S27" s="20">
        <f t="shared" si="37"/>
        <v>582.90599999999995</v>
      </c>
      <c r="T27" s="20">
        <f t="shared" si="37"/>
        <v>643.74599999999998</v>
      </c>
      <c r="U27" s="20">
        <f t="shared" si="37"/>
        <v>645.84500000000003</v>
      </c>
      <c r="V27" s="20">
        <f>+V25+V26</f>
        <v>788.00300000000004</v>
      </c>
      <c r="W27" s="20">
        <f t="shared" ref="W27:Z27" si="38">+W25+W26</f>
        <v>709.37599999999998</v>
      </c>
      <c r="X27" s="20">
        <f t="shared" si="38"/>
        <v>778.85699999999997</v>
      </c>
      <c r="Y27" s="20">
        <f t="shared" si="38"/>
        <v>714.40600000000006</v>
      </c>
      <c r="Z27" s="20">
        <f t="shared" si="38"/>
        <v>869.92290000000014</v>
      </c>
      <c r="AC27" s="20">
        <f t="shared" ref="AC27" si="39">+AC25+AC26</f>
        <v>2095.56</v>
      </c>
      <c r="AD27" s="20">
        <f t="shared" ref="AD27" si="40">+AD25+AD26</f>
        <v>2457.5639999999999</v>
      </c>
      <c r="AE27" s="20">
        <f t="shared" ref="AE27" si="41">+AE25+AE26</f>
        <v>2534.6979999999999</v>
      </c>
      <c r="AF27" s="20">
        <f t="shared" ref="AF27" si="42">+AF25+AF26</f>
        <v>2438.0429999999997</v>
      </c>
      <c r="AG27" s="20">
        <f t="shared" ref="AG27" si="43">+AG25+AG26</f>
        <v>2660.5</v>
      </c>
      <c r="AH27" s="20">
        <f t="shared" ref="AH27" si="44">+AH25+AH26</f>
        <v>3072.5619000000002</v>
      </c>
      <c r="AI27" s="20">
        <f t="shared" ref="AI27" si="45">+AI25+AI26</f>
        <v>3226.1899950000002</v>
      </c>
      <c r="AJ27" s="20">
        <f t="shared" ref="AJ27" si="46">+AJ25+AJ26</f>
        <v>3387.4994947500004</v>
      </c>
      <c r="AK27" s="20">
        <f t="shared" ref="AK27" si="47">+AK25+AK26</f>
        <v>3556.8744694875004</v>
      </c>
    </row>
    <row r="28" spans="1:37" s="20" customFormat="1" ht="15" x14ac:dyDescent="0.25">
      <c r="A28" s="19"/>
      <c r="B28" s="19" t="s">
        <v>14</v>
      </c>
      <c r="C28" s="20">
        <f t="shared" ref="C28:R28" si="48">+C24-C27</f>
        <v>108.33999999999997</v>
      </c>
      <c r="D28" s="20">
        <f t="shared" si="48"/>
        <v>62.651000000000067</v>
      </c>
      <c r="E28" s="20">
        <f t="shared" si="48"/>
        <v>146.32000000000011</v>
      </c>
      <c r="F28" s="20">
        <f t="shared" si="48"/>
        <v>149.85800000000017</v>
      </c>
      <c r="G28" s="20">
        <f t="shared" si="48"/>
        <v>174.09899999999993</v>
      </c>
      <c r="H28" s="20">
        <f t="shared" si="48"/>
        <v>76.524000000000001</v>
      </c>
      <c r="I28" s="20">
        <f t="shared" si="48"/>
        <v>158.60900000000004</v>
      </c>
      <c r="J28" s="20">
        <f t="shared" si="48"/>
        <v>131.17899999999963</v>
      </c>
      <c r="K28" s="20">
        <f t="shared" si="48"/>
        <v>200.91200000000015</v>
      </c>
      <c r="L28" s="20">
        <f t="shared" si="48"/>
        <v>62.898000000000025</v>
      </c>
      <c r="M28" s="20">
        <f t="shared" si="48"/>
        <v>171.21800000000007</v>
      </c>
      <c r="N28" s="20">
        <f t="shared" si="48"/>
        <v>131.64700000000016</v>
      </c>
      <c r="O28" s="20">
        <f t="shared" si="48"/>
        <v>178.78199999999981</v>
      </c>
      <c r="P28" s="20">
        <f t="shared" si="48"/>
        <v>-448.24399999999991</v>
      </c>
      <c r="Q28" s="20">
        <f t="shared" si="48"/>
        <v>92.324999999999989</v>
      </c>
      <c r="R28" s="20">
        <f t="shared" si="48"/>
        <v>92.018000000000029</v>
      </c>
      <c r="S28" s="20">
        <f>+S24-S27</f>
        <v>177.12299999999993</v>
      </c>
      <c r="T28" s="20">
        <f>+T24-T27</f>
        <v>106.45500000000004</v>
      </c>
      <c r="U28" s="20">
        <f>+U24-U27</f>
        <v>216.30999999999983</v>
      </c>
      <c r="V28" s="20">
        <f>+V24-V27</f>
        <v>186.32299999999987</v>
      </c>
      <c r="W28" s="20">
        <f t="shared" ref="W28" si="49">+W24-W27</f>
        <v>234.23199999999997</v>
      </c>
      <c r="X28" s="20">
        <f>+X24-X27</f>
        <v>76.16599999999994</v>
      </c>
      <c r="Y28" s="20">
        <f>+Y24-Y27</f>
        <v>265.73585000000003</v>
      </c>
      <c r="Z28" s="20">
        <f t="shared" ref="Z28" si="50">+Z24-Z27</f>
        <v>237.35844999999961</v>
      </c>
      <c r="AC28" s="20">
        <f t="shared" ref="AC28:AK28" si="51">+AC24-AC27</f>
        <v>467.16899999999987</v>
      </c>
      <c r="AD28" s="20">
        <f t="shared" si="51"/>
        <v>540.41100000000051</v>
      </c>
      <c r="AE28" s="20">
        <f t="shared" si="51"/>
        <v>566.67500000000064</v>
      </c>
      <c r="AF28" s="20">
        <f t="shared" si="51"/>
        <v>-85.119000000000142</v>
      </c>
      <c r="AG28" s="20">
        <f t="shared" si="51"/>
        <v>686.21099999999979</v>
      </c>
      <c r="AH28" s="20">
        <f t="shared" si="51"/>
        <v>813.49229999999989</v>
      </c>
      <c r="AI28" s="20">
        <f t="shared" si="51"/>
        <v>827.39435400000048</v>
      </c>
      <c r="AJ28" s="20">
        <f t="shared" si="51"/>
        <v>840.38515704000065</v>
      </c>
      <c r="AK28" s="20">
        <f t="shared" si="51"/>
        <v>852.32276535240089</v>
      </c>
    </row>
    <row r="29" spans="1:37" x14ac:dyDescent="0.2">
      <c r="B29" s="1" t="s">
        <v>16</v>
      </c>
      <c r="C29" s="2">
        <f>-19.934+0.408</f>
        <v>-19.526</v>
      </c>
      <c r="D29" s="2">
        <f>-17.895-22.793-18.087</f>
        <v>-58.775000000000006</v>
      </c>
      <c r="E29" s="2">
        <f>-14.476-14.734</f>
        <v>-29.21</v>
      </c>
      <c r="F29" s="2">
        <f>AC29-SUM(C29:E29)</f>
        <v>-10.876999999999995</v>
      </c>
      <c r="G29" s="2">
        <f>-15.497-9.577</f>
        <v>-25.073999999999998</v>
      </c>
      <c r="H29" s="2">
        <f>-14.465+13.653</f>
        <v>-0.81199999999999939</v>
      </c>
      <c r="I29" s="2">
        <f>-15.697-3.032</f>
        <v>-18.728999999999999</v>
      </c>
      <c r="J29" s="2">
        <f>AD29-SUM(G29:I29)</f>
        <v>4.2259999999999991</v>
      </c>
      <c r="K29" s="2">
        <f>-17.544-1.646</f>
        <v>-19.190000000000001</v>
      </c>
      <c r="L29" s="2">
        <f>-15.126-24.86+3.166</f>
        <v>-36.82</v>
      </c>
      <c r="M29" s="2">
        <f>-15.292-4.369</f>
        <v>-19.661000000000001</v>
      </c>
      <c r="N29" s="2">
        <f>AE29-SUM(K29:M29)</f>
        <v>-13.420000000000002</v>
      </c>
      <c r="O29" s="2">
        <f>-16.654+2.7</f>
        <v>-13.954000000000001</v>
      </c>
      <c r="P29" s="2">
        <f>-11.246+1.305</f>
        <v>-9.9410000000000007</v>
      </c>
      <c r="Q29" s="2">
        <f>-28.437-12.274</f>
        <v>-40.710999999999999</v>
      </c>
      <c r="R29" s="2">
        <f>-25.853-14.205</f>
        <v>-40.058</v>
      </c>
      <c r="S29" s="2">
        <f>-23.31+0.858</f>
        <v>-22.451999999999998</v>
      </c>
      <c r="T29" s="2">
        <f>-19.933-30.108-0.715</f>
        <v>-50.756</v>
      </c>
      <c r="U29" s="2">
        <f>-18.118+4.847</f>
        <v>-13.270999999999997</v>
      </c>
      <c r="V29" s="2">
        <f>-11.541-6.183-1.768</f>
        <v>-19.492000000000001</v>
      </c>
      <c r="W29" s="2">
        <f>-4.248+15.897</f>
        <v>11.649000000000001</v>
      </c>
      <c r="X29" s="2">
        <f>-4.36+6.004</f>
        <v>1.6439999999999992</v>
      </c>
      <c r="Y29" s="2">
        <f t="shared" ref="Y29:Z29" si="52">U29*1.1</f>
        <v>-14.598099999999999</v>
      </c>
      <c r="Z29" s="2">
        <f t="shared" si="52"/>
        <v>-21.441200000000002</v>
      </c>
      <c r="AC29" s="2">
        <f>-68.603-22.793-26.992</f>
        <v>-118.38799999999999</v>
      </c>
      <c r="AD29" s="2">
        <f>-55.296+14.907</f>
        <v>-40.388999999999996</v>
      </c>
      <c r="AE29" s="2">
        <f>-66.248-24.86+2.017</f>
        <v>-89.091000000000008</v>
      </c>
      <c r="AF29" s="24">
        <f>SUM(O29:R29)</f>
        <v>-104.66399999999999</v>
      </c>
      <c r="AG29" s="2">
        <f>SUM(S29:V29)</f>
        <v>-105.971</v>
      </c>
      <c r="AH29" s="2">
        <f>SUM(W29:Z29)</f>
        <v>-22.746300000000002</v>
      </c>
      <c r="AI29" s="25">
        <f>AH29*1.05</f>
        <v>-23.883615000000002</v>
      </c>
      <c r="AJ29" s="2">
        <f t="shared" ref="AJ29:AK29" si="53">AI29*1.05</f>
        <v>-25.077795750000003</v>
      </c>
      <c r="AK29" s="2">
        <f t="shared" si="53"/>
        <v>-26.331685537500004</v>
      </c>
    </row>
    <row r="30" spans="1:37" x14ac:dyDescent="0.2">
      <c r="B30" s="1" t="s">
        <v>15</v>
      </c>
      <c r="C30" s="2">
        <f t="shared" ref="C30:Y30" si="54">+C28+C29</f>
        <v>88.813999999999979</v>
      </c>
      <c r="D30" s="2">
        <f t="shared" si="54"/>
        <v>3.8760000000000616</v>
      </c>
      <c r="E30" s="2">
        <f t="shared" si="54"/>
        <v>117.1100000000001</v>
      </c>
      <c r="F30" s="2">
        <f t="shared" si="54"/>
        <v>138.98100000000017</v>
      </c>
      <c r="G30" s="2">
        <f t="shared" si="54"/>
        <v>149.02499999999992</v>
      </c>
      <c r="H30" s="2">
        <f t="shared" si="54"/>
        <v>75.712000000000003</v>
      </c>
      <c r="I30" s="2">
        <f t="shared" si="54"/>
        <v>139.88000000000005</v>
      </c>
      <c r="J30" s="2">
        <f t="shared" si="54"/>
        <v>135.40499999999963</v>
      </c>
      <c r="K30" s="2">
        <f t="shared" si="54"/>
        <v>181.72200000000015</v>
      </c>
      <c r="L30" s="2">
        <f t="shared" si="54"/>
        <v>26.078000000000024</v>
      </c>
      <c r="M30" s="2">
        <f t="shared" si="54"/>
        <v>151.55700000000007</v>
      </c>
      <c r="N30" s="2">
        <f t="shared" si="54"/>
        <v>118.22700000000016</v>
      </c>
      <c r="O30" s="2">
        <f t="shared" si="54"/>
        <v>164.8279999999998</v>
      </c>
      <c r="P30" s="2">
        <f t="shared" si="54"/>
        <v>-458.18499999999989</v>
      </c>
      <c r="Q30" s="2">
        <f t="shared" si="54"/>
        <v>51.61399999999999</v>
      </c>
      <c r="R30" s="2">
        <f t="shared" si="54"/>
        <v>51.960000000000029</v>
      </c>
      <c r="S30" s="2">
        <f>+S28+S29</f>
        <v>154.67099999999994</v>
      </c>
      <c r="T30" s="2">
        <f t="shared" si="54"/>
        <v>55.699000000000041</v>
      </c>
      <c r="U30" s="2">
        <f t="shared" si="54"/>
        <v>203.03899999999985</v>
      </c>
      <c r="V30" s="2">
        <f t="shared" ref="V30" si="55">+V28+V29</f>
        <v>166.83099999999988</v>
      </c>
      <c r="W30" s="2">
        <f t="shared" ref="W30" si="56">+W28+W29</f>
        <v>245.88099999999997</v>
      </c>
      <c r="X30" s="2">
        <f t="shared" si="54"/>
        <v>77.809999999999945</v>
      </c>
      <c r="Y30" s="2">
        <f t="shared" si="54"/>
        <v>251.13775000000004</v>
      </c>
      <c r="Z30" s="2">
        <f t="shared" ref="Z30" si="57">+Z28+Z29</f>
        <v>215.9172499999996</v>
      </c>
      <c r="AC30" s="2">
        <f>+AC28+AC29</f>
        <v>348.78099999999989</v>
      </c>
      <c r="AD30" s="2">
        <f t="shared" ref="AD30:AK30" si="58">+AD28+AD29</f>
        <v>500.0220000000005</v>
      </c>
      <c r="AE30" s="2">
        <f t="shared" si="58"/>
        <v>477.58400000000063</v>
      </c>
      <c r="AF30" s="2">
        <f>+AF28+AF29</f>
        <v>-189.78300000000013</v>
      </c>
      <c r="AG30" s="2">
        <f t="shared" si="58"/>
        <v>580.23999999999978</v>
      </c>
      <c r="AH30" s="2">
        <f t="shared" si="58"/>
        <v>790.74599999999987</v>
      </c>
      <c r="AI30" s="2">
        <f t="shared" si="58"/>
        <v>803.51073900000051</v>
      </c>
      <c r="AJ30" s="2">
        <f t="shared" si="58"/>
        <v>815.3073612900007</v>
      </c>
      <c r="AK30" s="2">
        <f t="shared" si="58"/>
        <v>825.9910798149009</v>
      </c>
    </row>
    <row r="31" spans="1:37" x14ac:dyDescent="0.2">
      <c r="B31" s="1" t="s">
        <v>17</v>
      </c>
      <c r="C31" s="2">
        <v>28.693000000000001</v>
      </c>
      <c r="D31" s="2">
        <v>-13.847</v>
      </c>
      <c r="E31" s="2">
        <v>27.631</v>
      </c>
      <c r="F31" s="2">
        <f>AC31-SUM(C31:E31)</f>
        <v>21.74799999999999</v>
      </c>
      <c r="G31" s="2">
        <v>167.654</v>
      </c>
      <c r="H31" s="2">
        <v>-1.32</v>
      </c>
      <c r="I31" s="2">
        <v>10.298999999999999</v>
      </c>
      <c r="J31" s="2">
        <f>AD31-SUM(G31:I31)</f>
        <v>38.144999999999982</v>
      </c>
      <c r="K31" s="2">
        <v>35.271000000000001</v>
      </c>
      <c r="L31" s="2">
        <v>-2.4289999999999998</v>
      </c>
      <c r="M31" s="2">
        <v>27.34</v>
      </c>
      <c r="N31" s="2">
        <f>AE31-SUM(K31:M31)</f>
        <v>22.421999999999997</v>
      </c>
      <c r="O31" s="2">
        <v>12.138999999999999</v>
      </c>
      <c r="P31" s="2">
        <v>-94.635999999999996</v>
      </c>
      <c r="Q31" s="2">
        <v>24.565000000000001</v>
      </c>
      <c r="R31" s="2">
        <v>-4.71</v>
      </c>
      <c r="S31" s="2">
        <v>12.167</v>
      </c>
      <c r="T31" s="2">
        <v>-9.02</v>
      </c>
      <c r="U31" s="2">
        <v>9.7059999999999995</v>
      </c>
      <c r="V31" s="2">
        <v>13.846</v>
      </c>
      <c r="W31" s="2">
        <v>50.037999999999997</v>
      </c>
      <c r="X31" s="2">
        <v>28.068000000000001</v>
      </c>
      <c r="Y31" s="2">
        <f t="shared" ref="Y31:Z31" si="59">Y30*0.21</f>
        <v>52.73892750000001</v>
      </c>
      <c r="Z31" s="2">
        <f t="shared" si="59"/>
        <v>45.342622499999912</v>
      </c>
      <c r="AC31" s="2">
        <v>64.224999999999994</v>
      </c>
      <c r="AD31" s="2">
        <v>214.77799999999999</v>
      </c>
      <c r="AE31" s="2">
        <v>82.603999999999999</v>
      </c>
      <c r="AF31" s="24">
        <f>SUM(O31:R31)</f>
        <v>-62.642000000000003</v>
      </c>
      <c r="AG31" s="2">
        <f>SUM(S31:V31)</f>
        <v>26.698999999999998</v>
      </c>
      <c r="AH31" s="2">
        <f>SUM(W31:Z31)</f>
        <v>176.18754999999993</v>
      </c>
      <c r="AI31" s="2">
        <f t="shared" ref="AI31:AK31" si="60">AI30*0.21</f>
        <v>168.7372551900001</v>
      </c>
      <c r="AJ31" s="2">
        <f t="shared" si="60"/>
        <v>171.21454587090014</v>
      </c>
      <c r="AK31" s="2">
        <f t="shared" si="60"/>
        <v>173.45812676112919</v>
      </c>
    </row>
    <row r="32" spans="1:37" x14ac:dyDescent="0.2">
      <c r="B32" s="1" t="s">
        <v>18</v>
      </c>
      <c r="C32" s="2">
        <f t="shared" ref="C32" si="61">+C30-C31</f>
        <v>60.120999999999981</v>
      </c>
      <c r="D32" s="2">
        <f t="shared" ref="D32" si="62">+D30-D31</f>
        <v>17.723000000000063</v>
      </c>
      <c r="E32" s="2">
        <f t="shared" ref="E32" si="63">+E30-E31</f>
        <v>89.479000000000099</v>
      </c>
      <c r="F32" s="2">
        <f t="shared" ref="F32:P32" si="64">+F30-F31</f>
        <v>117.23300000000017</v>
      </c>
      <c r="G32" s="2">
        <f t="shared" si="64"/>
        <v>-18.629000000000076</v>
      </c>
      <c r="H32" s="2">
        <f t="shared" si="64"/>
        <v>77.031999999999996</v>
      </c>
      <c r="I32" s="2">
        <f t="shared" si="64"/>
        <v>129.58100000000005</v>
      </c>
      <c r="J32" s="2">
        <f t="shared" si="64"/>
        <v>97.25999999999965</v>
      </c>
      <c r="K32" s="2">
        <f t="shared" si="64"/>
        <v>146.45100000000014</v>
      </c>
      <c r="L32" s="2">
        <f t="shared" si="64"/>
        <v>28.507000000000023</v>
      </c>
      <c r="M32" s="2">
        <f t="shared" si="64"/>
        <v>124.21700000000007</v>
      </c>
      <c r="N32" s="2">
        <f t="shared" si="64"/>
        <v>95.805000000000163</v>
      </c>
      <c r="O32" s="2">
        <f t="shared" si="64"/>
        <v>152.68899999999979</v>
      </c>
      <c r="P32" s="2">
        <f t="shared" si="64"/>
        <v>-363.54899999999986</v>
      </c>
      <c r="Q32" s="2">
        <f>+Q30-Q31</f>
        <v>27.048999999999989</v>
      </c>
      <c r="R32" s="2">
        <f>+R30-R31</f>
        <v>56.67000000000003</v>
      </c>
      <c r="S32" s="2">
        <f>+S30-S31</f>
        <v>142.50399999999993</v>
      </c>
      <c r="T32" s="2">
        <f t="shared" ref="T32:Y32" si="65">+T30-T31</f>
        <v>64.719000000000037</v>
      </c>
      <c r="U32" s="2">
        <f t="shared" si="65"/>
        <v>193.33299999999986</v>
      </c>
      <c r="V32" s="2">
        <f t="shared" ref="V32" si="66">+V30-V31</f>
        <v>152.98499999999987</v>
      </c>
      <c r="W32" s="2">
        <f t="shared" si="65"/>
        <v>195.84299999999996</v>
      </c>
      <c r="X32" s="2">
        <f t="shared" si="65"/>
        <v>49.741999999999948</v>
      </c>
      <c r="Y32" s="2">
        <f t="shared" si="65"/>
        <v>198.39882250000002</v>
      </c>
      <c r="Z32" s="2">
        <f t="shared" ref="Z32" si="67">+Z30-Z31</f>
        <v>170.57462749999968</v>
      </c>
      <c r="AC32" s="2">
        <f>+AC30-AC31</f>
        <v>284.55599999999993</v>
      </c>
      <c r="AD32" s="2">
        <f t="shared" ref="AD32:AK32" si="68">+AD30-AD31</f>
        <v>285.24400000000048</v>
      </c>
      <c r="AE32" s="2">
        <f t="shared" si="68"/>
        <v>394.98000000000064</v>
      </c>
      <c r="AF32" s="2">
        <f>+AF30-AF31</f>
        <v>-127.14100000000013</v>
      </c>
      <c r="AG32" s="2">
        <f t="shared" si="68"/>
        <v>553.54099999999983</v>
      </c>
      <c r="AH32" s="2">
        <f t="shared" si="68"/>
        <v>614.55844999999999</v>
      </c>
      <c r="AI32" s="2">
        <f t="shared" si="68"/>
        <v>634.77348381000047</v>
      </c>
      <c r="AJ32" s="2">
        <f t="shared" si="68"/>
        <v>644.09281541910059</v>
      </c>
      <c r="AK32" s="2">
        <f t="shared" si="68"/>
        <v>652.53295305377173</v>
      </c>
    </row>
    <row r="33" spans="1:265" x14ac:dyDescent="0.2">
      <c r="B33" s="1" t="s">
        <v>34</v>
      </c>
      <c r="C33" s="2">
        <v>-2.1999999999999999E-2</v>
      </c>
      <c r="D33" s="2">
        <v>0.20699999999999999</v>
      </c>
      <c r="E33" s="2">
        <v>1.4870000000000001</v>
      </c>
      <c r="F33" s="2">
        <f>AC33-SUM(C33:E33)</f>
        <v>1.4809999999999999</v>
      </c>
      <c r="G33" s="2">
        <v>0.38300000000000001</v>
      </c>
      <c r="H33" s="2">
        <v>2.1</v>
      </c>
      <c r="I33" s="2">
        <v>-0.54300000000000004</v>
      </c>
      <c r="J33" s="2">
        <f>AD33-SUM(G33:I33)</f>
        <v>0.16199999999999992</v>
      </c>
      <c r="K33" s="2">
        <v>-0.126</v>
      </c>
      <c r="L33" s="2">
        <v>0.27700000000000002</v>
      </c>
      <c r="M33" s="2">
        <v>-0.29199999999999998</v>
      </c>
      <c r="N33" s="2">
        <f>AE33-SUM(K33:M33)</f>
        <v>0.5089999999999999</v>
      </c>
      <c r="O33" s="2">
        <v>0</v>
      </c>
      <c r="P33" s="2">
        <v>0</v>
      </c>
      <c r="Q33" s="2">
        <v>0</v>
      </c>
      <c r="R33" s="2">
        <v>0</v>
      </c>
      <c r="S33" s="2">
        <v>0</v>
      </c>
      <c r="T33" s="2">
        <v>0</v>
      </c>
      <c r="U33" s="2">
        <v>0</v>
      </c>
      <c r="V33" s="2">
        <v>0</v>
      </c>
      <c r="W33" s="2">
        <v>0</v>
      </c>
      <c r="X33" s="2">
        <v>0</v>
      </c>
      <c r="Y33" s="2">
        <v>0</v>
      </c>
      <c r="Z33" s="2">
        <v>0</v>
      </c>
      <c r="AC33" s="2">
        <v>3.153</v>
      </c>
      <c r="AD33" s="2">
        <v>2.1019999999999999</v>
      </c>
      <c r="AE33" s="2">
        <v>0.36799999999999999</v>
      </c>
      <c r="AF33" s="24">
        <f>SUM(O33:R33)</f>
        <v>0</v>
      </c>
      <c r="AG33" s="2">
        <f>SUM(S33:V33)</f>
        <v>0</v>
      </c>
      <c r="AH33" s="2">
        <f>SUM(W33:Z33)</f>
        <v>0</v>
      </c>
      <c r="AI33" s="2">
        <v>0</v>
      </c>
      <c r="AJ33" s="2">
        <v>0</v>
      </c>
      <c r="AK33" s="2">
        <v>0</v>
      </c>
    </row>
    <row r="34" spans="1:265" s="20" customFormat="1" ht="15" x14ac:dyDescent="0.25">
      <c r="A34" s="19"/>
      <c r="B34" s="19" t="s">
        <v>18</v>
      </c>
      <c r="C34" s="20">
        <f t="shared" ref="C34:Y34" si="69">+C30-C31-C33</f>
        <v>60.142999999999979</v>
      </c>
      <c r="D34" s="20">
        <f t="shared" si="69"/>
        <v>17.516000000000062</v>
      </c>
      <c r="E34" s="20">
        <f t="shared" si="69"/>
        <v>87.992000000000104</v>
      </c>
      <c r="F34" s="20">
        <f t="shared" si="69"/>
        <v>115.75200000000018</v>
      </c>
      <c r="G34" s="20">
        <f t="shared" si="69"/>
        <v>-19.012000000000075</v>
      </c>
      <c r="H34" s="20">
        <f t="shared" si="69"/>
        <v>74.932000000000002</v>
      </c>
      <c r="I34" s="20">
        <f t="shared" si="69"/>
        <v>130.12400000000005</v>
      </c>
      <c r="J34" s="20">
        <f t="shared" si="69"/>
        <v>97.097999999999644</v>
      </c>
      <c r="K34" s="20">
        <f t="shared" si="69"/>
        <v>146.57700000000014</v>
      </c>
      <c r="L34" s="20">
        <f t="shared" si="69"/>
        <v>28.230000000000022</v>
      </c>
      <c r="M34" s="20">
        <f>+M30-M31-M33</f>
        <v>124.50900000000007</v>
      </c>
      <c r="N34" s="20">
        <f>+N30-N31-N33</f>
        <v>95.296000000000163</v>
      </c>
      <c r="O34" s="20">
        <f t="shared" si="69"/>
        <v>152.68899999999979</v>
      </c>
      <c r="P34" s="20">
        <f t="shared" si="69"/>
        <v>-363.54899999999986</v>
      </c>
      <c r="Q34" s="20">
        <f t="shared" si="69"/>
        <v>27.048999999999989</v>
      </c>
      <c r="R34" s="20">
        <f t="shared" si="69"/>
        <v>56.67000000000003</v>
      </c>
      <c r="S34" s="20">
        <f>+S30-S31-S33</f>
        <v>142.50399999999993</v>
      </c>
      <c r="T34" s="20">
        <f t="shared" si="69"/>
        <v>64.719000000000037</v>
      </c>
      <c r="U34" s="20">
        <f t="shared" si="69"/>
        <v>193.33299999999986</v>
      </c>
      <c r="V34" s="20">
        <f t="shared" ref="V34" si="70">+V30-V31-V33</f>
        <v>152.98499999999987</v>
      </c>
      <c r="W34" s="20">
        <f t="shared" ref="W34" si="71">+W30-W31-W33</f>
        <v>195.84299999999996</v>
      </c>
      <c r="X34" s="20">
        <f t="shared" si="69"/>
        <v>49.741999999999948</v>
      </c>
      <c r="Y34" s="20">
        <f t="shared" si="69"/>
        <v>198.39882250000002</v>
      </c>
      <c r="Z34" s="20">
        <f t="shared" ref="Z34" si="72">+Z30-Z31-Z33</f>
        <v>170.57462749999968</v>
      </c>
      <c r="AC34" s="20">
        <f>+AC30-AC31-AC33</f>
        <v>281.40299999999991</v>
      </c>
      <c r="AD34" s="20">
        <f t="shared" ref="AD34:AK34" si="73">+AD30-AD31-AD33</f>
        <v>283.14200000000051</v>
      </c>
      <c r="AE34" s="20">
        <f t="shared" si="73"/>
        <v>394.61200000000065</v>
      </c>
      <c r="AF34" s="20">
        <f>+AF30-AF31-AF33</f>
        <v>-127.14100000000013</v>
      </c>
      <c r="AG34" s="20">
        <f t="shared" si="73"/>
        <v>553.54099999999983</v>
      </c>
      <c r="AH34" s="20">
        <f t="shared" si="73"/>
        <v>614.55844999999999</v>
      </c>
      <c r="AI34" s="20">
        <f t="shared" si="73"/>
        <v>634.77348381000047</v>
      </c>
      <c r="AJ34" s="20">
        <f t="shared" si="73"/>
        <v>644.09281541910059</v>
      </c>
      <c r="AK34" s="20">
        <f t="shared" si="73"/>
        <v>652.53295305377173</v>
      </c>
      <c r="AL34" s="20">
        <f>AK34*(1+$AO$39)</f>
        <v>646.00762352323397</v>
      </c>
      <c r="AM34" s="20">
        <f t="shared" ref="AM34:CX34" si="74">AL34*(1+$AO$39)</f>
        <v>639.54754728800162</v>
      </c>
      <c r="AN34" s="20">
        <f t="shared" si="74"/>
        <v>633.15207181512164</v>
      </c>
      <c r="AO34" s="20">
        <f t="shared" si="74"/>
        <v>626.82055109697046</v>
      </c>
      <c r="AP34" s="20">
        <f t="shared" si="74"/>
        <v>620.5523455860008</v>
      </c>
      <c r="AQ34" s="20">
        <f t="shared" si="74"/>
        <v>614.34682213014082</v>
      </c>
      <c r="AR34" s="20">
        <f t="shared" si="74"/>
        <v>608.2033539088394</v>
      </c>
      <c r="AS34" s="20">
        <f t="shared" si="74"/>
        <v>602.12132036975106</v>
      </c>
      <c r="AT34" s="20">
        <f t="shared" si="74"/>
        <v>596.10010716605359</v>
      </c>
      <c r="AU34" s="20">
        <f t="shared" si="74"/>
        <v>590.13910609439301</v>
      </c>
      <c r="AV34" s="20">
        <f t="shared" si="74"/>
        <v>584.23771503344904</v>
      </c>
      <c r="AW34" s="20">
        <f t="shared" si="74"/>
        <v>578.39533788311451</v>
      </c>
      <c r="AX34" s="20">
        <f t="shared" si="74"/>
        <v>572.61138450428336</v>
      </c>
      <c r="AY34" s="20">
        <f t="shared" si="74"/>
        <v>566.88527065924052</v>
      </c>
      <c r="AZ34" s="20">
        <f t="shared" si="74"/>
        <v>561.21641795264816</v>
      </c>
      <c r="BA34" s="20">
        <f t="shared" si="74"/>
        <v>555.60425377312163</v>
      </c>
      <c r="BB34" s="20">
        <f t="shared" si="74"/>
        <v>550.04821123539045</v>
      </c>
      <c r="BC34" s="20">
        <f t="shared" si="74"/>
        <v>544.54772912303656</v>
      </c>
      <c r="BD34" s="20">
        <f t="shared" si="74"/>
        <v>539.10225183180614</v>
      </c>
      <c r="BE34" s="20">
        <f t="shared" si="74"/>
        <v>533.71122931348805</v>
      </c>
      <c r="BF34" s="20">
        <f t="shared" si="74"/>
        <v>528.3741170203532</v>
      </c>
      <c r="BG34" s="20">
        <f t="shared" si="74"/>
        <v>523.09037585014971</v>
      </c>
      <c r="BH34" s="20">
        <f t="shared" si="74"/>
        <v>517.85947209164817</v>
      </c>
      <c r="BI34" s="20">
        <f t="shared" si="74"/>
        <v>512.68087737073165</v>
      </c>
      <c r="BJ34" s="20">
        <f t="shared" si="74"/>
        <v>507.55406859702435</v>
      </c>
      <c r="BK34" s="20">
        <f t="shared" si="74"/>
        <v>502.47852791105413</v>
      </c>
      <c r="BL34" s="20">
        <f t="shared" si="74"/>
        <v>497.45374263194361</v>
      </c>
      <c r="BM34" s="20">
        <f t="shared" si="74"/>
        <v>492.47920520562417</v>
      </c>
      <c r="BN34" s="20">
        <f t="shared" si="74"/>
        <v>487.55441315356791</v>
      </c>
      <c r="BO34" s="20">
        <f t="shared" si="74"/>
        <v>482.67886902203225</v>
      </c>
      <c r="BP34" s="20">
        <f t="shared" si="74"/>
        <v>477.85208033181192</v>
      </c>
      <c r="BQ34" s="20">
        <f t="shared" si="74"/>
        <v>473.07355952849377</v>
      </c>
      <c r="BR34" s="20">
        <f t="shared" si="74"/>
        <v>468.34282393320882</v>
      </c>
      <c r="BS34" s="20">
        <f t="shared" si="74"/>
        <v>463.65939569387672</v>
      </c>
      <c r="BT34" s="20">
        <f t="shared" si="74"/>
        <v>459.02280173693794</v>
      </c>
      <c r="BU34" s="20">
        <f t="shared" si="74"/>
        <v>454.43257371956855</v>
      </c>
      <c r="BV34" s="20">
        <f t="shared" si="74"/>
        <v>449.88824798237289</v>
      </c>
      <c r="BW34" s="20">
        <f t="shared" si="74"/>
        <v>445.38936550254914</v>
      </c>
      <c r="BX34" s="20">
        <f t="shared" si="74"/>
        <v>440.93547184752367</v>
      </c>
      <c r="BY34" s="20">
        <f t="shared" si="74"/>
        <v>436.52611712904843</v>
      </c>
      <c r="BZ34" s="20">
        <f t="shared" si="74"/>
        <v>432.16085595775792</v>
      </c>
      <c r="CA34" s="20">
        <f t="shared" si="74"/>
        <v>427.83924739818036</v>
      </c>
      <c r="CB34" s="20">
        <f t="shared" si="74"/>
        <v>423.56085492419857</v>
      </c>
      <c r="CC34" s="20">
        <f t="shared" si="74"/>
        <v>419.32524637495658</v>
      </c>
      <c r="CD34" s="20">
        <f t="shared" si="74"/>
        <v>415.13199391120702</v>
      </c>
      <c r="CE34" s="20">
        <f t="shared" si="74"/>
        <v>410.98067397209496</v>
      </c>
      <c r="CF34" s="20">
        <f t="shared" si="74"/>
        <v>406.870867232374</v>
      </c>
      <c r="CG34" s="20">
        <f t="shared" si="74"/>
        <v>402.80215856005026</v>
      </c>
      <c r="CH34" s="20">
        <f t="shared" si="74"/>
        <v>398.77413697444973</v>
      </c>
      <c r="CI34" s="20">
        <f t="shared" si="74"/>
        <v>394.78639560470521</v>
      </c>
      <c r="CJ34" s="20">
        <f t="shared" si="74"/>
        <v>390.83853164865815</v>
      </c>
      <c r="CK34" s="20">
        <f t="shared" si="74"/>
        <v>386.93014633217155</v>
      </c>
      <c r="CL34" s="20">
        <f t="shared" si="74"/>
        <v>383.06084486884981</v>
      </c>
      <c r="CM34" s="20">
        <f t="shared" si="74"/>
        <v>379.2302364201613</v>
      </c>
      <c r="CN34" s="20">
        <f t="shared" si="74"/>
        <v>375.43793405595972</v>
      </c>
      <c r="CO34" s="20">
        <f t="shared" si="74"/>
        <v>371.68355471540013</v>
      </c>
      <c r="CP34" s="20">
        <f t="shared" si="74"/>
        <v>367.96671916824613</v>
      </c>
      <c r="CQ34" s="20">
        <f t="shared" si="74"/>
        <v>364.28705197656365</v>
      </c>
      <c r="CR34" s="20">
        <f t="shared" si="74"/>
        <v>360.64418145679798</v>
      </c>
      <c r="CS34" s="20">
        <f t="shared" si="74"/>
        <v>357.03773964223001</v>
      </c>
      <c r="CT34" s="20">
        <f t="shared" si="74"/>
        <v>353.46736224580769</v>
      </c>
      <c r="CU34" s="20">
        <f t="shared" si="74"/>
        <v>349.93268862334963</v>
      </c>
      <c r="CV34" s="20">
        <f t="shared" si="74"/>
        <v>346.43336173711612</v>
      </c>
      <c r="CW34" s="20">
        <f t="shared" si="74"/>
        <v>342.96902811974496</v>
      </c>
      <c r="CX34" s="20">
        <f t="shared" si="74"/>
        <v>339.53933783854751</v>
      </c>
      <c r="CY34" s="20">
        <f t="shared" ref="CY34:ES34" si="75">CX34*(1+$AO$39)</f>
        <v>336.143944460162</v>
      </c>
      <c r="CZ34" s="20">
        <f t="shared" si="75"/>
        <v>332.78250501556039</v>
      </c>
      <c r="DA34" s="20">
        <f t="shared" si="75"/>
        <v>329.45467996540481</v>
      </c>
      <c r="DB34" s="20">
        <f t="shared" si="75"/>
        <v>326.16013316575078</v>
      </c>
      <c r="DC34" s="20">
        <f t="shared" si="75"/>
        <v>322.89853183409326</v>
      </c>
      <c r="DD34" s="20">
        <f t="shared" si="75"/>
        <v>319.6695465157523</v>
      </c>
      <c r="DE34" s="20">
        <f t="shared" si="75"/>
        <v>316.47285105059478</v>
      </c>
      <c r="DF34" s="20">
        <f t="shared" si="75"/>
        <v>313.30812254008885</v>
      </c>
      <c r="DG34" s="20">
        <f t="shared" si="75"/>
        <v>310.17504131468797</v>
      </c>
      <c r="DH34" s="20">
        <f t="shared" si="75"/>
        <v>307.0732909015411</v>
      </c>
      <c r="DI34" s="20">
        <f t="shared" si="75"/>
        <v>304.00255799252568</v>
      </c>
      <c r="DJ34" s="20">
        <f t="shared" si="75"/>
        <v>300.96253241260041</v>
      </c>
      <c r="DK34" s="20">
        <f t="shared" si="75"/>
        <v>297.95290708847438</v>
      </c>
      <c r="DL34" s="20">
        <f t="shared" si="75"/>
        <v>294.97337801758965</v>
      </c>
      <c r="DM34" s="20">
        <f t="shared" si="75"/>
        <v>292.02364423741375</v>
      </c>
      <c r="DN34" s="20">
        <f t="shared" si="75"/>
        <v>289.10340779503963</v>
      </c>
      <c r="DO34" s="20">
        <f t="shared" si="75"/>
        <v>286.21237371708924</v>
      </c>
      <c r="DP34" s="20">
        <f t="shared" si="75"/>
        <v>283.35024997991832</v>
      </c>
      <c r="DQ34" s="20">
        <f t="shared" si="75"/>
        <v>280.51674748011914</v>
      </c>
      <c r="DR34" s="20">
        <f t="shared" si="75"/>
        <v>277.71158000531796</v>
      </c>
      <c r="DS34" s="20">
        <f t="shared" si="75"/>
        <v>274.93446420526476</v>
      </c>
      <c r="DT34" s="20">
        <f t="shared" si="75"/>
        <v>272.18511956321208</v>
      </c>
      <c r="DU34" s="20">
        <f t="shared" si="75"/>
        <v>269.46326836757999</v>
      </c>
      <c r="DV34" s="20">
        <f t="shared" si="75"/>
        <v>266.76863568390417</v>
      </c>
      <c r="DW34" s="20">
        <f t="shared" si="75"/>
        <v>264.10094932706511</v>
      </c>
      <c r="DX34" s="20">
        <f t="shared" si="75"/>
        <v>261.45993983379446</v>
      </c>
      <c r="DY34" s="20">
        <f t="shared" si="75"/>
        <v>258.84534043545654</v>
      </c>
      <c r="DZ34" s="20">
        <f t="shared" si="75"/>
        <v>256.25688703110194</v>
      </c>
      <c r="EA34" s="20">
        <f t="shared" si="75"/>
        <v>253.69431816079091</v>
      </c>
      <c r="EB34" s="20">
        <f t="shared" si="75"/>
        <v>251.157374979183</v>
      </c>
      <c r="EC34" s="20">
        <f t="shared" si="75"/>
        <v>248.64580122939117</v>
      </c>
      <c r="ED34" s="20">
        <f t="shared" si="75"/>
        <v>246.15934321709724</v>
      </c>
      <c r="EE34" s="20">
        <f t="shared" si="75"/>
        <v>243.69774978492626</v>
      </c>
      <c r="EF34" s="20">
        <f t="shared" si="75"/>
        <v>241.260772287077</v>
      </c>
      <c r="EG34" s="20">
        <f t="shared" si="75"/>
        <v>238.84816456420623</v>
      </c>
      <c r="EH34" s="20">
        <f t="shared" si="75"/>
        <v>236.45968291856417</v>
      </c>
      <c r="EI34" s="20">
        <f t="shared" si="75"/>
        <v>234.09508608937853</v>
      </c>
      <c r="EJ34" s="20">
        <f t="shared" si="75"/>
        <v>231.75413522848473</v>
      </c>
      <c r="EK34" s="20">
        <f t="shared" si="75"/>
        <v>229.43659387619988</v>
      </c>
      <c r="EL34" s="20">
        <f t="shared" si="75"/>
        <v>227.14222793743787</v>
      </c>
      <c r="EM34" s="20">
        <f t="shared" si="75"/>
        <v>224.87080565806349</v>
      </c>
      <c r="EN34" s="20">
        <f t="shared" si="75"/>
        <v>222.62209760148286</v>
      </c>
      <c r="EO34" s="20">
        <f t="shared" si="75"/>
        <v>220.39587662546802</v>
      </c>
      <c r="EP34" s="20">
        <f t="shared" si="75"/>
        <v>218.19191785921333</v>
      </c>
      <c r="EQ34" s="20">
        <f t="shared" si="75"/>
        <v>216.00999868062121</v>
      </c>
      <c r="ER34" s="20">
        <f t="shared" si="75"/>
        <v>213.84989869381499</v>
      </c>
      <c r="ES34" s="20">
        <f t="shared" si="75"/>
        <v>211.71139970687685</v>
      </c>
      <c r="ET34" s="20">
        <f>ES34*(1+$AO$39)</f>
        <v>209.59428570980808</v>
      </c>
      <c r="EU34" s="20">
        <f t="shared" ref="EU34:HA34" si="76">ET34*(1+$AO$39)</f>
        <v>207.49834285270998</v>
      </c>
      <c r="EV34" s="20">
        <f t="shared" si="76"/>
        <v>205.42335942418288</v>
      </c>
      <c r="EW34" s="20">
        <f t="shared" si="76"/>
        <v>203.36912582994105</v>
      </c>
      <c r="EX34" s="20">
        <f t="shared" si="76"/>
        <v>201.33543457164166</v>
      </c>
      <c r="EY34" s="20">
        <f t="shared" si="76"/>
        <v>199.32208022592525</v>
      </c>
      <c r="EZ34" s="20">
        <f t="shared" si="76"/>
        <v>197.32885942366599</v>
      </c>
      <c r="FA34" s="20">
        <f t="shared" si="76"/>
        <v>195.35557082942933</v>
      </c>
      <c r="FB34" s="20">
        <f t="shared" si="76"/>
        <v>193.40201512113504</v>
      </c>
      <c r="FC34" s="20">
        <f t="shared" si="76"/>
        <v>191.46799496992369</v>
      </c>
      <c r="FD34" s="20">
        <f t="shared" si="76"/>
        <v>189.55331502022446</v>
      </c>
      <c r="FE34" s="20">
        <f t="shared" si="76"/>
        <v>187.65778187002221</v>
      </c>
      <c r="FF34" s="20">
        <f t="shared" si="76"/>
        <v>185.78120405132199</v>
      </c>
      <c r="FG34" s="20">
        <f t="shared" si="76"/>
        <v>183.92339201080878</v>
      </c>
      <c r="FH34" s="20">
        <f t="shared" si="76"/>
        <v>182.0841580907007</v>
      </c>
      <c r="FI34" s="20">
        <f t="shared" si="76"/>
        <v>180.2633165097937</v>
      </c>
      <c r="FJ34" s="20">
        <f t="shared" si="76"/>
        <v>178.46068334469575</v>
      </c>
      <c r="FK34" s="20">
        <f t="shared" si="76"/>
        <v>176.67607651124879</v>
      </c>
      <c r="FL34" s="20">
        <f t="shared" si="76"/>
        <v>174.90931574613631</v>
      </c>
      <c r="FM34" s="20">
        <f t="shared" si="76"/>
        <v>173.16022258867494</v>
      </c>
      <c r="FN34" s="20">
        <f t="shared" si="76"/>
        <v>171.42862036278819</v>
      </c>
      <c r="FO34" s="20">
        <f t="shared" si="76"/>
        <v>169.7143341591603</v>
      </c>
      <c r="FP34" s="20">
        <f t="shared" si="76"/>
        <v>168.01719081756869</v>
      </c>
      <c r="FQ34" s="20">
        <f t="shared" si="76"/>
        <v>166.33701890939301</v>
      </c>
      <c r="FR34" s="20">
        <f t="shared" si="76"/>
        <v>164.67364872029907</v>
      </c>
      <c r="FS34" s="20">
        <f t="shared" si="76"/>
        <v>163.02691223309608</v>
      </c>
      <c r="FT34" s="20">
        <f t="shared" si="76"/>
        <v>161.39664311076513</v>
      </c>
      <c r="FU34" s="20">
        <f t="shared" si="76"/>
        <v>159.78267667965747</v>
      </c>
      <c r="FV34" s="20">
        <f t="shared" si="76"/>
        <v>158.1848499128609</v>
      </c>
      <c r="FW34" s="20">
        <f t="shared" si="76"/>
        <v>156.6030014137323</v>
      </c>
      <c r="FX34" s="20">
        <f t="shared" si="76"/>
        <v>155.03697139959499</v>
      </c>
      <c r="FY34" s="20">
        <f t="shared" si="76"/>
        <v>153.48660168559903</v>
      </c>
      <c r="FZ34" s="20">
        <f t="shared" si="76"/>
        <v>151.95173566874303</v>
      </c>
      <c r="GA34" s="20">
        <f t="shared" si="76"/>
        <v>150.4322183120556</v>
      </c>
      <c r="GB34" s="20">
        <f t="shared" si="76"/>
        <v>148.92789612893503</v>
      </c>
      <c r="GC34" s="20">
        <f t="shared" si="76"/>
        <v>147.43861716764567</v>
      </c>
      <c r="GD34" s="20">
        <f t="shared" si="76"/>
        <v>145.96423099596922</v>
      </c>
      <c r="GE34" s="20">
        <f t="shared" si="76"/>
        <v>144.50458868600953</v>
      </c>
      <c r="GF34" s="20">
        <f t="shared" si="76"/>
        <v>143.05954279914943</v>
      </c>
      <c r="GG34" s="20">
        <f t="shared" si="76"/>
        <v>141.62894737115792</v>
      </c>
      <c r="GH34" s="20">
        <f t="shared" si="76"/>
        <v>140.21265789744635</v>
      </c>
      <c r="GI34" s="20">
        <f t="shared" si="76"/>
        <v>138.81053131847187</v>
      </c>
      <c r="GJ34" s="20">
        <f t="shared" si="76"/>
        <v>137.42242600528715</v>
      </c>
      <c r="GK34" s="20">
        <f t="shared" si="76"/>
        <v>136.04820174523428</v>
      </c>
      <c r="GL34" s="20">
        <f t="shared" si="76"/>
        <v>134.68771972778194</v>
      </c>
      <c r="GM34" s="20">
        <f t="shared" si="76"/>
        <v>133.34084253050412</v>
      </c>
      <c r="GN34" s="20">
        <f t="shared" si="76"/>
        <v>132.00743410519908</v>
      </c>
      <c r="GO34" s="20">
        <f t="shared" si="76"/>
        <v>130.68735976414709</v>
      </c>
      <c r="GP34" s="20">
        <f t="shared" si="76"/>
        <v>129.38048616650562</v>
      </c>
      <c r="GQ34" s="20">
        <f t="shared" si="76"/>
        <v>128.08668130484057</v>
      </c>
      <c r="GR34" s="20">
        <f t="shared" si="76"/>
        <v>126.80581449179216</v>
      </c>
      <c r="GS34" s="20">
        <f t="shared" si="76"/>
        <v>125.53775634687425</v>
      </c>
      <c r="GT34" s="20">
        <f t="shared" si="76"/>
        <v>124.28237878340551</v>
      </c>
      <c r="GU34" s="20">
        <f t="shared" si="76"/>
        <v>123.03955499557145</v>
      </c>
      <c r="GV34" s="20">
        <f t="shared" si="76"/>
        <v>121.80915944561573</v>
      </c>
      <c r="GW34" s="20">
        <f t="shared" si="76"/>
        <v>120.59106785115958</v>
      </c>
      <c r="GX34" s="20">
        <f t="shared" si="76"/>
        <v>119.38515717264798</v>
      </c>
      <c r="GY34" s="20">
        <f t="shared" si="76"/>
        <v>118.1913056009215</v>
      </c>
      <c r="GZ34" s="20">
        <f t="shared" si="76"/>
        <v>117.00939254491227</v>
      </c>
      <c r="HA34" s="20">
        <f t="shared" si="76"/>
        <v>115.83929861946315</v>
      </c>
      <c r="HB34" s="20">
        <f>HA34*(1+$AO$39)</f>
        <v>114.68090563326852</v>
      </c>
      <c r="HC34" s="20">
        <f t="shared" ref="HC34:HE34" si="77">HB34*(1+$AO$39)</f>
        <v>113.53409657693584</v>
      </c>
      <c r="HD34" s="20">
        <f t="shared" si="77"/>
        <v>112.39875561116648</v>
      </c>
      <c r="HE34" s="20">
        <f t="shared" si="77"/>
        <v>111.27476805505481</v>
      </c>
      <c r="HF34" s="20">
        <f>HE34*(1+$AO$39)</f>
        <v>110.16202037450425</v>
      </c>
      <c r="HG34" s="20">
        <f t="shared" ref="HG34:JE34" si="78">HF34*(1+$AO$39)</f>
        <v>109.06040017075921</v>
      </c>
      <c r="HH34" s="20">
        <f t="shared" si="78"/>
        <v>107.96979616905162</v>
      </c>
      <c r="HI34" s="20">
        <f t="shared" si="78"/>
        <v>106.89009820736111</v>
      </c>
      <c r="HJ34" s="20">
        <f t="shared" si="78"/>
        <v>105.82119722528749</v>
      </c>
      <c r="HK34" s="20">
        <f t="shared" si="78"/>
        <v>104.76298525303461</v>
      </c>
      <c r="HL34" s="20">
        <f t="shared" si="78"/>
        <v>103.71535540050427</v>
      </c>
      <c r="HM34" s="20">
        <f t="shared" si="78"/>
        <v>102.67820184649922</v>
      </c>
      <c r="HN34" s="20">
        <f t="shared" si="78"/>
        <v>101.65141982803422</v>
      </c>
      <c r="HO34" s="20">
        <f t="shared" si="78"/>
        <v>100.63490562975387</v>
      </c>
      <c r="HP34" s="20">
        <f t="shared" si="78"/>
        <v>99.628556573456336</v>
      </c>
      <c r="HQ34" s="20">
        <f t="shared" si="78"/>
        <v>98.632271007721769</v>
      </c>
      <c r="HR34" s="20">
        <f t="shared" si="78"/>
        <v>97.645948297644551</v>
      </c>
      <c r="HS34" s="20">
        <f t="shared" si="78"/>
        <v>96.6694888146681</v>
      </c>
      <c r="HT34" s="20">
        <f t="shared" si="78"/>
        <v>95.702793926521423</v>
      </c>
      <c r="HU34" s="20">
        <f t="shared" si="78"/>
        <v>94.745765987256206</v>
      </c>
      <c r="HV34" s="20">
        <f t="shared" si="78"/>
        <v>93.798308327383637</v>
      </c>
      <c r="HW34" s="20">
        <f t="shared" si="78"/>
        <v>92.860325244109802</v>
      </c>
      <c r="HX34" s="20">
        <f t="shared" si="78"/>
        <v>91.931721991668709</v>
      </c>
      <c r="HY34" s="20">
        <f t="shared" si="78"/>
        <v>91.012404771752017</v>
      </c>
      <c r="HZ34" s="20">
        <f t="shared" si="78"/>
        <v>90.1022807240345</v>
      </c>
      <c r="IA34" s="20">
        <f t="shared" si="78"/>
        <v>89.201257916794148</v>
      </c>
      <c r="IB34" s="20">
        <f t="shared" si="78"/>
        <v>88.309245337626209</v>
      </c>
      <c r="IC34" s="20">
        <f t="shared" si="78"/>
        <v>87.426152884249944</v>
      </c>
      <c r="ID34" s="20">
        <f t="shared" si="78"/>
        <v>86.551891355407449</v>
      </c>
      <c r="IE34" s="20">
        <f t="shared" si="78"/>
        <v>85.686372441853379</v>
      </c>
      <c r="IF34" s="20">
        <f t="shared" si="78"/>
        <v>84.829508717434848</v>
      </c>
      <c r="IG34" s="20">
        <f t="shared" si="78"/>
        <v>83.981213630260498</v>
      </c>
      <c r="IH34" s="20">
        <f t="shared" si="78"/>
        <v>83.141401493957886</v>
      </c>
      <c r="II34" s="20">
        <f t="shared" si="78"/>
        <v>82.309987479018304</v>
      </c>
      <c r="IJ34" s="20">
        <f t="shared" si="78"/>
        <v>81.486887604228116</v>
      </c>
      <c r="IK34" s="20">
        <f t="shared" si="78"/>
        <v>80.672018728185833</v>
      </c>
      <c r="IL34" s="20">
        <f t="shared" si="78"/>
        <v>79.865298540903979</v>
      </c>
      <c r="IM34" s="20">
        <f t="shared" si="78"/>
        <v>79.066645555494944</v>
      </c>
      <c r="IN34" s="20">
        <f t="shared" si="78"/>
        <v>78.275979099939988</v>
      </c>
      <c r="IO34" s="20">
        <f t="shared" si="78"/>
        <v>77.493219308940581</v>
      </c>
      <c r="IP34" s="20">
        <f t="shared" si="78"/>
        <v>76.718287115851169</v>
      </c>
      <c r="IQ34" s="20">
        <f t="shared" si="78"/>
        <v>75.951104244692658</v>
      </c>
      <c r="IR34" s="20">
        <f t="shared" si="78"/>
        <v>75.191593202245727</v>
      </c>
      <c r="IS34" s="20">
        <f t="shared" si="78"/>
        <v>74.439677270223271</v>
      </c>
      <c r="IT34" s="20">
        <f t="shared" si="78"/>
        <v>73.69528049752104</v>
      </c>
      <c r="IU34" s="20">
        <f t="shared" si="78"/>
        <v>72.958327692545822</v>
      </c>
      <c r="IV34" s="20">
        <f t="shared" si="78"/>
        <v>72.228744415620369</v>
      </c>
      <c r="IW34" s="20">
        <f t="shared" si="78"/>
        <v>71.506456971464161</v>
      </c>
      <c r="IX34" s="20">
        <f t="shared" si="78"/>
        <v>70.791392401749519</v>
      </c>
      <c r="IY34" s="20">
        <f t="shared" si="78"/>
        <v>70.083478477732029</v>
      </c>
      <c r="IZ34" s="20">
        <f t="shared" si="78"/>
        <v>69.382643692954701</v>
      </c>
      <c r="JA34" s="20">
        <f t="shared" si="78"/>
        <v>68.68881725602516</v>
      </c>
      <c r="JB34" s="20">
        <f t="shared" si="78"/>
        <v>68.001929083464901</v>
      </c>
      <c r="JC34" s="20">
        <f t="shared" si="78"/>
        <v>67.321909792630251</v>
      </c>
      <c r="JD34" s="20">
        <f t="shared" si="78"/>
        <v>66.648690694703944</v>
      </c>
      <c r="JE34" s="20">
        <f t="shared" si="78"/>
        <v>65.982203787756902</v>
      </c>
    </row>
    <row r="35" spans="1:265" x14ac:dyDescent="0.2">
      <c r="B35" s="1" t="s">
        <v>3</v>
      </c>
      <c r="C35" s="2">
        <v>375</v>
      </c>
      <c r="D35" s="2">
        <v>375</v>
      </c>
      <c r="E35" s="2">
        <v>375</v>
      </c>
      <c r="F35" s="2">
        <f>AC35</f>
        <v>384.33832999999998</v>
      </c>
      <c r="G35" s="2">
        <v>377</v>
      </c>
      <c r="H35" s="2">
        <v>377</v>
      </c>
      <c r="I35" s="2">
        <v>376</v>
      </c>
      <c r="J35" s="2">
        <v>388.60736100000003</v>
      </c>
      <c r="K35" s="2">
        <v>393.234825</v>
      </c>
      <c r="L35" s="2">
        <v>409.33299699999998</v>
      </c>
      <c r="M35" s="2">
        <v>407.67738500000002</v>
      </c>
      <c r="N35" s="2">
        <v>408.36590200000001</v>
      </c>
      <c r="O35" s="2">
        <v>410.06837300000001</v>
      </c>
      <c r="P35" s="2">
        <v>397.484849</v>
      </c>
      <c r="Q35" s="2">
        <v>407.67738500000002</v>
      </c>
      <c r="R35" s="2">
        <v>408.78491400000001</v>
      </c>
      <c r="S35" s="2">
        <v>411.872771</v>
      </c>
      <c r="T35" s="2">
        <v>412.10284100000001</v>
      </c>
      <c r="U35" s="2">
        <v>413.10541899999998</v>
      </c>
      <c r="V35" s="2">
        <v>410.07578000000001</v>
      </c>
      <c r="W35" s="2">
        <v>407.01709199999999</v>
      </c>
      <c r="X35" s="2">
        <v>403.78241600000001</v>
      </c>
      <c r="Y35" s="2">
        <f t="shared" ref="Y35:Z35" si="79">U35*1</f>
        <v>413.10541899999998</v>
      </c>
      <c r="Z35" s="2">
        <f t="shared" si="79"/>
        <v>410.07578000000001</v>
      </c>
      <c r="AC35" s="2">
        <v>384.33832999999998</v>
      </c>
      <c r="AD35" s="2">
        <v>388.60736100000003</v>
      </c>
      <c r="AE35" s="2">
        <f>N35</f>
        <v>408.36590200000001</v>
      </c>
      <c r="AF35" s="2">
        <f>R35</f>
        <v>408.78491400000001</v>
      </c>
      <c r="AG35" s="2">
        <f>V35</f>
        <v>410.07578000000001</v>
      </c>
      <c r="AH35" s="2">
        <f>Z35</f>
        <v>410.07578000000001</v>
      </c>
      <c r="AI35" s="2">
        <f t="shared" ref="AI35:AK35" si="80">AH35*1.01</f>
        <v>414.17653780000001</v>
      </c>
      <c r="AJ35" s="2">
        <f t="shared" si="80"/>
        <v>418.31830317800001</v>
      </c>
      <c r="AK35" s="2">
        <f t="shared" si="80"/>
        <v>422.50148620978001</v>
      </c>
    </row>
    <row r="36" spans="1:265" x14ac:dyDescent="0.2">
      <c r="B36" s="1" t="s">
        <v>19</v>
      </c>
      <c r="C36" s="21">
        <f t="shared" ref="C36:Y36" si="81">C34/C35</f>
        <v>0.16038133333333326</v>
      </c>
      <c r="D36" s="21">
        <f t="shared" si="81"/>
        <v>4.6709333333333498E-2</v>
      </c>
      <c r="E36" s="21">
        <f t="shared" si="81"/>
        <v>0.23464533333333362</v>
      </c>
      <c r="F36" s="21">
        <f t="shared" si="81"/>
        <v>0.30117214694667632</v>
      </c>
      <c r="G36" s="21">
        <f t="shared" si="81"/>
        <v>-5.042970822281187E-2</v>
      </c>
      <c r="H36" s="21">
        <f t="shared" si="81"/>
        <v>0.19875862068965519</v>
      </c>
      <c r="I36" s="21">
        <f t="shared" si="81"/>
        <v>0.3460744680851065</v>
      </c>
      <c r="J36" s="21">
        <f t="shared" si="81"/>
        <v>0.24986145334493454</v>
      </c>
      <c r="K36" s="21">
        <f t="shared" si="81"/>
        <v>0.37274674235680966</v>
      </c>
      <c r="L36" s="21">
        <f t="shared" si="81"/>
        <v>6.8965854712172217E-2</v>
      </c>
      <c r="M36" s="21">
        <f t="shared" si="81"/>
        <v>0.30541061285506449</v>
      </c>
      <c r="N36" s="21">
        <f t="shared" si="81"/>
        <v>0.23335934644220163</v>
      </c>
      <c r="O36" s="21">
        <f t="shared" si="81"/>
        <v>0.37235010074771063</v>
      </c>
      <c r="P36" s="21">
        <f t="shared" si="81"/>
        <v>-0.91462354078305985</v>
      </c>
      <c r="Q36" s="21">
        <f t="shared" si="81"/>
        <v>6.6349032335948646E-2</v>
      </c>
      <c r="R36" s="21">
        <f t="shared" si="81"/>
        <v>0.13863036051276595</v>
      </c>
      <c r="S36" s="21">
        <f>S34/S35</f>
        <v>0.34599033981782673</v>
      </c>
      <c r="T36" s="21">
        <f t="shared" si="81"/>
        <v>0.15704575062611625</v>
      </c>
      <c r="U36" s="21">
        <f t="shared" si="81"/>
        <v>0.46799918642558369</v>
      </c>
      <c r="V36" s="21">
        <f t="shared" ref="V36" si="82">V34/V35</f>
        <v>0.3730651929748201</v>
      </c>
      <c r="W36" s="21">
        <f t="shared" ref="W36" si="83">W34/W35</f>
        <v>0.48116652555711337</v>
      </c>
      <c r="X36" s="21">
        <f t="shared" si="81"/>
        <v>0.12319010939792868</v>
      </c>
      <c r="Y36" s="21">
        <f t="shared" si="81"/>
        <v>0.48026197037129653</v>
      </c>
      <c r="Z36" s="21">
        <f t="shared" ref="Z36" si="84">Z34/Z35</f>
        <v>0.41595879546946096</v>
      </c>
      <c r="AC36" s="21">
        <f>AC34/AC35</f>
        <v>0.73217521655984696</v>
      </c>
      <c r="AD36" s="21">
        <f t="shared" ref="AD36:AK36" si="85">AD34/AD35</f>
        <v>0.72860688812325536</v>
      </c>
      <c r="AE36" s="21">
        <f t="shared" si="85"/>
        <v>0.96631966103771472</v>
      </c>
      <c r="AF36" s="21">
        <f>AF34/AF35</f>
        <v>-0.31102175164908391</v>
      </c>
      <c r="AG36" s="21">
        <f t="shared" si="85"/>
        <v>1.3498505081182794</v>
      </c>
      <c r="AH36" s="21">
        <f t="shared" si="85"/>
        <v>1.4986460551266889</v>
      </c>
      <c r="AI36" s="21">
        <f t="shared" si="85"/>
        <v>1.5326157468546024</v>
      </c>
      <c r="AJ36" s="21">
        <f t="shared" si="85"/>
        <v>1.539719420656166</v>
      </c>
      <c r="AK36" s="21">
        <f t="shared" si="85"/>
        <v>1.5444512607697118</v>
      </c>
    </row>
    <row r="37" spans="1:265" x14ac:dyDescent="0.2">
      <c r="R37" s="21"/>
      <c r="S37" s="21"/>
      <c r="T37" s="21"/>
      <c r="U37" s="21"/>
      <c r="V37" s="21"/>
      <c r="W37" s="21"/>
      <c r="X37" s="21"/>
      <c r="Y37" s="21"/>
      <c r="Z37" s="21"/>
    </row>
    <row r="39" spans="1:265" x14ac:dyDescent="0.2">
      <c r="B39" s="1" t="s">
        <v>35</v>
      </c>
      <c r="G39" s="4">
        <f t="shared" ref="G39:P40" si="86">G22/C22-1</f>
        <v>0.21932484022101817</v>
      </c>
      <c r="H39" s="4">
        <f t="shared" si="86"/>
        <v>0.16658347809393592</v>
      </c>
      <c r="I39" s="4">
        <f t="shared" si="86"/>
        <v>9.9150813905175772E-2</v>
      </c>
      <c r="J39" s="4">
        <f t="shared" si="86"/>
        <v>8.6006004940670122E-2</v>
      </c>
      <c r="K39" s="4">
        <f t="shared" si="86"/>
        <v>6.7555267789697782E-2</v>
      </c>
      <c r="L39" s="4">
        <f t="shared" si="86"/>
        <v>5.3942148534768863E-2</v>
      </c>
      <c r="M39" s="4">
        <f t="shared" si="86"/>
        <v>3.7964269344899826E-2</v>
      </c>
      <c r="N39" s="4">
        <f t="shared" si="86"/>
        <v>-1.4606812156847782E-2</v>
      </c>
      <c r="O39" s="4">
        <f t="shared" si="86"/>
        <v>4.9961727704819214E-2</v>
      </c>
      <c r="P39" s="4">
        <f t="shared" si="86"/>
        <v>-0.62104742029338733</v>
      </c>
      <c r="Q39" s="4">
        <f t="shared" ref="Q39:Z40" si="87">Q22/M22-1</f>
        <v>-0.26535902274993595</v>
      </c>
      <c r="R39" s="4">
        <f t="shared" si="87"/>
        <v>-0.11650584467247405</v>
      </c>
      <c r="S39" s="4">
        <f t="shared" si="87"/>
        <v>-0.133138927287624</v>
      </c>
      <c r="T39" s="4">
        <f t="shared" si="87"/>
        <v>1.5645493244791391</v>
      </c>
      <c r="U39" s="4">
        <f t="shared" si="87"/>
        <v>0.40871332019546869</v>
      </c>
      <c r="V39" s="4">
        <f t="shared" si="87"/>
        <v>0.21569701325390223</v>
      </c>
      <c r="W39" s="4">
        <f t="shared" si="87"/>
        <v>0.21902539977726754</v>
      </c>
      <c r="X39" s="4">
        <f t="shared" si="87"/>
        <v>0.15296429150819257</v>
      </c>
      <c r="Y39" s="4">
        <f t="shared" si="87"/>
        <v>0.10000000000000009</v>
      </c>
      <c r="Z39" s="4">
        <f t="shared" si="87"/>
        <v>0.10000000000000009</v>
      </c>
      <c r="AD39" s="4">
        <f t="shared" ref="AD39:AK40" si="88">AD22/AC22-1</f>
        <v>0.13690984761512492</v>
      </c>
      <c r="AE39" s="4">
        <f t="shared" si="88"/>
        <v>3.3655998450346614E-2</v>
      </c>
      <c r="AF39" s="4">
        <f t="shared" si="88"/>
        <v>-0.2273916739414138</v>
      </c>
      <c r="AG39" s="4">
        <f t="shared" si="88"/>
        <v>0.29450755725463429</v>
      </c>
      <c r="AH39" s="4">
        <f t="shared" si="88"/>
        <v>0.13868549199713542</v>
      </c>
      <c r="AI39" s="4">
        <f t="shared" si="88"/>
        <v>5.0000000000000044E-2</v>
      </c>
      <c r="AJ39" s="4">
        <f t="shared" si="88"/>
        <v>5.0000000000000044E-2</v>
      </c>
      <c r="AK39" s="4">
        <f t="shared" si="88"/>
        <v>5.0000000000000044E-2</v>
      </c>
      <c r="AN39" s="1" t="s">
        <v>44</v>
      </c>
      <c r="AO39" s="4">
        <v>-0.01</v>
      </c>
    </row>
    <row r="40" spans="1:265" x14ac:dyDescent="0.2">
      <c r="B40" s="1" t="s">
        <v>36</v>
      </c>
      <c r="G40" s="4">
        <f t="shared" si="86"/>
        <v>0.12675508616807907</v>
      </c>
      <c r="H40" s="4">
        <f t="shared" si="86"/>
        <v>0.12837438636368104</v>
      </c>
      <c r="I40" s="4">
        <f t="shared" si="86"/>
        <v>6.6740006734645307E-2</v>
      </c>
      <c r="J40" s="4">
        <f t="shared" si="86"/>
        <v>9.0545794403476432E-2</v>
      </c>
      <c r="K40" s="4">
        <f t="shared" si="86"/>
        <v>7.6109590941292327E-2</v>
      </c>
      <c r="L40" s="4">
        <f t="shared" si="86"/>
        <v>6.5497116714359205E-2</v>
      </c>
      <c r="M40" s="4">
        <f t="shared" si="86"/>
        <v>4.2513611128562889E-2</v>
      </c>
      <c r="N40" s="4">
        <f t="shared" si="86"/>
        <v>-3.6585496905089832E-2</v>
      </c>
      <c r="O40" s="4">
        <f t="shared" si="86"/>
        <v>2.3247141870636145E-2</v>
      </c>
      <c r="P40" s="4">
        <f t="shared" si="86"/>
        <v>-0.46468424549849241</v>
      </c>
      <c r="Q40" s="4">
        <f t="shared" si="87"/>
        <v>-0.28610610949017767</v>
      </c>
      <c r="R40" s="4">
        <f t="shared" si="87"/>
        <v>-0.13650496645343357</v>
      </c>
      <c r="S40" s="4">
        <f t="shared" si="87"/>
        <v>-0.18180291212194377</v>
      </c>
      <c r="T40" s="4">
        <f t="shared" si="87"/>
        <v>0.60349507456769036</v>
      </c>
      <c r="U40" s="4">
        <f t="shared" si="87"/>
        <v>0.30830555481204969</v>
      </c>
      <c r="V40" s="4">
        <f t="shared" si="87"/>
        <v>0.14717370488722126</v>
      </c>
      <c r="W40" s="4">
        <f t="shared" si="87"/>
        <v>0.18765774699261129</v>
      </c>
      <c r="X40" s="4">
        <f t="shared" si="87"/>
        <v>0.17185461323392359</v>
      </c>
      <c r="Y40" s="4">
        <f t="shared" si="87"/>
        <v>5.0000000000000044E-2</v>
      </c>
      <c r="Z40" s="4">
        <f t="shared" si="87"/>
        <v>5.0000000000000044E-2</v>
      </c>
      <c r="AD40" s="4">
        <f t="shared" si="88"/>
        <v>0.10086870504903045</v>
      </c>
      <c r="AE40" s="4">
        <f t="shared" si="88"/>
        <v>3.2686767812559969E-2</v>
      </c>
      <c r="AF40" s="4">
        <f t="shared" si="88"/>
        <v>-0.21115303898164872</v>
      </c>
      <c r="AG40" s="4">
        <f t="shared" si="88"/>
        <v>0.15123220864081999</v>
      </c>
      <c r="AH40" s="4">
        <f t="shared" si="88"/>
        <v>0.10757422250721382</v>
      </c>
      <c r="AI40" s="4">
        <f t="shared" si="88"/>
        <v>6.0000000000000053E-2</v>
      </c>
      <c r="AJ40" s="4">
        <f t="shared" si="88"/>
        <v>6.0000000000000053E-2</v>
      </c>
      <c r="AK40" s="4">
        <f t="shared" si="88"/>
        <v>6.0000000000000053E-2</v>
      </c>
      <c r="AN40" s="1" t="s">
        <v>45</v>
      </c>
      <c r="AO40" s="4">
        <f>WACC!C18</f>
        <v>5.5561948900641756E-2</v>
      </c>
    </row>
    <row r="41" spans="1:265" x14ac:dyDescent="0.2">
      <c r="B41" s="1" t="s">
        <v>37</v>
      </c>
      <c r="G41" s="4">
        <f>G27/C27-1</f>
        <v>0.23631943850788995</v>
      </c>
      <c r="H41" s="4">
        <f t="shared" ref="H41:R41" si="89">H27/D27-1</f>
        <v>0.19891838681892349</v>
      </c>
      <c r="I41" s="4">
        <f t="shared" si="89"/>
        <v>0.14235296653596152</v>
      </c>
      <c r="J41" s="4">
        <f t="shared" si="89"/>
        <v>0.13095909186369092</v>
      </c>
      <c r="K41" s="4">
        <f t="shared" si="89"/>
        <v>3.1684765746199162E-2</v>
      </c>
      <c r="L41" s="4">
        <f t="shared" si="89"/>
        <v>7.2636968266333257E-2</v>
      </c>
      <c r="M41" s="4">
        <f t="shared" si="89"/>
        <v>2.1571207284292404E-2</v>
      </c>
      <c r="N41" s="4">
        <f t="shared" si="89"/>
        <v>4.9090170377517062E-3</v>
      </c>
      <c r="O41" s="4">
        <f t="shared" si="89"/>
        <v>0.1351598911145635</v>
      </c>
      <c r="P41" s="4">
        <f t="shared" si="89"/>
        <v>-3.0789380808595723E-2</v>
      </c>
      <c r="Q41" s="4">
        <f t="shared" si="89"/>
        <v>-0.18547406671054922</v>
      </c>
      <c r="R41" s="4">
        <f t="shared" si="89"/>
        <v>-6.282745790546429E-2</v>
      </c>
      <c r="S41" s="4">
        <f t="shared" ref="S41:S42" si="90">S27/O27-1</f>
        <v>-0.11753779076368753</v>
      </c>
      <c r="T41" s="4">
        <f t="shared" ref="T41:T42" si="91">T27/P27-1</f>
        <v>4.1835519245957187E-2</v>
      </c>
      <c r="U41" s="4">
        <f t="shared" ref="U41:U42" si="92">U27/Q27-1</f>
        <v>0.33143877313311609</v>
      </c>
      <c r="V41" s="4">
        <f t="shared" ref="V41:V42" si="93">V27/R27-1</f>
        <v>0.16822701470211077</v>
      </c>
      <c r="W41" s="4">
        <f t="shared" ref="W41:W42" si="94">W27/S27-1</f>
        <v>0.21696465639399842</v>
      </c>
      <c r="X41" s="4">
        <f t="shared" ref="X41:X42" si="95">X27/T27-1</f>
        <v>0.20988246917262399</v>
      </c>
      <c r="Y41" s="4">
        <f t="shared" ref="Y41:Y42" si="96">Y27/U27-1</f>
        <v>0.10615705006619236</v>
      </c>
      <c r="Z41" s="4">
        <f t="shared" ref="Z41:Z42" si="97">Z27/V27-1</f>
        <v>0.10395886817689792</v>
      </c>
      <c r="AD41" s="4">
        <f>AD27/AC27-1</f>
        <v>0.17274809597434571</v>
      </c>
      <c r="AE41" s="4">
        <f t="shared" ref="AE41:AK41" si="98">AE27/AD27-1</f>
        <v>3.1386364709118375E-2</v>
      </c>
      <c r="AF41" s="4">
        <f t="shared" si="98"/>
        <v>-3.8132747964451874E-2</v>
      </c>
      <c r="AG41" s="4">
        <f t="shared" si="98"/>
        <v>9.1244083882031868E-2</v>
      </c>
      <c r="AH41" s="4">
        <f t="shared" si="98"/>
        <v>0.15488137568126303</v>
      </c>
      <c r="AI41" s="4">
        <f t="shared" si="98"/>
        <v>5.0000000000000044E-2</v>
      </c>
      <c r="AJ41" s="4">
        <f t="shared" si="98"/>
        <v>5.0000000000000044E-2</v>
      </c>
      <c r="AK41" s="4">
        <f t="shared" si="98"/>
        <v>5.0000000000000044E-2</v>
      </c>
      <c r="AN41" s="1" t="s">
        <v>46</v>
      </c>
      <c r="AO41" s="2">
        <f>NPV(AO40,AE34:JE34)</f>
        <v>9370.7259957371334</v>
      </c>
    </row>
    <row r="42" spans="1:265" x14ac:dyDescent="0.2">
      <c r="B42" s="1" t="s">
        <v>38</v>
      </c>
      <c r="G42" s="4">
        <f>G28/C28-1</f>
        <v>0.60696880191988156</v>
      </c>
      <c r="H42" s="4">
        <f t="shared" ref="H42:R42" si="99">H28/D28-1</f>
        <v>0.22143301782892411</v>
      </c>
      <c r="I42" s="4">
        <f t="shared" si="99"/>
        <v>8.3987151448878583E-2</v>
      </c>
      <c r="J42" s="4">
        <f t="shared" si="99"/>
        <v>-0.12464466361489224</v>
      </c>
      <c r="K42" s="4">
        <f t="shared" si="99"/>
        <v>0.15401007472759876</v>
      </c>
      <c r="L42" s="4">
        <f t="shared" si="99"/>
        <v>-0.17806178453818378</v>
      </c>
      <c r="M42" s="4">
        <f t="shared" si="99"/>
        <v>7.9497380350421754E-2</v>
      </c>
      <c r="N42" s="4">
        <f t="shared" si="99"/>
        <v>3.5676442113488083E-3</v>
      </c>
      <c r="O42" s="4">
        <f t="shared" si="99"/>
        <v>-0.1101477263677646</v>
      </c>
      <c r="P42" s="4">
        <f t="shared" si="99"/>
        <v>-8.126522305955671</v>
      </c>
      <c r="Q42" s="4">
        <f t="shared" si="99"/>
        <v>-0.46077515214521869</v>
      </c>
      <c r="R42" s="4">
        <f t="shared" si="99"/>
        <v>-0.30102471001997833</v>
      </c>
      <c r="S42" s="4">
        <f t="shared" si="90"/>
        <v>-9.2794576635224502E-3</v>
      </c>
      <c r="T42" s="4">
        <f t="shared" si="91"/>
        <v>-1.2374934187629953</v>
      </c>
      <c r="U42" s="4">
        <f t="shared" si="92"/>
        <v>1.342919036014079</v>
      </c>
      <c r="V42" s="4">
        <f t="shared" si="93"/>
        <v>1.024853832945726</v>
      </c>
      <c r="W42" s="4">
        <f t="shared" si="94"/>
        <v>0.32242565900532427</v>
      </c>
      <c r="X42" s="4">
        <f t="shared" si="95"/>
        <v>-0.28452397726739087</v>
      </c>
      <c r="Y42" s="4">
        <f t="shared" si="96"/>
        <v>0.22849544635014674</v>
      </c>
      <c r="Z42" s="4">
        <f t="shared" si="97"/>
        <v>0.2739084815079178</v>
      </c>
      <c r="AD42" s="4">
        <f>AD28/AC28-1</f>
        <v>0.15677838212724016</v>
      </c>
      <c r="AE42" s="4">
        <f t="shared" ref="AE42:AK42" si="100">AE28/AD28-1</f>
        <v>4.8600047001263968E-2</v>
      </c>
      <c r="AF42" s="4">
        <f t="shared" si="100"/>
        <v>-1.1502077910618962</v>
      </c>
      <c r="AG42" s="4">
        <f t="shared" si="100"/>
        <v>-9.0617840905085654</v>
      </c>
      <c r="AH42" s="4">
        <f t="shared" si="100"/>
        <v>0.18548420238090046</v>
      </c>
      <c r="AI42" s="4">
        <f t="shared" si="100"/>
        <v>1.7089349216950822E-2</v>
      </c>
      <c r="AJ42" s="4">
        <f t="shared" si="100"/>
        <v>1.5700860148726736E-2</v>
      </c>
      <c r="AK42" s="4">
        <f t="shared" si="100"/>
        <v>1.4204925220772324E-2</v>
      </c>
      <c r="AN42" s="1" t="s">
        <v>47</v>
      </c>
      <c r="AO42" s="2">
        <f>Main!C7-Main!C8</f>
        <v>-824.97299999999984</v>
      </c>
    </row>
    <row r="43" spans="1:265" x14ac:dyDescent="0.2">
      <c r="B43" s="1" t="s">
        <v>39</v>
      </c>
      <c r="G43" s="4">
        <f>G34/C34-1</f>
        <v>-1.3161132633889245</v>
      </c>
      <c r="H43" s="4">
        <f t="shared" ref="H43:R43" si="101">H34/D34-1</f>
        <v>3.2779173327243516</v>
      </c>
      <c r="I43" s="4">
        <f t="shared" si="101"/>
        <v>0.4788162560232736</v>
      </c>
      <c r="J43" s="4">
        <f t="shared" si="101"/>
        <v>-0.16115488285300039</v>
      </c>
      <c r="K43" s="4">
        <f t="shared" si="101"/>
        <v>-8.7097096570586778</v>
      </c>
      <c r="L43" s="4">
        <f t="shared" si="101"/>
        <v>-0.62325842096834427</v>
      </c>
      <c r="M43" s="4">
        <f t="shared" si="101"/>
        <v>-4.3151148135624262E-2</v>
      </c>
      <c r="N43" s="4">
        <f t="shared" si="101"/>
        <v>-1.8558569692470384E-2</v>
      </c>
      <c r="O43" s="4">
        <f t="shared" si="101"/>
        <v>4.1698220048163481E-2</v>
      </c>
      <c r="P43" s="4">
        <f t="shared" si="101"/>
        <v>-13.878108395324109</v>
      </c>
      <c r="Q43" s="4">
        <f t="shared" si="101"/>
        <v>-0.78275466030568097</v>
      </c>
      <c r="R43" s="4">
        <f t="shared" si="101"/>
        <v>-0.40532656145063872</v>
      </c>
      <c r="S43" s="4">
        <f t="shared" ref="S43:S45" si="102">S34/O34-1</f>
        <v>-6.6704215758829233E-2</v>
      </c>
      <c r="T43" s="4">
        <f t="shared" ref="T43:T45" si="103">T34/P34-1</f>
        <v>-1.1780200193096393</v>
      </c>
      <c r="U43" s="4">
        <f t="shared" ref="U43:U45" si="104">U34/Q34-1</f>
        <v>6.1475100743095838</v>
      </c>
      <c r="V43" s="4">
        <f t="shared" ref="V43:V45" si="105">V34/R34-1</f>
        <v>1.6995764955002608</v>
      </c>
      <c r="W43" s="4">
        <f t="shared" ref="W43:W45" si="106">W34/S34-1</f>
        <v>0.37429826531185117</v>
      </c>
      <c r="X43" s="4">
        <f t="shared" ref="X43:X45" si="107">X34/T34-1</f>
        <v>-0.23141581297609792</v>
      </c>
      <c r="Y43" s="4">
        <f t="shared" ref="Y43:Y45" si="108">Y34/U34-1</f>
        <v>2.6202575349268731E-2</v>
      </c>
      <c r="Z43" s="4">
        <f t="shared" ref="Z43:Z45" si="109">Z34/V34-1</f>
        <v>0.11497615779324644</v>
      </c>
      <c r="AD43" s="4">
        <f>AD34/AC34-1</f>
        <v>6.1797493274791115E-3</v>
      </c>
      <c r="AE43" s="4">
        <f t="shared" ref="AE43:AK43" si="110">AE34/AD34-1</f>
        <v>0.39368938553799837</v>
      </c>
      <c r="AF43" s="4">
        <f t="shared" si="110"/>
        <v>-1.3221924320598459</v>
      </c>
      <c r="AG43" s="4">
        <f t="shared" si="110"/>
        <v>-5.3537568526281785</v>
      </c>
      <c r="AH43" s="4">
        <f t="shared" si="110"/>
        <v>0.11023113012405616</v>
      </c>
      <c r="AI43" s="4">
        <f t="shared" si="110"/>
        <v>3.2893590202852874E-2</v>
      </c>
      <c r="AJ43" s="4">
        <f t="shared" si="110"/>
        <v>1.4681349878013394E-2</v>
      </c>
      <c r="AK43" s="4">
        <f t="shared" si="110"/>
        <v>1.3103915200760818E-2</v>
      </c>
      <c r="AN43" s="1" t="s">
        <v>48</v>
      </c>
      <c r="AO43" s="2">
        <f>AO41+AO42</f>
        <v>8545.7529957371335</v>
      </c>
    </row>
    <row r="44" spans="1:265" x14ac:dyDescent="0.2">
      <c r="B44" s="1" t="s">
        <v>40</v>
      </c>
      <c r="G44" s="4">
        <f>G35/C35-1</f>
        <v>5.3333333333334121E-3</v>
      </c>
      <c r="H44" s="4">
        <f t="shared" ref="H44:R44" si="111">H35/D35-1</f>
        <v>5.3333333333334121E-3</v>
      </c>
      <c r="I44" s="4">
        <f t="shared" si="111"/>
        <v>2.666666666666595E-3</v>
      </c>
      <c r="J44" s="4">
        <f t="shared" si="111"/>
        <v>1.1107481785644469E-2</v>
      </c>
      <c r="K44" s="4">
        <f t="shared" si="111"/>
        <v>4.3063196286472261E-2</v>
      </c>
      <c r="L44" s="4">
        <f t="shared" si="111"/>
        <v>8.5763917771883191E-2</v>
      </c>
      <c r="M44" s="4">
        <f t="shared" si="111"/>
        <v>8.4248364361702244E-2</v>
      </c>
      <c r="N44" s="4">
        <f t="shared" si="111"/>
        <v>5.0844484646805244E-2</v>
      </c>
      <c r="O44" s="4">
        <f t="shared" si="111"/>
        <v>4.2807876947317691E-2</v>
      </c>
      <c r="P44" s="4">
        <f t="shared" si="111"/>
        <v>-2.8945010753677392E-2</v>
      </c>
      <c r="Q44" s="4">
        <f t="shared" si="111"/>
        <v>0</v>
      </c>
      <c r="R44" s="4">
        <f t="shared" si="111"/>
        <v>1.0260699973916321E-3</v>
      </c>
      <c r="S44" s="4">
        <f t="shared" si="102"/>
        <v>4.4002369331710423E-3</v>
      </c>
      <c r="T44" s="4">
        <f t="shared" si="103"/>
        <v>3.677622439390138E-2</v>
      </c>
      <c r="U44" s="4">
        <f t="shared" si="104"/>
        <v>1.3314533009967988E-2</v>
      </c>
      <c r="V44" s="4">
        <f t="shared" si="105"/>
        <v>3.1578122278748122E-3</v>
      </c>
      <c r="W44" s="4">
        <f t="shared" si="106"/>
        <v>-1.1789269264415703E-2</v>
      </c>
      <c r="X44" s="4">
        <f t="shared" si="107"/>
        <v>-2.0190166560875467E-2</v>
      </c>
      <c r="Y44" s="4">
        <f t="shared" si="108"/>
        <v>0</v>
      </c>
      <c r="Z44" s="4">
        <f t="shared" si="109"/>
        <v>0</v>
      </c>
      <c r="AD44" s="4">
        <f>AD35/AC35-1</f>
        <v>1.1107481785644469E-2</v>
      </c>
      <c r="AE44" s="4">
        <f t="shared" ref="AE44:AK44" si="112">AE35/AD35-1</f>
        <v>5.0844484646805244E-2</v>
      </c>
      <c r="AF44" s="4">
        <f t="shared" si="112"/>
        <v>1.0260699973916321E-3</v>
      </c>
      <c r="AG44" s="4">
        <f t="shared" si="112"/>
        <v>3.1578122278748122E-3</v>
      </c>
      <c r="AH44" s="4">
        <f t="shared" si="112"/>
        <v>0</v>
      </c>
      <c r="AI44" s="4">
        <f t="shared" si="112"/>
        <v>1.0000000000000009E-2</v>
      </c>
      <c r="AJ44" s="4">
        <f t="shared" si="112"/>
        <v>1.0000000000000009E-2</v>
      </c>
      <c r="AK44" s="4">
        <f t="shared" si="112"/>
        <v>1.0000000000000009E-2</v>
      </c>
      <c r="AN44" s="1" t="s">
        <v>49</v>
      </c>
      <c r="AO44" s="21">
        <f>AO43/Main!C5</f>
        <v>21.164252471403145</v>
      </c>
    </row>
    <row r="45" spans="1:265" x14ac:dyDescent="0.2">
      <c r="B45" s="1" t="s">
        <v>41</v>
      </c>
      <c r="G45" s="4">
        <f>G36/C36-1</f>
        <v>-1.3144362699491954</v>
      </c>
      <c r="H45" s="4">
        <f t="shared" ref="H45:R45" si="113">H36/D36-1</f>
        <v>3.2552228110653365</v>
      </c>
      <c r="I45" s="4">
        <f t="shared" si="113"/>
        <v>0.47488323406576471</v>
      </c>
      <c r="J45" s="4">
        <f t="shared" si="113"/>
        <v>-0.17036998315394203</v>
      </c>
      <c r="K45" s="4">
        <f t="shared" si="113"/>
        <v>-8.3914118382346246</v>
      </c>
      <c r="L45" s="4">
        <f t="shared" si="113"/>
        <v>-0.65301703909559439</v>
      </c>
      <c r="M45" s="4">
        <f t="shared" si="113"/>
        <v>-0.11750030406762624</v>
      </c>
      <c r="N45" s="4">
        <f t="shared" si="113"/>
        <v>-6.6045028882273038E-2</v>
      </c>
      <c r="O45" s="4">
        <f t="shared" si="113"/>
        <v>-1.0641048305107814E-3</v>
      </c>
      <c r="P45" s="4">
        <f t="shared" si="113"/>
        <v>-14.26197644617362</v>
      </c>
      <c r="Q45" s="4">
        <f t="shared" si="113"/>
        <v>-0.78275466030568097</v>
      </c>
      <c r="R45" s="4">
        <f t="shared" si="113"/>
        <v>-0.4059361125820522</v>
      </c>
      <c r="S45" s="4">
        <f t="shared" si="102"/>
        <v>-7.0792946952213165E-2</v>
      </c>
      <c r="T45" s="4">
        <f t="shared" si="103"/>
        <v>-1.1717053450118513</v>
      </c>
      <c r="U45" s="4">
        <f t="shared" si="104"/>
        <v>6.0535947541169568</v>
      </c>
      <c r="V45" s="4">
        <f t="shared" si="105"/>
        <v>1.6910785746709931</v>
      </c>
      <c r="W45" s="4">
        <f t="shared" si="106"/>
        <v>0.39069352575121186</v>
      </c>
      <c r="X45" s="4">
        <f t="shared" si="107"/>
        <v>-0.21557820630746483</v>
      </c>
      <c r="Y45" s="4">
        <f t="shared" si="108"/>
        <v>2.6202575349268731E-2</v>
      </c>
      <c r="Z45" s="4">
        <f t="shared" si="109"/>
        <v>0.11497615779324644</v>
      </c>
      <c r="AD45" s="4">
        <f>AD36/AC36-1</f>
        <v>-4.8735990455365252E-3</v>
      </c>
      <c r="AE45" s="4">
        <f t="shared" ref="AE45:AK45" si="114">AE36/AD36-1</f>
        <v>0.3262565545142726</v>
      </c>
      <c r="AF45" s="4">
        <f t="shared" si="114"/>
        <v>-1.321862178934746</v>
      </c>
      <c r="AG45" s="4">
        <f t="shared" si="114"/>
        <v>-5.3400517840349426</v>
      </c>
      <c r="AH45" s="4">
        <f t="shared" si="114"/>
        <v>0.11023113012405616</v>
      </c>
      <c r="AI45" s="4">
        <f t="shared" si="114"/>
        <v>2.2666920992923778E-2</v>
      </c>
      <c r="AJ45" s="4">
        <f t="shared" si="114"/>
        <v>4.6349998792212244E-3</v>
      </c>
      <c r="AK45" s="4">
        <f t="shared" si="114"/>
        <v>3.0731833670898379E-3</v>
      </c>
      <c r="AN45" s="1" t="s">
        <v>50</v>
      </c>
      <c r="AO45" s="21">
        <f>Main!C4</f>
        <v>17.71</v>
      </c>
    </row>
    <row r="46" spans="1:265" x14ac:dyDescent="0.2">
      <c r="B46" s="1" t="s">
        <v>42</v>
      </c>
      <c r="C46" s="4">
        <f t="shared" ref="C46:R46" si="115">C24/C22</f>
        <v>0.51230273205498045</v>
      </c>
      <c r="D46" s="4">
        <f t="shared" si="115"/>
        <v>0.52290994563868698</v>
      </c>
      <c r="E46" s="4">
        <f t="shared" si="115"/>
        <v>0.51768658087293284</v>
      </c>
      <c r="F46" s="4">
        <f t="shared" si="115"/>
        <v>0.53428758358103778</v>
      </c>
      <c r="G46" s="4">
        <f t="shared" si="115"/>
        <v>0.54932815354789255</v>
      </c>
      <c r="H46" s="4">
        <f t="shared" si="115"/>
        <v>0.53853606926634889</v>
      </c>
      <c r="I46" s="4">
        <f t="shared" si="115"/>
        <v>0.53190862122019611</v>
      </c>
      <c r="J46" s="4">
        <f t="shared" si="115"/>
        <v>0.53234078373726312</v>
      </c>
      <c r="K46" s="4">
        <f t="shared" si="115"/>
        <v>0.54571691886412854</v>
      </c>
      <c r="L46" s="4">
        <f t="shared" si="115"/>
        <v>0.53347677730894028</v>
      </c>
      <c r="M46" s="4">
        <f t="shared" si="115"/>
        <v>0.52985700178497264</v>
      </c>
      <c r="N46" s="4">
        <f t="shared" si="115"/>
        <v>0.54277168036883661</v>
      </c>
      <c r="O46" s="4">
        <f t="shared" si="115"/>
        <v>0.55727542051594614</v>
      </c>
      <c r="P46" s="4">
        <f t="shared" si="115"/>
        <v>0.34098025895301309</v>
      </c>
      <c r="Q46" s="4">
        <f t="shared" si="115"/>
        <v>0.54313436837129669</v>
      </c>
      <c r="R46" s="4">
        <f t="shared" si="115"/>
        <v>0.55312168075182422</v>
      </c>
      <c r="S46" s="4">
        <f t="shared" ref="S46:Z46" si="116">S24/S22</f>
        <v>0.58212916340508059</v>
      </c>
      <c r="T46" s="4">
        <f t="shared" si="116"/>
        <v>0.58794518057228573</v>
      </c>
      <c r="U46" s="4">
        <f t="shared" si="116"/>
        <v>0.57569802521664915</v>
      </c>
      <c r="V46" s="4">
        <f t="shared" si="116"/>
        <v>0.57831017799939577</v>
      </c>
      <c r="W46" s="4">
        <f t="shared" si="116"/>
        <v>0.59288170991767841</v>
      </c>
      <c r="X46" s="4">
        <f t="shared" si="116"/>
        <v>0.58119401909663804</v>
      </c>
      <c r="Y46" s="4">
        <f t="shared" si="116"/>
        <v>0.59498447861589243</v>
      </c>
      <c r="Z46" s="4">
        <f t="shared" si="116"/>
        <v>0.59747789718124134</v>
      </c>
      <c r="AA46" s="4"/>
      <c r="AB46" s="4"/>
      <c r="AC46" s="4">
        <f t="shared" ref="AC46:AK46" si="117">AC24/AC22</f>
        <v>0.52257612616562299</v>
      </c>
      <c r="AD46" s="4">
        <f t="shared" si="117"/>
        <v>0.53771092505703588</v>
      </c>
      <c r="AE46" s="4">
        <f t="shared" si="117"/>
        <v>0.53814440073523095</v>
      </c>
      <c r="AF46" s="4">
        <f t="shared" si="117"/>
        <v>0.52843714774865702</v>
      </c>
      <c r="AG46" s="4">
        <f t="shared" si="117"/>
        <v>0.5806294518190348</v>
      </c>
      <c r="AH46" s="4">
        <f t="shared" si="117"/>
        <v>0.59208753241485479</v>
      </c>
      <c r="AI46" s="4">
        <f t="shared" si="117"/>
        <v>0.58820265177118669</v>
      </c>
      <c r="AJ46" s="4">
        <f t="shared" si="117"/>
        <v>0.58428077226424568</v>
      </c>
      <c r="AK46" s="4">
        <f t="shared" si="117"/>
        <v>0.58032154152390514</v>
      </c>
      <c r="AN46" s="1" t="s">
        <v>51</v>
      </c>
      <c r="AO46" s="22">
        <f>AO44/AO45-1</f>
        <v>0.19504531176754059</v>
      </c>
    </row>
    <row r="47" spans="1:265" x14ac:dyDescent="0.2">
      <c r="B47" s="1" t="s">
        <v>43</v>
      </c>
      <c r="C47" s="4">
        <f t="shared" ref="C47:R47" si="118">C28/C22</f>
        <v>9.8312962628551395E-2</v>
      </c>
      <c r="D47" s="4">
        <f t="shared" si="118"/>
        <v>5.8669950508261952E-2</v>
      </c>
      <c r="E47" s="4">
        <f t="shared" si="118"/>
        <v>0.11535874978614646</v>
      </c>
      <c r="F47" s="4">
        <f t="shared" si="118"/>
        <v>0.10223680969959617</v>
      </c>
      <c r="G47" s="4">
        <f t="shared" si="118"/>
        <v>0.12956831400216565</v>
      </c>
      <c r="H47" s="4">
        <f t="shared" si="118"/>
        <v>6.1428449871642768E-2</v>
      </c>
      <c r="I47" s="4">
        <f t="shared" si="118"/>
        <v>0.11376728379166422</v>
      </c>
      <c r="J47" s="4">
        <f t="shared" si="118"/>
        <v>8.2406116115738601E-2</v>
      </c>
      <c r="K47" s="4">
        <f t="shared" si="118"/>
        <v>0.14006126355738555</v>
      </c>
      <c r="L47" s="4">
        <f t="shared" si="118"/>
        <v>4.7906225722424499E-2</v>
      </c>
      <c r="M47" s="4">
        <f t="shared" si="118"/>
        <v>0.11831956884237997</v>
      </c>
      <c r="N47" s="4">
        <f t="shared" si="118"/>
        <v>8.3926003182439562E-2</v>
      </c>
      <c r="O47" s="4">
        <f t="shared" si="118"/>
        <v>0.11870321606558804</v>
      </c>
      <c r="P47" s="4">
        <f t="shared" si="118"/>
        <v>-0.90091690751735509</v>
      </c>
      <c r="Q47" s="4">
        <f t="shared" si="118"/>
        <v>8.6846301095396872E-2</v>
      </c>
      <c r="R47" s="4">
        <f t="shared" si="118"/>
        <v>6.639795187956038E-2</v>
      </c>
      <c r="S47" s="4">
        <f t="shared" ref="S47:Z47" si="119">S28/S22</f>
        <v>0.13566385468159511</v>
      </c>
      <c r="T47" s="4">
        <f t="shared" si="119"/>
        <v>8.343057953511486E-2</v>
      </c>
      <c r="U47" s="4">
        <f t="shared" si="119"/>
        <v>0.1444395031457375</v>
      </c>
      <c r="V47" s="4">
        <f t="shared" si="119"/>
        <v>0.11059182172638454</v>
      </c>
      <c r="W47" s="4">
        <f t="shared" si="119"/>
        <v>0.14717114381971924</v>
      </c>
      <c r="X47" s="4">
        <f t="shared" si="119"/>
        <v>5.177313786706849E-2</v>
      </c>
      <c r="Y47" s="4">
        <f t="shared" si="119"/>
        <v>0.16131206535237835</v>
      </c>
      <c r="Z47" s="4">
        <f t="shared" si="119"/>
        <v>0.12807623607513899</v>
      </c>
      <c r="AA47" s="4"/>
      <c r="AB47" s="4"/>
      <c r="AC47" s="4">
        <f t="shared" ref="AC47:AK47" si="120">AC28/AC22</f>
        <v>9.5262263893165389E-2</v>
      </c>
      <c r="AD47" s="4">
        <f t="shared" si="120"/>
        <v>9.6927058671602687E-2</v>
      </c>
      <c r="AE47" s="4">
        <f t="shared" si="120"/>
        <v>9.8328378523524038E-2</v>
      </c>
      <c r="AF47" s="4">
        <f t="shared" si="120"/>
        <v>-1.9116657222765385E-2</v>
      </c>
      <c r="AG47" s="4">
        <f t="shared" si="120"/>
        <v>0.11905250162389031</v>
      </c>
      <c r="AH47" s="4">
        <f t="shared" si="120"/>
        <v>0.12394542735546114</v>
      </c>
      <c r="AI47" s="4">
        <f t="shared" si="120"/>
        <v>0.12006054671179317</v>
      </c>
      <c r="AJ47" s="4">
        <f t="shared" si="120"/>
        <v>0.11613866720485209</v>
      </c>
      <c r="AK47" s="4">
        <f t="shared" si="120"/>
        <v>0.1121794364645116</v>
      </c>
    </row>
    <row r="48" spans="1:265" x14ac:dyDescent="0.2">
      <c r="B48" s="1" t="s">
        <v>17</v>
      </c>
      <c r="C48" s="4">
        <f>C31/C30</f>
        <v>0.32306843515661954</v>
      </c>
      <c r="D48" s="4">
        <f t="shared" ref="D48:AE48" si="121">D31/D30</f>
        <v>-3.572497420020583</v>
      </c>
      <c r="E48" s="4">
        <f t="shared" si="121"/>
        <v>0.2359405686960975</v>
      </c>
      <c r="F48" s="4">
        <f t="shared" si="121"/>
        <v>0.15648182125614268</v>
      </c>
      <c r="G48" s="4">
        <f t="shared" si="121"/>
        <v>1.1250058714980713</v>
      </c>
      <c r="H48" s="4">
        <f t="shared" si="121"/>
        <v>-1.7434488588334743E-2</v>
      </c>
      <c r="I48" s="4">
        <f t="shared" si="121"/>
        <v>7.3627394909922761E-2</v>
      </c>
      <c r="J48" s="4">
        <f t="shared" si="121"/>
        <v>0.28171042428270804</v>
      </c>
      <c r="K48" s="4">
        <f t="shared" si="121"/>
        <v>0.19409317528972811</v>
      </c>
      <c r="L48" s="4">
        <f t="shared" si="121"/>
        <v>-9.3143645985121468E-2</v>
      </c>
      <c r="M48" s="4">
        <f t="shared" si="121"/>
        <v>0.18039417512882933</v>
      </c>
      <c r="N48" s="4">
        <f t="shared" si="121"/>
        <v>0.18965210992412873</v>
      </c>
      <c r="O48" s="4">
        <f t="shared" si="121"/>
        <v>7.3646467833135235E-2</v>
      </c>
      <c r="P48" s="4">
        <f t="shared" si="121"/>
        <v>0.20654539105383202</v>
      </c>
      <c r="Q48" s="4">
        <f t="shared" si="121"/>
        <v>0.47593676134382157</v>
      </c>
      <c r="R48" s="4">
        <f t="shared" si="121"/>
        <v>-9.0646651270207795E-2</v>
      </c>
      <c r="S48" s="4">
        <f t="shared" ref="S48:Z48" si="122">S31/S30</f>
        <v>7.8663744334749278E-2</v>
      </c>
      <c r="T48" s="4">
        <f t="shared" si="122"/>
        <v>-0.16194186610172523</v>
      </c>
      <c r="U48" s="4">
        <f t="shared" si="122"/>
        <v>4.7803623934318071E-2</v>
      </c>
      <c r="V48" s="4">
        <f t="shared" si="122"/>
        <v>8.2994167750597966E-2</v>
      </c>
      <c r="W48" s="4">
        <f t="shared" si="122"/>
        <v>0.20350494751526146</v>
      </c>
      <c r="X48" s="4">
        <f t="shared" si="122"/>
        <v>0.36072484256522325</v>
      </c>
      <c r="Y48" s="4">
        <f t="shared" si="122"/>
        <v>0.21</v>
      </c>
      <c r="Z48" s="4">
        <f t="shared" si="122"/>
        <v>0.21</v>
      </c>
      <c r="AA48" s="4"/>
      <c r="AB48" s="4"/>
      <c r="AC48" s="4">
        <f t="shared" si="121"/>
        <v>0.18414133797425897</v>
      </c>
      <c r="AD48" s="4">
        <f t="shared" si="121"/>
        <v>0.42953710036758336</v>
      </c>
      <c r="AE48" s="4">
        <f t="shared" si="121"/>
        <v>0.1729622432912323</v>
      </c>
      <c r="AF48" s="4">
        <f>AF31/AF30</f>
        <v>0.33007171348329389</v>
      </c>
      <c r="AG48" s="4">
        <f>AG31/AG30</f>
        <v>4.6013718461326361E-2</v>
      </c>
      <c r="AH48" s="4">
        <f t="shared" ref="AH48:AK48" si="123">AH31/AH30</f>
        <v>0.22281181314859633</v>
      </c>
      <c r="AI48" s="4">
        <f t="shared" si="123"/>
        <v>0.21</v>
      </c>
      <c r="AJ48" s="4">
        <f t="shared" si="123"/>
        <v>0.21</v>
      </c>
      <c r="AK48" s="4">
        <f t="shared" si="123"/>
        <v>0.21</v>
      </c>
    </row>
  </sheetData>
  <phoneticPr fontId="8" type="noConversion"/>
  <conditionalFormatting sqref="AO46">
    <cfRule type="cellIs" dxfId="2" priority="1" operator="lessThan">
      <formula>0</formula>
    </cfRule>
    <cfRule type="cellIs" dxfId="1" priority="2" operator="greaterThan">
      <formula>0</formula>
    </cfRule>
    <cfRule type="cellIs" dxfId="0" priority="3" operator="greaterThan">
      <formula>0.5996</formula>
    </cfRule>
  </conditionalFormatting>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8A9417-4560-409F-96AE-2E17B41680A1}">
  <dimension ref="B3:D18"/>
  <sheetViews>
    <sheetView workbookViewId="0">
      <selection activeCell="C19" sqref="C19"/>
    </sheetView>
  </sheetViews>
  <sheetFormatPr defaultRowHeight="14.25" x14ac:dyDescent="0.2"/>
  <cols>
    <col min="1" max="1" width="9.140625" style="1"/>
    <col min="2" max="2" width="16.42578125" style="1" bestFit="1" customWidth="1"/>
    <col min="3" max="3" width="8" style="1" bestFit="1" customWidth="1"/>
    <col min="4" max="4" width="17.28515625" style="1" bestFit="1" customWidth="1"/>
    <col min="5" max="16384" width="9.140625" style="1"/>
  </cols>
  <sheetData>
    <row r="3" spans="2:4" x14ac:dyDescent="0.2">
      <c r="B3" s="1" t="s">
        <v>7</v>
      </c>
      <c r="C3" s="2">
        <f>Main!C8</f>
        <v>1523.2389999999998</v>
      </c>
    </row>
    <row r="4" spans="2:4" x14ac:dyDescent="0.2">
      <c r="B4" s="1" t="s">
        <v>52</v>
      </c>
      <c r="C4" s="2">
        <f>Main!C6</f>
        <v>7150.9865873600002</v>
      </c>
    </row>
    <row r="5" spans="2:4" x14ac:dyDescent="0.2">
      <c r="B5" s="1" t="s">
        <v>53</v>
      </c>
      <c r="C5" s="2">
        <f>+C3+C4</f>
        <v>8674.2255873600006</v>
      </c>
    </row>
    <row r="6" spans="2:4" x14ac:dyDescent="0.2">
      <c r="B6" s="1" t="s">
        <v>54</v>
      </c>
      <c r="C6" s="3">
        <f>C3/C5</f>
        <v>0.17560518626811472</v>
      </c>
    </row>
    <row r="7" spans="2:4" x14ac:dyDescent="0.2">
      <c r="B7" s="1" t="s">
        <v>55</v>
      </c>
      <c r="C7" s="3">
        <f>C4/C5</f>
        <v>0.82439481373188517</v>
      </c>
    </row>
    <row r="9" spans="2:4" x14ac:dyDescent="0.2">
      <c r="B9" s="1" t="s">
        <v>56</v>
      </c>
      <c r="C9" s="4">
        <f>AVERAGE(Model!AC48:AE48)</f>
        <v>0.26221356054435824</v>
      </c>
      <c r="D9" s="1" t="s">
        <v>57</v>
      </c>
    </row>
    <row r="10" spans="2:4" x14ac:dyDescent="0.2">
      <c r="B10" s="1" t="s">
        <v>58</v>
      </c>
      <c r="C10" s="2">
        <v>72.902000000000001</v>
      </c>
      <c r="D10" s="26" t="s">
        <v>75</v>
      </c>
    </row>
    <row r="11" spans="2:4" x14ac:dyDescent="0.2">
      <c r="B11" s="1" t="s">
        <v>59</v>
      </c>
      <c r="C11" s="3">
        <f>(C10*(1-C9))/C3</f>
        <v>3.5310353141690308E-2</v>
      </c>
    </row>
    <row r="13" spans="2:4" x14ac:dyDescent="0.2">
      <c r="B13" s="1" t="s">
        <v>60</v>
      </c>
      <c r="C13" s="3">
        <f>'[1]T-Bond Yields'!$C$7</f>
        <v>2.92E-2</v>
      </c>
    </row>
    <row r="14" spans="2:4" x14ac:dyDescent="0.2">
      <c r="B14" s="1" t="s">
        <v>61</v>
      </c>
      <c r="C14" s="5">
        <v>1.06</v>
      </c>
      <c r="D14" s="26" t="s">
        <v>76</v>
      </c>
    </row>
    <row r="15" spans="2:4" x14ac:dyDescent="0.2">
      <c r="B15" s="1" t="s">
        <v>62</v>
      </c>
      <c r="C15" s="4">
        <v>0.06</v>
      </c>
      <c r="D15" s="1" t="s">
        <v>63</v>
      </c>
    </row>
    <row r="16" spans="2:4" x14ac:dyDescent="0.2">
      <c r="B16" s="1" t="s">
        <v>64</v>
      </c>
      <c r="C16" s="3">
        <f>(C13+C14*(C15-C13))</f>
        <v>6.1848E-2</v>
      </c>
    </row>
    <row r="18" spans="2:3" x14ac:dyDescent="0.2">
      <c r="B18" s="1" t="s">
        <v>65</v>
      </c>
      <c r="C18" s="3">
        <f>(C7*C16)+(C6*C11)*(1-C9)</f>
        <v>5.5561948900641756E-2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Model</vt:lpstr>
      <vt:lpstr>WACC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S</dc:creator>
  <cp:lastModifiedBy>William S</cp:lastModifiedBy>
  <dcterms:created xsi:type="dcterms:W3CDTF">2020-12-10T16:57:49Z</dcterms:created>
  <dcterms:modified xsi:type="dcterms:W3CDTF">2022-09-03T15:23:10Z</dcterms:modified>
</cp:coreProperties>
</file>