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 S\Documents\Models Backup\"/>
    </mc:Choice>
  </mc:AlternateContent>
  <xr:revisionPtr revIDLastSave="0" documentId="13_ncr:1_{233E2ED0-B0C8-4AAE-BE47-4F13F0EE1EBF}" xr6:coauthVersionLast="47" xr6:coauthVersionMax="47" xr10:uidLastSave="{00000000-0000-0000-0000-000000000000}"/>
  <bookViews>
    <workbookView xWindow="28680" yWindow="-120" windowWidth="29040" windowHeight="15840" activeTab="1" xr2:uid="{7EC169C9-317E-43F0-A9FE-A2A5C4455016}"/>
  </bookViews>
  <sheets>
    <sheet name="Main" sheetId="1" r:id="rId1"/>
    <sheet name="DCF" sheetId="2" r:id="rId2"/>
    <sheet name="DDM" sheetId="4" r:id="rId3"/>
    <sheet name="WACC" sheetId="3"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9" i="2" l="1"/>
  <c r="AJ39" i="2"/>
  <c r="AI39" i="2"/>
  <c r="AH39" i="2"/>
  <c r="AK38" i="2"/>
  <c r="AJ38" i="2"/>
  <c r="AI38" i="2"/>
  <c r="AH38" i="2"/>
  <c r="AG39" i="2"/>
  <c r="AG38" i="2"/>
  <c r="Z39" i="2"/>
  <c r="Y39" i="2"/>
  <c r="X39" i="2"/>
  <c r="W39" i="2"/>
  <c r="V39" i="2"/>
  <c r="U39" i="2"/>
  <c r="T39" i="2"/>
  <c r="S39" i="2"/>
  <c r="R39" i="2"/>
  <c r="Q39" i="2"/>
  <c r="P39" i="2"/>
  <c r="O39" i="2"/>
  <c r="N39" i="2"/>
  <c r="M39" i="2"/>
  <c r="L39" i="2"/>
  <c r="K39" i="2"/>
  <c r="J39" i="2"/>
  <c r="I39" i="2"/>
  <c r="H39" i="2"/>
  <c r="Z38" i="2"/>
  <c r="Y38" i="2"/>
  <c r="X38" i="2"/>
  <c r="W38" i="2"/>
  <c r="V38" i="2"/>
  <c r="U38" i="2"/>
  <c r="T38" i="2"/>
  <c r="S38" i="2"/>
  <c r="R38" i="2"/>
  <c r="Q38" i="2"/>
  <c r="P38" i="2"/>
  <c r="O38" i="2"/>
  <c r="N38" i="2"/>
  <c r="M38" i="2"/>
  <c r="L38" i="2"/>
  <c r="K38" i="2"/>
  <c r="J38" i="2"/>
  <c r="I38" i="2"/>
  <c r="H38" i="2"/>
  <c r="G39" i="2"/>
  <c r="G38" i="2"/>
  <c r="Z33" i="2"/>
  <c r="Y33" i="2"/>
  <c r="X33" i="2"/>
  <c r="W33" i="2"/>
  <c r="V33" i="2"/>
  <c r="U33" i="2"/>
  <c r="T33" i="2"/>
  <c r="S33" i="2"/>
  <c r="R33" i="2"/>
  <c r="Q33" i="2"/>
  <c r="P33" i="2"/>
  <c r="O33" i="2"/>
  <c r="N33" i="2"/>
  <c r="M33" i="2"/>
  <c r="L33" i="2"/>
  <c r="K33" i="2"/>
  <c r="J33" i="2"/>
  <c r="I33" i="2"/>
  <c r="H33" i="2"/>
  <c r="G33" i="2"/>
  <c r="AK36" i="2"/>
  <c r="AK35" i="2"/>
  <c r="AK31" i="2"/>
  <c r="AK33" i="2" s="1"/>
  <c r="AK26" i="2"/>
  <c r="AK25" i="2"/>
  <c r="AK24" i="2"/>
  <c r="AK19" i="2"/>
  <c r="AK18" i="2"/>
  <c r="AK17" i="2"/>
  <c r="AK12" i="2"/>
  <c r="AK11" i="2"/>
  <c r="AK10" i="2"/>
  <c r="AK5" i="2"/>
  <c r="AK4" i="2"/>
  <c r="AK3" i="2"/>
  <c r="AJ36" i="2"/>
  <c r="AJ35" i="2"/>
  <c r="AJ31" i="2"/>
  <c r="AJ26" i="2"/>
  <c r="AJ25" i="2"/>
  <c r="AJ24" i="2"/>
  <c r="AJ19" i="2"/>
  <c r="AJ18" i="2"/>
  <c r="AJ17" i="2"/>
  <c r="AJ12" i="2"/>
  <c r="AJ11" i="2"/>
  <c r="AJ10" i="2"/>
  <c r="AJ5" i="2"/>
  <c r="AJ4" i="2"/>
  <c r="AJ3" i="2"/>
  <c r="AI36" i="2"/>
  <c r="AI35" i="2"/>
  <c r="AI31" i="2"/>
  <c r="AI26" i="2"/>
  <c r="AI25" i="2"/>
  <c r="AI24" i="2"/>
  <c r="AI19" i="2"/>
  <c r="AI18" i="2"/>
  <c r="AI17" i="2"/>
  <c r="AI12" i="2"/>
  <c r="AI11" i="2"/>
  <c r="AI10" i="2"/>
  <c r="AI5" i="2"/>
  <c r="AI4" i="2"/>
  <c r="AI3" i="2"/>
  <c r="AH36" i="2"/>
  <c r="AH35" i="2"/>
  <c r="AH31" i="2"/>
  <c r="AH26" i="2"/>
  <c r="AH25" i="2"/>
  <c r="AH24" i="2"/>
  <c r="AH19" i="2"/>
  <c r="AH18" i="2"/>
  <c r="AH17" i="2"/>
  <c r="AH12" i="2"/>
  <c r="AH11" i="2"/>
  <c r="AH10" i="2"/>
  <c r="AH5" i="2"/>
  <c r="AH4" i="2"/>
  <c r="AH3" i="2"/>
  <c r="AG36" i="2"/>
  <c r="AG35" i="2"/>
  <c r="AG31" i="2"/>
  <c r="AG33" i="2" s="1"/>
  <c r="AG26" i="2"/>
  <c r="AG25" i="2"/>
  <c r="AG24" i="2"/>
  <c r="AG19" i="2"/>
  <c r="AG18" i="2"/>
  <c r="AG17" i="2"/>
  <c r="AG12" i="2"/>
  <c r="AG11" i="2"/>
  <c r="AG10" i="2"/>
  <c r="AG5" i="2"/>
  <c r="AG4" i="2"/>
  <c r="AG3" i="2"/>
  <c r="AF36" i="2"/>
  <c r="AF35" i="2"/>
  <c r="AF31" i="2"/>
  <c r="AF26" i="2"/>
  <c r="AF25" i="2"/>
  <c r="AF24" i="2"/>
  <c r="AF19" i="2"/>
  <c r="AF18" i="2"/>
  <c r="AF17" i="2"/>
  <c r="AF12" i="2"/>
  <c r="AF11" i="2"/>
  <c r="AF10" i="2"/>
  <c r="AF5" i="2"/>
  <c r="AF4" i="2"/>
  <c r="AF3" i="2"/>
  <c r="Y27" i="2"/>
  <c r="X27" i="2"/>
  <c r="W27" i="2"/>
  <c r="V27" i="2"/>
  <c r="U27" i="2"/>
  <c r="T27" i="2"/>
  <c r="S27" i="2"/>
  <c r="R27" i="2"/>
  <c r="Q27" i="2"/>
  <c r="P27" i="2"/>
  <c r="O27" i="2"/>
  <c r="N27" i="2"/>
  <c r="M27" i="2"/>
  <c r="L27" i="2"/>
  <c r="K27" i="2"/>
  <c r="J27" i="2"/>
  <c r="I27" i="2"/>
  <c r="H27" i="2"/>
  <c r="G27" i="2"/>
  <c r="F27" i="2"/>
  <c r="E27" i="2"/>
  <c r="D27" i="2"/>
  <c r="C27" i="2"/>
  <c r="Y20" i="2"/>
  <c r="X20" i="2"/>
  <c r="W20" i="2"/>
  <c r="V20" i="2"/>
  <c r="U20" i="2"/>
  <c r="T20" i="2"/>
  <c r="S20" i="2"/>
  <c r="R20" i="2"/>
  <c r="Q20" i="2"/>
  <c r="P20" i="2"/>
  <c r="O20" i="2"/>
  <c r="N20" i="2"/>
  <c r="M20" i="2"/>
  <c r="L20" i="2"/>
  <c r="K20" i="2"/>
  <c r="J20" i="2"/>
  <c r="I20" i="2"/>
  <c r="H20" i="2"/>
  <c r="G20" i="2"/>
  <c r="F20" i="2"/>
  <c r="E20" i="2"/>
  <c r="D20" i="2"/>
  <c r="C20" i="2"/>
  <c r="Y13" i="2"/>
  <c r="X13" i="2"/>
  <c r="W13" i="2"/>
  <c r="V13" i="2"/>
  <c r="U13" i="2"/>
  <c r="T13" i="2"/>
  <c r="S13" i="2"/>
  <c r="R13" i="2"/>
  <c r="Q13" i="2"/>
  <c r="P13" i="2"/>
  <c r="O13" i="2"/>
  <c r="N13" i="2"/>
  <c r="M13" i="2"/>
  <c r="L13" i="2"/>
  <c r="K13" i="2"/>
  <c r="J13" i="2"/>
  <c r="I13" i="2"/>
  <c r="H13" i="2"/>
  <c r="G13" i="2"/>
  <c r="F13" i="2"/>
  <c r="E13" i="2"/>
  <c r="D13" i="2"/>
  <c r="C13" i="2"/>
  <c r="Y6" i="2"/>
  <c r="X6" i="2"/>
  <c r="W6" i="2"/>
  <c r="V6" i="2"/>
  <c r="U6" i="2"/>
  <c r="T6" i="2"/>
  <c r="S6" i="2"/>
  <c r="R6" i="2"/>
  <c r="Q6" i="2"/>
  <c r="P6" i="2"/>
  <c r="O6" i="2"/>
  <c r="N6" i="2"/>
  <c r="M6" i="2"/>
  <c r="L6" i="2"/>
  <c r="K6" i="2"/>
  <c r="J6" i="2"/>
  <c r="I6" i="2"/>
  <c r="H6" i="2"/>
  <c r="G6" i="2"/>
  <c r="F6" i="2"/>
  <c r="E6" i="2"/>
  <c r="D6" i="2"/>
  <c r="C6" i="2"/>
  <c r="Z27" i="2"/>
  <c r="Z29" i="2" s="1"/>
  <c r="Z20" i="2"/>
  <c r="Z13" i="2"/>
  <c r="Z6" i="2"/>
  <c r="AK49" i="2"/>
  <c r="AL49" i="2" s="1"/>
  <c r="AM49" i="2" s="1"/>
  <c r="AN49" i="2" s="1"/>
  <c r="AJ49" i="2"/>
  <c r="AI49" i="2"/>
  <c r="AH49" i="2"/>
  <c r="AG49" i="2"/>
  <c r="AF49" i="2"/>
  <c r="Y48" i="2"/>
  <c r="X48" i="2"/>
  <c r="W48" i="2"/>
  <c r="U48" i="2"/>
  <c r="T48" i="2"/>
  <c r="S48" i="2"/>
  <c r="R48" i="2"/>
  <c r="Q48" i="2"/>
  <c r="P48" i="2"/>
  <c r="O48" i="2"/>
  <c r="N48" i="2"/>
  <c r="M48" i="2"/>
  <c r="L48" i="2"/>
  <c r="K48" i="2"/>
  <c r="J48" i="2"/>
  <c r="I48" i="2"/>
  <c r="H48" i="2"/>
  <c r="G48" i="2"/>
  <c r="F48" i="2"/>
  <c r="E48" i="2"/>
  <c r="D48" i="2"/>
  <c r="C48" i="2"/>
  <c r="AF42" i="2"/>
  <c r="W60" i="2"/>
  <c r="X60" i="2"/>
  <c r="Y60" i="2"/>
  <c r="W64" i="2"/>
  <c r="X64" i="2"/>
  <c r="Y64" i="2"/>
  <c r="Y46" i="2"/>
  <c r="X46" i="2"/>
  <c r="W46" i="2"/>
  <c r="C8" i="1"/>
  <c r="C7" i="1"/>
  <c r="C13" i="3"/>
  <c r="D5" i="4"/>
  <c r="D6" i="4" s="1"/>
  <c r="D7" i="4" s="1"/>
  <c r="D8" i="4" s="1"/>
  <c r="D9" i="4" s="1"/>
  <c r="D10" i="4" s="1"/>
  <c r="D11" i="4" s="1"/>
  <c r="D12" i="4" s="1"/>
  <c r="D13" i="4" s="1"/>
  <c r="D4" i="4"/>
  <c r="AI33" i="2" l="1"/>
  <c r="AJ33" i="2"/>
  <c r="AH33" i="2"/>
  <c r="H29" i="2"/>
  <c r="L29" i="2"/>
  <c r="P29" i="2"/>
  <c r="T29" i="2"/>
  <c r="X29" i="2"/>
  <c r="P22" i="2"/>
  <c r="X22" i="2"/>
  <c r="I29" i="2"/>
  <c r="M29" i="2"/>
  <c r="Q29" i="2"/>
  <c r="U29" i="2"/>
  <c r="Y29" i="2"/>
  <c r="J29" i="2"/>
  <c r="N29" i="2"/>
  <c r="R29" i="2"/>
  <c r="V29" i="2"/>
  <c r="G29" i="2"/>
  <c r="K29" i="2"/>
  <c r="O29" i="2"/>
  <c r="S29" i="2"/>
  <c r="W29" i="2"/>
  <c r="AF13" i="2"/>
  <c r="Z15" i="2"/>
  <c r="R22" i="2"/>
  <c r="L22" i="2"/>
  <c r="Z8" i="2"/>
  <c r="I22" i="2"/>
  <c r="M22" i="2"/>
  <c r="Q22" i="2"/>
  <c r="U22" i="2"/>
  <c r="Y22" i="2"/>
  <c r="H22" i="2"/>
  <c r="T22" i="2"/>
  <c r="J22" i="2"/>
  <c r="N22" i="2"/>
  <c r="V22" i="2"/>
  <c r="Z22" i="2"/>
  <c r="G22" i="2"/>
  <c r="K22" i="2"/>
  <c r="O22" i="2"/>
  <c r="S22" i="2"/>
  <c r="W22" i="2"/>
  <c r="K8" i="2"/>
  <c r="S8" i="2"/>
  <c r="W8" i="2"/>
  <c r="H15" i="2"/>
  <c r="L15" i="2"/>
  <c r="P15" i="2"/>
  <c r="T15" i="2"/>
  <c r="X15" i="2"/>
  <c r="I15" i="2"/>
  <c r="M15" i="2"/>
  <c r="Q15" i="2"/>
  <c r="U15" i="2"/>
  <c r="Y15" i="2"/>
  <c r="J15" i="2"/>
  <c r="N15" i="2"/>
  <c r="R15" i="2"/>
  <c r="V15" i="2"/>
  <c r="G15" i="2"/>
  <c r="K15" i="2"/>
  <c r="O15" i="2"/>
  <c r="S15" i="2"/>
  <c r="W15" i="2"/>
  <c r="O8" i="2"/>
  <c r="G8" i="2"/>
  <c r="H8" i="2"/>
  <c r="L8" i="2"/>
  <c r="P8" i="2"/>
  <c r="T8" i="2"/>
  <c r="X8" i="2"/>
  <c r="I8" i="2"/>
  <c r="M8" i="2"/>
  <c r="Q8" i="2"/>
  <c r="U8" i="2"/>
  <c r="Y8" i="2"/>
  <c r="J8" i="2"/>
  <c r="N8" i="2"/>
  <c r="R8" i="2"/>
  <c r="V8" i="2"/>
  <c r="AH6" i="2"/>
  <c r="AI27" i="2"/>
  <c r="AJ20" i="2"/>
  <c r="AK20" i="2"/>
  <c r="AF6" i="2"/>
  <c r="AF27" i="2"/>
  <c r="AG6" i="2"/>
  <c r="AG20" i="2"/>
  <c r="AG27" i="2"/>
  <c r="AH13" i="2"/>
  <c r="AH20" i="2"/>
  <c r="AI6" i="2"/>
  <c r="AI13" i="2"/>
  <c r="AI20" i="2"/>
  <c r="AJ13" i="2"/>
  <c r="AK6" i="2"/>
  <c r="AK13" i="2"/>
  <c r="Z41" i="2"/>
  <c r="Z43" i="2" s="1"/>
  <c r="AJ6" i="2"/>
  <c r="AG13" i="2"/>
  <c r="AJ27" i="2"/>
  <c r="AK27" i="2"/>
  <c r="AF20" i="2"/>
  <c r="AH27" i="2"/>
  <c r="C41" i="2"/>
  <c r="G41" i="2"/>
  <c r="D41" i="2"/>
  <c r="H41" i="2"/>
  <c r="E41" i="2"/>
  <c r="I41" i="2"/>
  <c r="K41" i="2"/>
  <c r="O41" i="2"/>
  <c r="L41" i="2"/>
  <c r="P41" i="2"/>
  <c r="M41" i="2"/>
  <c r="Q41" i="2"/>
  <c r="T41" i="2"/>
  <c r="X41" i="2"/>
  <c r="U41" i="2"/>
  <c r="Y41" i="2"/>
  <c r="Y43" i="2" s="1"/>
  <c r="Y66" i="2" s="1"/>
  <c r="S41" i="2"/>
  <c r="F41" i="2"/>
  <c r="N41" i="2"/>
  <c r="R41" i="2"/>
  <c r="V41" i="2"/>
  <c r="W41" i="2"/>
  <c r="W43" i="2" s="1"/>
  <c r="W66" i="2" s="1"/>
  <c r="J41" i="2"/>
  <c r="AJ29" i="2" l="1"/>
  <c r="AG29" i="2"/>
  <c r="AG15" i="2"/>
  <c r="AK22" i="2"/>
  <c r="AH29" i="2"/>
  <c r="AK29" i="2"/>
  <c r="AI29" i="2"/>
  <c r="AH22" i="2"/>
  <c r="AI22" i="2"/>
  <c r="AK15" i="2"/>
  <c r="AG22" i="2"/>
  <c r="AF41" i="2"/>
  <c r="AJ15" i="2"/>
  <c r="AJ22" i="2"/>
  <c r="AK41" i="2"/>
  <c r="AI41" i="2"/>
  <c r="AH15" i="2"/>
  <c r="AI15" i="2"/>
  <c r="AI8" i="2"/>
  <c r="AG8" i="2"/>
  <c r="AG41" i="2"/>
  <c r="AJ41" i="2"/>
  <c r="AJ8" i="2"/>
  <c r="AH41" i="2"/>
  <c r="AK8" i="2"/>
  <c r="AH8" i="2"/>
  <c r="W59" i="2"/>
  <c r="X59" i="2"/>
  <c r="X43" i="2"/>
  <c r="X66" i="2" s="1"/>
  <c r="Y47" i="2"/>
  <c r="Y50" i="2" s="1"/>
  <c r="Y59" i="2"/>
  <c r="W47" i="2"/>
  <c r="W50" i="2" s="1"/>
  <c r="AR58" i="2"/>
  <c r="X47" i="2" l="1"/>
  <c r="X50" i="2" s="1"/>
  <c r="Y67" i="2"/>
  <c r="W67" i="2"/>
  <c r="X52" i="2"/>
  <c r="X56" i="2" s="1"/>
  <c r="X68" i="2"/>
  <c r="W52" i="2"/>
  <c r="W56" i="2" s="1"/>
  <c r="W68" i="2"/>
  <c r="Y52" i="2"/>
  <c r="Y56" i="2" s="1"/>
  <c r="Y68" i="2"/>
  <c r="V46" i="2"/>
  <c r="U46" i="2"/>
  <c r="Y61" i="2" s="1"/>
  <c r="T64" i="2"/>
  <c r="M64" i="2"/>
  <c r="K64" i="2"/>
  <c r="J64" i="2"/>
  <c r="I64" i="2"/>
  <c r="H64" i="2"/>
  <c r="G64" i="2"/>
  <c r="U64" i="2"/>
  <c r="S64" i="2"/>
  <c r="R64" i="2"/>
  <c r="Q64" i="2"/>
  <c r="P64" i="2"/>
  <c r="O64" i="2"/>
  <c r="N64" i="2"/>
  <c r="L64" i="2"/>
  <c r="U60" i="2"/>
  <c r="T60" i="2"/>
  <c r="U59" i="2"/>
  <c r="T59" i="2"/>
  <c r="T46" i="2"/>
  <c r="X61" i="2" s="1"/>
  <c r="T43" i="2"/>
  <c r="T66" i="2" s="1"/>
  <c r="E46" i="2"/>
  <c r="E43" i="2"/>
  <c r="F46" i="2"/>
  <c r="F43" i="2"/>
  <c r="D46" i="2"/>
  <c r="D43" i="2"/>
  <c r="H46" i="2"/>
  <c r="H43" i="2"/>
  <c r="AF48" i="2"/>
  <c r="C46" i="2"/>
  <c r="C43" i="2"/>
  <c r="G46" i="2"/>
  <c r="G43" i="2"/>
  <c r="I46" i="2"/>
  <c r="I43" i="2"/>
  <c r="J46" i="2"/>
  <c r="J43" i="2"/>
  <c r="K46" i="2"/>
  <c r="K43" i="2"/>
  <c r="L46" i="2"/>
  <c r="L43" i="2"/>
  <c r="P46" i="2"/>
  <c r="P43" i="2"/>
  <c r="M46" i="2"/>
  <c r="M43" i="2"/>
  <c r="Q46" i="2"/>
  <c r="Q43" i="2"/>
  <c r="Q66" i="2" s="1"/>
  <c r="N46" i="2"/>
  <c r="N43" i="2"/>
  <c r="R46" i="2"/>
  <c r="R43" i="2"/>
  <c r="AI51" i="2"/>
  <c r="AI45" i="2"/>
  <c r="AI44" i="2"/>
  <c r="AI42" i="2"/>
  <c r="AH51" i="2"/>
  <c r="AH45" i="2"/>
  <c r="AH44" i="2"/>
  <c r="AH42" i="2"/>
  <c r="AG51" i="2"/>
  <c r="AG45" i="2"/>
  <c r="AG44" i="2"/>
  <c r="AG42" i="2"/>
  <c r="AI53" i="2"/>
  <c r="AH53" i="2"/>
  <c r="AG53" i="2"/>
  <c r="AF53" i="2"/>
  <c r="AF51" i="2"/>
  <c r="AF45" i="2"/>
  <c r="AF44" i="2"/>
  <c r="AF43" i="2"/>
  <c r="O46" i="2"/>
  <c r="O43" i="2"/>
  <c r="O66" i="2" s="1"/>
  <c r="R60" i="2"/>
  <c r="Q60" i="2"/>
  <c r="P60" i="2"/>
  <c r="O60" i="2"/>
  <c r="N60" i="2"/>
  <c r="M60" i="2"/>
  <c r="L60" i="2"/>
  <c r="K60" i="2"/>
  <c r="J60" i="2"/>
  <c r="I60" i="2"/>
  <c r="H60" i="2"/>
  <c r="G60" i="2"/>
  <c r="R59" i="2"/>
  <c r="Q59" i="2"/>
  <c r="P59" i="2"/>
  <c r="O59" i="2"/>
  <c r="N59" i="2"/>
  <c r="M59" i="2"/>
  <c r="L59" i="2"/>
  <c r="K59" i="2"/>
  <c r="J59" i="2"/>
  <c r="I59" i="2"/>
  <c r="H59" i="2"/>
  <c r="G59" i="2"/>
  <c r="S60" i="2"/>
  <c r="S59" i="2"/>
  <c r="S46" i="2"/>
  <c r="S43" i="2"/>
  <c r="S66" i="2" s="1"/>
  <c r="C3" i="3"/>
  <c r="C16" i="3"/>
  <c r="I7" i="4" s="1"/>
  <c r="C4" i="1" a="1"/>
  <c r="C4" i="1" s="1"/>
  <c r="I11" i="4" s="1"/>
  <c r="X67" i="2" l="1"/>
  <c r="R47" i="2"/>
  <c r="R50" i="2" s="1"/>
  <c r="R52" i="2" s="1"/>
  <c r="R56" i="2" s="1"/>
  <c r="I47" i="2"/>
  <c r="I50" i="2" s="1"/>
  <c r="I61" i="2"/>
  <c r="AI68" i="2"/>
  <c r="M61" i="2"/>
  <c r="AK48" i="2"/>
  <c r="AL48" i="2" s="1"/>
  <c r="AM48" i="2" s="1"/>
  <c r="AN48" i="2" s="1"/>
  <c r="AJ48" i="2"/>
  <c r="V60" i="2"/>
  <c r="AJ42" i="2"/>
  <c r="AJ60" i="2" s="1"/>
  <c r="S61" i="2"/>
  <c r="W61" i="2"/>
  <c r="W54" i="2"/>
  <c r="AH60" i="2"/>
  <c r="AJ44" i="2"/>
  <c r="AG59" i="2"/>
  <c r="AG43" i="2"/>
  <c r="AG66" i="2" s="1"/>
  <c r="V64" i="2"/>
  <c r="AJ53" i="2"/>
  <c r="I66" i="2"/>
  <c r="Q61" i="2"/>
  <c r="K61" i="2"/>
  <c r="G47" i="2"/>
  <c r="D47" i="2"/>
  <c r="D67" i="2" s="1"/>
  <c r="V59" i="2"/>
  <c r="AJ43" i="2"/>
  <c r="AJ45" i="2"/>
  <c r="AK45" i="2"/>
  <c r="AL45" i="2" s="1"/>
  <c r="AM45" i="2" s="1"/>
  <c r="AN45" i="2" s="1"/>
  <c r="Y54" i="2"/>
  <c r="X54" i="2"/>
  <c r="P61" i="2"/>
  <c r="AH68" i="2"/>
  <c r="AF68" i="2"/>
  <c r="O61" i="2"/>
  <c r="AI60" i="2"/>
  <c r="J61" i="2"/>
  <c r="L61" i="2"/>
  <c r="AG68" i="2"/>
  <c r="AI48" i="2"/>
  <c r="AG60" i="2"/>
  <c r="AH59" i="2"/>
  <c r="G61" i="2"/>
  <c r="N61" i="2"/>
  <c r="AI59" i="2"/>
  <c r="R61" i="2"/>
  <c r="U43" i="2"/>
  <c r="U66" i="2" s="1"/>
  <c r="H61" i="2"/>
  <c r="R66" i="2"/>
  <c r="V43" i="2"/>
  <c r="V66" i="2" s="1"/>
  <c r="C5" i="4"/>
  <c r="E5" i="4" s="1"/>
  <c r="C6" i="4"/>
  <c r="E6" i="4" s="1"/>
  <c r="C4" i="4"/>
  <c r="E4" i="4" s="1"/>
  <c r="I9" i="4"/>
  <c r="D14" i="4" s="1"/>
  <c r="C11" i="4"/>
  <c r="E11" i="4" s="1"/>
  <c r="C8" i="4"/>
  <c r="E8" i="4" s="1"/>
  <c r="C14" i="4"/>
  <c r="C12" i="4"/>
  <c r="E12" i="4" s="1"/>
  <c r="C13" i="4"/>
  <c r="E13" i="4" s="1"/>
  <c r="C9" i="4"/>
  <c r="E9" i="4" s="1"/>
  <c r="C10" i="4"/>
  <c r="E10" i="4" s="1"/>
  <c r="C7" i="4"/>
  <c r="E7" i="4" s="1"/>
  <c r="C6" i="1"/>
  <c r="C4" i="3" s="1"/>
  <c r="C5" i="3" s="1"/>
  <c r="C6" i="3" s="1"/>
  <c r="AR61" i="2"/>
  <c r="AI64" i="2"/>
  <c r="AH64" i="2"/>
  <c r="AG64" i="2"/>
  <c r="T47" i="2"/>
  <c r="V61" i="2"/>
  <c r="T61" i="2"/>
  <c r="U61" i="2"/>
  <c r="E47" i="2"/>
  <c r="E66" i="2"/>
  <c r="F47" i="2"/>
  <c r="F66" i="2"/>
  <c r="H47" i="2"/>
  <c r="D66" i="2"/>
  <c r="H66" i="2"/>
  <c r="C47" i="2"/>
  <c r="C66" i="2"/>
  <c r="AF46" i="2"/>
  <c r="G66" i="2"/>
  <c r="AG48" i="2"/>
  <c r="AF66" i="2"/>
  <c r="AG46" i="2"/>
  <c r="J47" i="2"/>
  <c r="J50" i="2" s="1"/>
  <c r="J66" i="2"/>
  <c r="K47" i="2"/>
  <c r="K66" i="2"/>
  <c r="L47" i="2"/>
  <c r="L50" i="2" s="1"/>
  <c r="L66" i="2"/>
  <c r="P47" i="2"/>
  <c r="P50" i="2" s="1"/>
  <c r="P66" i="2"/>
  <c r="M47" i="2"/>
  <c r="M50" i="2" s="1"/>
  <c r="Q47" i="2"/>
  <c r="M66" i="2"/>
  <c r="AH48" i="2"/>
  <c r="N47" i="2"/>
  <c r="N50" i="2" s="1"/>
  <c r="N66" i="2"/>
  <c r="AH46" i="2"/>
  <c r="AH43" i="2"/>
  <c r="AH66" i="2" s="1"/>
  <c r="AI43" i="2"/>
  <c r="AI66" i="2" s="1"/>
  <c r="AI46" i="2"/>
  <c r="O47" i="2"/>
  <c r="O50" i="2" s="1"/>
  <c r="S47" i="2"/>
  <c r="I67" i="2" l="1"/>
  <c r="R67" i="2"/>
  <c r="G50" i="2"/>
  <c r="G52" i="2" s="1"/>
  <c r="K67" i="2"/>
  <c r="K50" i="2"/>
  <c r="K52" i="2" s="1"/>
  <c r="K56" i="2" s="1"/>
  <c r="F50" i="2"/>
  <c r="F52" i="2" s="1"/>
  <c r="AI61" i="2"/>
  <c r="W62" i="2"/>
  <c r="S50" i="2"/>
  <c r="Q67" i="2"/>
  <c r="Q50" i="2"/>
  <c r="Q68" i="2" s="1"/>
  <c r="C67" i="2"/>
  <c r="C50" i="2"/>
  <c r="C52" i="2" s="1"/>
  <c r="C56" i="2" s="1"/>
  <c r="H67" i="2"/>
  <c r="H50" i="2"/>
  <c r="H52" i="2" s="1"/>
  <c r="H56" i="2" s="1"/>
  <c r="I62" i="2"/>
  <c r="E50" i="2"/>
  <c r="E52" i="2" s="1"/>
  <c r="X62" i="2"/>
  <c r="T50" i="2"/>
  <c r="D50" i="2"/>
  <c r="D52" i="2" s="1"/>
  <c r="G67" i="2"/>
  <c r="AJ59" i="2"/>
  <c r="Z59" i="2"/>
  <c r="AK59" i="2"/>
  <c r="Z64" i="2"/>
  <c r="AK53" i="2"/>
  <c r="AL53" i="2" s="1"/>
  <c r="AM53" i="2" s="1"/>
  <c r="AJ46" i="2"/>
  <c r="AJ47" i="2" s="1"/>
  <c r="AJ50" i="2" s="1"/>
  <c r="AK42" i="2"/>
  <c r="AL42" i="2" s="1"/>
  <c r="AM42" i="2" s="1"/>
  <c r="AN42" i="2" s="1"/>
  <c r="Z60" i="2"/>
  <c r="AK44" i="2"/>
  <c r="Z46" i="2"/>
  <c r="Z61" i="2" s="1"/>
  <c r="AJ64" i="2"/>
  <c r="AJ66" i="2"/>
  <c r="AH61" i="2"/>
  <c r="V47" i="2"/>
  <c r="U47" i="2"/>
  <c r="U50" i="2" s="1"/>
  <c r="N62" i="2"/>
  <c r="AG61" i="2"/>
  <c r="F67" i="2"/>
  <c r="T62" i="2"/>
  <c r="N67" i="2"/>
  <c r="S62" i="2"/>
  <c r="S67" i="2"/>
  <c r="P52" i="2"/>
  <c r="P56" i="2" s="1"/>
  <c r="P62" i="2"/>
  <c r="R54" i="2"/>
  <c r="M52" i="2"/>
  <c r="M56" i="2" s="1"/>
  <c r="M62" i="2"/>
  <c r="K62" i="2"/>
  <c r="J52" i="2"/>
  <c r="J56" i="2" s="1"/>
  <c r="J62" i="2"/>
  <c r="E67" i="2"/>
  <c r="G62" i="2"/>
  <c r="N52" i="2"/>
  <c r="Q62" i="2"/>
  <c r="O67" i="2"/>
  <c r="O62" i="2"/>
  <c r="M67" i="2"/>
  <c r="P67" i="2"/>
  <c r="L52" i="2"/>
  <c r="L56" i="2" s="1"/>
  <c r="L62" i="2"/>
  <c r="J67" i="2"/>
  <c r="H62" i="2"/>
  <c r="R62" i="2"/>
  <c r="C9" i="1"/>
  <c r="E14" i="4"/>
  <c r="I10" i="4" s="1"/>
  <c r="I12" i="4" s="1"/>
  <c r="T67" i="2"/>
  <c r="AF47" i="2"/>
  <c r="AF50" i="2" s="1"/>
  <c r="AG47" i="2"/>
  <c r="AG50" i="2" s="1"/>
  <c r="I52" i="2"/>
  <c r="I56" i="2" s="1"/>
  <c r="I68" i="2"/>
  <c r="L67" i="2"/>
  <c r="AH47" i="2"/>
  <c r="AH50" i="2" s="1"/>
  <c r="AI47" i="2"/>
  <c r="AI50" i="2" s="1"/>
  <c r="R68" i="2"/>
  <c r="C7" i="3"/>
  <c r="AL64" i="2" l="1"/>
  <c r="D68" i="2"/>
  <c r="G68" i="2"/>
  <c r="L57" i="2"/>
  <c r="P57" i="2"/>
  <c r="M57" i="2"/>
  <c r="E54" i="2"/>
  <c r="E56" i="2"/>
  <c r="I57" i="2" s="1"/>
  <c r="D54" i="2"/>
  <c r="D56" i="2"/>
  <c r="F54" i="2"/>
  <c r="F56" i="2"/>
  <c r="J57" i="2" s="1"/>
  <c r="F68" i="2"/>
  <c r="R63" i="2"/>
  <c r="N56" i="2"/>
  <c r="AK60" i="2"/>
  <c r="G54" i="2"/>
  <c r="G56" i="2"/>
  <c r="K57" i="2" s="1"/>
  <c r="V50" i="2"/>
  <c r="P68" i="2"/>
  <c r="AK64" i="2"/>
  <c r="AL60" i="2"/>
  <c r="AJ61" i="2"/>
  <c r="AK46" i="2"/>
  <c r="AK61" i="2" s="1"/>
  <c r="AL44" i="2"/>
  <c r="Z66" i="2"/>
  <c r="Z47" i="2"/>
  <c r="Z50" i="2" s="1"/>
  <c r="H68" i="2"/>
  <c r="U67" i="2"/>
  <c r="Y62" i="2"/>
  <c r="AK43" i="2"/>
  <c r="AL41" i="2"/>
  <c r="AJ62" i="2"/>
  <c r="U68" i="2"/>
  <c r="V62" i="2"/>
  <c r="V67" i="2"/>
  <c r="J68" i="2"/>
  <c r="E68" i="2"/>
  <c r="M68" i="2"/>
  <c r="U62" i="2"/>
  <c r="Q52" i="2"/>
  <c r="K68" i="2"/>
  <c r="C68" i="2"/>
  <c r="O52" i="2"/>
  <c r="O56" i="2" s="1"/>
  <c r="O68" i="2"/>
  <c r="S68" i="2"/>
  <c r="S52" i="2"/>
  <c r="AI52" i="2"/>
  <c r="AI62" i="2"/>
  <c r="AI67" i="2"/>
  <c r="I54" i="2"/>
  <c r="I65" i="2" s="1"/>
  <c r="I63" i="2"/>
  <c r="C54" i="2"/>
  <c r="G65" i="2" s="1"/>
  <c r="G63" i="2"/>
  <c r="AH52" i="2"/>
  <c r="AH62" i="2"/>
  <c r="AH67" i="2"/>
  <c r="AG52" i="2"/>
  <c r="AG54" i="2" s="1"/>
  <c r="AG62" i="2"/>
  <c r="AG67" i="2"/>
  <c r="AF67" i="2"/>
  <c r="AF52" i="2"/>
  <c r="L54" i="2"/>
  <c r="L63" i="2"/>
  <c r="N54" i="2"/>
  <c r="N63" i="2"/>
  <c r="K54" i="2"/>
  <c r="K63" i="2"/>
  <c r="N68" i="2"/>
  <c r="L68" i="2"/>
  <c r="H54" i="2"/>
  <c r="H63" i="2"/>
  <c r="J54" i="2"/>
  <c r="J63" i="2"/>
  <c r="M54" i="2"/>
  <c r="M63" i="2"/>
  <c r="P54" i="2"/>
  <c r="P63" i="2"/>
  <c r="AN60" i="2"/>
  <c r="AM60" i="2"/>
  <c r="AN53" i="2"/>
  <c r="AN64" i="2" s="1"/>
  <c r="AM64" i="2"/>
  <c r="T68" i="2"/>
  <c r="T52" i="2"/>
  <c r="AF56" i="2" l="1"/>
  <c r="N57" i="2"/>
  <c r="R57" i="2"/>
  <c r="G57" i="2"/>
  <c r="AG56" i="2"/>
  <c r="H57" i="2"/>
  <c r="J65" i="2"/>
  <c r="O57" i="2"/>
  <c r="AH56" i="2"/>
  <c r="AH57" i="2" s="1"/>
  <c r="X63" i="2"/>
  <c r="T56" i="2"/>
  <c r="Q54" i="2"/>
  <c r="Q65" i="2" s="1"/>
  <c r="Q56" i="2"/>
  <c r="Q57" i="2" s="1"/>
  <c r="H65" i="2"/>
  <c r="K65" i="2"/>
  <c r="W63" i="2"/>
  <c r="S56" i="2"/>
  <c r="AJ51" i="2"/>
  <c r="AJ52" i="2" s="1"/>
  <c r="AJ54" i="2" s="1"/>
  <c r="V68" i="2"/>
  <c r="V52" i="2"/>
  <c r="V63" i="2" s="1"/>
  <c r="AM44" i="2"/>
  <c r="AL46" i="2"/>
  <c r="AL61" i="2" s="1"/>
  <c r="AM41" i="2"/>
  <c r="AL43" i="2"/>
  <c r="AL59" i="2"/>
  <c r="AK47" i="2"/>
  <c r="AK50" i="2" s="1"/>
  <c r="AK66" i="2"/>
  <c r="Z62" i="2"/>
  <c r="Z67" i="2"/>
  <c r="U52" i="2"/>
  <c r="U56" i="2" s="1"/>
  <c r="AJ67" i="2"/>
  <c r="Q63" i="2"/>
  <c r="L65" i="2"/>
  <c r="AG63" i="2"/>
  <c r="AF54" i="2"/>
  <c r="AG65" i="2" s="1"/>
  <c r="AH54" i="2"/>
  <c r="AH65" i="2" s="1"/>
  <c r="AH63" i="2"/>
  <c r="M65" i="2"/>
  <c r="P65" i="2"/>
  <c r="N65" i="2"/>
  <c r="AI54" i="2"/>
  <c r="AI63" i="2"/>
  <c r="O54" i="2"/>
  <c r="O65" i="2" s="1"/>
  <c r="O63" i="2"/>
  <c r="S54" i="2"/>
  <c r="W65" i="2" s="1"/>
  <c r="S63" i="2"/>
  <c r="R65" i="2"/>
  <c r="T63" i="2"/>
  <c r="T54" i="2"/>
  <c r="AG57" i="2" l="1"/>
  <c r="AK62" i="2"/>
  <c r="AI56" i="2"/>
  <c r="AI57" i="2" s="1"/>
  <c r="U57" i="2"/>
  <c r="Y57" i="2"/>
  <c r="T57" i="2"/>
  <c r="X57" i="2"/>
  <c r="S57" i="2"/>
  <c r="W57" i="2"/>
  <c r="V54" i="2"/>
  <c r="V65" i="2" s="1"/>
  <c r="V56" i="2"/>
  <c r="V57" i="2" s="1"/>
  <c r="AK67" i="2"/>
  <c r="AJ68" i="2"/>
  <c r="C9" i="3" s="1"/>
  <c r="C11" i="3" s="1"/>
  <c r="C18" i="3" s="1"/>
  <c r="AR56" i="2" s="1"/>
  <c r="U63" i="2"/>
  <c r="Y63" i="2"/>
  <c r="AN41" i="2"/>
  <c r="AM59" i="2"/>
  <c r="AM43" i="2"/>
  <c r="AL66" i="2"/>
  <c r="AL47" i="2"/>
  <c r="AL50" i="2" s="1"/>
  <c r="T65" i="2"/>
  <c r="X65" i="2"/>
  <c r="Z52" i="2"/>
  <c r="Z56" i="2" s="1"/>
  <c r="AN44" i="2"/>
  <c r="AN46" i="2" s="1"/>
  <c r="AM46" i="2"/>
  <c r="AM61" i="2" s="1"/>
  <c r="U54" i="2"/>
  <c r="AJ65" i="2"/>
  <c r="AI65" i="2"/>
  <c r="S65" i="2"/>
  <c r="Z57" i="2" l="1"/>
  <c r="AK56" i="2"/>
  <c r="AJ56" i="2"/>
  <c r="AJ57" i="2" s="1"/>
  <c r="AN61" i="2"/>
  <c r="Z63" i="2"/>
  <c r="Z54" i="2"/>
  <c r="Z65" i="2" s="1"/>
  <c r="AL51" i="2"/>
  <c r="AL68" i="2" s="1"/>
  <c r="AL67" i="2"/>
  <c r="AL62" i="2"/>
  <c r="AN59" i="2"/>
  <c r="AN43" i="2"/>
  <c r="U65" i="2"/>
  <c r="Y65" i="2"/>
  <c r="AK51" i="2"/>
  <c r="AK52" i="2" s="1"/>
  <c r="Z68" i="2"/>
  <c r="AM66" i="2"/>
  <c r="AM47" i="2"/>
  <c r="AM50" i="2" s="1"/>
  <c r="AJ63" i="2"/>
  <c r="AK57" i="2" l="1"/>
  <c r="AL52" i="2"/>
  <c r="AL54" i="2" s="1"/>
  <c r="AN66" i="2"/>
  <c r="AN47" i="2"/>
  <c r="AN50" i="2" s="1"/>
  <c r="AK68" i="2"/>
  <c r="AM67" i="2"/>
  <c r="AM62" i="2"/>
  <c r="AM51" i="2" l="1"/>
  <c r="AM68" i="2" s="1"/>
  <c r="AK54" i="2"/>
  <c r="AK65" i="2" s="1"/>
  <c r="AK63" i="2"/>
  <c r="AN62" i="2"/>
  <c r="AN51" i="2"/>
  <c r="AN68" i="2" s="1"/>
  <c r="AN67" i="2"/>
  <c r="AL63" i="2"/>
  <c r="AN52" i="2" l="1"/>
  <c r="AO52" i="2" s="1"/>
  <c r="AP52" i="2" s="1"/>
  <c r="AQ52" i="2" s="1"/>
  <c r="AR52" i="2" s="1"/>
  <c r="AS52" i="2" s="1"/>
  <c r="AT52" i="2" s="1"/>
  <c r="AU52" i="2" s="1"/>
  <c r="AV52" i="2" s="1"/>
  <c r="AW52" i="2" s="1"/>
  <c r="AX52" i="2" s="1"/>
  <c r="AY52" i="2" s="1"/>
  <c r="AZ52" i="2" s="1"/>
  <c r="BA52" i="2" s="1"/>
  <c r="BB52" i="2" s="1"/>
  <c r="BC52" i="2" s="1"/>
  <c r="BD52" i="2" s="1"/>
  <c r="BE52" i="2" s="1"/>
  <c r="BF52" i="2" s="1"/>
  <c r="BG52" i="2" s="1"/>
  <c r="BH52" i="2" s="1"/>
  <c r="BI52" i="2" s="1"/>
  <c r="BJ52" i="2" s="1"/>
  <c r="BK52" i="2" s="1"/>
  <c r="BL52" i="2" s="1"/>
  <c r="BM52" i="2" s="1"/>
  <c r="BN52" i="2" s="1"/>
  <c r="BO52" i="2" s="1"/>
  <c r="BP52" i="2" s="1"/>
  <c r="BQ52" i="2" s="1"/>
  <c r="BR52" i="2" s="1"/>
  <c r="BS52" i="2" s="1"/>
  <c r="BT52" i="2" s="1"/>
  <c r="BU52" i="2" s="1"/>
  <c r="BV52" i="2" s="1"/>
  <c r="BW52" i="2" s="1"/>
  <c r="BX52" i="2" s="1"/>
  <c r="BY52" i="2" s="1"/>
  <c r="BZ52" i="2" s="1"/>
  <c r="CA52" i="2" s="1"/>
  <c r="CB52" i="2" s="1"/>
  <c r="CC52" i="2" s="1"/>
  <c r="CD52" i="2" s="1"/>
  <c r="CE52" i="2" s="1"/>
  <c r="CF52" i="2" s="1"/>
  <c r="CG52" i="2" s="1"/>
  <c r="CH52" i="2" s="1"/>
  <c r="CI52" i="2" s="1"/>
  <c r="CJ52" i="2" s="1"/>
  <c r="CK52" i="2" s="1"/>
  <c r="CL52" i="2" s="1"/>
  <c r="CM52" i="2" s="1"/>
  <c r="CN52" i="2" s="1"/>
  <c r="CO52" i="2" s="1"/>
  <c r="CP52" i="2" s="1"/>
  <c r="CQ52" i="2" s="1"/>
  <c r="CR52" i="2" s="1"/>
  <c r="CS52" i="2" s="1"/>
  <c r="CT52" i="2" s="1"/>
  <c r="CU52" i="2" s="1"/>
  <c r="CV52" i="2" s="1"/>
  <c r="CW52" i="2" s="1"/>
  <c r="CX52" i="2" s="1"/>
  <c r="CY52" i="2" s="1"/>
  <c r="CZ52" i="2" s="1"/>
  <c r="DA52" i="2" s="1"/>
  <c r="DB52" i="2" s="1"/>
  <c r="DC52" i="2" s="1"/>
  <c r="DD52" i="2" s="1"/>
  <c r="DE52" i="2" s="1"/>
  <c r="DF52" i="2" s="1"/>
  <c r="DG52" i="2" s="1"/>
  <c r="DH52" i="2" s="1"/>
  <c r="DI52" i="2" s="1"/>
  <c r="DJ52" i="2" s="1"/>
  <c r="DK52" i="2" s="1"/>
  <c r="DL52" i="2" s="1"/>
  <c r="DM52" i="2" s="1"/>
  <c r="DN52" i="2" s="1"/>
  <c r="DO52" i="2" s="1"/>
  <c r="DP52" i="2" s="1"/>
  <c r="DQ52" i="2" s="1"/>
  <c r="DR52" i="2" s="1"/>
  <c r="DS52" i="2" s="1"/>
  <c r="DT52" i="2" s="1"/>
  <c r="DU52" i="2" s="1"/>
  <c r="DV52" i="2" s="1"/>
  <c r="DW52" i="2" s="1"/>
  <c r="DX52" i="2" s="1"/>
  <c r="DY52" i="2" s="1"/>
  <c r="DZ52" i="2" s="1"/>
  <c r="EA52" i="2" s="1"/>
  <c r="EB52" i="2" s="1"/>
  <c r="EC52" i="2" s="1"/>
  <c r="ED52" i="2" s="1"/>
  <c r="EE52" i="2" s="1"/>
  <c r="EF52" i="2" s="1"/>
  <c r="EG52" i="2" s="1"/>
  <c r="EH52" i="2" s="1"/>
  <c r="EI52" i="2" s="1"/>
  <c r="EJ52" i="2" s="1"/>
  <c r="EK52" i="2" s="1"/>
  <c r="EL52" i="2" s="1"/>
  <c r="EM52" i="2" s="1"/>
  <c r="EN52" i="2" s="1"/>
  <c r="EO52" i="2" s="1"/>
  <c r="EP52" i="2" s="1"/>
  <c r="EQ52" i="2" s="1"/>
  <c r="ER52" i="2" s="1"/>
  <c r="ES52" i="2" s="1"/>
  <c r="ET52" i="2" s="1"/>
  <c r="EU52" i="2" s="1"/>
  <c r="EV52" i="2" s="1"/>
  <c r="EW52" i="2" s="1"/>
  <c r="EX52" i="2" s="1"/>
  <c r="EY52" i="2" s="1"/>
  <c r="EZ52" i="2" s="1"/>
  <c r="FA52" i="2" s="1"/>
  <c r="FB52" i="2" s="1"/>
  <c r="FC52" i="2" s="1"/>
  <c r="FD52" i="2" s="1"/>
  <c r="FE52" i="2" s="1"/>
  <c r="FF52" i="2" s="1"/>
  <c r="FG52" i="2" s="1"/>
  <c r="FH52" i="2" s="1"/>
  <c r="FI52" i="2" s="1"/>
  <c r="FJ52" i="2" s="1"/>
  <c r="FK52" i="2" s="1"/>
  <c r="FL52" i="2" s="1"/>
  <c r="FM52" i="2" s="1"/>
  <c r="FN52" i="2" s="1"/>
  <c r="FO52" i="2" s="1"/>
  <c r="FP52" i="2" s="1"/>
  <c r="FQ52" i="2" s="1"/>
  <c r="FR52" i="2" s="1"/>
  <c r="FS52" i="2" s="1"/>
  <c r="FT52" i="2" s="1"/>
  <c r="FU52" i="2" s="1"/>
  <c r="FV52" i="2" s="1"/>
  <c r="FW52" i="2" s="1"/>
  <c r="FX52" i="2" s="1"/>
  <c r="FY52" i="2" s="1"/>
  <c r="FZ52" i="2" s="1"/>
  <c r="GA52" i="2" s="1"/>
  <c r="GB52" i="2" s="1"/>
  <c r="GC52" i="2" s="1"/>
  <c r="GD52" i="2" s="1"/>
  <c r="GE52" i="2" s="1"/>
  <c r="GF52" i="2" s="1"/>
  <c r="GG52" i="2" s="1"/>
  <c r="GH52" i="2" s="1"/>
  <c r="GI52" i="2" s="1"/>
  <c r="GJ52" i="2" s="1"/>
  <c r="GK52" i="2" s="1"/>
  <c r="GL52" i="2" s="1"/>
  <c r="GM52" i="2" s="1"/>
  <c r="GN52" i="2" s="1"/>
  <c r="GO52" i="2" s="1"/>
  <c r="GP52" i="2" s="1"/>
  <c r="GQ52" i="2" s="1"/>
  <c r="GR52" i="2" s="1"/>
  <c r="GS52" i="2" s="1"/>
  <c r="GT52" i="2" s="1"/>
  <c r="GU52" i="2" s="1"/>
  <c r="GV52" i="2" s="1"/>
  <c r="GW52" i="2" s="1"/>
  <c r="GX52" i="2" s="1"/>
  <c r="GY52" i="2" s="1"/>
  <c r="GZ52" i="2" s="1"/>
  <c r="HA52" i="2" s="1"/>
  <c r="HB52" i="2" s="1"/>
  <c r="HC52" i="2" s="1"/>
  <c r="HD52" i="2" s="1"/>
  <c r="HE52" i="2" s="1"/>
  <c r="HF52" i="2" s="1"/>
  <c r="HG52" i="2" s="1"/>
  <c r="HH52" i="2" s="1"/>
  <c r="HI52" i="2" s="1"/>
  <c r="HJ52" i="2" s="1"/>
  <c r="HK52" i="2" s="1"/>
  <c r="HL52" i="2" s="1"/>
  <c r="HM52" i="2" s="1"/>
  <c r="HN52" i="2" s="1"/>
  <c r="HO52" i="2" s="1"/>
  <c r="HP52" i="2" s="1"/>
  <c r="HQ52" i="2" s="1"/>
  <c r="HR52" i="2" s="1"/>
  <c r="HS52" i="2" s="1"/>
  <c r="HT52" i="2" s="1"/>
  <c r="HU52" i="2" s="1"/>
  <c r="HV52" i="2" s="1"/>
  <c r="HW52" i="2" s="1"/>
  <c r="HX52" i="2" s="1"/>
  <c r="HY52" i="2" s="1"/>
  <c r="HZ52" i="2" s="1"/>
  <c r="IA52" i="2" s="1"/>
  <c r="IB52" i="2" s="1"/>
  <c r="IC52" i="2" s="1"/>
  <c r="ID52" i="2" s="1"/>
  <c r="IE52" i="2" s="1"/>
  <c r="IF52" i="2" s="1"/>
  <c r="IG52" i="2" s="1"/>
  <c r="IH52" i="2" s="1"/>
  <c r="II52" i="2" s="1"/>
  <c r="IJ52" i="2" s="1"/>
  <c r="IK52" i="2" s="1"/>
  <c r="IL52" i="2" s="1"/>
  <c r="IM52" i="2" s="1"/>
  <c r="IN52" i="2" s="1"/>
  <c r="IO52" i="2" s="1"/>
  <c r="IP52" i="2" s="1"/>
  <c r="IQ52" i="2" s="1"/>
  <c r="IR52" i="2" s="1"/>
  <c r="IS52" i="2" s="1"/>
  <c r="IT52" i="2" s="1"/>
  <c r="IU52" i="2" s="1"/>
  <c r="IV52" i="2" s="1"/>
  <c r="IW52" i="2" s="1"/>
  <c r="IX52" i="2" s="1"/>
  <c r="IY52" i="2" s="1"/>
  <c r="IZ52" i="2" s="1"/>
  <c r="JA52" i="2" s="1"/>
  <c r="JB52" i="2" s="1"/>
  <c r="JC52" i="2" s="1"/>
  <c r="JD52" i="2" s="1"/>
  <c r="JE52" i="2" s="1"/>
  <c r="JF52" i="2" s="1"/>
  <c r="JG52" i="2" s="1"/>
  <c r="JH52" i="2" s="1"/>
  <c r="JI52" i="2" s="1"/>
  <c r="JJ52" i="2" s="1"/>
  <c r="JK52" i="2" s="1"/>
  <c r="JL52" i="2" s="1"/>
  <c r="JM52" i="2" s="1"/>
  <c r="JN52" i="2" s="1"/>
  <c r="JO52" i="2" s="1"/>
  <c r="JP52" i="2" s="1"/>
  <c r="JQ52" i="2" s="1"/>
  <c r="JR52" i="2" s="1"/>
  <c r="JS52" i="2" s="1"/>
  <c r="JT52" i="2" s="1"/>
  <c r="JU52" i="2" s="1"/>
  <c r="JV52" i="2" s="1"/>
  <c r="JW52" i="2" s="1"/>
  <c r="JX52" i="2" s="1"/>
  <c r="JY52" i="2" s="1"/>
  <c r="JZ52" i="2" s="1"/>
  <c r="KA52" i="2" s="1"/>
  <c r="KB52" i="2" s="1"/>
  <c r="KC52" i="2" s="1"/>
  <c r="KD52" i="2" s="1"/>
  <c r="KE52" i="2" s="1"/>
  <c r="KF52" i="2" s="1"/>
  <c r="KG52" i="2" s="1"/>
  <c r="KH52" i="2" s="1"/>
  <c r="KI52" i="2" s="1"/>
  <c r="KJ52" i="2" s="1"/>
  <c r="KK52" i="2" s="1"/>
  <c r="KL52" i="2" s="1"/>
  <c r="KM52" i="2" s="1"/>
  <c r="KN52" i="2" s="1"/>
  <c r="KO52" i="2" s="1"/>
  <c r="KP52" i="2" s="1"/>
  <c r="KQ52" i="2" s="1"/>
  <c r="KR52" i="2" s="1"/>
  <c r="KS52" i="2" s="1"/>
  <c r="KT52" i="2" s="1"/>
  <c r="KU52" i="2" s="1"/>
  <c r="KV52" i="2" s="1"/>
  <c r="KW52" i="2" s="1"/>
  <c r="KX52" i="2" s="1"/>
  <c r="KY52" i="2" s="1"/>
  <c r="KZ52" i="2" s="1"/>
  <c r="LA52" i="2" s="1"/>
  <c r="LB52" i="2" s="1"/>
  <c r="LC52" i="2" s="1"/>
  <c r="LD52" i="2" s="1"/>
  <c r="LE52" i="2" s="1"/>
  <c r="LF52" i="2" s="1"/>
  <c r="LG52" i="2" s="1"/>
  <c r="LH52" i="2" s="1"/>
  <c r="LI52" i="2" s="1"/>
  <c r="LJ52" i="2" s="1"/>
  <c r="LK52" i="2" s="1"/>
  <c r="LL52" i="2" s="1"/>
  <c r="LM52" i="2" s="1"/>
  <c r="LN52" i="2" s="1"/>
  <c r="LO52" i="2" s="1"/>
  <c r="LP52" i="2" s="1"/>
  <c r="LQ52" i="2" s="1"/>
  <c r="LR52" i="2" s="1"/>
  <c r="LS52" i="2" s="1"/>
  <c r="LT52" i="2" s="1"/>
  <c r="LU52" i="2" s="1"/>
  <c r="LV52" i="2" s="1"/>
  <c r="LW52" i="2" s="1"/>
  <c r="LX52" i="2" s="1"/>
  <c r="LY52" i="2" s="1"/>
  <c r="LZ52" i="2" s="1"/>
  <c r="MA52" i="2" s="1"/>
  <c r="MB52" i="2" s="1"/>
  <c r="MC52" i="2" s="1"/>
  <c r="MD52" i="2" s="1"/>
  <c r="ME52" i="2" s="1"/>
  <c r="MF52" i="2" s="1"/>
  <c r="MG52" i="2" s="1"/>
  <c r="MH52" i="2" s="1"/>
  <c r="MI52" i="2" s="1"/>
  <c r="MJ52" i="2" s="1"/>
  <c r="MK52" i="2" s="1"/>
  <c r="ML52" i="2" s="1"/>
  <c r="MM52" i="2" s="1"/>
  <c r="MN52" i="2" s="1"/>
  <c r="MO52" i="2" s="1"/>
  <c r="MP52" i="2" s="1"/>
  <c r="MQ52" i="2" s="1"/>
  <c r="MR52" i="2" s="1"/>
  <c r="MS52" i="2" s="1"/>
  <c r="MT52" i="2" s="1"/>
  <c r="MU52" i="2" s="1"/>
  <c r="MV52" i="2" s="1"/>
  <c r="MW52" i="2" s="1"/>
  <c r="MX52" i="2" s="1"/>
  <c r="MY52" i="2" s="1"/>
  <c r="MZ52" i="2" s="1"/>
  <c r="NA52" i="2" s="1"/>
  <c r="NB52" i="2" s="1"/>
  <c r="NC52" i="2" s="1"/>
  <c r="ND52" i="2" s="1"/>
  <c r="NE52" i="2" s="1"/>
  <c r="NF52" i="2" s="1"/>
  <c r="NG52" i="2" s="1"/>
  <c r="NH52" i="2" s="1"/>
  <c r="NI52" i="2" s="1"/>
  <c r="NJ52" i="2" s="1"/>
  <c r="NK52" i="2" s="1"/>
  <c r="NL52" i="2" s="1"/>
  <c r="NM52" i="2" s="1"/>
  <c r="NN52" i="2" s="1"/>
  <c r="NO52" i="2" s="1"/>
  <c r="NP52" i="2" s="1"/>
  <c r="NQ52" i="2" s="1"/>
  <c r="NR52" i="2" s="1"/>
  <c r="NS52" i="2" s="1"/>
  <c r="NT52" i="2" s="1"/>
  <c r="NU52" i="2" s="1"/>
  <c r="NV52" i="2" s="1"/>
  <c r="AL65" i="2"/>
  <c r="AM52" i="2"/>
  <c r="AM54" i="2" l="1"/>
  <c r="AM65" i="2" s="1"/>
  <c r="AR57" i="2"/>
  <c r="AR59" i="2" s="1"/>
  <c r="AR60" i="2" s="1"/>
  <c r="AN54" i="2"/>
  <c r="AN65" i="2" s="1"/>
  <c r="AN63" i="2"/>
  <c r="AM63" i="2"/>
  <c r="AR62" i="2" l="1"/>
  <c r="G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<sst xmlns="http://schemas.openxmlformats.org/spreadsheetml/2006/main" count="127" uniqueCount="119">
  <si>
    <t>Company</t>
  </si>
  <si>
    <t>Source</t>
  </si>
  <si>
    <t>Price</t>
  </si>
  <si>
    <t>Shares</t>
  </si>
  <si>
    <t>1Q21</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</si>
  <si>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</si>
  <si>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</si>
  <si>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</si>
  <si>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</si>
  <si>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</si>
  <si>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</si>
  <si>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</si>
  <si>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</si>
  <si>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</si>
  <si>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</si>
  <si>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</si>
  <si>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</si>
  <si>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</si>
  <si>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</si>
  <si>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</si>
  <si>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</si>
  <si>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</si>
  <si>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COGS</t>
  </si>
  <si>
    <t>Gross Profit</t>
  </si>
  <si>
    <t>Operating Overhead</t>
  </si>
  <si>
    <t>Demand Creation</t>
  </si>
  <si>
    <t>Opex</t>
  </si>
  <si>
    <t>Operating Income</t>
  </si>
  <si>
    <t>Pretax Income</t>
  </si>
  <si>
    <t>Taxes</t>
  </si>
  <si>
    <t>Net Income</t>
  </si>
  <si>
    <t>EPS</t>
  </si>
  <si>
    <t>Revenue Y/Y</t>
  </si>
  <si>
    <t>COGS Y/Y</t>
  </si>
  <si>
    <t>Opex Y/Y</t>
  </si>
  <si>
    <t>OI Y/Y</t>
  </si>
  <si>
    <t>NI Y/Y</t>
  </si>
  <si>
    <t>Shares Y/Y</t>
  </si>
  <si>
    <t>EPS Y/Y</t>
  </si>
  <si>
    <t>GM</t>
  </si>
  <si>
    <t>OM</t>
  </si>
  <si>
    <t>1Q17</t>
  </si>
  <si>
    <t>2Q17</t>
  </si>
  <si>
    <t>3Q17</t>
  </si>
  <si>
    <t>4Q17</t>
  </si>
  <si>
    <t>1Q18</t>
  </si>
  <si>
    <t>2Q18</t>
  </si>
  <si>
    <t>3Q19</t>
  </si>
  <si>
    <t>4Q18</t>
  </si>
  <si>
    <t>1Q19</t>
  </si>
  <si>
    <t>2Q19</t>
  </si>
  <si>
    <t>4Q19</t>
  </si>
  <si>
    <t>1Q20</t>
  </si>
  <si>
    <t>2Q20</t>
  </si>
  <si>
    <t>3Q20</t>
  </si>
  <si>
    <t>4Q20</t>
  </si>
  <si>
    <t>2Q21</t>
  </si>
  <si>
    <t>3Q21</t>
  </si>
  <si>
    <t>4Q21</t>
  </si>
  <si>
    <t>Maturity</t>
  </si>
  <si>
    <t>Discount</t>
  </si>
  <si>
    <t>NPV</t>
  </si>
  <si>
    <t>Net Cash</t>
  </si>
  <si>
    <t>Total Value</t>
  </si>
  <si>
    <t>Model Price</t>
  </si>
  <si>
    <t>Current Price</t>
  </si>
  <si>
    <t>Difference</t>
  </si>
  <si>
    <t>Year</t>
  </si>
  <si>
    <t>Discount Factor</t>
  </si>
  <si>
    <t>Dividends</t>
  </si>
  <si>
    <t>Discounted Dividends</t>
  </si>
  <si>
    <t>Assumptions</t>
  </si>
  <si>
    <t>Dividend</t>
  </si>
  <si>
    <t>Dividend Growth Rate</t>
  </si>
  <si>
    <t>Perpetual Growth Rate</t>
  </si>
  <si>
    <t>Cost of Equity</t>
  </si>
  <si>
    <t>Terminal Value</t>
  </si>
  <si>
    <t>Current</t>
  </si>
  <si>
    <t>Average Price</t>
  </si>
  <si>
    <t>average</t>
  </si>
  <si>
    <t>3Q22 8K</t>
  </si>
  <si>
    <t>1Q22</t>
  </si>
  <si>
    <t>2Q22</t>
  </si>
  <si>
    <t>3Q22</t>
  </si>
  <si>
    <t>4Q22</t>
  </si>
  <si>
    <t>10K21</t>
  </si>
  <si>
    <t>finviz</t>
  </si>
  <si>
    <t>1Q23</t>
  </si>
  <si>
    <t>Other Expense/(Income)</t>
  </si>
  <si>
    <t>Interest Expense/(Income)</t>
  </si>
  <si>
    <t>EBITDA</t>
  </si>
  <si>
    <t>EBITDA Y/Y</t>
  </si>
  <si>
    <t>N/A Footwear</t>
  </si>
  <si>
    <t>N/A Apparel</t>
  </si>
  <si>
    <t>N/A Equipment</t>
  </si>
  <si>
    <t>Total North America Revenue</t>
  </si>
  <si>
    <t>EMEA Footwear</t>
  </si>
  <si>
    <t>EMEA Apparel</t>
  </si>
  <si>
    <t>EMEA Equipment</t>
  </si>
  <si>
    <t>Total Europe, Middle East, Africa Revenue</t>
  </si>
  <si>
    <t>Greater China Footwear</t>
  </si>
  <si>
    <t>Greater China Apparel</t>
  </si>
  <si>
    <t>Greater China Equipment</t>
  </si>
  <si>
    <t>Total Greater China Revenue</t>
  </si>
  <si>
    <t>Asia Pacific &amp; Latin America Footwear</t>
  </si>
  <si>
    <t>Asia Pacific &amp; Latin America Apparel</t>
  </si>
  <si>
    <t>Asia Pacific &amp; Latin America Equipment</t>
  </si>
  <si>
    <t>Total Asia Pacific &amp; Latin America Revenue</t>
  </si>
  <si>
    <t>Global Brand Divisions Revenue</t>
  </si>
  <si>
    <t>Converse Revenue</t>
  </si>
  <si>
    <t>Corporate Revenue</t>
  </si>
  <si>
    <t>Total NKE Revenue</t>
  </si>
  <si>
    <t>North America Revenue Y/Y</t>
  </si>
  <si>
    <t>Europe, Middle East, Africa Revenue Y/Y</t>
  </si>
  <si>
    <t>Greater China Revenue Y/Y</t>
  </si>
  <si>
    <t>Asia Pacific &amp; Latin America Revenue Y/Y</t>
  </si>
  <si>
    <t>Global Brand Divisions Revenue Y/Y</t>
  </si>
  <si>
    <t>Converse Revenue Y/Y</t>
  </si>
  <si>
    <t>Corporate Revenue 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</si>
</sst>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i/>
      <u/>
      <sz val="11"/>
      <color theme="1"/>
      <name val="Arial"/>
      <family val="2"/>
    </font>
    <font>
      <sz val="8"/>
      <name val="Calibri"/>
      <family val="2"/>
      <scheme val="minor"/>
    </font>
    <font>
      <i/>
      <sz val="11"/>
      <color theme="1"/>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xf numFmtId="9" fontId="5" fillId="0" borderId="0" applyFont="0" applyFill="0" applyBorder="0" applyAlignment="0" applyProtection="0"/>
  </cellStyleXfs>
  <cellXfs count="52">
    <xf numFmtId="0" fontId="0" fillId="0" borderId="0" xfId="0"/>
    <xf numFmtId="0" fontId="4" fillId="0" borderId="0" xfId="0" applyFont="1"/>
    <xf numFmtId="3" fontId="4" fillId="0" borderId="0" xfId="0" applyNumberFormat="1" applyFont="1"/>
    <xf numFmtId="10" fontId="4" fillId="0" borderId="0" xfId="0" applyNumberFormat="1" applyFont="1"/>
    <xf numFmtId="9" fontId="4" fillId="0" borderId="0" xfId="0" applyNumberFormat="1" applyFont="1"/>
    <xf numFmtId="0" fontId="6" fillId="0" borderId="0" xfId="0" applyFont="1"/>
    <xf numFmtId="9" fontId="6" fillId="0" borderId="0" xfId="0" applyNumberFormat="1" applyFont="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164" fontId="4" fillId="0" borderId="0" xfId="0" applyNumberFormat="1" applyFont="1" applyAlignment="1">
      <alignment horizontal="right"/>
    </xf>
    <xf numFmtId="0" fontId="4" fillId="0" borderId="1" xfId="0" applyFont="1" applyBorder="1" applyAlignment="1">
      <alignment horizontal="right"/>
    </xf>
    <xf numFmtId="4" fontId="4" fillId="0" borderId="0" xfId="0" applyNumberFormat="1" applyFont="1"/>
    <xf numFmtId="3" fontId="4" fillId="0" borderId="0" xfId="0" applyNumberFormat="1" applyFont="1" applyAlignment="1">
      <alignment horizontal="right"/>
    </xf>
    <xf numFmtId="0" fontId="4" fillId="0" borderId="4" xfId="0" applyFont="1" applyBorder="1" applyAlignment="1">
      <alignment horizontal="right"/>
    </xf>
    <xf numFmtId="0" fontId="4" fillId="0" borderId="5" xfId="0" applyFont="1" applyBorder="1"/>
    <xf numFmtId="3" fontId="4" fillId="0" borderId="6" xfId="0" applyNumberFormat="1" applyFont="1" applyBorder="1" applyAlignment="1">
      <alignment horizontal="right"/>
    </xf>
    <xf numFmtId="0" fontId="4" fillId="0" borderId="5" xfId="0" applyFont="1" applyBorder="1" applyAlignment="1">
      <alignment horizontal="right"/>
    </xf>
    <xf numFmtId="14" fontId="4" fillId="0" borderId="0" xfId="0" applyNumberFormat="1" applyFont="1"/>
    <xf numFmtId="0" fontId="4" fillId="0" borderId="0" xfId="0" applyFont="1" applyAlignment="1">
      <alignment horizontal="right"/>
    </xf>
    <xf numFmtId="3" fontId="6" fillId="0" borderId="0" xfId="0" applyNumberFormat="1" applyFont="1"/>
    <xf numFmtId="9" fontId="4" fillId="0" borderId="0" xfId="1" applyNumberFormat="1" applyFont="1"/>
    <xf numFmtId="38" fontId="4" fillId="0" borderId="0" xfId="0" applyNumberFormat="1" applyFont="1"/>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2" fontId="4" fillId="0" borderId="0" xfId="0" applyNumberFormat="1" applyFont="1" applyAlignment="1">
      <alignment horizontal="center"/>
    </xf>
    <xf numFmtId="4" fontId="4" fillId="0" borderId="0" xfId="0" applyNumberFormat="1" applyFont="1" applyAlignment="1">
      <alignment horizontal="center"/>
    </xf>
    <xf numFmtId="2" fontId="4" fillId="0" borderId="11" xfId="0" applyNumberFormat="1" applyFont="1" applyBorder="1" applyAlignment="1">
      <alignment horizontal="center"/>
    </xf>
    <xf numFmtId="9" fontId="4" fillId="0" borderId="11" xfId="0" applyNumberFormat="1" applyFont="1" applyBorder="1" applyAlignment="1">
      <alignment horizontal="center"/>
    </xf>
    <xf numFmtId="9" fontId="4" fillId="0" borderId="12" xfId="0" applyNumberFormat="1" applyFont="1" applyBorder="1" applyAlignment="1">
      <alignment horizontal="center"/>
    </xf>
    <xf numFmtId="0" fontId="4" fillId="0" borderId="1" xfId="0" applyFont="1" applyBorder="1" applyAlignment="1">
      <alignment horizontal="left"/>
    </xf>
    <xf numFmtId="2" fontId="4" fillId="0" borderId="13" xfId="0" applyNumberFormat="1" applyFont="1" applyBorder="1" applyAlignment="1">
      <alignment horizontal="center"/>
    </xf>
    <xf numFmtId="4" fontId="4" fillId="0" borderId="11" xfId="0" applyNumberFormat="1" applyFont="1" applyBorder="1" applyAlignment="1">
      <alignment horizontal="center"/>
    </xf>
    <xf numFmtId="0" fontId="4" fillId="0" borderId="14" xfId="0" applyFont="1" applyBorder="1" applyAlignment="1">
      <alignment horizontal="center"/>
    </xf>
    <xf numFmtId="2" fontId="4" fillId="0" borderId="6" xfId="0" applyNumberFormat="1" applyFont="1" applyBorder="1" applyAlignment="1">
      <alignment horizontal="center"/>
    </xf>
    <xf numFmtId="2" fontId="4" fillId="0" borderId="12" xfId="0" applyNumberFormat="1" applyFont="1" applyBorder="1" applyAlignment="1">
      <alignment horizontal="center"/>
    </xf>
    <xf numFmtId="0" fontId="3" fillId="0" borderId="4" xfId="0" applyFont="1" applyBorder="1" applyAlignment="1">
      <alignment horizontal="right"/>
    </xf>
    <xf numFmtId="0" fontId="3" fillId="0" borderId="0" xfId="0" applyFont="1"/>
    <xf numFmtId="0" fontId="2" fillId="0" borderId="0" xfId="0" applyFont="1" applyAlignment="1">
      <alignment horizontal="right"/>
    </xf>
    <xf numFmtId="0" fontId="2" fillId="0" borderId="0" xfId="0" applyFont="1"/>
    <xf numFmtId="0" fontId="7" fillId="0" borderId="7" xfId="0" applyFont="1" applyBorder="1" applyAlignment="1">
      <alignment horizontal="center"/>
    </xf>
    <xf numFmtId="0" fontId="7"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1" fillId="0" borderId="0" xfId="0" applyFont="1"/>
    <xf numFmtId="0" fontId="9" fillId="0" borderId="0" xfId="0" applyFont="1"/>
    <xf numFmtId="3" fontId="9" fillId="0" borderId="0" xfId="0" applyNumberFormat="1" applyFont="1" applyAlignment="1">
      <alignment horizontal="right"/>
    </xf>
    <xf numFmtId="0" fontId="9" fillId="0" borderId="0" xfId="0" applyFont="1" applyAlignment="1">
      <alignment horizontal="right"/>
    </xf>
    <xf numFmtId="9" fontId="9" fillId="0" borderId="0" xfId="0" applyNumberFormat="1" applyFont="1" applyAlignment="1">
      <alignment horizontal="right"/>
    </xf>
  </cellXfs>
  <cellStyles count="2">
    <cellStyle name="Normal" xfId="0" builtinId="0"/>
    <cellStyle name="Percent" xfId="1"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externalLink" Target="externalLinks/externalLink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drawings/drawing1.xml><?xml version="1.0" encoding="utf-8"?>
<xdr:wsDr xmlns:xdr="http://schemas.openxmlformats.org/drawingml/2006/spreadsheetDrawing" xmlns:a="http://schemas.openxmlformats.org/drawingml/2006/main">
  <xdr:twoCellAnchor>
    <xdr:from>
      <xdr:col>37</xdr:col>
      <xdr:colOff>85725</xdr:colOff>
      <xdr:row>0</xdr:row>
      <xdr:rowOff>152400</xdr:rowOff>
    </xdr:from>
    <xdr:to>
      <xdr:col>37</xdr:col>
      <xdr:colOff>85725</xdr:colOff>
      <xdr:row>74</xdr:row>
      <xdr:rowOff>19050</xdr:rowOff>
    </xdr:to>
    <xdr:cxnSp macro="">
      <xdr:nvCxnSpPr>
        <xdr:cNvPr id="3" name="Straight Connector 2">
          <a:extLst>
            <a:ext uri="{FF2B5EF4-FFF2-40B4-BE49-F238E27FC236}">
              <a16:creationId xmlns:a16="http://schemas.microsoft.com/office/drawing/2014/main" id="{3FA47D1E-DE85-4366-AC13-684BC4172594}"/>
            </a:ext>
          </a:extLst>
        </xdr:cNvPr>
        <xdr:cNvCxnSpPr/>
      </xdr:nvCxnSpPr>
      <xdr:spPr>
        <a:xfrm>
          <a:off x="25688925" y="152400"/>
          <a:ext cx="0" cy="6438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57150</xdr:colOff>
      <xdr:row>0</xdr:row>
      <xdr:rowOff>9525</xdr:rowOff>
    </xdr:from>
    <xdr:to>
      <xdr:col>26</xdr:col>
      <xdr:colOff>57150</xdr:colOff>
      <xdr:row>73</xdr:row>
      <xdr:rowOff>57150</xdr:rowOff>
    </xdr:to>
    <xdr:cxnSp macro="">
      <xdr:nvCxnSpPr>
        <xdr:cNvPr id="4" name="Straight Connector 3">
          <a:extLst>
            <a:ext uri="{FF2B5EF4-FFF2-40B4-BE49-F238E27FC236}">
              <a16:creationId xmlns:a16="http://schemas.microsoft.com/office/drawing/2014/main" id="{99E8B9FD-BEA6-40AB-9E07-2C67D2F97A38}"/>
            </a:ext>
          </a:extLst>
        </xdr:cNvPr>
        <xdr:cNvCxnSpPr/>
      </xdr:nvCxnSpPr>
      <xdr:spPr>
        <a:xfrm>
          <a:off x="18897600" y="9525"/>
          <a:ext cx="0" cy="5895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lliam%20S/Desktop/Models/!Model%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ond Yields"/>
      <sheetName val="All Sectors"/>
    </sheetNames>
    <sheetDataSet>
      <sheetData sheetId="0">
        <row r="7">
          <cell r="C7">
            <v>2.92E-2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en-US</v>
    <v>a1yjxm</v>
    <v>268435456</v>
    <v>1</v>
    <v>Powered by Refinitiv</v>
    <v>0</v>
    <v>NIKE, INC. (XNYS:NKE)</v>
    <v>2</v>
    <v>3</v>
    <v>Finance</v>
    <v>4</v>
    <v>179.1</v>
    <v>99.53</v>
    <v>1.032</v>
    <v>-0.44500000000000001</v>
    <v>4.729E-4</v>
    <v>-4.1909999999999994E-3</v>
    <v>0.05</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108.15</v>
    <v>Textiles &amp; Apparel</v>
    <v>Stock</v>
    <v>44806.999658310153</v>
    <v>0</v>
    <v>105.05</v>
    <v>165859100000</v>
    <v>NIKE, INC.</v>
    <v>NIKE, INC.</v>
    <v>107.46</v>
    <v>28.277699999999999</v>
    <v>106.185</v>
    <v>105.74</v>
    <v>105.79</v>
    <v>1568556000</v>
    <v>NKE</v>
    <v>NIKE, INC. (XNYS:NKE)</v>
    <v>7763844</v>
    <v>5624736</v>
    <v>1969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B6C1-D0C4-4A77-A0D0-4E8E2424B6C8}">
  <dimension ref="B3:G9"/>
  <sheetViews>
    <sheetView workbookViewId="0">
      <selection activeCell="C9" sqref="C9"/>
    </sheetView>
  </sheetViews>
  <sheetFormatPr defaultRowHeight="14.25" x14ac:dyDescent="0.2"/>
  <cols>
    <col min="1" max="1" width="9.140625" style="1"/>
    <col min="2" max="2" width="11.5703125" style="1" bestFit="1" customWidth="1"/>
    <col min="3" max="3" width="26" style="1" bestFit="1" customWidth="1"/>
    <col min="4" max="4" width="9.28515625" style="1" bestFit="1" customWidth="1"/>
    <col min="5" max="5" width="9.140625" style="1"/>
    <col min="6" max="6" width="14.140625" style="1" bestFit="1" customWidth="1"/>
    <col min="7" max="7" width="7.28515625" style="1" bestFit="1" customWidth="1"/>
    <col min="8" max="16384" width="9.140625" style="1"/>
  </cols>
  <sheetData>
    <row r="3" spans="2:7" x14ac:dyDescent="0.2">
      <c r="B3" s="7" t="s">
        <v>0</v>
      </c>
      <c r="C3" s="8" t="e" vm="1">
        <v>#VALUE!</v>
      </c>
      <c r="D3" s="9" t="s">
        <v>1</v>
      </c>
    </row>
    <row r="4" spans="2:7" x14ac:dyDescent="0.2">
      <c r="B4" s="10" t="s">
        <v>2</v>
      </c>
      <c r="C4" s="11" cm="1">
        <f t="array" ref="C4">_FV(C3,"Price")</f>
        <v>105.74</v>
      </c>
      <c r="D4" s="12"/>
      <c r="F4" s="1" t="s">
        <v>78</v>
      </c>
      <c r="G4" s="13">
        <f>AVERAGE(DCF!AR60,DDM!I10)</f>
        <v>110.80924194497612</v>
      </c>
    </row>
    <row r="5" spans="2:7" x14ac:dyDescent="0.2">
      <c r="B5" s="10" t="s">
        <v>3</v>
      </c>
      <c r="C5" s="14">
        <v>1610.7</v>
      </c>
      <c r="D5" s="39" t="s">
        <v>80</v>
      </c>
    </row>
    <row r="6" spans="2:7" x14ac:dyDescent="0.2">
      <c r="B6" s="10" t="s">
        <v>5</v>
      </c>
      <c r="C6" s="14">
        <f>C5*C4</f>
        <v>170315.41800000001</v>
      </c>
      <c r="D6" s="15"/>
    </row>
    <row r="7" spans="2:7" x14ac:dyDescent="0.2">
      <c r="B7" s="10" t="s">
        <v>6</v>
      </c>
      <c r="C7" s="14">
        <f>8704+4763</f>
        <v>13467</v>
      </c>
      <c r="D7" s="39" t="s">
        <v>80</v>
      </c>
    </row>
    <row r="8" spans="2:7" x14ac:dyDescent="0.2">
      <c r="B8" s="10" t="s">
        <v>7</v>
      </c>
      <c r="C8" s="14">
        <f>0+0+9418</f>
        <v>9418</v>
      </c>
      <c r="D8" s="39" t="s">
        <v>80</v>
      </c>
    </row>
    <row r="9" spans="2:7" x14ac:dyDescent="0.2">
      <c r="B9" s="16" t="s">
        <v>8</v>
      </c>
      <c r="C9" s="17">
        <f>C6-C7+C8</f>
        <v>166266.41800000001</v>
      </c>
      <c r="D9"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4E13-EFB0-4F1E-976B-AC98D9E8DF6E}">
  <dimension ref="A1:NV68"/>
  <sheetViews>
    <sheetView tabSelected="1" workbookViewId="0">
      <pane xSplit="2" ySplit="2" topLeftCell="Q15" activePane="bottomRight" state="frozen"/>
      <selection pane="topRight" activeCell="C1" sqref="C1"/>
      <selection pane="bottomLeft" activeCell="A3" sqref="A3"/>
      <selection pane="bottomRight" activeCell="AG38" sqref="AG38"/>
    </sheetView>
  </sheetViews>
  <sheetFormatPr defaultRowHeight="14.25" x14ac:dyDescent="0.2"/>
  <cols>
    <col min="1" max="1" width="9.140625" style="1"/>
    <col min="2" max="2" width="42.28515625" style="1" bestFit="1" customWidth="1"/>
    <col min="3" max="9" width="9.28515625" style="2" bestFit="1" customWidth="1"/>
    <col min="10" max="11" width="10.140625" style="2" bestFit="1" customWidth="1"/>
    <col min="12" max="12" width="11.28515625" style="2" bestFit="1" customWidth="1"/>
    <col min="13" max="15" width="10.140625" style="2" bestFit="1" customWidth="1"/>
    <col min="16" max="16" width="11.28515625" style="2" bestFit="1" customWidth="1"/>
    <col min="17" max="19" width="10.140625" style="2" bestFit="1" customWidth="1"/>
    <col min="20" max="20" width="11.28515625" style="2" bestFit="1" customWidth="1"/>
    <col min="21" max="23" width="10.140625" style="2" bestFit="1" customWidth="1"/>
    <col min="24" max="24" width="11.28515625" style="2" bestFit="1" customWidth="1"/>
    <col min="25" max="26" width="10.140625" style="2" bestFit="1" customWidth="1"/>
    <col min="27" max="31" width="9.140625" style="2"/>
    <col min="32" max="42" width="9.28515625" style="2" bestFit="1" customWidth="1"/>
    <col min="43" max="43" width="13.5703125" style="2" bestFit="1" customWidth="1"/>
    <col min="44" max="386" width="9.28515625" style="2" bestFit="1" customWidth="1"/>
    <col min="387" max="16384" width="9.140625" style="2"/>
  </cols>
  <sheetData>
    <row r="1" spans="1:42" s="1" customFormat="1" x14ac:dyDescent="0.2">
      <c r="J1" s="19">
        <v>43251</v>
      </c>
      <c r="K1" s="19">
        <v>43343</v>
      </c>
      <c r="L1" s="19">
        <v>43434</v>
      </c>
      <c r="M1" s="19">
        <v>43524</v>
      </c>
      <c r="N1" s="19">
        <v>43616</v>
      </c>
      <c r="O1" s="19">
        <v>43708</v>
      </c>
      <c r="P1" s="19">
        <v>43799</v>
      </c>
      <c r="Q1" s="19">
        <v>43890</v>
      </c>
      <c r="R1" s="19">
        <v>43982</v>
      </c>
      <c r="S1" s="19">
        <v>44074</v>
      </c>
      <c r="T1" s="19">
        <v>44165</v>
      </c>
      <c r="U1" s="19">
        <v>44255</v>
      </c>
      <c r="V1" s="19">
        <v>44347</v>
      </c>
      <c r="W1" s="19">
        <v>44439</v>
      </c>
      <c r="X1" s="19">
        <v>44530</v>
      </c>
      <c r="Y1" s="19">
        <v>44620</v>
      </c>
      <c r="Z1" s="19">
        <v>44712</v>
      </c>
    </row>
    <row r="2" spans="1:42" s="20" customFormat="1" x14ac:dyDescent="0.2">
      <c r="A2" s="1"/>
      <c r="B2" s="1"/>
      <c r="C2" s="20" t="s">
        <v>41</v>
      </c>
      <c r="D2" s="20" t="s">
        <v>42</v>
      </c>
      <c r="E2" s="20" t="s">
        <v>43</v>
      </c>
      <c r="F2" s="20" t="s">
        <v>44</v>
      </c>
      <c r="G2" s="20" t="s">
        <v>45</v>
      </c>
      <c r="H2" s="20" t="s">
        <v>46</v>
      </c>
      <c r="I2" s="20" t="s">
        <v>47</v>
      </c>
      <c r="J2" s="20" t="s">
        <v>48</v>
      </c>
      <c r="K2" s="20" t="s">
        <v>49</v>
      </c>
      <c r="L2" s="20" t="s">
        <v>50</v>
      </c>
      <c r="M2" s="20" t="s">
        <v>47</v>
      </c>
      <c r="N2" s="20" t="s">
        <v>51</v>
      </c>
      <c r="O2" s="20" t="s">
        <v>52</v>
      </c>
      <c r="P2" s="20" t="s">
        <v>53</v>
      </c>
      <c r="Q2" s="20" t="s">
        <v>54</v>
      </c>
      <c r="R2" s="20" t="s">
        <v>55</v>
      </c>
      <c r="S2" s="20" t="s">
        <v>4</v>
      </c>
      <c r="T2" s="20" t="s">
        <v>56</v>
      </c>
      <c r="U2" s="20" t="s">
        <v>57</v>
      </c>
      <c r="V2" s="20" t="s">
        <v>58</v>
      </c>
      <c r="W2" s="20" t="s">
        <v>81</v>
      </c>
      <c r="X2" s="20" t="s">
        <v>82</v>
      </c>
      <c r="Y2" s="20" t="s">
        <v>83</v>
      </c>
      <c r="Z2" s="20" t="s">
        <v>84</v>
      </c>
      <c r="AA2" s="41" t="s">
        <v>87</v>
      </c>
      <c r="AF2" s="20">
        <v>2017</v>
      </c>
      <c r="AG2" s="20">
        <v>2018</v>
      </c>
      <c r="AH2" s="20">
        <v>2019</v>
      </c>
      <c r="AI2" s="20">
        <v>2020</v>
      </c>
      <c r="AJ2" s="20">
        <v>2021</v>
      </c>
      <c r="AK2" s="20">
        <v>2022</v>
      </c>
      <c r="AL2" s="20">
        <v>2023</v>
      </c>
      <c r="AM2" s="20">
        <v>2024</v>
      </c>
      <c r="AN2" s="20">
        <v>2025</v>
      </c>
      <c r="AO2" s="20">
        <v>2026</v>
      </c>
      <c r="AP2" s="20">
        <v>2027</v>
      </c>
    </row>
    <row r="3" spans="1:42" s="20" customFormat="1" x14ac:dyDescent="0.2">
      <c r="A3" s="1"/>
      <c r="B3" s="47" t="s">
        <v>92</v>
      </c>
      <c r="C3" s="14">
        <v>2518</v>
      </c>
      <c r="D3" s="14">
        <v>2219</v>
      </c>
      <c r="E3" s="14">
        <v>2490</v>
      </c>
      <c r="F3" s="14">
        <v>2457</v>
      </c>
      <c r="G3" s="14">
        <v>2434</v>
      </c>
      <c r="H3" s="14">
        <v>2070</v>
      </c>
      <c r="I3" s="14">
        <v>2293</v>
      </c>
      <c r="J3" s="14">
        <v>2525</v>
      </c>
      <c r="K3" s="14">
        <v>2555</v>
      </c>
      <c r="L3" s="14">
        <v>2245</v>
      </c>
      <c r="M3" s="14">
        <v>2509</v>
      </c>
      <c r="N3" s="14">
        <v>2736</v>
      </c>
      <c r="O3" s="14">
        <v>2669</v>
      </c>
      <c r="P3" s="14">
        <v>2426</v>
      </c>
      <c r="Q3" s="14">
        <v>2628</v>
      </c>
      <c r="R3" s="14">
        <v>1606</v>
      </c>
      <c r="S3" s="14">
        <v>2957</v>
      </c>
      <c r="T3" s="14">
        <v>2512</v>
      </c>
      <c r="U3" s="14">
        <v>2382</v>
      </c>
      <c r="V3" s="14">
        <v>3793</v>
      </c>
      <c r="W3" s="14">
        <v>3264</v>
      </c>
      <c r="X3" s="14">
        <v>2852</v>
      </c>
      <c r="Y3" s="14">
        <v>2532</v>
      </c>
      <c r="Z3" s="14">
        <v>3580</v>
      </c>
      <c r="AA3" s="41"/>
      <c r="AF3" s="14">
        <f>SUM(C3:F3)</f>
        <v>9684</v>
      </c>
      <c r="AG3" s="14">
        <f>SUM(G3:J3)</f>
        <v>9322</v>
      </c>
      <c r="AH3" s="14">
        <f>SUM(K3:N3)</f>
        <v>10045</v>
      </c>
      <c r="AI3" s="14">
        <f>SUM(O3:R3)</f>
        <v>9329</v>
      </c>
      <c r="AJ3" s="14">
        <f>SUM(S3:V3)</f>
        <v>11644</v>
      </c>
      <c r="AK3" s="14">
        <f>SUM(W3:Z3)</f>
        <v>12228</v>
      </c>
    </row>
    <row r="4" spans="1:42" s="20" customFormat="1" x14ac:dyDescent="0.2">
      <c r="A4" s="1"/>
      <c r="B4" s="47" t="s">
        <v>93</v>
      </c>
      <c r="C4" s="14">
        <v>1317</v>
      </c>
      <c r="D4" s="14">
        <v>1273</v>
      </c>
      <c r="E4" s="14">
        <v>1154</v>
      </c>
      <c r="F4" s="14">
        <v>1142</v>
      </c>
      <c r="G4" s="14">
        <v>1299</v>
      </c>
      <c r="H4" s="14">
        <v>1279</v>
      </c>
      <c r="I4" s="14">
        <v>1153</v>
      </c>
      <c r="J4" s="14">
        <v>1207</v>
      </c>
      <c r="K4" s="14">
        <v>1407</v>
      </c>
      <c r="L4" s="14">
        <v>1405</v>
      </c>
      <c r="M4" s="14">
        <v>1173</v>
      </c>
      <c r="N4" s="14">
        <v>1275</v>
      </c>
      <c r="O4" s="14">
        <v>1431</v>
      </c>
      <c r="P4" s="14">
        <v>1417</v>
      </c>
      <c r="Q4" s="14">
        <v>1228</v>
      </c>
      <c r="R4" s="14">
        <v>563</v>
      </c>
      <c r="S4" s="14">
        <v>1125</v>
      </c>
      <c r="T4" s="14">
        <v>1368</v>
      </c>
      <c r="U4" s="14">
        <v>1087</v>
      </c>
      <c r="V4" s="14">
        <v>1448</v>
      </c>
      <c r="W4" s="14">
        <v>1430</v>
      </c>
      <c r="X4" s="14">
        <v>1480</v>
      </c>
      <c r="Y4" s="14">
        <v>1207</v>
      </c>
      <c r="Z4" s="14">
        <v>1375</v>
      </c>
      <c r="AA4" s="41"/>
      <c r="AF4" s="14">
        <f>SUM(C4:F4)</f>
        <v>4886</v>
      </c>
      <c r="AG4" s="14">
        <f t="shared" ref="AG4:AG5" si="0">SUM(G4:J4)</f>
        <v>4938</v>
      </c>
      <c r="AH4" s="14">
        <f t="shared" ref="AH4:AH5" si="1">SUM(K4:N4)</f>
        <v>5260</v>
      </c>
      <c r="AI4" s="14">
        <f t="shared" ref="AI4:AI5" si="2">SUM(O4:R4)</f>
        <v>4639</v>
      </c>
      <c r="AJ4" s="14">
        <f t="shared" ref="AJ4:AJ5" si="3">SUM(S4:V4)</f>
        <v>5028</v>
      </c>
      <c r="AK4" s="14">
        <f t="shared" ref="AK4:AK5" si="4">SUM(W4:Z4)</f>
        <v>5492</v>
      </c>
    </row>
    <row r="5" spans="1:42" s="20" customFormat="1" x14ac:dyDescent="0.2">
      <c r="A5" s="1"/>
      <c r="B5" s="47" t="s">
        <v>94</v>
      </c>
      <c r="C5" s="14">
        <v>196</v>
      </c>
      <c r="D5" s="14">
        <v>158</v>
      </c>
      <c r="E5" s="14">
        <v>138</v>
      </c>
      <c r="F5" s="14">
        <v>154</v>
      </c>
      <c r="G5" s="14">
        <v>191</v>
      </c>
      <c r="H5" s="14">
        <v>136</v>
      </c>
      <c r="I5" s="14">
        <v>125</v>
      </c>
      <c r="J5" s="14">
        <v>143</v>
      </c>
      <c r="K5" s="14">
        <v>183</v>
      </c>
      <c r="L5" s="14">
        <v>132</v>
      </c>
      <c r="M5" s="14">
        <v>128</v>
      </c>
      <c r="N5" s="14">
        <v>154</v>
      </c>
      <c r="O5" s="14">
        <v>193</v>
      </c>
      <c r="P5" s="14">
        <v>139</v>
      </c>
      <c r="Q5" s="14">
        <v>123</v>
      </c>
      <c r="R5" s="14">
        <v>61</v>
      </c>
      <c r="S5" s="14">
        <v>143</v>
      </c>
      <c r="T5" s="14">
        <v>126</v>
      </c>
      <c r="U5" s="14">
        <v>95</v>
      </c>
      <c r="V5" s="14">
        <v>143</v>
      </c>
      <c r="W5" s="14">
        <v>185</v>
      </c>
      <c r="X5" s="14">
        <v>145</v>
      </c>
      <c r="Y5" s="14">
        <v>143</v>
      </c>
      <c r="Z5" s="14">
        <v>160</v>
      </c>
      <c r="AA5" s="41"/>
      <c r="AF5" s="14">
        <f>SUM(C5:F5)</f>
        <v>646</v>
      </c>
      <c r="AG5" s="14">
        <f t="shared" si="0"/>
        <v>595</v>
      </c>
      <c r="AH5" s="14">
        <f t="shared" si="1"/>
        <v>597</v>
      </c>
      <c r="AI5" s="14">
        <f t="shared" si="2"/>
        <v>516</v>
      </c>
      <c r="AJ5" s="14">
        <f t="shared" si="3"/>
        <v>507</v>
      </c>
      <c r="AK5" s="14">
        <f t="shared" si="4"/>
        <v>633</v>
      </c>
    </row>
    <row r="6" spans="1:42" s="20" customFormat="1" x14ac:dyDescent="0.2">
      <c r="A6" s="1"/>
      <c r="B6" s="47" t="s">
        <v>95</v>
      </c>
      <c r="C6" s="14">
        <f t="shared" ref="C6:Y6" si="5">SUM(C3:C5)</f>
        <v>4031</v>
      </c>
      <c r="D6" s="14">
        <f t="shared" si="5"/>
        <v>3650</v>
      </c>
      <c r="E6" s="14">
        <f t="shared" si="5"/>
        <v>3782</v>
      </c>
      <c r="F6" s="14">
        <f t="shared" si="5"/>
        <v>3753</v>
      </c>
      <c r="G6" s="14">
        <f t="shared" si="5"/>
        <v>3924</v>
      </c>
      <c r="H6" s="14">
        <f t="shared" si="5"/>
        <v>3485</v>
      </c>
      <c r="I6" s="14">
        <f t="shared" si="5"/>
        <v>3571</v>
      </c>
      <c r="J6" s="14">
        <f t="shared" si="5"/>
        <v>3875</v>
      </c>
      <c r="K6" s="14">
        <f t="shared" si="5"/>
        <v>4145</v>
      </c>
      <c r="L6" s="14">
        <f t="shared" si="5"/>
        <v>3782</v>
      </c>
      <c r="M6" s="14">
        <f t="shared" si="5"/>
        <v>3810</v>
      </c>
      <c r="N6" s="14">
        <f t="shared" si="5"/>
        <v>4165</v>
      </c>
      <c r="O6" s="14">
        <f t="shared" si="5"/>
        <v>4293</v>
      </c>
      <c r="P6" s="14">
        <f t="shared" si="5"/>
        <v>3982</v>
      </c>
      <c r="Q6" s="14">
        <f t="shared" si="5"/>
        <v>3979</v>
      </c>
      <c r="R6" s="14">
        <f t="shared" si="5"/>
        <v>2230</v>
      </c>
      <c r="S6" s="14">
        <f t="shared" si="5"/>
        <v>4225</v>
      </c>
      <c r="T6" s="14">
        <f t="shared" si="5"/>
        <v>4006</v>
      </c>
      <c r="U6" s="14">
        <f t="shared" si="5"/>
        <v>3564</v>
      </c>
      <c r="V6" s="14">
        <f t="shared" si="5"/>
        <v>5384</v>
      </c>
      <c r="W6" s="14">
        <f t="shared" si="5"/>
        <v>4879</v>
      </c>
      <c r="X6" s="14">
        <f t="shared" si="5"/>
        <v>4477</v>
      </c>
      <c r="Y6" s="14">
        <f t="shared" si="5"/>
        <v>3882</v>
      </c>
      <c r="Z6" s="14">
        <f>SUM(Z3:Z5)</f>
        <v>5115</v>
      </c>
      <c r="AA6" s="41"/>
      <c r="AF6" s="14">
        <f t="shared" ref="AF6:AK6" si="6">SUM(AF3:AF5)</f>
        <v>15216</v>
      </c>
      <c r="AG6" s="14">
        <f t="shared" si="6"/>
        <v>14855</v>
      </c>
      <c r="AH6" s="14">
        <f t="shared" si="6"/>
        <v>15902</v>
      </c>
      <c r="AI6" s="14">
        <f t="shared" si="6"/>
        <v>14484</v>
      </c>
      <c r="AJ6" s="14">
        <f t="shared" si="6"/>
        <v>17179</v>
      </c>
      <c r="AK6" s="14">
        <f t="shared" si="6"/>
        <v>18353</v>
      </c>
    </row>
    <row r="7" spans="1:42" s="20" customFormat="1" x14ac:dyDescent="0.2">
      <c r="A7" s="1"/>
      <c r="B7" s="1"/>
      <c r="C7" s="14"/>
      <c r="D7" s="14"/>
      <c r="E7" s="14"/>
      <c r="F7" s="14"/>
      <c r="G7" s="14"/>
      <c r="H7" s="14"/>
      <c r="I7" s="14"/>
      <c r="J7" s="14"/>
      <c r="K7" s="14"/>
      <c r="L7" s="14"/>
      <c r="M7" s="14"/>
      <c r="N7" s="14"/>
      <c r="O7" s="14"/>
      <c r="P7" s="14"/>
      <c r="Q7" s="14"/>
      <c r="R7" s="14"/>
      <c r="S7" s="14"/>
      <c r="T7" s="14"/>
      <c r="U7" s="14"/>
      <c r="V7" s="14"/>
      <c r="W7" s="14"/>
      <c r="X7" s="14"/>
      <c r="Y7" s="14"/>
      <c r="Z7" s="14"/>
      <c r="AA7" s="41"/>
    </row>
    <row r="8" spans="1:42" s="50" customFormat="1" x14ac:dyDescent="0.2">
      <c r="A8" s="48"/>
      <c r="B8" s="48" t="s">
        <v>112</v>
      </c>
      <c r="C8" s="49"/>
      <c r="D8" s="49"/>
      <c r="E8" s="49"/>
      <c r="F8" s="49"/>
      <c r="G8" s="51">
        <f>G6/C6-1</f>
        <v>-2.6544281815926607E-2</v>
      </c>
      <c r="H8" s="51">
        <f t="shared" ref="H8:Z8" si="7">H6/D6-1</f>
        <v>-4.5205479452054775E-2</v>
      </c>
      <c r="I8" s="51">
        <f t="shared" si="7"/>
        <v>-5.5790586991010027E-2</v>
      </c>
      <c r="J8" s="51">
        <f t="shared" si="7"/>
        <v>3.2507327471356318E-2</v>
      </c>
      <c r="K8" s="51">
        <f t="shared" si="7"/>
        <v>5.6320081549439349E-2</v>
      </c>
      <c r="L8" s="51">
        <f t="shared" si="7"/>
        <v>8.5222381635581046E-2</v>
      </c>
      <c r="M8" s="51">
        <f t="shared" si="7"/>
        <v>6.6928031363763685E-2</v>
      </c>
      <c r="N8" s="51">
        <f t="shared" si="7"/>
        <v>7.4838709677419457E-2</v>
      </c>
      <c r="O8" s="51">
        <f t="shared" si="7"/>
        <v>3.5705669481302715E-2</v>
      </c>
      <c r="P8" s="51">
        <f t="shared" si="7"/>
        <v>5.2882072977260774E-2</v>
      </c>
      <c r="Q8" s="51">
        <f t="shared" si="7"/>
        <v>4.4356955380577379E-2</v>
      </c>
      <c r="R8" s="51">
        <f t="shared" si="7"/>
        <v>-0.46458583433373346</v>
      </c>
      <c r="S8" s="51">
        <f t="shared" si="7"/>
        <v>-1.5839739110179329E-2</v>
      </c>
      <c r="T8" s="51">
        <f t="shared" si="7"/>
        <v>6.0271220492214006E-3</v>
      </c>
      <c r="U8" s="51">
        <f t="shared" si="7"/>
        <v>-0.10429756220155817</v>
      </c>
      <c r="V8" s="51">
        <f t="shared" si="7"/>
        <v>1.4143497757847534</v>
      </c>
      <c r="W8" s="51">
        <f t="shared" si="7"/>
        <v>0.15479289940828411</v>
      </c>
      <c r="X8" s="51">
        <f t="shared" si="7"/>
        <v>0.117573639540689</v>
      </c>
      <c r="Y8" s="51">
        <f t="shared" si="7"/>
        <v>8.9225589225589319E-2</v>
      </c>
      <c r="Z8" s="51">
        <f t="shared" si="7"/>
        <v>-4.9962852897474042E-2</v>
      </c>
      <c r="AG8" s="51">
        <f>AG6/AF6-1</f>
        <v>-2.372502628811779E-2</v>
      </c>
      <c r="AH8" s="51">
        <f t="shared" ref="AH8:AK8" si="8">AH6/AG6-1</f>
        <v>7.0481319421070276E-2</v>
      </c>
      <c r="AI8" s="51">
        <f t="shared" si="8"/>
        <v>-8.9171173437303519E-2</v>
      </c>
      <c r="AJ8" s="51">
        <f t="shared" si="8"/>
        <v>0.18606738470035911</v>
      </c>
      <c r="AK8" s="51">
        <f t="shared" si="8"/>
        <v>6.8339251411607238E-2</v>
      </c>
    </row>
    <row r="9" spans="1:42" s="20" customFormat="1" x14ac:dyDescent="0.2">
      <c r="A9" s="1"/>
      <c r="B9" s="1"/>
      <c r="C9" s="14"/>
      <c r="D9" s="14"/>
      <c r="E9" s="14"/>
      <c r="F9" s="14"/>
      <c r="G9" s="14"/>
      <c r="H9" s="14"/>
      <c r="I9" s="14"/>
      <c r="J9" s="14"/>
      <c r="K9" s="14"/>
      <c r="L9" s="14"/>
      <c r="M9" s="14"/>
      <c r="N9" s="14"/>
      <c r="O9" s="14"/>
      <c r="P9" s="14"/>
      <c r="Q9" s="14"/>
      <c r="R9" s="14"/>
      <c r="S9" s="14"/>
      <c r="T9" s="14"/>
      <c r="U9" s="14"/>
      <c r="V9" s="14"/>
      <c r="W9" s="14"/>
      <c r="X9" s="14"/>
      <c r="Y9" s="14"/>
      <c r="Z9" s="14"/>
      <c r="AA9" s="41"/>
    </row>
    <row r="10" spans="1:42" s="20" customFormat="1" x14ac:dyDescent="0.2">
      <c r="A10" s="1"/>
      <c r="B10" s="47" t="s">
        <v>96</v>
      </c>
      <c r="C10" s="14">
        <v>1457</v>
      </c>
      <c r="D10" s="14">
        <v>1116</v>
      </c>
      <c r="E10" s="14">
        <v>1271</v>
      </c>
      <c r="F10" s="14">
        <v>1348</v>
      </c>
      <c r="G10" s="14">
        <v>1471</v>
      </c>
      <c r="H10" s="14">
        <v>1290</v>
      </c>
      <c r="I10" s="14">
        <v>1489</v>
      </c>
      <c r="J10" s="14">
        <v>1625</v>
      </c>
      <c r="K10" s="14">
        <v>1642</v>
      </c>
      <c r="L10" s="14">
        <v>1419</v>
      </c>
      <c r="M10" s="14">
        <v>1589</v>
      </c>
      <c r="N10" s="14">
        <v>1643</v>
      </c>
      <c r="O10" s="14">
        <v>1758</v>
      </c>
      <c r="P10" s="14">
        <v>1536</v>
      </c>
      <c r="Q10" s="14">
        <v>1711</v>
      </c>
      <c r="R10" s="14">
        <v>887</v>
      </c>
      <c r="S10" s="14">
        <v>1802</v>
      </c>
      <c r="T10" s="14">
        <v>1731</v>
      </c>
      <c r="U10" s="14">
        <v>1606</v>
      </c>
      <c r="V10" s="14">
        <v>1831</v>
      </c>
      <c r="W10" s="14">
        <v>1983</v>
      </c>
      <c r="X10" s="14">
        <v>1806</v>
      </c>
      <c r="Y10" s="14">
        <v>1569</v>
      </c>
      <c r="Z10" s="14">
        <v>2030</v>
      </c>
      <c r="AA10" s="41"/>
      <c r="AF10" s="14">
        <f t="shared" ref="AF10:AF12" si="9">SUM(C10:F10)</f>
        <v>5192</v>
      </c>
      <c r="AG10" s="14">
        <f t="shared" ref="AG10:AG12" si="10">SUM(G10:J10)</f>
        <v>5875</v>
      </c>
      <c r="AH10" s="14">
        <f t="shared" ref="AH10:AH12" si="11">SUM(K10:N10)</f>
        <v>6293</v>
      </c>
      <c r="AI10" s="14">
        <f t="shared" ref="AI10:AI12" si="12">SUM(O10:R10)</f>
        <v>5892</v>
      </c>
      <c r="AJ10" s="14">
        <f t="shared" ref="AJ10:AJ12" si="13">SUM(S10:V10)</f>
        <v>6970</v>
      </c>
      <c r="AK10" s="14">
        <f t="shared" ref="AK10:AK12" si="14">SUM(W10:Z10)</f>
        <v>7388</v>
      </c>
    </row>
    <row r="11" spans="1:42" s="20" customFormat="1" x14ac:dyDescent="0.2">
      <c r="A11" s="1"/>
      <c r="B11" s="47" t="s">
        <v>97</v>
      </c>
      <c r="C11" s="14">
        <v>684</v>
      </c>
      <c r="D11" s="14">
        <v>588</v>
      </c>
      <c r="E11" s="14">
        <v>566</v>
      </c>
      <c r="F11" s="14">
        <v>557</v>
      </c>
      <c r="G11" s="14">
        <v>743</v>
      </c>
      <c r="H11" s="14">
        <v>743</v>
      </c>
      <c r="I11" s="14">
        <v>713</v>
      </c>
      <c r="J11" s="14">
        <v>741</v>
      </c>
      <c r="K11" s="14">
        <v>830</v>
      </c>
      <c r="L11" s="14">
        <v>794</v>
      </c>
      <c r="M11" s="14">
        <v>750</v>
      </c>
      <c r="N11" s="14">
        <v>713</v>
      </c>
      <c r="O11" s="14">
        <v>869</v>
      </c>
      <c r="P11" s="14">
        <v>897</v>
      </c>
      <c r="Q11" s="14">
        <v>889</v>
      </c>
      <c r="R11" s="14">
        <v>398</v>
      </c>
      <c r="S11" s="14">
        <v>971</v>
      </c>
      <c r="T11" s="14">
        <v>1104</v>
      </c>
      <c r="U11" s="14">
        <v>898</v>
      </c>
      <c r="V11" s="14">
        <v>1023</v>
      </c>
      <c r="W11" s="14">
        <v>1159</v>
      </c>
      <c r="X11" s="14">
        <v>1202</v>
      </c>
      <c r="Y11" s="14">
        <v>1083</v>
      </c>
      <c r="Z11" s="14">
        <v>1083</v>
      </c>
      <c r="AA11" s="41"/>
      <c r="AF11" s="14">
        <f t="shared" si="9"/>
        <v>2395</v>
      </c>
      <c r="AG11" s="14">
        <f t="shared" si="10"/>
        <v>2940</v>
      </c>
      <c r="AH11" s="14">
        <f t="shared" si="11"/>
        <v>3087</v>
      </c>
      <c r="AI11" s="14">
        <f t="shared" si="12"/>
        <v>3053</v>
      </c>
      <c r="AJ11" s="14">
        <f t="shared" si="13"/>
        <v>3996</v>
      </c>
      <c r="AK11" s="14">
        <f t="shared" si="14"/>
        <v>4527</v>
      </c>
    </row>
    <row r="12" spans="1:42" s="20" customFormat="1" x14ac:dyDescent="0.2">
      <c r="A12" s="1"/>
      <c r="B12" s="47" t="s">
        <v>98</v>
      </c>
      <c r="C12" s="14">
        <v>121</v>
      </c>
      <c r="D12" s="14">
        <v>88</v>
      </c>
      <c r="E12" s="14">
        <v>88</v>
      </c>
      <c r="F12" s="14">
        <v>86</v>
      </c>
      <c r="G12" s="14">
        <v>130</v>
      </c>
      <c r="H12" s="14">
        <v>100</v>
      </c>
      <c r="I12" s="14">
        <v>97</v>
      </c>
      <c r="J12" s="14">
        <v>100</v>
      </c>
      <c r="K12" s="14">
        <v>135</v>
      </c>
      <c r="L12" s="14">
        <v>100</v>
      </c>
      <c r="M12" s="14">
        <v>96</v>
      </c>
      <c r="N12" s="14">
        <v>101</v>
      </c>
      <c r="O12" s="14">
        <v>146</v>
      </c>
      <c r="P12" s="14">
        <v>104</v>
      </c>
      <c r="Q12" s="14">
        <v>109</v>
      </c>
      <c r="R12" s="14">
        <v>43</v>
      </c>
      <c r="S12" s="14">
        <v>137</v>
      </c>
      <c r="T12" s="14">
        <v>123</v>
      </c>
      <c r="U12" s="14">
        <v>105</v>
      </c>
      <c r="V12" s="14">
        <v>125</v>
      </c>
      <c r="W12" s="14">
        <v>165</v>
      </c>
      <c r="X12" s="14">
        <v>134</v>
      </c>
      <c r="Y12" s="14">
        <v>127</v>
      </c>
      <c r="Z12" s="14">
        <v>138</v>
      </c>
      <c r="AA12" s="41"/>
      <c r="AF12" s="14">
        <f t="shared" si="9"/>
        <v>383</v>
      </c>
      <c r="AG12" s="14">
        <f t="shared" si="10"/>
        <v>427</v>
      </c>
      <c r="AH12" s="14">
        <f t="shared" si="11"/>
        <v>432</v>
      </c>
      <c r="AI12" s="14">
        <f t="shared" si="12"/>
        <v>402</v>
      </c>
      <c r="AJ12" s="14">
        <f t="shared" si="13"/>
        <v>490</v>
      </c>
      <c r="AK12" s="14">
        <f t="shared" si="14"/>
        <v>564</v>
      </c>
    </row>
    <row r="13" spans="1:42" s="20" customFormat="1" x14ac:dyDescent="0.2">
      <c r="A13" s="1"/>
      <c r="B13" s="47" t="s">
        <v>99</v>
      </c>
      <c r="C13" s="14">
        <f t="shared" ref="C13:Y13" si="15">SUM(C10:C12)</f>
        <v>2262</v>
      </c>
      <c r="D13" s="14">
        <f t="shared" si="15"/>
        <v>1792</v>
      </c>
      <c r="E13" s="14">
        <f t="shared" si="15"/>
        <v>1925</v>
      </c>
      <c r="F13" s="14">
        <f t="shared" si="15"/>
        <v>1991</v>
      </c>
      <c r="G13" s="14">
        <f t="shared" si="15"/>
        <v>2344</v>
      </c>
      <c r="H13" s="14">
        <f t="shared" si="15"/>
        <v>2133</v>
      </c>
      <c r="I13" s="14">
        <f t="shared" si="15"/>
        <v>2299</v>
      </c>
      <c r="J13" s="14">
        <f t="shared" si="15"/>
        <v>2466</v>
      </c>
      <c r="K13" s="14">
        <f t="shared" si="15"/>
        <v>2607</v>
      </c>
      <c r="L13" s="14">
        <f t="shared" si="15"/>
        <v>2313</v>
      </c>
      <c r="M13" s="14">
        <f t="shared" si="15"/>
        <v>2435</v>
      </c>
      <c r="N13" s="14">
        <f t="shared" si="15"/>
        <v>2457</v>
      </c>
      <c r="O13" s="14">
        <f t="shared" si="15"/>
        <v>2773</v>
      </c>
      <c r="P13" s="14">
        <f t="shared" si="15"/>
        <v>2537</v>
      </c>
      <c r="Q13" s="14">
        <f t="shared" si="15"/>
        <v>2709</v>
      </c>
      <c r="R13" s="14">
        <f t="shared" si="15"/>
        <v>1328</v>
      </c>
      <c r="S13" s="14">
        <f t="shared" si="15"/>
        <v>2910</v>
      </c>
      <c r="T13" s="14">
        <f t="shared" si="15"/>
        <v>2958</v>
      </c>
      <c r="U13" s="14">
        <f t="shared" si="15"/>
        <v>2609</v>
      </c>
      <c r="V13" s="14">
        <f t="shared" si="15"/>
        <v>2979</v>
      </c>
      <c r="W13" s="14">
        <f t="shared" si="15"/>
        <v>3307</v>
      </c>
      <c r="X13" s="14">
        <f t="shared" si="15"/>
        <v>3142</v>
      </c>
      <c r="Y13" s="14">
        <f t="shared" si="15"/>
        <v>2779</v>
      </c>
      <c r="Z13" s="14">
        <f>SUM(Z10:Z12)</f>
        <v>3251</v>
      </c>
      <c r="AA13" s="41"/>
      <c r="AF13" s="14">
        <f t="shared" ref="AF13:AK13" si="16">SUM(AF10:AF12)</f>
        <v>7970</v>
      </c>
      <c r="AG13" s="14">
        <f t="shared" si="16"/>
        <v>9242</v>
      </c>
      <c r="AH13" s="14">
        <f t="shared" si="16"/>
        <v>9812</v>
      </c>
      <c r="AI13" s="14">
        <f t="shared" si="16"/>
        <v>9347</v>
      </c>
      <c r="AJ13" s="14">
        <f t="shared" si="16"/>
        <v>11456</v>
      </c>
      <c r="AK13" s="14">
        <f t="shared" si="16"/>
        <v>12479</v>
      </c>
    </row>
    <row r="14" spans="1:42" s="20" customFormat="1" x14ac:dyDescent="0.2">
      <c r="A14" s="1"/>
      <c r="B14" s="47"/>
      <c r="C14" s="14"/>
      <c r="D14" s="14"/>
      <c r="E14" s="14"/>
      <c r="F14" s="14"/>
      <c r="G14" s="14"/>
      <c r="H14" s="14"/>
      <c r="I14" s="14"/>
      <c r="J14" s="14"/>
      <c r="K14" s="14"/>
      <c r="L14" s="14"/>
      <c r="M14" s="14"/>
      <c r="N14" s="14"/>
      <c r="O14" s="14"/>
      <c r="P14" s="14"/>
      <c r="Q14" s="14"/>
      <c r="R14" s="14"/>
      <c r="S14" s="14"/>
      <c r="T14" s="14"/>
      <c r="U14" s="14"/>
      <c r="V14" s="14"/>
      <c r="W14" s="14"/>
      <c r="X14" s="14"/>
      <c r="Y14" s="14"/>
      <c r="Z14" s="14"/>
      <c r="AA14" s="41"/>
      <c r="AF14" s="14"/>
      <c r="AG14" s="14"/>
      <c r="AH14" s="14"/>
      <c r="AI14" s="14"/>
      <c r="AJ14" s="14"/>
      <c r="AK14" s="14"/>
    </row>
    <row r="15" spans="1:42" s="50" customFormat="1" x14ac:dyDescent="0.2">
      <c r="A15" s="48"/>
      <c r="B15" s="48" t="s">
        <v>113</v>
      </c>
      <c r="C15" s="49"/>
      <c r="D15" s="49"/>
      <c r="E15" s="49"/>
      <c r="F15" s="49"/>
      <c r="G15" s="51">
        <f>G13/C13-1</f>
        <v>3.6251105216622559E-2</v>
      </c>
      <c r="H15" s="51">
        <f t="shared" ref="H15:W15" si="17">H13/D13-1</f>
        <v>0.1902901785714286</v>
      </c>
      <c r="I15" s="51">
        <f t="shared" si="17"/>
        <v>0.19428571428571439</v>
      </c>
      <c r="J15" s="51">
        <f t="shared" si="17"/>
        <v>0.23857358111501759</v>
      </c>
      <c r="K15" s="51">
        <f t="shared" si="17"/>
        <v>0.1122013651877134</v>
      </c>
      <c r="L15" s="51">
        <f t="shared" si="17"/>
        <v>8.4388185654008518E-2</v>
      </c>
      <c r="M15" s="51">
        <f t="shared" si="17"/>
        <v>5.9156154849934861E-2</v>
      </c>
      <c r="N15" s="51">
        <f t="shared" si="17"/>
        <v>-3.6496350364964014E-3</v>
      </c>
      <c r="O15" s="51">
        <f t="shared" si="17"/>
        <v>6.3674721902569953E-2</v>
      </c>
      <c r="P15" s="51">
        <f t="shared" si="17"/>
        <v>9.6843925637700057E-2</v>
      </c>
      <c r="Q15" s="51">
        <f t="shared" si="17"/>
        <v>0.11252566735112945</v>
      </c>
      <c r="R15" s="51">
        <f t="shared" si="17"/>
        <v>-0.4595034595034595</v>
      </c>
      <c r="S15" s="51">
        <f t="shared" si="17"/>
        <v>4.9404976559682678E-2</v>
      </c>
      <c r="T15" s="51">
        <f t="shared" si="17"/>
        <v>0.16594402837997646</v>
      </c>
      <c r="U15" s="51">
        <f t="shared" si="17"/>
        <v>-3.691399040236254E-2</v>
      </c>
      <c r="V15" s="51">
        <f t="shared" si="17"/>
        <v>1.2432228915662651</v>
      </c>
      <c r="W15" s="51">
        <f t="shared" si="17"/>
        <v>0.13642611683848793</v>
      </c>
      <c r="X15" s="51">
        <f t="shared" ref="X15" si="18">X13/T13-1</f>
        <v>6.2204192021636295E-2</v>
      </c>
      <c r="Y15" s="51">
        <f t="shared" ref="Y15" si="19">Y13/U13-1</f>
        <v>6.5159064775776265E-2</v>
      </c>
      <c r="Z15" s="51">
        <f t="shared" ref="Z15" si="20">Z13/V13-1</f>
        <v>9.1305807317891841E-2</v>
      </c>
      <c r="AF15" s="49"/>
      <c r="AG15" s="51">
        <f>AG13/AF13-1</f>
        <v>0.15959849435382689</v>
      </c>
      <c r="AH15" s="51">
        <f t="shared" ref="AH15:AK15" si="21">AH13/AG13-1</f>
        <v>6.1674962129409261E-2</v>
      </c>
      <c r="AI15" s="51">
        <f t="shared" si="21"/>
        <v>-4.7390949857317621E-2</v>
      </c>
      <c r="AJ15" s="51">
        <f t="shared" si="21"/>
        <v>0.22563389322777372</v>
      </c>
      <c r="AK15" s="51">
        <f t="shared" si="21"/>
        <v>8.9298184357541999E-2</v>
      </c>
    </row>
    <row r="16" spans="1:42" s="20" customFormat="1" x14ac:dyDescent="0.2">
      <c r="A16" s="1"/>
      <c r="B16" s="47"/>
      <c r="C16" s="14"/>
      <c r="D16" s="14"/>
      <c r="E16" s="14"/>
      <c r="F16" s="14"/>
      <c r="G16" s="14"/>
      <c r="H16" s="14"/>
      <c r="I16" s="14"/>
      <c r="J16" s="14"/>
      <c r="K16" s="14"/>
      <c r="L16" s="14"/>
      <c r="M16" s="14"/>
      <c r="N16" s="14"/>
      <c r="O16" s="14"/>
      <c r="P16" s="14"/>
      <c r="Q16" s="14"/>
      <c r="R16" s="14"/>
      <c r="S16" s="14"/>
      <c r="T16" s="14"/>
      <c r="U16" s="14"/>
      <c r="V16" s="14"/>
      <c r="W16" s="14"/>
      <c r="X16" s="14"/>
      <c r="Y16" s="14"/>
      <c r="Z16" s="14"/>
      <c r="AA16" s="41"/>
    </row>
    <row r="17" spans="1:37" s="20" customFormat="1" x14ac:dyDescent="0.2">
      <c r="A17" s="1"/>
      <c r="B17" s="47" t="s">
        <v>100</v>
      </c>
      <c r="C17" s="14">
        <v>710</v>
      </c>
      <c r="D17" s="14">
        <v>669</v>
      </c>
      <c r="E17" s="14">
        <v>776</v>
      </c>
      <c r="F17" s="14">
        <v>765</v>
      </c>
      <c r="G17" s="14">
        <v>761</v>
      </c>
      <c r="H17" s="14">
        <v>793</v>
      </c>
      <c r="I17" s="14">
        <v>939</v>
      </c>
      <c r="J17" s="14">
        <v>1003</v>
      </c>
      <c r="K17" s="14">
        <v>958</v>
      </c>
      <c r="L17" s="14">
        <v>1022</v>
      </c>
      <c r="M17" s="14">
        <v>1115</v>
      </c>
      <c r="N17" s="14">
        <v>1167</v>
      </c>
      <c r="O17" s="14">
        <v>1164</v>
      </c>
      <c r="P17" s="14">
        <v>1247</v>
      </c>
      <c r="Q17" s="14">
        <v>1075</v>
      </c>
      <c r="R17" s="14">
        <v>1149</v>
      </c>
      <c r="S17" s="14">
        <v>1251</v>
      </c>
      <c r="T17" s="14">
        <v>1567</v>
      </c>
      <c r="U17" s="14">
        <v>1614</v>
      </c>
      <c r="V17" s="14">
        <v>1316</v>
      </c>
      <c r="W17" s="14">
        <v>1449</v>
      </c>
      <c r="X17" s="14">
        <v>1235</v>
      </c>
      <c r="Y17" s="14">
        <v>1554</v>
      </c>
      <c r="Z17" s="14">
        <v>1178</v>
      </c>
      <c r="AA17" s="41"/>
      <c r="AF17" s="14">
        <f t="shared" ref="AF17:AF19" si="22">SUM(C17:F17)</f>
        <v>2920</v>
      </c>
      <c r="AG17" s="14">
        <f t="shared" ref="AG17:AG19" si="23">SUM(G17:J17)</f>
        <v>3496</v>
      </c>
      <c r="AH17" s="14">
        <f t="shared" ref="AH17:AH19" si="24">SUM(K17:N17)</f>
        <v>4262</v>
      </c>
      <c r="AI17" s="14">
        <f t="shared" ref="AI17:AI19" si="25">SUM(O17:R17)</f>
        <v>4635</v>
      </c>
      <c r="AJ17" s="14">
        <f t="shared" ref="AJ17:AJ19" si="26">SUM(S17:V17)</f>
        <v>5748</v>
      </c>
      <c r="AK17" s="14">
        <f t="shared" ref="AK17:AK19" si="27">SUM(W17:Z17)</f>
        <v>5416</v>
      </c>
    </row>
    <row r="18" spans="1:37" s="20" customFormat="1" x14ac:dyDescent="0.2">
      <c r="A18" s="1"/>
      <c r="B18" s="47" t="s">
        <v>101</v>
      </c>
      <c r="C18" s="14">
        <v>269</v>
      </c>
      <c r="D18" s="14">
        <v>355</v>
      </c>
      <c r="E18" s="14">
        <v>271</v>
      </c>
      <c r="F18" s="14">
        <v>293</v>
      </c>
      <c r="G18" s="14">
        <v>309</v>
      </c>
      <c r="H18" s="14">
        <v>397</v>
      </c>
      <c r="I18" s="14">
        <v>368</v>
      </c>
      <c r="J18" s="14">
        <v>434</v>
      </c>
      <c r="K18" s="14">
        <v>380</v>
      </c>
      <c r="L18" s="14">
        <v>490</v>
      </c>
      <c r="M18" s="14">
        <v>444</v>
      </c>
      <c r="N18" s="14">
        <v>494</v>
      </c>
      <c r="O18" s="14">
        <v>465</v>
      </c>
      <c r="P18" s="14">
        <v>563</v>
      </c>
      <c r="Q18" s="14">
        <v>400</v>
      </c>
      <c r="R18" s="14">
        <v>468</v>
      </c>
      <c r="S18" s="14">
        <v>478</v>
      </c>
      <c r="T18" s="14">
        <v>681</v>
      </c>
      <c r="U18" s="14">
        <v>616</v>
      </c>
      <c r="V18" s="14">
        <v>572</v>
      </c>
      <c r="W18" s="14">
        <v>476</v>
      </c>
      <c r="X18" s="14">
        <v>564</v>
      </c>
      <c r="Y18" s="14">
        <v>548</v>
      </c>
      <c r="Z18" s="14">
        <v>350</v>
      </c>
      <c r="AA18" s="41"/>
      <c r="AF18" s="14">
        <f t="shared" si="22"/>
        <v>1188</v>
      </c>
      <c r="AG18" s="14">
        <f t="shared" si="23"/>
        <v>1508</v>
      </c>
      <c r="AH18" s="14">
        <f t="shared" si="24"/>
        <v>1808</v>
      </c>
      <c r="AI18" s="14">
        <f t="shared" si="25"/>
        <v>1896</v>
      </c>
      <c r="AJ18" s="14">
        <f t="shared" si="26"/>
        <v>2347</v>
      </c>
      <c r="AK18" s="14">
        <f t="shared" si="27"/>
        <v>1938</v>
      </c>
    </row>
    <row r="19" spans="1:37" s="20" customFormat="1" x14ac:dyDescent="0.2">
      <c r="A19" s="1"/>
      <c r="B19" s="47" t="s">
        <v>102</v>
      </c>
      <c r="C19" s="14">
        <v>41</v>
      </c>
      <c r="D19" s="14">
        <v>31</v>
      </c>
      <c r="E19" s="14">
        <v>28</v>
      </c>
      <c r="F19" s="14">
        <v>29</v>
      </c>
      <c r="G19" s="14">
        <v>38</v>
      </c>
      <c r="H19" s="14">
        <v>32</v>
      </c>
      <c r="I19" s="14">
        <v>29</v>
      </c>
      <c r="J19" s="14">
        <v>31</v>
      </c>
      <c r="K19" s="14">
        <v>41</v>
      </c>
      <c r="L19" s="14">
        <v>32</v>
      </c>
      <c r="M19" s="14">
        <v>29</v>
      </c>
      <c r="N19" s="14">
        <v>36</v>
      </c>
      <c r="O19" s="14">
        <v>50</v>
      </c>
      <c r="P19" s="14">
        <v>37</v>
      </c>
      <c r="Q19" s="14">
        <v>31</v>
      </c>
      <c r="R19" s="14">
        <v>30</v>
      </c>
      <c r="S19" s="14">
        <v>51</v>
      </c>
      <c r="T19" s="14">
        <v>50</v>
      </c>
      <c r="U19" s="14">
        <v>49</v>
      </c>
      <c r="V19" s="14">
        <v>45</v>
      </c>
      <c r="W19" s="14">
        <v>57</v>
      </c>
      <c r="X19" s="14">
        <v>45</v>
      </c>
      <c r="Y19" s="14">
        <v>58</v>
      </c>
      <c r="Z19" s="14">
        <v>33</v>
      </c>
      <c r="AA19" s="41"/>
      <c r="AF19" s="14">
        <f t="shared" si="22"/>
        <v>129</v>
      </c>
      <c r="AG19" s="14">
        <f t="shared" si="23"/>
        <v>130</v>
      </c>
      <c r="AH19" s="14">
        <f t="shared" si="24"/>
        <v>138</v>
      </c>
      <c r="AI19" s="14">
        <f t="shared" si="25"/>
        <v>148</v>
      </c>
      <c r="AJ19" s="14">
        <f t="shared" si="26"/>
        <v>195</v>
      </c>
      <c r="AK19" s="14">
        <f t="shared" si="27"/>
        <v>193</v>
      </c>
    </row>
    <row r="20" spans="1:37" s="20" customFormat="1" x14ac:dyDescent="0.2">
      <c r="A20" s="1"/>
      <c r="B20" s="47" t="s">
        <v>103</v>
      </c>
      <c r="C20" s="14">
        <f t="shared" ref="C20:Y20" si="28">SUM(C17:C19)</f>
        <v>1020</v>
      </c>
      <c r="D20" s="14">
        <f t="shared" si="28"/>
        <v>1055</v>
      </c>
      <c r="E20" s="14">
        <f t="shared" si="28"/>
        <v>1075</v>
      </c>
      <c r="F20" s="14">
        <f t="shared" si="28"/>
        <v>1087</v>
      </c>
      <c r="G20" s="14">
        <f t="shared" si="28"/>
        <v>1108</v>
      </c>
      <c r="H20" s="14">
        <f t="shared" si="28"/>
        <v>1222</v>
      </c>
      <c r="I20" s="14">
        <f t="shared" si="28"/>
        <v>1336</v>
      </c>
      <c r="J20" s="14">
        <f t="shared" si="28"/>
        <v>1468</v>
      </c>
      <c r="K20" s="14">
        <f t="shared" si="28"/>
        <v>1379</v>
      </c>
      <c r="L20" s="14">
        <f t="shared" si="28"/>
        <v>1544</v>
      </c>
      <c r="M20" s="14">
        <f t="shared" si="28"/>
        <v>1588</v>
      </c>
      <c r="N20" s="14">
        <f t="shared" si="28"/>
        <v>1697</v>
      </c>
      <c r="O20" s="14">
        <f t="shared" si="28"/>
        <v>1679</v>
      </c>
      <c r="P20" s="14">
        <f t="shared" si="28"/>
        <v>1847</v>
      </c>
      <c r="Q20" s="14">
        <f t="shared" si="28"/>
        <v>1506</v>
      </c>
      <c r="R20" s="14">
        <f t="shared" si="28"/>
        <v>1647</v>
      </c>
      <c r="S20" s="14">
        <f t="shared" si="28"/>
        <v>1780</v>
      </c>
      <c r="T20" s="14">
        <f t="shared" si="28"/>
        <v>2298</v>
      </c>
      <c r="U20" s="14">
        <f t="shared" si="28"/>
        <v>2279</v>
      </c>
      <c r="V20" s="14">
        <f t="shared" si="28"/>
        <v>1933</v>
      </c>
      <c r="W20" s="14">
        <f t="shared" si="28"/>
        <v>1982</v>
      </c>
      <c r="X20" s="14">
        <f t="shared" si="28"/>
        <v>1844</v>
      </c>
      <c r="Y20" s="14">
        <f t="shared" si="28"/>
        <v>2160</v>
      </c>
      <c r="Z20" s="14">
        <f>SUM(Z17:Z19)</f>
        <v>1561</v>
      </c>
      <c r="AA20" s="41"/>
      <c r="AF20" s="14">
        <f t="shared" ref="AF20:AK20" si="29">SUM(AF17:AF19)</f>
        <v>4237</v>
      </c>
      <c r="AG20" s="14">
        <f t="shared" si="29"/>
        <v>5134</v>
      </c>
      <c r="AH20" s="14">
        <f t="shared" si="29"/>
        <v>6208</v>
      </c>
      <c r="AI20" s="14">
        <f t="shared" si="29"/>
        <v>6679</v>
      </c>
      <c r="AJ20" s="14">
        <f t="shared" si="29"/>
        <v>8290</v>
      </c>
      <c r="AK20" s="14">
        <f t="shared" si="29"/>
        <v>7547</v>
      </c>
    </row>
    <row r="21" spans="1:37" s="20" customFormat="1" x14ac:dyDescent="0.2">
      <c r="A21" s="1"/>
      <c r="B21" s="47"/>
      <c r="C21" s="14"/>
      <c r="D21" s="14"/>
      <c r="E21" s="14"/>
      <c r="F21" s="14"/>
      <c r="G21" s="14"/>
      <c r="H21" s="14"/>
      <c r="I21" s="14"/>
      <c r="J21" s="14"/>
      <c r="K21" s="14"/>
      <c r="L21" s="14"/>
      <c r="M21" s="14"/>
      <c r="N21" s="14"/>
      <c r="O21" s="14"/>
      <c r="P21" s="14"/>
      <c r="Q21" s="14"/>
      <c r="R21" s="14"/>
      <c r="S21" s="14"/>
      <c r="T21" s="14"/>
      <c r="U21" s="14"/>
      <c r="V21" s="14"/>
      <c r="W21" s="14"/>
      <c r="X21" s="14"/>
      <c r="Y21" s="14"/>
      <c r="Z21" s="14"/>
      <c r="AA21" s="41"/>
      <c r="AF21" s="14"/>
      <c r="AG21" s="14"/>
      <c r="AH21" s="14"/>
      <c r="AI21" s="14"/>
      <c r="AJ21" s="14"/>
      <c r="AK21" s="14"/>
    </row>
    <row r="22" spans="1:37" s="50" customFormat="1" x14ac:dyDescent="0.2">
      <c r="A22" s="48"/>
      <c r="B22" s="48" t="s">
        <v>114</v>
      </c>
      <c r="C22" s="49"/>
      <c r="D22" s="49"/>
      <c r="E22" s="49"/>
      <c r="F22" s="49"/>
      <c r="G22" s="51">
        <f>G20/C20-1</f>
        <v>8.6274509803921484E-2</v>
      </c>
      <c r="H22" s="51">
        <f t="shared" ref="H22:Z22" si="30">H20/D20-1</f>
        <v>0.15829383886255921</v>
      </c>
      <c r="I22" s="51">
        <f t="shared" si="30"/>
        <v>0.24279069767441852</v>
      </c>
      <c r="J22" s="51">
        <f t="shared" si="30"/>
        <v>0.35050597976080966</v>
      </c>
      <c r="K22" s="51">
        <f t="shared" si="30"/>
        <v>0.24458483754512628</v>
      </c>
      <c r="L22" s="51">
        <f t="shared" si="30"/>
        <v>0.26350245499181679</v>
      </c>
      <c r="M22" s="51">
        <f t="shared" si="30"/>
        <v>0.18862275449101795</v>
      </c>
      <c r="N22" s="51">
        <f t="shared" si="30"/>
        <v>0.15599455040871946</v>
      </c>
      <c r="O22" s="51">
        <f t="shared" si="30"/>
        <v>0.21754894851341544</v>
      </c>
      <c r="P22" s="51">
        <f t="shared" si="30"/>
        <v>0.19624352331606221</v>
      </c>
      <c r="Q22" s="51">
        <f t="shared" si="30"/>
        <v>-5.1637279596977281E-2</v>
      </c>
      <c r="R22" s="51">
        <f t="shared" si="30"/>
        <v>-2.9463759575721893E-2</v>
      </c>
      <c r="S22" s="51">
        <f t="shared" si="30"/>
        <v>6.0154854079809361E-2</v>
      </c>
      <c r="T22" s="51">
        <f t="shared" si="30"/>
        <v>0.24417975094748234</v>
      </c>
      <c r="U22" s="51">
        <f t="shared" si="30"/>
        <v>0.51328021248339972</v>
      </c>
      <c r="V22" s="51">
        <f t="shared" si="30"/>
        <v>0.17364905889496063</v>
      </c>
      <c r="W22" s="51">
        <f t="shared" si="30"/>
        <v>0.11348314606741572</v>
      </c>
      <c r="X22" s="51">
        <f t="shared" si="30"/>
        <v>-0.19756309834638819</v>
      </c>
      <c r="Y22" s="51">
        <f t="shared" si="30"/>
        <v>-5.2215884159719228E-2</v>
      </c>
      <c r="Z22" s="51">
        <f t="shared" si="30"/>
        <v>-0.19244697361614072</v>
      </c>
      <c r="AF22" s="49"/>
      <c r="AG22" s="51">
        <f>AG20/AF20-1</f>
        <v>0.21170639603493036</v>
      </c>
      <c r="AH22" s="51">
        <f t="shared" ref="AH22:AK22" si="31">AH20/AG20-1</f>
        <v>0.20919361121932223</v>
      </c>
      <c r="AI22" s="51">
        <f t="shared" si="31"/>
        <v>7.5869845360824639E-2</v>
      </c>
      <c r="AJ22" s="51">
        <f t="shared" si="31"/>
        <v>0.24120377301991325</v>
      </c>
      <c r="AK22" s="51">
        <f t="shared" si="31"/>
        <v>-8.9626055488540413E-2</v>
      </c>
    </row>
    <row r="23" spans="1:37" s="20" customFormat="1" x14ac:dyDescent="0.2">
      <c r="A23" s="1"/>
      <c r="B23" s="47"/>
      <c r="C23" s="14"/>
      <c r="D23" s="14"/>
      <c r="E23" s="14"/>
      <c r="F23" s="14"/>
      <c r="G23" s="14"/>
      <c r="H23" s="14"/>
      <c r="I23" s="14"/>
      <c r="J23" s="14"/>
      <c r="K23" s="14"/>
      <c r="L23" s="14"/>
      <c r="M23" s="14"/>
      <c r="N23" s="14"/>
      <c r="O23" s="14"/>
      <c r="P23" s="14"/>
      <c r="Q23" s="14"/>
      <c r="R23" s="14"/>
      <c r="S23" s="14"/>
      <c r="T23" s="14"/>
      <c r="U23" s="14"/>
      <c r="V23" s="14"/>
      <c r="W23" s="14"/>
      <c r="X23" s="14"/>
      <c r="Y23" s="14"/>
      <c r="Z23" s="14"/>
      <c r="AA23" s="41"/>
    </row>
    <row r="24" spans="1:37" s="20" customFormat="1" x14ac:dyDescent="0.2">
      <c r="A24" s="1"/>
      <c r="B24" s="47" t="s">
        <v>104</v>
      </c>
      <c r="C24" s="14">
        <v>787</v>
      </c>
      <c r="D24" s="14">
        <v>818</v>
      </c>
      <c r="E24" s="14">
        <v>777</v>
      </c>
      <c r="F24" s="14">
        <v>903</v>
      </c>
      <c r="G24" s="14">
        <v>827</v>
      </c>
      <c r="H24" s="14">
        <v>873</v>
      </c>
      <c r="I24" s="14">
        <v>884</v>
      </c>
      <c r="J24" s="14">
        <v>991</v>
      </c>
      <c r="K24" s="14">
        <v>881</v>
      </c>
      <c r="L24" s="14">
        <v>879</v>
      </c>
      <c r="M24" s="14">
        <v>909</v>
      </c>
      <c r="N24" s="14">
        <v>953</v>
      </c>
      <c r="O24" s="14">
        <v>930</v>
      </c>
      <c r="P24" s="14">
        <v>997</v>
      </c>
      <c r="Q24" s="14">
        <v>963</v>
      </c>
      <c r="R24" s="14">
        <v>559</v>
      </c>
      <c r="S24" s="14">
        <v>758</v>
      </c>
      <c r="T24" s="14">
        <v>991</v>
      </c>
      <c r="U24" s="14">
        <v>903</v>
      </c>
      <c r="V24" s="14">
        <v>1007</v>
      </c>
      <c r="W24" s="14">
        <v>1022</v>
      </c>
      <c r="X24" s="14">
        <v>887</v>
      </c>
      <c r="Y24" s="14">
        <v>1005</v>
      </c>
      <c r="Z24" s="14">
        <v>1197</v>
      </c>
      <c r="AA24" s="41"/>
      <c r="AF24" s="14">
        <f t="shared" ref="AF24:AF26" si="32">SUM(C24:F24)</f>
        <v>3285</v>
      </c>
      <c r="AG24" s="14">
        <f t="shared" ref="AG24:AG26" si="33">SUM(G24:J24)</f>
        <v>3575</v>
      </c>
      <c r="AH24" s="14">
        <f t="shared" ref="AH24:AH26" si="34">SUM(K24:N24)</f>
        <v>3622</v>
      </c>
      <c r="AI24" s="14">
        <f t="shared" ref="AI24:AI26" si="35">SUM(O24:R24)</f>
        <v>3449</v>
      </c>
      <c r="AJ24" s="14">
        <f t="shared" ref="AJ24:AJ26" si="36">SUM(S24:V24)</f>
        <v>3659</v>
      </c>
      <c r="AK24" s="14">
        <f t="shared" ref="AK24:AK26" si="37">SUM(W24:Z24)</f>
        <v>4111</v>
      </c>
    </row>
    <row r="25" spans="1:37" s="20" customFormat="1" x14ac:dyDescent="0.2">
      <c r="A25" s="1"/>
      <c r="B25" s="47" t="s">
        <v>105</v>
      </c>
      <c r="C25" s="14">
        <v>279</v>
      </c>
      <c r="D25" s="14">
        <v>319</v>
      </c>
      <c r="E25" s="14">
        <v>278</v>
      </c>
      <c r="F25" s="14">
        <v>309</v>
      </c>
      <c r="G25" s="14">
        <v>301</v>
      </c>
      <c r="H25" s="14">
        <v>342</v>
      </c>
      <c r="I25" s="14">
        <v>321</v>
      </c>
      <c r="J25" s="14">
        <v>383</v>
      </c>
      <c r="K25" s="14">
        <v>332</v>
      </c>
      <c r="L25" s="14">
        <v>360</v>
      </c>
      <c r="M25" s="14">
        <v>340</v>
      </c>
      <c r="N25" s="14">
        <v>363</v>
      </c>
      <c r="O25" s="14">
        <v>356</v>
      </c>
      <c r="P25" s="14">
        <v>410</v>
      </c>
      <c r="Q25" s="14">
        <v>388</v>
      </c>
      <c r="R25" s="14">
        <v>211</v>
      </c>
      <c r="S25" s="14">
        <v>301</v>
      </c>
      <c r="T25" s="14">
        <v>432</v>
      </c>
      <c r="U25" s="14">
        <v>365</v>
      </c>
      <c r="V25" s="14">
        <v>396</v>
      </c>
      <c r="W25" s="14">
        <v>385</v>
      </c>
      <c r="X25" s="14">
        <v>402</v>
      </c>
      <c r="Y25" s="14">
        <v>394</v>
      </c>
      <c r="Z25" s="14">
        <v>429</v>
      </c>
      <c r="AA25" s="41"/>
      <c r="AF25" s="14">
        <f t="shared" si="32"/>
        <v>1185</v>
      </c>
      <c r="AG25" s="14">
        <f t="shared" si="33"/>
        <v>1347</v>
      </c>
      <c r="AH25" s="14">
        <f t="shared" si="34"/>
        <v>1395</v>
      </c>
      <c r="AI25" s="14">
        <f t="shared" si="35"/>
        <v>1365</v>
      </c>
      <c r="AJ25" s="14">
        <f t="shared" si="36"/>
        <v>1494</v>
      </c>
      <c r="AK25" s="14">
        <f t="shared" si="37"/>
        <v>1610</v>
      </c>
    </row>
    <row r="26" spans="1:37" s="20" customFormat="1" x14ac:dyDescent="0.2">
      <c r="A26" s="1"/>
      <c r="B26" s="47" t="s">
        <v>106</v>
      </c>
      <c r="C26" s="14">
        <v>65</v>
      </c>
      <c r="D26" s="14">
        <v>69</v>
      </c>
      <c r="E26" s="14">
        <v>67</v>
      </c>
      <c r="F26" s="14">
        <v>66</v>
      </c>
      <c r="G26" s="14">
        <v>61</v>
      </c>
      <c r="H26" s="14">
        <v>58</v>
      </c>
      <c r="I26" s="14">
        <v>63</v>
      </c>
      <c r="J26" s="14">
        <v>62</v>
      </c>
      <c r="K26" s="14">
        <v>57</v>
      </c>
      <c r="L26" s="14">
        <v>59</v>
      </c>
      <c r="M26" s="14">
        <v>58</v>
      </c>
      <c r="N26" s="14">
        <v>63</v>
      </c>
      <c r="O26" s="14">
        <v>59</v>
      </c>
      <c r="P26" s="14">
        <v>61</v>
      </c>
      <c r="Q26" s="14">
        <v>63</v>
      </c>
      <c r="R26" s="14">
        <v>31</v>
      </c>
      <c r="S26" s="14">
        <v>40</v>
      </c>
      <c r="T26" s="14">
        <v>48</v>
      </c>
      <c r="U26" s="14">
        <v>47</v>
      </c>
      <c r="V26" s="14">
        <v>55</v>
      </c>
      <c r="W26" s="14">
        <v>58</v>
      </c>
      <c r="X26" s="14">
        <v>58</v>
      </c>
      <c r="Y26" s="14">
        <v>62</v>
      </c>
      <c r="Z26" s="14">
        <v>56</v>
      </c>
      <c r="AA26" s="41"/>
      <c r="AF26" s="14">
        <f t="shared" si="32"/>
        <v>267</v>
      </c>
      <c r="AG26" s="14">
        <f t="shared" si="33"/>
        <v>244</v>
      </c>
      <c r="AH26" s="14">
        <f t="shared" si="34"/>
        <v>237</v>
      </c>
      <c r="AI26" s="14">
        <f t="shared" si="35"/>
        <v>214</v>
      </c>
      <c r="AJ26" s="14">
        <f t="shared" si="36"/>
        <v>190</v>
      </c>
      <c r="AK26" s="14">
        <f t="shared" si="37"/>
        <v>234</v>
      </c>
    </row>
    <row r="27" spans="1:37" s="20" customFormat="1" x14ac:dyDescent="0.2">
      <c r="A27" s="1"/>
      <c r="B27" s="47" t="s">
        <v>107</v>
      </c>
      <c r="C27" s="14">
        <f t="shared" ref="C27:Y27" si="38">SUM(C24:C26)</f>
        <v>1131</v>
      </c>
      <c r="D27" s="14">
        <f t="shared" si="38"/>
        <v>1206</v>
      </c>
      <c r="E27" s="14">
        <f t="shared" si="38"/>
        <v>1122</v>
      </c>
      <c r="F27" s="14">
        <f t="shared" si="38"/>
        <v>1278</v>
      </c>
      <c r="G27" s="14">
        <f t="shared" si="38"/>
        <v>1189</v>
      </c>
      <c r="H27" s="14">
        <f t="shared" si="38"/>
        <v>1273</v>
      </c>
      <c r="I27" s="14">
        <f t="shared" si="38"/>
        <v>1268</v>
      </c>
      <c r="J27" s="14">
        <f t="shared" si="38"/>
        <v>1436</v>
      </c>
      <c r="K27" s="14">
        <f t="shared" si="38"/>
        <v>1270</v>
      </c>
      <c r="L27" s="14">
        <f t="shared" si="38"/>
        <v>1298</v>
      </c>
      <c r="M27" s="14">
        <f t="shared" si="38"/>
        <v>1307</v>
      </c>
      <c r="N27" s="14">
        <f t="shared" si="38"/>
        <v>1379</v>
      </c>
      <c r="O27" s="14">
        <f t="shared" si="38"/>
        <v>1345</v>
      </c>
      <c r="P27" s="14">
        <f t="shared" si="38"/>
        <v>1468</v>
      </c>
      <c r="Q27" s="14">
        <f t="shared" si="38"/>
        <v>1414</v>
      </c>
      <c r="R27" s="14">
        <f t="shared" si="38"/>
        <v>801</v>
      </c>
      <c r="S27" s="14">
        <f t="shared" si="38"/>
        <v>1099</v>
      </c>
      <c r="T27" s="14">
        <f t="shared" si="38"/>
        <v>1471</v>
      </c>
      <c r="U27" s="14">
        <f t="shared" si="38"/>
        <v>1315</v>
      </c>
      <c r="V27" s="14">
        <f t="shared" si="38"/>
        <v>1458</v>
      </c>
      <c r="W27" s="14">
        <f t="shared" si="38"/>
        <v>1465</v>
      </c>
      <c r="X27" s="14">
        <f t="shared" si="38"/>
        <v>1347</v>
      </c>
      <c r="Y27" s="14">
        <f t="shared" si="38"/>
        <v>1461</v>
      </c>
      <c r="Z27" s="14">
        <f>SUM(Z24:Z26)</f>
        <v>1682</v>
      </c>
      <c r="AA27" s="41"/>
      <c r="AF27" s="14">
        <f t="shared" ref="AF27:AK27" si="39">SUM(AF24:AF26)</f>
        <v>4737</v>
      </c>
      <c r="AG27" s="14">
        <f t="shared" si="39"/>
        <v>5166</v>
      </c>
      <c r="AH27" s="14">
        <f t="shared" si="39"/>
        <v>5254</v>
      </c>
      <c r="AI27" s="14">
        <f t="shared" si="39"/>
        <v>5028</v>
      </c>
      <c r="AJ27" s="14">
        <f t="shared" si="39"/>
        <v>5343</v>
      </c>
      <c r="AK27" s="14">
        <f t="shared" si="39"/>
        <v>5955</v>
      </c>
    </row>
    <row r="28" spans="1:37" s="20" customFormat="1" x14ac:dyDescent="0.2">
      <c r="A28" s="1"/>
      <c r="B28" s="47"/>
      <c r="C28" s="14"/>
      <c r="D28" s="14"/>
      <c r="E28" s="14"/>
      <c r="F28" s="14"/>
      <c r="G28" s="14"/>
      <c r="H28" s="14"/>
      <c r="I28" s="14"/>
      <c r="J28" s="14"/>
      <c r="K28" s="14"/>
      <c r="L28" s="14"/>
      <c r="M28" s="14"/>
      <c r="N28" s="14"/>
      <c r="O28" s="14"/>
      <c r="P28" s="14"/>
      <c r="Q28" s="14"/>
      <c r="R28" s="14"/>
      <c r="S28" s="14"/>
      <c r="T28" s="14"/>
      <c r="U28" s="14"/>
      <c r="V28" s="14"/>
      <c r="W28" s="14"/>
      <c r="X28" s="14"/>
      <c r="Y28" s="14"/>
      <c r="Z28" s="14"/>
      <c r="AA28" s="41"/>
      <c r="AF28" s="14"/>
      <c r="AG28" s="14"/>
      <c r="AH28" s="14"/>
      <c r="AI28" s="14"/>
      <c r="AJ28" s="14"/>
      <c r="AK28" s="14"/>
    </row>
    <row r="29" spans="1:37" s="50" customFormat="1" x14ac:dyDescent="0.2">
      <c r="A29" s="48"/>
      <c r="B29" s="48" t="s">
        <v>115</v>
      </c>
      <c r="C29" s="49"/>
      <c r="D29" s="49"/>
      <c r="E29" s="49"/>
      <c r="F29" s="49"/>
      <c r="G29" s="51">
        <f>G27/C27-1</f>
        <v>5.1282051282051322E-2</v>
      </c>
      <c r="H29" s="51">
        <f t="shared" ref="H29:Z29" si="40">H27/D27-1</f>
        <v>5.555555555555558E-2</v>
      </c>
      <c r="I29" s="51">
        <f t="shared" si="40"/>
        <v>0.13012477718360071</v>
      </c>
      <c r="J29" s="51">
        <f t="shared" si="40"/>
        <v>0.12363067292644758</v>
      </c>
      <c r="K29" s="51">
        <f t="shared" si="40"/>
        <v>6.8124474348191688E-2</v>
      </c>
      <c r="L29" s="51">
        <f t="shared" si="40"/>
        <v>1.9638648860958341E-2</v>
      </c>
      <c r="M29" s="51">
        <f t="shared" si="40"/>
        <v>3.0757097791798138E-2</v>
      </c>
      <c r="N29" s="51">
        <f t="shared" si="40"/>
        <v>-3.9693593314763187E-2</v>
      </c>
      <c r="O29" s="51">
        <f t="shared" si="40"/>
        <v>5.9055118110236116E-2</v>
      </c>
      <c r="P29" s="51">
        <f t="shared" si="40"/>
        <v>0.13097072419106315</v>
      </c>
      <c r="Q29" s="51">
        <f t="shared" si="40"/>
        <v>8.1866870696250871E-2</v>
      </c>
      <c r="R29" s="51">
        <f t="shared" si="40"/>
        <v>-0.41914430746918052</v>
      </c>
      <c r="S29" s="51">
        <f t="shared" si="40"/>
        <v>-0.18289962825278805</v>
      </c>
      <c r="T29" s="51">
        <f t="shared" si="40"/>
        <v>2.043596730245234E-3</v>
      </c>
      <c r="U29" s="51">
        <f t="shared" si="40"/>
        <v>-7.0014144271570045E-2</v>
      </c>
      <c r="V29" s="51">
        <f t="shared" si="40"/>
        <v>0.8202247191011236</v>
      </c>
      <c r="W29" s="51">
        <f t="shared" si="40"/>
        <v>0.33303002729754327</v>
      </c>
      <c r="X29" s="51">
        <f t="shared" si="40"/>
        <v>-8.4296397008837509E-2</v>
      </c>
      <c r="Y29" s="51">
        <f t="shared" si="40"/>
        <v>0.11102661596958185</v>
      </c>
      <c r="Z29" s="51">
        <f t="shared" si="40"/>
        <v>0.1536351165980796</v>
      </c>
      <c r="AF29" s="49"/>
      <c r="AG29" s="51">
        <f>AG27/AF27-1</f>
        <v>9.0563647878403986E-2</v>
      </c>
      <c r="AH29" s="51">
        <f t="shared" ref="AH29:AK29" si="41">AH27/AG27-1</f>
        <v>1.7034456058846237E-2</v>
      </c>
      <c r="AI29" s="51">
        <f t="shared" si="41"/>
        <v>-4.3014845831747195E-2</v>
      </c>
      <c r="AJ29" s="51">
        <f t="shared" si="41"/>
        <v>6.2649164677804237E-2</v>
      </c>
      <c r="AK29" s="51">
        <f t="shared" si="41"/>
        <v>0.11454239191465465</v>
      </c>
    </row>
    <row r="30" spans="1:37" s="20" customFormat="1" x14ac:dyDescent="0.2">
      <c r="A30" s="1"/>
      <c r="B30" s="47"/>
      <c r="C30" s="14"/>
      <c r="D30" s="14"/>
      <c r="E30" s="14"/>
      <c r="F30" s="14"/>
      <c r="G30" s="14"/>
      <c r="H30" s="14"/>
      <c r="I30" s="14"/>
      <c r="J30" s="14"/>
      <c r="K30" s="14"/>
      <c r="L30" s="14"/>
      <c r="M30" s="14"/>
      <c r="N30" s="14"/>
      <c r="O30" s="14"/>
      <c r="P30" s="14"/>
      <c r="Q30" s="14"/>
      <c r="R30" s="14"/>
      <c r="S30" s="14"/>
      <c r="T30" s="14"/>
      <c r="U30" s="14"/>
      <c r="V30" s="14"/>
      <c r="W30" s="14"/>
      <c r="X30" s="14"/>
      <c r="Y30" s="14"/>
      <c r="Z30" s="14"/>
      <c r="AA30" s="41"/>
    </row>
    <row r="31" spans="1:37" s="20" customFormat="1" x14ac:dyDescent="0.2">
      <c r="A31" s="1"/>
      <c r="B31" s="47" t="s">
        <v>108</v>
      </c>
      <c r="C31" s="14">
        <v>15</v>
      </c>
      <c r="D31" s="14">
        <v>21</v>
      </c>
      <c r="E31" s="14">
        <v>19</v>
      </c>
      <c r="F31" s="14">
        <v>18</v>
      </c>
      <c r="G31" s="14">
        <v>20</v>
      </c>
      <c r="H31" s="14">
        <v>23</v>
      </c>
      <c r="I31" s="14">
        <v>21</v>
      </c>
      <c r="J31" s="14">
        <v>24</v>
      </c>
      <c r="K31" s="14">
        <v>16</v>
      </c>
      <c r="L31" s="14">
        <v>9</v>
      </c>
      <c r="M31" s="14">
        <v>8</v>
      </c>
      <c r="N31" s="14">
        <v>9</v>
      </c>
      <c r="O31" s="14">
        <v>6</v>
      </c>
      <c r="P31" s="14">
        <v>10</v>
      </c>
      <c r="Q31" s="14">
        <v>8</v>
      </c>
      <c r="R31" s="14">
        <v>6</v>
      </c>
      <c r="S31" s="14">
        <v>4</v>
      </c>
      <c r="T31" s="14">
        <v>8</v>
      </c>
      <c r="U31" s="14">
        <v>6</v>
      </c>
      <c r="V31" s="14">
        <v>7</v>
      </c>
      <c r="W31" s="14">
        <v>7</v>
      </c>
      <c r="X31" s="14">
        <v>6</v>
      </c>
      <c r="Y31" s="14">
        <v>41</v>
      </c>
      <c r="Z31" s="14">
        <v>48</v>
      </c>
      <c r="AA31" s="41"/>
      <c r="AF31" s="14">
        <f>SUM(C31:F31)</f>
        <v>73</v>
      </c>
      <c r="AG31" s="14">
        <f>SUM(G31:J31)</f>
        <v>88</v>
      </c>
      <c r="AH31" s="14">
        <f>SUM(K31:N31)</f>
        <v>42</v>
      </c>
      <c r="AI31" s="14">
        <f>SUM(O31:R31)</f>
        <v>30</v>
      </c>
      <c r="AJ31" s="14">
        <f>SUM(S31:V31)</f>
        <v>25</v>
      </c>
      <c r="AK31" s="14">
        <f>SUM(W31:Z31)</f>
        <v>102</v>
      </c>
    </row>
    <row r="32" spans="1:37" s="20" customFormat="1" x14ac:dyDescent="0.2">
      <c r="A32" s="1"/>
      <c r="B32" s="47"/>
      <c r="C32" s="14"/>
      <c r="D32" s="14"/>
      <c r="E32" s="14"/>
      <c r="F32" s="14"/>
      <c r="G32" s="14"/>
      <c r="H32" s="14"/>
      <c r="I32" s="14"/>
      <c r="J32" s="14"/>
      <c r="K32" s="14"/>
      <c r="L32" s="14"/>
      <c r="M32" s="14"/>
      <c r="N32" s="14"/>
      <c r="O32" s="14"/>
      <c r="P32" s="14"/>
      <c r="Q32" s="14"/>
      <c r="R32" s="14"/>
      <c r="S32" s="14"/>
      <c r="T32" s="14"/>
      <c r="U32" s="14"/>
      <c r="V32" s="14"/>
      <c r="W32" s="14"/>
      <c r="X32" s="14"/>
      <c r="Y32" s="14"/>
      <c r="Z32" s="14"/>
      <c r="AA32" s="41"/>
      <c r="AF32" s="14"/>
      <c r="AG32" s="14"/>
      <c r="AH32" s="14"/>
      <c r="AI32" s="14"/>
      <c r="AJ32" s="14"/>
      <c r="AK32" s="14"/>
    </row>
    <row r="33" spans="1:40" s="50" customFormat="1" x14ac:dyDescent="0.2">
      <c r="A33" s="48"/>
      <c r="B33" s="48" t="s">
        <v>116</v>
      </c>
      <c r="C33" s="49"/>
      <c r="D33" s="49"/>
      <c r="E33" s="49"/>
      <c r="F33" s="49"/>
      <c r="G33" s="51">
        <f>G31/C31-1</f>
        <v>0.33333333333333326</v>
      </c>
      <c r="H33" s="51">
        <f t="shared" ref="H33:Z33" si="42">H31/D31-1</f>
        <v>9.5238095238095344E-2</v>
      </c>
      <c r="I33" s="51">
        <f t="shared" si="42"/>
        <v>0.10526315789473695</v>
      </c>
      <c r="J33" s="51">
        <f t="shared" si="42"/>
        <v>0.33333333333333326</v>
      </c>
      <c r="K33" s="51">
        <f t="shared" si="42"/>
        <v>-0.19999999999999996</v>
      </c>
      <c r="L33" s="51">
        <f t="shared" si="42"/>
        <v>-0.60869565217391308</v>
      </c>
      <c r="M33" s="51">
        <f t="shared" si="42"/>
        <v>-0.61904761904761907</v>
      </c>
      <c r="N33" s="51">
        <f t="shared" si="42"/>
        <v>-0.625</v>
      </c>
      <c r="O33" s="51">
        <f t="shared" si="42"/>
        <v>-0.625</v>
      </c>
      <c r="P33" s="51">
        <f t="shared" si="42"/>
        <v>0.11111111111111116</v>
      </c>
      <c r="Q33" s="51">
        <f t="shared" si="42"/>
        <v>0</v>
      </c>
      <c r="R33" s="51">
        <f t="shared" si="42"/>
        <v>-0.33333333333333337</v>
      </c>
      <c r="S33" s="51">
        <f t="shared" si="42"/>
        <v>-0.33333333333333337</v>
      </c>
      <c r="T33" s="51">
        <f t="shared" si="42"/>
        <v>-0.19999999999999996</v>
      </c>
      <c r="U33" s="51">
        <f t="shared" si="42"/>
        <v>-0.25</v>
      </c>
      <c r="V33" s="51">
        <f t="shared" si="42"/>
        <v>0.16666666666666674</v>
      </c>
      <c r="W33" s="51">
        <f t="shared" si="42"/>
        <v>0.75</v>
      </c>
      <c r="X33" s="51">
        <f t="shared" si="42"/>
        <v>-0.25</v>
      </c>
      <c r="Y33" s="51">
        <f t="shared" si="42"/>
        <v>5.833333333333333</v>
      </c>
      <c r="Z33" s="51">
        <f t="shared" si="42"/>
        <v>5.8571428571428568</v>
      </c>
      <c r="AF33" s="49"/>
      <c r="AG33" s="51">
        <f>AG31/AF31-1</f>
        <v>0.20547945205479445</v>
      </c>
      <c r="AH33" s="51">
        <f t="shared" ref="AH33:AK33" si="43">AH31/AG31-1</f>
        <v>-0.52272727272727271</v>
      </c>
      <c r="AI33" s="51">
        <f t="shared" si="43"/>
        <v>-0.2857142857142857</v>
      </c>
      <c r="AJ33" s="51">
        <f t="shared" si="43"/>
        <v>-0.16666666666666663</v>
      </c>
      <c r="AK33" s="51">
        <f t="shared" si="43"/>
        <v>3.08</v>
      </c>
    </row>
    <row r="34" spans="1:40" s="20" customFormat="1" x14ac:dyDescent="0.2">
      <c r="A34" s="1"/>
      <c r="B34" s="47"/>
      <c r="C34" s="14"/>
      <c r="D34" s="14"/>
      <c r="E34" s="14"/>
      <c r="F34" s="14"/>
      <c r="G34" s="14"/>
      <c r="H34" s="14"/>
      <c r="I34" s="14"/>
      <c r="J34" s="14"/>
      <c r="K34" s="14"/>
      <c r="L34" s="14"/>
      <c r="M34" s="14"/>
      <c r="N34" s="14"/>
      <c r="O34" s="14"/>
      <c r="P34" s="14"/>
      <c r="Q34" s="14"/>
      <c r="R34" s="14"/>
      <c r="S34" s="14"/>
      <c r="T34" s="14"/>
      <c r="U34" s="14"/>
      <c r="V34" s="14"/>
      <c r="W34" s="14"/>
      <c r="X34" s="14"/>
      <c r="Y34" s="14"/>
      <c r="Z34" s="14"/>
      <c r="AA34" s="41"/>
    </row>
    <row r="35" spans="1:40" s="20" customFormat="1" x14ac:dyDescent="0.2">
      <c r="A35" s="1"/>
      <c r="B35" s="47" t="s">
        <v>109</v>
      </c>
      <c r="C35" s="14">
        <v>574</v>
      </c>
      <c r="D35" s="14">
        <v>416</v>
      </c>
      <c r="E35" s="14">
        <v>498</v>
      </c>
      <c r="F35" s="14">
        <v>554</v>
      </c>
      <c r="G35" s="14">
        <v>483</v>
      </c>
      <c r="H35" s="14">
        <v>408</v>
      </c>
      <c r="I35" s="14">
        <v>483</v>
      </c>
      <c r="J35" s="14">
        <v>512</v>
      </c>
      <c r="K35" s="14">
        <v>527</v>
      </c>
      <c r="L35" s="14">
        <v>425</v>
      </c>
      <c r="M35" s="14">
        <v>463</v>
      </c>
      <c r="N35" s="14">
        <v>491</v>
      </c>
      <c r="O35" s="14">
        <v>555</v>
      </c>
      <c r="P35" s="14">
        <v>480</v>
      </c>
      <c r="Q35" s="14">
        <v>506</v>
      </c>
      <c r="R35" s="14">
        <v>305</v>
      </c>
      <c r="S35" s="14">
        <v>563</v>
      </c>
      <c r="T35" s="14">
        <v>476</v>
      </c>
      <c r="U35" s="14">
        <v>570</v>
      </c>
      <c r="V35" s="14">
        <v>596</v>
      </c>
      <c r="W35" s="14">
        <v>629</v>
      </c>
      <c r="X35" s="14">
        <v>557</v>
      </c>
      <c r="Y35" s="14">
        <v>567</v>
      </c>
      <c r="Z35" s="14">
        <v>593</v>
      </c>
      <c r="AA35" s="41"/>
      <c r="AF35" s="14">
        <f t="shared" ref="AF35:AF36" si="44">SUM(C35:F35)</f>
        <v>2042</v>
      </c>
      <c r="AG35" s="14">
        <f t="shared" ref="AG35:AG36" si="45">SUM(G35:J35)</f>
        <v>1886</v>
      </c>
      <c r="AH35" s="14">
        <f t="shared" ref="AH35:AH36" si="46">SUM(K35:N35)</f>
        <v>1906</v>
      </c>
      <c r="AI35" s="14">
        <f t="shared" ref="AI35:AI36" si="47">SUM(O35:R35)</f>
        <v>1846</v>
      </c>
      <c r="AJ35" s="14">
        <f t="shared" ref="AJ35:AJ36" si="48">SUM(S35:V35)</f>
        <v>2205</v>
      </c>
      <c r="AK35" s="14">
        <f t="shared" ref="AK35:AK36" si="49">SUM(W35:Z35)</f>
        <v>2346</v>
      </c>
    </row>
    <row r="36" spans="1:40" s="20" customFormat="1" x14ac:dyDescent="0.2">
      <c r="A36" s="1"/>
      <c r="B36" s="47" t="s">
        <v>110</v>
      </c>
      <c r="C36" s="14">
        <v>28</v>
      </c>
      <c r="D36" s="14">
        <v>40</v>
      </c>
      <c r="E36" s="14">
        <v>11</v>
      </c>
      <c r="F36" s="14">
        <v>-4</v>
      </c>
      <c r="G36" s="14">
        <v>2</v>
      </c>
      <c r="H36" s="14">
        <v>10</v>
      </c>
      <c r="I36" s="14">
        <v>6</v>
      </c>
      <c r="J36" s="14">
        <v>8</v>
      </c>
      <c r="K36" s="14">
        <v>4</v>
      </c>
      <c r="L36" s="14">
        <v>3</v>
      </c>
      <c r="M36" s="14">
        <v>0</v>
      </c>
      <c r="N36" s="14">
        <v>-14</v>
      </c>
      <c r="O36" s="14">
        <v>9</v>
      </c>
      <c r="P36" s="14">
        <v>2</v>
      </c>
      <c r="Q36" s="14">
        <v>-18</v>
      </c>
      <c r="R36" s="14">
        <v>-4</v>
      </c>
      <c r="S36" s="14">
        <v>13</v>
      </c>
      <c r="T36" s="14">
        <v>26</v>
      </c>
      <c r="U36" s="14">
        <v>14</v>
      </c>
      <c r="V36" s="14">
        <v>-13</v>
      </c>
      <c r="W36" s="14">
        <v>-21</v>
      </c>
      <c r="X36" s="14">
        <v>-16</v>
      </c>
      <c r="Y36" s="14">
        <v>-19</v>
      </c>
      <c r="Z36" s="14">
        <v>-16</v>
      </c>
      <c r="AA36" s="41"/>
      <c r="AF36" s="14">
        <f t="shared" si="44"/>
        <v>75</v>
      </c>
      <c r="AG36" s="14">
        <f t="shared" si="45"/>
        <v>26</v>
      </c>
      <c r="AH36" s="14">
        <f t="shared" si="46"/>
        <v>-7</v>
      </c>
      <c r="AI36" s="14">
        <f t="shared" si="47"/>
        <v>-11</v>
      </c>
      <c r="AJ36" s="14">
        <f t="shared" si="48"/>
        <v>40</v>
      </c>
      <c r="AK36" s="14">
        <f t="shared" si="49"/>
        <v>-72</v>
      </c>
    </row>
    <row r="37" spans="1:40" s="20" customFormat="1" x14ac:dyDescent="0.2">
      <c r="A37" s="1"/>
      <c r="B37" s="47"/>
      <c r="C37" s="14"/>
      <c r="D37" s="14"/>
      <c r="E37" s="14"/>
      <c r="F37" s="14"/>
      <c r="G37" s="14"/>
      <c r="H37" s="14"/>
      <c r="I37" s="14"/>
      <c r="J37" s="14"/>
      <c r="K37" s="14"/>
      <c r="L37" s="14"/>
      <c r="M37" s="14"/>
      <c r="N37" s="14"/>
      <c r="O37" s="14"/>
      <c r="P37" s="14"/>
      <c r="Q37" s="14"/>
      <c r="R37" s="14"/>
      <c r="S37" s="14"/>
      <c r="T37" s="14"/>
      <c r="U37" s="14"/>
      <c r="V37" s="14"/>
      <c r="W37" s="14"/>
      <c r="X37" s="14"/>
      <c r="Y37" s="14"/>
      <c r="Z37" s="14"/>
      <c r="AA37" s="41"/>
      <c r="AF37" s="14"/>
      <c r="AG37" s="14"/>
      <c r="AH37" s="14"/>
      <c r="AI37" s="14"/>
      <c r="AJ37" s="14"/>
      <c r="AK37" s="14"/>
    </row>
    <row r="38" spans="1:40" s="50" customFormat="1" x14ac:dyDescent="0.2">
      <c r="A38" s="48"/>
      <c r="B38" s="48" t="s">
        <v>117</v>
      </c>
      <c r="C38" s="49"/>
      <c r="D38" s="49"/>
      <c r="E38" s="49"/>
      <c r="F38" s="49"/>
      <c r="G38" s="51">
        <f>G35/C35-1</f>
        <v>-0.15853658536585369</v>
      </c>
      <c r="H38" s="51">
        <f t="shared" ref="H38:Z38" si="50">H35/D35-1</f>
        <v>-1.9230769230769273E-2</v>
      </c>
      <c r="I38" s="51">
        <f t="shared" si="50"/>
        <v>-3.0120481927710885E-2</v>
      </c>
      <c r="J38" s="51">
        <f t="shared" si="50"/>
        <v>-7.5812274368231014E-2</v>
      </c>
      <c r="K38" s="51">
        <f t="shared" si="50"/>
        <v>9.109730848861286E-2</v>
      </c>
      <c r="L38" s="51">
        <f t="shared" si="50"/>
        <v>4.1666666666666741E-2</v>
      </c>
      <c r="M38" s="51">
        <f t="shared" si="50"/>
        <v>-4.1407867494824058E-2</v>
      </c>
      <c r="N38" s="51">
        <f t="shared" si="50"/>
        <v>-4.1015625E-2</v>
      </c>
      <c r="O38" s="51">
        <f t="shared" si="50"/>
        <v>5.3130929791271431E-2</v>
      </c>
      <c r="P38" s="51">
        <f t="shared" si="50"/>
        <v>0.12941176470588234</v>
      </c>
      <c r="Q38" s="51">
        <f t="shared" si="50"/>
        <v>9.2872570194384441E-2</v>
      </c>
      <c r="R38" s="51">
        <f t="shared" si="50"/>
        <v>-0.37881873727087578</v>
      </c>
      <c r="S38" s="51">
        <f t="shared" si="50"/>
        <v>1.4414414414414489E-2</v>
      </c>
      <c r="T38" s="51">
        <f t="shared" si="50"/>
        <v>-8.3333333333333037E-3</v>
      </c>
      <c r="U38" s="51">
        <f t="shared" si="50"/>
        <v>0.12648221343873511</v>
      </c>
      <c r="V38" s="51">
        <f t="shared" si="50"/>
        <v>0.95409836065573761</v>
      </c>
      <c r="W38" s="51">
        <f t="shared" si="50"/>
        <v>0.1172291296625223</v>
      </c>
      <c r="X38" s="51">
        <f t="shared" si="50"/>
        <v>0.17016806722689082</v>
      </c>
      <c r="Y38" s="51">
        <f t="shared" si="50"/>
        <v>-5.2631578947368585E-3</v>
      </c>
      <c r="Z38" s="51">
        <f t="shared" si="50"/>
        <v>-5.0335570469798308E-3</v>
      </c>
      <c r="AF38" s="49"/>
      <c r="AG38" s="51">
        <f>AG35/AF35-1</f>
        <v>-7.6395690499510338E-2</v>
      </c>
      <c r="AH38" s="51">
        <f t="shared" ref="AH38:AK38" si="51">AH35/AG35-1</f>
        <v>1.0604453870625585E-2</v>
      </c>
      <c r="AI38" s="51">
        <f t="shared" si="51"/>
        <v>-3.147953830010497E-2</v>
      </c>
      <c r="AJ38" s="51">
        <f t="shared" si="51"/>
        <v>0.19447453954496208</v>
      </c>
      <c r="AK38" s="51">
        <f t="shared" si="51"/>
        <v>6.3945578231292544E-2</v>
      </c>
    </row>
    <row r="39" spans="1:40" s="50" customFormat="1" x14ac:dyDescent="0.2">
      <c r="A39" s="48"/>
      <c r="B39" s="48" t="s">
        <v>118</v>
      </c>
      <c r="C39" s="49"/>
      <c r="D39" s="49"/>
      <c r="E39" s="49"/>
      <c r="F39" s="49"/>
      <c r="G39" s="51">
        <f>G36/C36-1</f>
        <v>-0.9285714285714286</v>
      </c>
      <c r="H39" s="51">
        <f t="shared" ref="H39:Z39" si="52">H36/D36-1</f>
        <v>-0.75</v>
      </c>
      <c r="I39" s="51">
        <f t="shared" si="52"/>
        <v>-0.45454545454545459</v>
      </c>
      <c r="J39" s="51">
        <f t="shared" si="52"/>
        <v>-3</v>
      </c>
      <c r="K39" s="51">
        <f t="shared" si="52"/>
        <v>1</v>
      </c>
      <c r="L39" s="51">
        <f t="shared" si="52"/>
        <v>-0.7</v>
      </c>
      <c r="M39" s="51">
        <f t="shared" si="52"/>
        <v>-1</v>
      </c>
      <c r="N39" s="51">
        <f t="shared" si="52"/>
        <v>-2.75</v>
      </c>
      <c r="O39" s="51">
        <f t="shared" si="52"/>
        <v>1.25</v>
      </c>
      <c r="P39" s="51">
        <f t="shared" si="52"/>
        <v>-0.33333333333333337</v>
      </c>
      <c r="Q39" s="51" t="e">
        <f t="shared" si="52"/>
        <v>#DIV/0!</v>
      </c>
      <c r="R39" s="51">
        <f t="shared" si="52"/>
        <v>-0.7142857142857143</v>
      </c>
      <c r="S39" s="51">
        <f t="shared" si="52"/>
        <v>0.44444444444444442</v>
      </c>
      <c r="T39" s="51">
        <f t="shared" si="52"/>
        <v>12</v>
      </c>
      <c r="U39" s="51">
        <f t="shared" si="52"/>
        <v>-1.7777777777777777</v>
      </c>
      <c r="V39" s="51">
        <f t="shared" si="52"/>
        <v>2.25</v>
      </c>
      <c r="W39" s="51">
        <f t="shared" si="52"/>
        <v>-2.6153846153846154</v>
      </c>
      <c r="X39" s="51">
        <f t="shared" si="52"/>
        <v>-1.6153846153846154</v>
      </c>
      <c r="Y39" s="51">
        <f t="shared" si="52"/>
        <v>-2.3571428571428572</v>
      </c>
      <c r="Z39" s="51">
        <f t="shared" si="52"/>
        <v>0.23076923076923084</v>
      </c>
      <c r="AF39" s="49"/>
      <c r="AG39" s="51">
        <f>AG36/AF36-1</f>
        <v>-0.65333333333333332</v>
      </c>
      <c r="AH39" s="51">
        <f t="shared" ref="AH39:AK39" si="53">AH36/AG36-1</f>
        <v>-1.2692307692307692</v>
      </c>
      <c r="AI39" s="51">
        <f t="shared" si="53"/>
        <v>0.5714285714285714</v>
      </c>
      <c r="AJ39" s="51">
        <f t="shared" si="53"/>
        <v>-4.6363636363636367</v>
      </c>
      <c r="AK39" s="51">
        <f t="shared" si="53"/>
        <v>-2.8</v>
      </c>
    </row>
    <row r="40" spans="1:40" s="20" customFormat="1" x14ac:dyDescent="0.2">
      <c r="A40" s="1"/>
      <c r="B40" s="1"/>
      <c r="C40" s="14"/>
      <c r="D40" s="14"/>
      <c r="E40" s="14"/>
      <c r="F40" s="14"/>
      <c r="G40" s="14"/>
      <c r="H40" s="14"/>
      <c r="I40" s="14"/>
      <c r="J40" s="14"/>
      <c r="K40" s="14"/>
      <c r="L40" s="14"/>
      <c r="M40" s="14"/>
      <c r="N40" s="14"/>
      <c r="O40" s="14"/>
      <c r="P40" s="14"/>
      <c r="Q40" s="14"/>
      <c r="R40" s="14"/>
      <c r="S40" s="14"/>
      <c r="T40" s="14"/>
      <c r="U40" s="14"/>
      <c r="V40" s="14"/>
      <c r="W40" s="14"/>
      <c r="X40" s="14"/>
      <c r="Y40" s="14"/>
      <c r="Z40" s="14"/>
      <c r="AA40" s="41"/>
    </row>
    <row r="41" spans="1:40" s="21" customFormat="1" ht="15" x14ac:dyDescent="0.25">
      <c r="A41" s="5"/>
      <c r="B41" s="5" t="s">
        <v>111</v>
      </c>
      <c r="C41" s="21">
        <f t="shared" ref="C41:Z41" si="54">C6+C13+C20+C27+C31+C35+C36</f>
        <v>9061</v>
      </c>
      <c r="D41" s="21">
        <f t="shared" si="54"/>
        <v>8180</v>
      </c>
      <c r="E41" s="21">
        <f t="shared" si="54"/>
        <v>8432</v>
      </c>
      <c r="F41" s="21">
        <f t="shared" si="54"/>
        <v>8677</v>
      </c>
      <c r="G41" s="21">
        <f t="shared" si="54"/>
        <v>9070</v>
      </c>
      <c r="H41" s="21">
        <f t="shared" si="54"/>
        <v>8554</v>
      </c>
      <c r="I41" s="21">
        <f t="shared" si="54"/>
        <v>8984</v>
      </c>
      <c r="J41" s="21">
        <f t="shared" si="54"/>
        <v>9789</v>
      </c>
      <c r="K41" s="21">
        <f t="shared" si="54"/>
        <v>9948</v>
      </c>
      <c r="L41" s="21">
        <f t="shared" si="54"/>
        <v>9374</v>
      </c>
      <c r="M41" s="21">
        <f t="shared" si="54"/>
        <v>9611</v>
      </c>
      <c r="N41" s="21">
        <f t="shared" si="54"/>
        <v>10184</v>
      </c>
      <c r="O41" s="21">
        <f t="shared" si="54"/>
        <v>10660</v>
      </c>
      <c r="P41" s="21">
        <f t="shared" si="54"/>
        <v>10326</v>
      </c>
      <c r="Q41" s="21">
        <f t="shared" si="54"/>
        <v>10104</v>
      </c>
      <c r="R41" s="21">
        <f t="shared" si="54"/>
        <v>6313</v>
      </c>
      <c r="S41" s="21">
        <f t="shared" si="54"/>
        <v>10594</v>
      </c>
      <c r="T41" s="21">
        <f t="shared" si="54"/>
        <v>11243</v>
      </c>
      <c r="U41" s="21">
        <f t="shared" si="54"/>
        <v>10357</v>
      </c>
      <c r="V41" s="21">
        <f t="shared" si="54"/>
        <v>12344</v>
      </c>
      <c r="W41" s="21">
        <f t="shared" si="54"/>
        <v>12248</v>
      </c>
      <c r="X41" s="21">
        <f t="shared" si="54"/>
        <v>11357</v>
      </c>
      <c r="Y41" s="21">
        <f t="shared" si="54"/>
        <v>10871</v>
      </c>
      <c r="Z41" s="21">
        <f>Z6+Z13+Z20+Z27+Z31+Z35+Z36</f>
        <v>12234</v>
      </c>
      <c r="AF41" s="21">
        <f>AF6+AF13+AF20+AF27+AF31+AF35+AF36</f>
        <v>34350</v>
      </c>
      <c r="AG41" s="21">
        <f>AG6+AG13+AG20+AG27+AG31+AG35+AG36</f>
        <v>36397</v>
      </c>
      <c r="AH41" s="21">
        <f>AH6+AH13+AH20+AH27+AH31+AH35+AH36</f>
        <v>39117</v>
      </c>
      <c r="AI41" s="21">
        <f>AI6+AI13+AI20+AI27+AI31+AI35+AI36</f>
        <v>37403</v>
      </c>
      <c r="AJ41" s="21">
        <f>AJ6+AJ13+AJ20+AJ27+AJ31+AJ35+AJ36</f>
        <v>44538</v>
      </c>
      <c r="AK41" s="21">
        <f>AK6+AK13+AK20+AK27+AK31+AK35+AK36</f>
        <v>46710</v>
      </c>
      <c r="AL41" s="21">
        <f>AK41*1.14</f>
        <v>53249.399999999994</v>
      </c>
      <c r="AM41" s="21">
        <f>AL41*1.1</f>
        <v>58574.34</v>
      </c>
      <c r="AN41" s="21">
        <f t="shared" ref="AN41" si="55">AM41*1.1</f>
        <v>64431.774000000005</v>
      </c>
    </row>
    <row r="42" spans="1:40" x14ac:dyDescent="0.2">
      <c r="B42" s="1" t="s">
        <v>22</v>
      </c>
      <c r="C42" s="2">
        <v>4938</v>
      </c>
      <c r="D42" s="2">
        <v>4564</v>
      </c>
      <c r="E42" s="2">
        <v>4682</v>
      </c>
      <c r="F42" s="2">
        <v>4854</v>
      </c>
      <c r="G42" s="2">
        <v>5108</v>
      </c>
      <c r="H42" s="2">
        <v>4876</v>
      </c>
      <c r="I42" s="2">
        <v>5411</v>
      </c>
      <c r="J42" s="2">
        <v>5411</v>
      </c>
      <c r="K42" s="2">
        <v>5551</v>
      </c>
      <c r="L42" s="2">
        <v>5269</v>
      </c>
      <c r="M42" s="2">
        <v>5272</v>
      </c>
      <c r="N42" s="2">
        <v>5551</v>
      </c>
      <c r="O42" s="2">
        <v>5789</v>
      </c>
      <c r="P42" s="2">
        <v>5782</v>
      </c>
      <c r="Q42" s="2">
        <v>5631</v>
      </c>
      <c r="R42" s="2">
        <v>3960</v>
      </c>
      <c r="S42" s="2">
        <v>5853</v>
      </c>
      <c r="T42" s="2">
        <v>6396</v>
      </c>
      <c r="U42" s="2">
        <v>5638</v>
      </c>
      <c r="V42" s="2">
        <v>6689</v>
      </c>
      <c r="W42" s="2">
        <v>6552</v>
      </c>
      <c r="X42" s="2">
        <v>6144</v>
      </c>
      <c r="Y42" s="2">
        <v>5804</v>
      </c>
      <c r="Z42" s="2">
        <v>6731</v>
      </c>
      <c r="AF42" s="2">
        <f>SUM(C42:F42)</f>
        <v>19038</v>
      </c>
      <c r="AG42" s="2">
        <f>SUM(G42:J42)</f>
        <v>20806</v>
      </c>
      <c r="AH42" s="2">
        <f>SUM(K42:N42)</f>
        <v>21643</v>
      </c>
      <c r="AI42" s="2">
        <f>SUM(O42:R42)</f>
        <v>21162</v>
      </c>
      <c r="AJ42" s="2">
        <f>SUM(S42:V42)</f>
        <v>24576</v>
      </c>
      <c r="AK42" s="2">
        <f>SUM(W42:Z42)</f>
        <v>25231</v>
      </c>
      <c r="AL42" s="2">
        <f>AK42*1.05</f>
        <v>26492.550000000003</v>
      </c>
      <c r="AM42" s="2">
        <f>AL42*1.05</f>
        <v>27817.177500000005</v>
      </c>
      <c r="AN42" s="2">
        <f>AM42*1.05</f>
        <v>29208.036375000007</v>
      </c>
    </row>
    <row r="43" spans="1:40" s="21" customFormat="1" ht="15" x14ac:dyDescent="0.25">
      <c r="A43" s="5"/>
      <c r="B43" s="5" t="s">
        <v>23</v>
      </c>
      <c r="C43" s="21">
        <f t="shared" ref="C43:T43" si="56">+C41-C42</f>
        <v>4123</v>
      </c>
      <c r="D43" s="21">
        <f t="shared" si="56"/>
        <v>3616</v>
      </c>
      <c r="E43" s="21">
        <f t="shared" si="56"/>
        <v>3750</v>
      </c>
      <c r="F43" s="21">
        <f t="shared" si="56"/>
        <v>3823</v>
      </c>
      <c r="G43" s="21">
        <f t="shared" si="56"/>
        <v>3962</v>
      </c>
      <c r="H43" s="21">
        <f t="shared" si="56"/>
        <v>3678</v>
      </c>
      <c r="I43" s="21">
        <f t="shared" si="56"/>
        <v>3573</v>
      </c>
      <c r="J43" s="21">
        <f t="shared" si="56"/>
        <v>4378</v>
      </c>
      <c r="K43" s="21">
        <f t="shared" si="56"/>
        <v>4397</v>
      </c>
      <c r="L43" s="21">
        <f t="shared" si="56"/>
        <v>4105</v>
      </c>
      <c r="M43" s="21">
        <f t="shared" si="56"/>
        <v>4339</v>
      </c>
      <c r="N43" s="21">
        <f t="shared" si="56"/>
        <v>4633</v>
      </c>
      <c r="O43" s="21">
        <f t="shared" si="56"/>
        <v>4871</v>
      </c>
      <c r="P43" s="21">
        <f t="shared" si="56"/>
        <v>4544</v>
      </c>
      <c r="Q43" s="21">
        <f t="shared" si="56"/>
        <v>4473</v>
      </c>
      <c r="R43" s="21">
        <f t="shared" si="56"/>
        <v>2353</v>
      </c>
      <c r="S43" s="21">
        <f t="shared" si="56"/>
        <v>4741</v>
      </c>
      <c r="T43" s="21">
        <f t="shared" si="56"/>
        <v>4847</v>
      </c>
      <c r="U43" s="21">
        <f t="shared" ref="U43:Y43" si="57">+U41-U42</f>
        <v>4719</v>
      </c>
      <c r="V43" s="21">
        <f t="shared" si="57"/>
        <v>5655</v>
      </c>
      <c r="W43" s="21">
        <f t="shared" si="57"/>
        <v>5696</v>
      </c>
      <c r="X43" s="21">
        <f t="shared" si="57"/>
        <v>5213</v>
      </c>
      <c r="Y43" s="21">
        <f t="shared" si="57"/>
        <v>5067</v>
      </c>
      <c r="Z43" s="21">
        <f>+Z41-Z42</f>
        <v>5503</v>
      </c>
      <c r="AF43" s="21">
        <f>+AF41-AF42</f>
        <v>15312</v>
      </c>
      <c r="AG43" s="21">
        <f>+AG41-AG42</f>
        <v>15591</v>
      </c>
      <c r="AH43" s="21">
        <f t="shared" ref="AH43:AN43" si="58">+AH41-AH42</f>
        <v>17474</v>
      </c>
      <c r="AI43" s="21">
        <f t="shared" si="58"/>
        <v>16241</v>
      </c>
      <c r="AJ43" s="21">
        <f>+AJ41-AJ42</f>
        <v>19962</v>
      </c>
      <c r="AK43" s="21">
        <f>+AK41-AK42</f>
        <v>21479</v>
      </c>
      <c r="AL43" s="21">
        <f t="shared" si="58"/>
        <v>26756.849999999991</v>
      </c>
      <c r="AM43" s="21">
        <f t="shared" si="58"/>
        <v>30757.162499999991</v>
      </c>
      <c r="AN43" s="21">
        <f t="shared" si="58"/>
        <v>35223.737624999994</v>
      </c>
    </row>
    <row r="44" spans="1:40" x14ac:dyDescent="0.2">
      <c r="B44" s="1" t="s">
        <v>25</v>
      </c>
      <c r="C44" s="2">
        <v>1041</v>
      </c>
      <c r="D44" s="2">
        <v>762</v>
      </c>
      <c r="E44" s="2">
        <v>749</v>
      </c>
      <c r="F44" s="2">
        <v>789</v>
      </c>
      <c r="G44" s="2">
        <v>855</v>
      </c>
      <c r="H44" s="2">
        <v>877</v>
      </c>
      <c r="I44" s="2">
        <v>983</v>
      </c>
      <c r="J44" s="2">
        <v>983</v>
      </c>
      <c r="K44" s="2">
        <v>964</v>
      </c>
      <c r="L44" s="2">
        <v>910</v>
      </c>
      <c r="M44" s="2">
        <v>865</v>
      </c>
      <c r="N44" s="2">
        <v>1014</v>
      </c>
      <c r="O44" s="2">
        <v>1018</v>
      </c>
      <c r="P44" s="2">
        <v>881</v>
      </c>
      <c r="Q44" s="2">
        <v>870</v>
      </c>
      <c r="R44" s="2">
        <v>823</v>
      </c>
      <c r="S44" s="2">
        <v>677</v>
      </c>
      <c r="T44" s="2">
        <v>729</v>
      </c>
      <c r="U44" s="2">
        <v>711</v>
      </c>
      <c r="V44" s="2">
        <v>997</v>
      </c>
      <c r="W44" s="2">
        <v>918</v>
      </c>
      <c r="X44" s="2">
        <v>1017</v>
      </c>
      <c r="Y44" s="2">
        <v>854</v>
      </c>
      <c r="Z44" s="2">
        <v>1061</v>
      </c>
      <c r="AF44" s="2">
        <f>SUM(C44:F44)</f>
        <v>3341</v>
      </c>
      <c r="AG44" s="2">
        <f>SUM(G44:J44)</f>
        <v>3698</v>
      </c>
      <c r="AH44" s="2">
        <f>SUM(K44:N44)</f>
        <v>3753</v>
      </c>
      <c r="AI44" s="2">
        <f>SUM(O44:R44)</f>
        <v>3592</v>
      </c>
      <c r="AJ44" s="2">
        <f>SUM(S44:V44)</f>
        <v>3114</v>
      </c>
      <c r="AK44" s="2">
        <f>SUM(W44:Z44)</f>
        <v>3850</v>
      </c>
      <c r="AL44" s="2">
        <f t="shared" ref="AL44" si="59">AK44*1.03</f>
        <v>3965.5</v>
      </c>
      <c r="AM44" s="2">
        <f>AL44*1.02</f>
        <v>4044.81</v>
      </c>
      <c r="AN44" s="2">
        <f>AM44*1.02</f>
        <v>4125.7061999999996</v>
      </c>
    </row>
    <row r="45" spans="1:40" x14ac:dyDescent="0.2">
      <c r="B45" s="1" t="s">
        <v>24</v>
      </c>
      <c r="C45" s="2">
        <v>1856</v>
      </c>
      <c r="D45" s="2">
        <v>1743</v>
      </c>
      <c r="E45" s="2">
        <v>1747</v>
      </c>
      <c r="F45" s="2">
        <v>1876</v>
      </c>
      <c r="G45" s="2">
        <v>2001</v>
      </c>
      <c r="H45" s="2">
        <v>1891</v>
      </c>
      <c r="I45" s="2">
        <v>2137</v>
      </c>
      <c r="J45" s="2">
        <v>2137</v>
      </c>
      <c r="K45" s="2">
        <v>2099</v>
      </c>
      <c r="L45" s="2">
        <v>2232</v>
      </c>
      <c r="M45" s="2">
        <v>2226</v>
      </c>
      <c r="N45" s="2">
        <v>2392</v>
      </c>
      <c r="O45" s="2">
        <v>2310</v>
      </c>
      <c r="P45" s="2">
        <v>2443</v>
      </c>
      <c r="Q45" s="2">
        <v>2413</v>
      </c>
      <c r="R45" s="2">
        <v>2368</v>
      </c>
      <c r="S45" s="2">
        <v>2298</v>
      </c>
      <c r="T45" s="2">
        <v>2538</v>
      </c>
      <c r="U45" s="2">
        <v>2330</v>
      </c>
      <c r="V45" s="2">
        <v>2745</v>
      </c>
      <c r="W45" s="2">
        <v>2654</v>
      </c>
      <c r="X45" s="2">
        <v>2742</v>
      </c>
      <c r="Y45" s="2">
        <v>2584</v>
      </c>
      <c r="Z45" s="2">
        <v>2974</v>
      </c>
      <c r="AF45" s="2">
        <f>SUM(C45:F45)</f>
        <v>7222</v>
      </c>
      <c r="AG45" s="2">
        <f>SUM(G45:J45)</f>
        <v>8166</v>
      </c>
      <c r="AH45" s="2">
        <f>SUM(K45:N45)</f>
        <v>8949</v>
      </c>
      <c r="AI45" s="2">
        <f>SUM(O45:R45)</f>
        <v>9534</v>
      </c>
      <c r="AJ45" s="2">
        <f>SUM(S45:V45)</f>
        <v>9911</v>
      </c>
      <c r="AK45" s="2">
        <f>SUM(W45:Z45)</f>
        <v>10954</v>
      </c>
      <c r="AL45" s="2">
        <f t="shared" ref="AL45" si="60">AK45*1.03</f>
        <v>11282.62</v>
      </c>
      <c r="AM45" s="2">
        <f>AL45*1.02</f>
        <v>11508.272400000002</v>
      </c>
      <c r="AN45" s="2">
        <f>AM45*1.02</f>
        <v>11738.437848000001</v>
      </c>
    </row>
    <row r="46" spans="1:40" s="21" customFormat="1" ht="15" x14ac:dyDescent="0.25">
      <c r="A46" s="5"/>
      <c r="B46" s="5" t="s">
        <v>26</v>
      </c>
      <c r="C46" s="21">
        <f t="shared" ref="C46:S46" si="61">C44+C45</f>
        <v>2897</v>
      </c>
      <c r="D46" s="21">
        <f t="shared" si="61"/>
        <v>2505</v>
      </c>
      <c r="E46" s="21">
        <f t="shared" si="61"/>
        <v>2496</v>
      </c>
      <c r="F46" s="21">
        <f t="shared" si="61"/>
        <v>2665</v>
      </c>
      <c r="G46" s="21">
        <f t="shared" si="61"/>
        <v>2856</v>
      </c>
      <c r="H46" s="21">
        <f t="shared" si="61"/>
        <v>2768</v>
      </c>
      <c r="I46" s="21">
        <f t="shared" si="61"/>
        <v>3120</v>
      </c>
      <c r="J46" s="21">
        <f t="shared" si="61"/>
        <v>3120</v>
      </c>
      <c r="K46" s="21">
        <f t="shared" si="61"/>
        <v>3063</v>
      </c>
      <c r="L46" s="21">
        <f t="shared" si="61"/>
        <v>3142</v>
      </c>
      <c r="M46" s="21">
        <f t="shared" si="61"/>
        <v>3091</v>
      </c>
      <c r="N46" s="21">
        <f t="shared" si="61"/>
        <v>3406</v>
      </c>
      <c r="O46" s="21">
        <f t="shared" si="61"/>
        <v>3328</v>
      </c>
      <c r="P46" s="21">
        <f t="shared" si="61"/>
        <v>3324</v>
      </c>
      <c r="Q46" s="21">
        <f t="shared" si="61"/>
        <v>3283</v>
      </c>
      <c r="R46" s="21">
        <f t="shared" si="61"/>
        <v>3191</v>
      </c>
      <c r="S46" s="21">
        <f t="shared" si="61"/>
        <v>2975</v>
      </c>
      <c r="T46" s="21">
        <f>+T44+T45</f>
        <v>3267</v>
      </c>
      <c r="U46" s="21">
        <f t="shared" ref="U46:V46" si="62">+U44+U45</f>
        <v>3041</v>
      </c>
      <c r="V46" s="21">
        <f t="shared" si="62"/>
        <v>3742</v>
      </c>
      <c r="W46" s="21">
        <f t="shared" ref="W46:Z46" si="63">+W44+W45</f>
        <v>3572</v>
      </c>
      <c r="X46" s="21">
        <f t="shared" si="63"/>
        <v>3759</v>
      </c>
      <c r="Y46" s="21">
        <f t="shared" si="63"/>
        <v>3438</v>
      </c>
      <c r="Z46" s="21">
        <f t="shared" si="63"/>
        <v>4035</v>
      </c>
      <c r="AF46" s="21">
        <f>+AF44+AF45</f>
        <v>10563</v>
      </c>
      <c r="AG46" s="21">
        <f t="shared" ref="AG46:AN46" si="64">+AG44+AG45</f>
        <v>11864</v>
      </c>
      <c r="AH46" s="21">
        <f t="shared" si="64"/>
        <v>12702</v>
      </c>
      <c r="AI46" s="21">
        <f t="shared" si="64"/>
        <v>13126</v>
      </c>
      <c r="AJ46" s="21">
        <f>+AJ44+AJ45</f>
        <v>13025</v>
      </c>
      <c r="AK46" s="21">
        <f>+AK44+AK45</f>
        <v>14804</v>
      </c>
      <c r="AL46" s="21">
        <f t="shared" si="64"/>
        <v>15248.12</v>
      </c>
      <c r="AM46" s="21">
        <f t="shared" si="64"/>
        <v>15553.082400000001</v>
      </c>
      <c r="AN46" s="21">
        <f t="shared" si="64"/>
        <v>15864.144048000002</v>
      </c>
    </row>
    <row r="47" spans="1:40" s="21" customFormat="1" ht="15" x14ac:dyDescent="0.25">
      <c r="A47" s="5"/>
      <c r="B47" s="5" t="s">
        <v>27</v>
      </c>
      <c r="C47" s="21">
        <f t="shared" ref="C47:T47" si="65">+C43-C46</f>
        <v>1226</v>
      </c>
      <c r="D47" s="21">
        <f t="shared" si="65"/>
        <v>1111</v>
      </c>
      <c r="E47" s="21">
        <f t="shared" si="65"/>
        <v>1254</v>
      </c>
      <c r="F47" s="21">
        <f t="shared" si="65"/>
        <v>1158</v>
      </c>
      <c r="G47" s="21">
        <f t="shared" si="65"/>
        <v>1106</v>
      </c>
      <c r="H47" s="21">
        <f t="shared" si="65"/>
        <v>910</v>
      </c>
      <c r="I47" s="21">
        <f t="shared" si="65"/>
        <v>453</v>
      </c>
      <c r="J47" s="21">
        <f t="shared" si="65"/>
        <v>1258</v>
      </c>
      <c r="K47" s="21">
        <f t="shared" si="65"/>
        <v>1334</v>
      </c>
      <c r="L47" s="21">
        <f t="shared" si="65"/>
        <v>963</v>
      </c>
      <c r="M47" s="21">
        <f t="shared" si="65"/>
        <v>1248</v>
      </c>
      <c r="N47" s="21">
        <f t="shared" si="65"/>
        <v>1227</v>
      </c>
      <c r="O47" s="21">
        <f t="shared" si="65"/>
        <v>1543</v>
      </c>
      <c r="P47" s="21">
        <f t="shared" si="65"/>
        <v>1220</v>
      </c>
      <c r="Q47" s="21">
        <f t="shared" si="65"/>
        <v>1190</v>
      </c>
      <c r="R47" s="21">
        <f t="shared" si="65"/>
        <v>-838</v>
      </c>
      <c r="S47" s="21">
        <f t="shared" si="65"/>
        <v>1766</v>
      </c>
      <c r="T47" s="21">
        <f t="shared" si="65"/>
        <v>1580</v>
      </c>
      <c r="U47" s="21">
        <f t="shared" ref="U47:V47" si="66">+U43-U46</f>
        <v>1678</v>
      </c>
      <c r="V47" s="21">
        <f t="shared" si="66"/>
        <v>1913</v>
      </c>
      <c r="W47" s="21">
        <f t="shared" ref="W47:Z47" si="67">+W43-W46</f>
        <v>2124</v>
      </c>
      <c r="X47" s="21">
        <f t="shared" si="67"/>
        <v>1454</v>
      </c>
      <c r="Y47" s="21">
        <f t="shared" si="67"/>
        <v>1629</v>
      </c>
      <c r="Z47" s="21">
        <f t="shared" si="67"/>
        <v>1468</v>
      </c>
      <c r="AF47" s="21">
        <f>+AF43-AF46</f>
        <v>4749</v>
      </c>
      <c r="AG47" s="21">
        <f t="shared" ref="AG47:AN47" si="68">+AG43-AG46</f>
        <v>3727</v>
      </c>
      <c r="AH47" s="21">
        <f t="shared" si="68"/>
        <v>4772</v>
      </c>
      <c r="AI47" s="21">
        <f t="shared" si="68"/>
        <v>3115</v>
      </c>
      <c r="AJ47" s="21">
        <f>+AJ43-AJ46</f>
        <v>6937</v>
      </c>
      <c r="AK47" s="21">
        <f>+AK43-AK46</f>
        <v>6675</v>
      </c>
      <c r="AL47" s="21">
        <f t="shared" si="68"/>
        <v>11508.72999999999</v>
      </c>
      <c r="AM47" s="21">
        <f t="shared" si="68"/>
        <v>15204.08009999999</v>
      </c>
      <c r="AN47" s="21">
        <f t="shared" si="68"/>
        <v>19359.593576999992</v>
      </c>
    </row>
    <row r="48" spans="1:40" x14ac:dyDescent="0.2">
      <c r="B48" s="42" t="s">
        <v>89</v>
      </c>
      <c r="C48" s="2">
        <f>7</f>
        <v>7</v>
      </c>
      <c r="D48" s="2">
        <f>15</f>
        <v>15</v>
      </c>
      <c r="E48" s="2">
        <f>19</f>
        <v>19</v>
      </c>
      <c r="F48" s="2">
        <f>18</f>
        <v>18</v>
      </c>
      <c r="G48" s="2">
        <f>16</f>
        <v>16</v>
      </c>
      <c r="H48" s="2">
        <f>13</f>
        <v>13</v>
      </c>
      <c r="I48" s="2">
        <f>12</f>
        <v>12</v>
      </c>
      <c r="J48" s="2">
        <f>12</f>
        <v>12</v>
      </c>
      <c r="K48" s="2">
        <f>11</f>
        <v>11</v>
      </c>
      <c r="L48" s="2">
        <f>14</f>
        <v>14</v>
      </c>
      <c r="M48" s="2">
        <f>12</f>
        <v>12</v>
      </c>
      <c r="N48" s="2">
        <f>12</f>
        <v>12</v>
      </c>
      <c r="O48" s="2">
        <f>15</f>
        <v>15</v>
      </c>
      <c r="P48" s="2">
        <f>12</f>
        <v>12</v>
      </c>
      <c r="Q48" s="2">
        <f>12</f>
        <v>12</v>
      </c>
      <c r="R48" s="2">
        <f>50</f>
        <v>50</v>
      </c>
      <c r="S48" s="2">
        <f>65</f>
        <v>65</v>
      </c>
      <c r="T48" s="2">
        <f>70</f>
        <v>70</v>
      </c>
      <c r="U48" s="2">
        <f>64</f>
        <v>64</v>
      </c>
      <c r="V48" s="2">
        <v>63</v>
      </c>
      <c r="W48" s="2">
        <f>57</f>
        <v>57</v>
      </c>
      <c r="X48" s="2">
        <f>55</f>
        <v>55</v>
      </c>
      <c r="Y48" s="2">
        <f>53</f>
        <v>53</v>
      </c>
      <c r="Z48" s="2">
        <v>40</v>
      </c>
      <c r="AF48" s="2">
        <f>SUM(C48:F48)</f>
        <v>59</v>
      </c>
      <c r="AG48" s="2">
        <f>SUM(G48:J48)</f>
        <v>53</v>
      </c>
      <c r="AH48" s="2">
        <f>SUM(K48:N48)</f>
        <v>49</v>
      </c>
      <c r="AI48" s="2">
        <f>SUM(O48:R48)</f>
        <v>89</v>
      </c>
      <c r="AJ48" s="2">
        <f>SUM(S48:V48)</f>
        <v>262</v>
      </c>
      <c r="AK48" s="2">
        <f>SUM(W48:Z48)</f>
        <v>205</v>
      </c>
      <c r="AL48" s="2">
        <f t="shared" ref="AL48:AN49" si="69">AK48*1.05</f>
        <v>215.25</v>
      </c>
      <c r="AM48" s="2">
        <f t="shared" si="69"/>
        <v>226.01250000000002</v>
      </c>
      <c r="AN48" s="2">
        <f t="shared" si="69"/>
        <v>237.31312500000004</v>
      </c>
    </row>
    <row r="49" spans="1:386" x14ac:dyDescent="0.2">
      <c r="B49" s="42" t="s">
        <v>88</v>
      </c>
      <c r="C49" s="2">
        <v>-62</v>
      </c>
      <c r="D49" s="2">
        <v>-18</v>
      </c>
      <c r="E49" s="2">
        <v>-88</v>
      </c>
      <c r="F49" s="2">
        <v>-28</v>
      </c>
      <c r="G49" s="2">
        <v>18</v>
      </c>
      <c r="H49" s="2">
        <v>18</v>
      </c>
      <c r="I49" s="2">
        <v>31</v>
      </c>
      <c r="J49" s="2">
        <v>31</v>
      </c>
      <c r="K49" s="2">
        <v>53</v>
      </c>
      <c r="L49" s="2">
        <v>-48</v>
      </c>
      <c r="M49" s="2">
        <v>-55</v>
      </c>
      <c r="N49" s="2">
        <v>-28</v>
      </c>
      <c r="O49" s="2">
        <v>-33</v>
      </c>
      <c r="P49" s="2">
        <v>-41</v>
      </c>
      <c r="Q49" s="2">
        <v>297</v>
      </c>
      <c r="R49" s="2">
        <v>-84</v>
      </c>
      <c r="S49" s="2">
        <v>-14</v>
      </c>
      <c r="T49" s="2">
        <v>54</v>
      </c>
      <c r="U49" s="2">
        <v>-22</v>
      </c>
      <c r="V49" s="2">
        <v>-4</v>
      </c>
      <c r="W49" s="2">
        <v>-39</v>
      </c>
      <c r="X49" s="2">
        <v>-102</v>
      </c>
      <c r="Y49" s="2">
        <v>-94</v>
      </c>
      <c r="Z49" s="2">
        <v>54</v>
      </c>
      <c r="AF49" s="2">
        <f>SUM(C49:F49)</f>
        <v>-196</v>
      </c>
      <c r="AG49" s="2">
        <f>SUM(G49:J49)</f>
        <v>98</v>
      </c>
      <c r="AH49" s="2">
        <f>SUM(K49:N49)</f>
        <v>-78</v>
      </c>
      <c r="AI49" s="2">
        <f>SUM(O49:R49)</f>
        <v>139</v>
      </c>
      <c r="AJ49" s="2">
        <f>SUM(S49:V49)</f>
        <v>14</v>
      </c>
      <c r="AK49" s="2">
        <f>SUM(W49:Z49)</f>
        <v>-181</v>
      </c>
      <c r="AL49" s="2">
        <f t="shared" si="69"/>
        <v>-190.05</v>
      </c>
      <c r="AM49" s="2">
        <f t="shared" si="69"/>
        <v>-199.55250000000001</v>
      </c>
      <c r="AN49" s="2">
        <f t="shared" si="69"/>
        <v>-209.53012500000003</v>
      </c>
    </row>
    <row r="50" spans="1:386" x14ac:dyDescent="0.2">
      <c r="B50" s="1" t="s">
        <v>28</v>
      </c>
      <c r="C50" s="2">
        <f>+C47-C48-C49</f>
        <v>1281</v>
      </c>
      <c r="D50" s="2">
        <f t="shared" ref="D50:Y50" si="70">+D47-D48-D49</f>
        <v>1114</v>
      </c>
      <c r="E50" s="2">
        <f t="shared" si="70"/>
        <v>1323</v>
      </c>
      <c r="F50" s="2">
        <f t="shared" si="70"/>
        <v>1168</v>
      </c>
      <c r="G50" s="2">
        <f t="shared" si="70"/>
        <v>1072</v>
      </c>
      <c r="H50" s="2">
        <f t="shared" si="70"/>
        <v>879</v>
      </c>
      <c r="I50" s="2">
        <f t="shared" si="70"/>
        <v>410</v>
      </c>
      <c r="J50" s="2">
        <f t="shared" si="70"/>
        <v>1215</v>
      </c>
      <c r="K50" s="2">
        <f t="shared" si="70"/>
        <v>1270</v>
      </c>
      <c r="L50" s="2">
        <f t="shared" si="70"/>
        <v>997</v>
      </c>
      <c r="M50" s="2">
        <f t="shared" si="70"/>
        <v>1291</v>
      </c>
      <c r="N50" s="2">
        <f t="shared" si="70"/>
        <v>1243</v>
      </c>
      <c r="O50" s="2">
        <f t="shared" si="70"/>
        <v>1561</v>
      </c>
      <c r="P50" s="2">
        <f t="shared" si="70"/>
        <v>1249</v>
      </c>
      <c r="Q50" s="2">
        <f t="shared" si="70"/>
        <v>881</v>
      </c>
      <c r="R50" s="2">
        <f t="shared" si="70"/>
        <v>-804</v>
      </c>
      <c r="S50" s="2">
        <f t="shared" si="70"/>
        <v>1715</v>
      </c>
      <c r="T50" s="2">
        <f t="shared" si="70"/>
        <v>1456</v>
      </c>
      <c r="U50" s="2">
        <f t="shared" si="70"/>
        <v>1636</v>
      </c>
      <c r="V50" s="2">
        <f t="shared" si="70"/>
        <v>1854</v>
      </c>
      <c r="W50" s="2">
        <f t="shared" si="70"/>
        <v>2106</v>
      </c>
      <c r="X50" s="2">
        <f t="shared" si="70"/>
        <v>1501</v>
      </c>
      <c r="Y50" s="2">
        <f t="shared" si="70"/>
        <v>1670</v>
      </c>
      <c r="Z50" s="2">
        <f>+Z47-Z48-Z49</f>
        <v>1374</v>
      </c>
      <c r="AF50" s="2">
        <f>+AF47-AF48-AF49</f>
        <v>4886</v>
      </c>
      <c r="AG50" s="2">
        <f t="shared" ref="AG50:AN50" si="71">+AG47-AG48-AG49</f>
        <v>3576</v>
      </c>
      <c r="AH50" s="2">
        <f t="shared" si="71"/>
        <v>4801</v>
      </c>
      <c r="AI50" s="2">
        <f t="shared" si="71"/>
        <v>2887</v>
      </c>
      <c r="AJ50" s="2">
        <f t="shared" si="71"/>
        <v>6661</v>
      </c>
      <c r="AK50" s="2">
        <f>+AK47-AK48-AK49</f>
        <v>6651</v>
      </c>
      <c r="AL50" s="2">
        <f t="shared" si="71"/>
        <v>11483.52999999999</v>
      </c>
      <c r="AM50" s="2">
        <f t="shared" si="71"/>
        <v>15177.620099999989</v>
      </c>
      <c r="AN50" s="2">
        <f t="shared" si="71"/>
        <v>19331.810576999993</v>
      </c>
    </row>
    <row r="51" spans="1:386" x14ac:dyDescent="0.2">
      <c r="B51" s="1" t="s">
        <v>29</v>
      </c>
      <c r="C51" s="2">
        <v>32</v>
      </c>
      <c r="D51" s="2">
        <v>272</v>
      </c>
      <c r="E51" s="2">
        <v>182</v>
      </c>
      <c r="F51" s="2">
        <v>160</v>
      </c>
      <c r="G51" s="2">
        <v>122</v>
      </c>
      <c r="H51" s="2">
        <v>112</v>
      </c>
      <c r="I51" s="2">
        <v>78</v>
      </c>
      <c r="J51" s="2">
        <v>78</v>
      </c>
      <c r="K51" s="2">
        <v>178</v>
      </c>
      <c r="L51" s="2">
        <v>150</v>
      </c>
      <c r="M51" s="2">
        <v>190</v>
      </c>
      <c r="N51" s="2">
        <v>254</v>
      </c>
      <c r="O51" s="2">
        <v>194</v>
      </c>
      <c r="P51" s="2">
        <v>134</v>
      </c>
      <c r="Q51" s="2">
        <v>34</v>
      </c>
      <c r="R51" s="2">
        <v>-14</v>
      </c>
      <c r="S51" s="2">
        <v>197</v>
      </c>
      <c r="T51" s="2">
        <v>205</v>
      </c>
      <c r="U51" s="2">
        <v>187</v>
      </c>
      <c r="V51" s="2">
        <v>345</v>
      </c>
      <c r="W51" s="2">
        <v>232</v>
      </c>
      <c r="X51" s="2">
        <v>164</v>
      </c>
      <c r="Y51" s="2">
        <v>274</v>
      </c>
      <c r="Z51" s="2">
        <v>-65</v>
      </c>
      <c r="AF51" s="2">
        <f>SUM(C51:F51)</f>
        <v>646</v>
      </c>
      <c r="AG51" s="2">
        <f>SUM(G51:J51)</f>
        <v>390</v>
      </c>
      <c r="AH51" s="2">
        <f>SUM(K51:N51)</f>
        <v>772</v>
      </c>
      <c r="AI51" s="2">
        <f>SUM(O51:R51)</f>
        <v>348</v>
      </c>
      <c r="AJ51" s="2">
        <f>SUM(S51:V51)</f>
        <v>934</v>
      </c>
      <c r="AK51" s="2">
        <f>SUM(W51:Z51)</f>
        <v>605</v>
      </c>
      <c r="AL51" s="2">
        <f t="shared" ref="AL51:AN51" si="72">AL50*0.21</f>
        <v>2411.5412999999976</v>
      </c>
      <c r="AM51" s="2">
        <f t="shared" si="72"/>
        <v>3187.3002209999977</v>
      </c>
      <c r="AN51" s="2">
        <f t="shared" si="72"/>
        <v>4059.6802211699983</v>
      </c>
    </row>
    <row r="52" spans="1:386" s="21" customFormat="1" ht="15" x14ac:dyDescent="0.25">
      <c r="A52" s="5"/>
      <c r="B52" s="5" t="s">
        <v>30</v>
      </c>
      <c r="C52" s="21">
        <f t="shared" ref="C52:T52" si="73">+C50-C51</f>
        <v>1249</v>
      </c>
      <c r="D52" s="21">
        <f t="shared" si="73"/>
        <v>842</v>
      </c>
      <c r="E52" s="21">
        <f t="shared" si="73"/>
        <v>1141</v>
      </c>
      <c r="F52" s="21">
        <f t="shared" si="73"/>
        <v>1008</v>
      </c>
      <c r="G52" s="21">
        <f t="shared" si="73"/>
        <v>950</v>
      </c>
      <c r="H52" s="21">
        <f t="shared" si="73"/>
        <v>767</v>
      </c>
      <c r="I52" s="21">
        <f t="shared" si="73"/>
        <v>332</v>
      </c>
      <c r="J52" s="21">
        <f t="shared" si="73"/>
        <v>1137</v>
      </c>
      <c r="K52" s="21">
        <f t="shared" si="73"/>
        <v>1092</v>
      </c>
      <c r="L52" s="21">
        <f t="shared" si="73"/>
        <v>847</v>
      </c>
      <c r="M52" s="21">
        <f t="shared" si="73"/>
        <v>1101</v>
      </c>
      <c r="N52" s="21">
        <f t="shared" si="73"/>
        <v>989</v>
      </c>
      <c r="O52" s="21">
        <f t="shared" si="73"/>
        <v>1367</v>
      </c>
      <c r="P52" s="21">
        <f t="shared" si="73"/>
        <v>1115</v>
      </c>
      <c r="Q52" s="21">
        <f t="shared" si="73"/>
        <v>847</v>
      </c>
      <c r="R52" s="21">
        <f t="shared" si="73"/>
        <v>-790</v>
      </c>
      <c r="S52" s="21">
        <f t="shared" si="73"/>
        <v>1518</v>
      </c>
      <c r="T52" s="21">
        <f t="shared" si="73"/>
        <v>1251</v>
      </c>
      <c r="U52" s="21">
        <f t="shared" ref="U52:Z52" si="74">+U50-U51</f>
        <v>1449</v>
      </c>
      <c r="V52" s="21">
        <f t="shared" si="74"/>
        <v>1509</v>
      </c>
      <c r="W52" s="21">
        <f t="shared" si="74"/>
        <v>1874</v>
      </c>
      <c r="X52" s="21">
        <f t="shared" si="74"/>
        <v>1337</v>
      </c>
      <c r="Y52" s="21">
        <f t="shared" si="74"/>
        <v>1396</v>
      </c>
      <c r="Z52" s="21">
        <f t="shared" si="74"/>
        <v>1439</v>
      </c>
      <c r="AF52" s="21">
        <f>AF50-AF51</f>
        <v>4240</v>
      </c>
      <c r="AG52" s="21">
        <f t="shared" ref="AG52:AN52" si="75">AG50-AG51</f>
        <v>3186</v>
      </c>
      <c r="AH52" s="21">
        <f t="shared" si="75"/>
        <v>4029</v>
      </c>
      <c r="AI52" s="21">
        <f t="shared" si="75"/>
        <v>2539</v>
      </c>
      <c r="AJ52" s="21">
        <f>AJ50-AJ51</f>
        <v>5727</v>
      </c>
      <c r="AK52" s="21">
        <f>AK50-AK51</f>
        <v>6046</v>
      </c>
      <c r="AL52" s="21">
        <f t="shared" si="75"/>
        <v>9071.9886999999926</v>
      </c>
      <c r="AM52" s="21">
        <f t="shared" si="75"/>
        <v>11990.319878999991</v>
      </c>
      <c r="AN52" s="21">
        <f t="shared" si="75"/>
        <v>15272.130355829995</v>
      </c>
      <c r="AO52" s="21">
        <f>AN52*(1+$AR$55)</f>
        <v>15119.409052271694</v>
      </c>
      <c r="AP52" s="21">
        <f t="shared" ref="AP52:DA52" si="76">AO52*(1+$AR$55)</f>
        <v>14968.214961748978</v>
      </c>
      <c r="AQ52" s="21">
        <f t="shared" si="76"/>
        <v>14818.532812131487</v>
      </c>
      <c r="AR52" s="21">
        <f t="shared" si="76"/>
        <v>14670.347484010172</v>
      </c>
      <c r="AS52" s="21">
        <f t="shared" si="76"/>
        <v>14523.64400917007</v>
      </c>
      <c r="AT52" s="21">
        <f t="shared" si="76"/>
        <v>14378.407569078368</v>
      </c>
      <c r="AU52" s="21">
        <f t="shared" si="76"/>
        <v>14234.623493387584</v>
      </c>
      <c r="AV52" s="21">
        <f t="shared" si="76"/>
        <v>14092.277258453709</v>
      </c>
      <c r="AW52" s="21">
        <f t="shared" si="76"/>
        <v>13951.354485869171</v>
      </c>
      <c r="AX52" s="21">
        <f t="shared" si="76"/>
        <v>13811.84094101048</v>
      </c>
      <c r="AY52" s="21">
        <f t="shared" si="76"/>
        <v>13673.722531600375</v>
      </c>
      <c r="AZ52" s="21">
        <f t="shared" si="76"/>
        <v>13536.98530628437</v>
      </c>
      <c r="BA52" s="21">
        <f t="shared" si="76"/>
        <v>13401.615453221526</v>
      </c>
      <c r="BB52" s="21">
        <f t="shared" si="76"/>
        <v>13267.599298689311</v>
      </c>
      <c r="BC52" s="21">
        <f t="shared" si="76"/>
        <v>13134.923305702418</v>
      </c>
      <c r="BD52" s="21">
        <f t="shared" si="76"/>
        <v>13003.574072645393</v>
      </c>
      <c r="BE52" s="21">
        <f t="shared" si="76"/>
        <v>12873.538331918939</v>
      </c>
      <c r="BF52" s="21">
        <f t="shared" si="76"/>
        <v>12744.802948599749</v>
      </c>
      <c r="BG52" s="21">
        <f t="shared" si="76"/>
        <v>12617.354919113752</v>
      </c>
      <c r="BH52" s="21">
        <f t="shared" si="76"/>
        <v>12491.181369922615</v>
      </c>
      <c r="BI52" s="21">
        <f t="shared" si="76"/>
        <v>12366.269556223389</v>
      </c>
      <c r="BJ52" s="21">
        <f t="shared" si="76"/>
        <v>12242.606860661155</v>
      </c>
      <c r="BK52" s="21">
        <f t="shared" si="76"/>
        <v>12120.180792054543</v>
      </c>
      <c r="BL52" s="21">
        <f t="shared" si="76"/>
        <v>11998.978984133997</v>
      </c>
      <c r="BM52" s="21">
        <f t="shared" si="76"/>
        <v>11878.989194292657</v>
      </c>
      <c r="BN52" s="21">
        <f t="shared" si="76"/>
        <v>11760.199302349731</v>
      </c>
      <c r="BO52" s="21">
        <f t="shared" si="76"/>
        <v>11642.597309326233</v>
      </c>
      <c r="BP52" s="21">
        <f t="shared" si="76"/>
        <v>11526.17133623297</v>
      </c>
      <c r="BQ52" s="21">
        <f t="shared" si="76"/>
        <v>11410.90962287064</v>
      </c>
      <c r="BR52" s="21">
        <f t="shared" si="76"/>
        <v>11296.800526641933</v>
      </c>
      <c r="BS52" s="21">
        <f t="shared" si="76"/>
        <v>11183.832521375514</v>
      </c>
      <c r="BT52" s="21">
        <f t="shared" si="76"/>
        <v>11071.994196161759</v>
      </c>
      <c r="BU52" s="21">
        <f t="shared" si="76"/>
        <v>10961.274254200142</v>
      </c>
      <c r="BV52" s="21">
        <f t="shared" si="76"/>
        <v>10851.66151165814</v>
      </c>
      <c r="BW52" s="21">
        <f t="shared" si="76"/>
        <v>10743.144896541558</v>
      </c>
      <c r="BX52" s="21">
        <f t="shared" si="76"/>
        <v>10635.713447576143</v>
      </c>
      <c r="BY52" s="21">
        <f t="shared" si="76"/>
        <v>10529.356313100381</v>
      </c>
      <c r="BZ52" s="21">
        <f t="shared" si="76"/>
        <v>10424.062749969376</v>
      </c>
      <c r="CA52" s="21">
        <f t="shared" si="76"/>
        <v>10319.822122469683</v>
      </c>
      <c r="CB52" s="21">
        <f t="shared" si="76"/>
        <v>10216.623901244986</v>
      </c>
      <c r="CC52" s="21">
        <f t="shared" si="76"/>
        <v>10114.457662232537</v>
      </c>
      <c r="CD52" s="21">
        <f t="shared" si="76"/>
        <v>10013.313085610211</v>
      </c>
      <c r="CE52" s="21">
        <f t="shared" si="76"/>
        <v>9913.1799547541086</v>
      </c>
      <c r="CF52" s="21">
        <f t="shared" si="76"/>
        <v>9814.0481552065667</v>
      </c>
      <c r="CG52" s="21">
        <f t="shared" si="76"/>
        <v>9715.9076736545012</v>
      </c>
      <c r="CH52" s="21">
        <f t="shared" si="76"/>
        <v>9618.7485969179561</v>
      </c>
      <c r="CI52" s="21">
        <f t="shared" si="76"/>
        <v>9522.5611109487763</v>
      </c>
      <c r="CJ52" s="21">
        <f t="shared" si="76"/>
        <v>9427.3354998392879</v>
      </c>
      <c r="CK52" s="21">
        <f t="shared" si="76"/>
        <v>9333.0621448408947</v>
      </c>
      <c r="CL52" s="21">
        <f t="shared" si="76"/>
        <v>9239.7315233924855</v>
      </c>
      <c r="CM52" s="21">
        <f t="shared" si="76"/>
        <v>9147.3342081585597</v>
      </c>
      <c r="CN52" s="21">
        <f t="shared" si="76"/>
        <v>9055.8608660769733</v>
      </c>
      <c r="CO52" s="21">
        <f t="shared" si="76"/>
        <v>8965.3022574162042</v>
      </c>
      <c r="CP52" s="21">
        <f t="shared" si="76"/>
        <v>8875.6492348420416</v>
      </c>
      <c r="CQ52" s="21">
        <f t="shared" si="76"/>
        <v>8786.892742493621</v>
      </c>
      <c r="CR52" s="21">
        <f t="shared" si="76"/>
        <v>8699.0238150686855</v>
      </c>
      <c r="CS52" s="21">
        <f t="shared" si="76"/>
        <v>8612.0335769179983</v>
      </c>
      <c r="CT52" s="21">
        <f t="shared" si="76"/>
        <v>8525.913241148819</v>
      </c>
      <c r="CU52" s="21">
        <f t="shared" si="76"/>
        <v>8440.6541087373316</v>
      </c>
      <c r="CV52" s="21">
        <f t="shared" si="76"/>
        <v>8356.247567649958</v>
      </c>
      <c r="CW52" s="21">
        <f t="shared" si="76"/>
        <v>8272.6850919734588</v>
      </c>
      <c r="CX52" s="21">
        <f t="shared" si="76"/>
        <v>8189.9582410537241</v>
      </c>
      <c r="CY52" s="21">
        <f t="shared" si="76"/>
        <v>8108.0586586431864</v>
      </c>
      <c r="CZ52" s="21">
        <f t="shared" si="76"/>
        <v>8026.9780720567542</v>
      </c>
      <c r="DA52" s="21">
        <f t="shared" si="76"/>
        <v>7946.7082913361864</v>
      </c>
      <c r="DB52" s="21">
        <f t="shared" ref="DB52:FM52" si="77">DA52*(1+$AR$55)</f>
        <v>7867.2412084228245</v>
      </c>
      <c r="DC52" s="21">
        <f t="shared" si="77"/>
        <v>7788.5687963385963</v>
      </c>
      <c r="DD52" s="21">
        <f t="shared" si="77"/>
        <v>7710.6831083752104</v>
      </c>
      <c r="DE52" s="21">
        <f t="shared" si="77"/>
        <v>7633.5762772914586</v>
      </c>
      <c r="DF52" s="21">
        <f t="shared" si="77"/>
        <v>7557.2405145185439</v>
      </c>
      <c r="DG52" s="21">
        <f t="shared" si="77"/>
        <v>7481.6681093733587</v>
      </c>
      <c r="DH52" s="21">
        <f t="shared" si="77"/>
        <v>7406.851428279625</v>
      </c>
      <c r="DI52" s="21">
        <f t="shared" si="77"/>
        <v>7332.7829139968289</v>
      </c>
      <c r="DJ52" s="21">
        <f t="shared" si="77"/>
        <v>7259.4550848568606</v>
      </c>
      <c r="DK52" s="21">
        <f t="shared" si="77"/>
        <v>7186.8605340082922</v>
      </c>
      <c r="DL52" s="21">
        <f t="shared" si="77"/>
        <v>7114.9919286682089</v>
      </c>
      <c r="DM52" s="21">
        <f t="shared" si="77"/>
        <v>7043.8420093815266</v>
      </c>
      <c r="DN52" s="21">
        <f t="shared" si="77"/>
        <v>6973.4035892877109</v>
      </c>
      <c r="DO52" s="21">
        <f t="shared" si="77"/>
        <v>6903.6695533948341</v>
      </c>
      <c r="DP52" s="21">
        <f t="shared" si="77"/>
        <v>6834.6328578608855</v>
      </c>
      <c r="DQ52" s="21">
        <f t="shared" si="77"/>
        <v>6766.2865292822762</v>
      </c>
      <c r="DR52" s="21">
        <f t="shared" si="77"/>
        <v>6698.6236639894532</v>
      </c>
      <c r="DS52" s="21">
        <f t="shared" si="77"/>
        <v>6631.6374273495585</v>
      </c>
      <c r="DT52" s="21">
        <f t="shared" si="77"/>
        <v>6565.3210530760625</v>
      </c>
      <c r="DU52" s="21">
        <f t="shared" si="77"/>
        <v>6499.6678425453019</v>
      </c>
      <c r="DV52" s="21">
        <f t="shared" si="77"/>
        <v>6434.671164119849</v>
      </c>
      <c r="DW52" s="21">
        <f t="shared" si="77"/>
        <v>6370.3244524786505</v>
      </c>
      <c r="DX52" s="21">
        <f t="shared" si="77"/>
        <v>6306.6212079538636</v>
      </c>
      <c r="DY52" s="21">
        <f t="shared" si="77"/>
        <v>6243.554995874325</v>
      </c>
      <c r="DZ52" s="21">
        <f t="shared" si="77"/>
        <v>6181.1194459155813</v>
      </c>
      <c r="EA52" s="21">
        <f t="shared" si="77"/>
        <v>6119.3082514564258</v>
      </c>
      <c r="EB52" s="21">
        <f t="shared" si="77"/>
        <v>6058.1151689418612</v>
      </c>
      <c r="EC52" s="21">
        <f t="shared" si="77"/>
        <v>5997.5340172524429</v>
      </c>
      <c r="ED52" s="21">
        <f t="shared" si="77"/>
        <v>5937.5586770799182</v>
      </c>
      <c r="EE52" s="21">
        <f t="shared" si="77"/>
        <v>5878.1830903091186</v>
      </c>
      <c r="EF52" s="21">
        <f t="shared" si="77"/>
        <v>5819.4012594060277</v>
      </c>
      <c r="EG52" s="21">
        <f t="shared" si="77"/>
        <v>5761.2072468119677</v>
      </c>
      <c r="EH52" s="21">
        <f t="shared" si="77"/>
        <v>5703.5951743438482</v>
      </c>
      <c r="EI52" s="21">
        <f t="shared" si="77"/>
        <v>5646.5592226004101</v>
      </c>
      <c r="EJ52" s="21">
        <f t="shared" si="77"/>
        <v>5590.0936303744056</v>
      </c>
      <c r="EK52" s="21">
        <f t="shared" si="77"/>
        <v>5534.1926940706617</v>
      </c>
      <c r="EL52" s="21">
        <f t="shared" si="77"/>
        <v>5478.8507671299549</v>
      </c>
      <c r="EM52" s="21">
        <f t="shared" si="77"/>
        <v>5424.0622594586557</v>
      </c>
      <c r="EN52" s="21">
        <f t="shared" si="77"/>
        <v>5369.8216368640688</v>
      </c>
      <c r="EO52" s="21">
        <f t="shared" si="77"/>
        <v>5316.123420495428</v>
      </c>
      <c r="EP52" s="21">
        <f t="shared" si="77"/>
        <v>5262.9621862904733</v>
      </c>
      <c r="EQ52" s="21">
        <f t="shared" si="77"/>
        <v>5210.3325644275683</v>
      </c>
      <c r="ER52" s="21">
        <f t="shared" si="77"/>
        <v>5158.2292387832922</v>
      </c>
      <c r="ES52" s="21">
        <f t="shared" si="77"/>
        <v>5106.6469463954591</v>
      </c>
      <c r="ET52" s="21">
        <f t="shared" si="77"/>
        <v>5055.5804769315046</v>
      </c>
      <c r="EU52" s="21">
        <f t="shared" si="77"/>
        <v>5005.0246721621897</v>
      </c>
      <c r="EV52" s="21">
        <f t="shared" si="77"/>
        <v>4954.9744254405678</v>
      </c>
      <c r="EW52" s="21">
        <f t="shared" si="77"/>
        <v>4905.4246811861622</v>
      </c>
      <c r="EX52" s="21">
        <f t="shared" si="77"/>
        <v>4856.3704343743002</v>
      </c>
      <c r="EY52" s="21">
        <f t="shared" si="77"/>
        <v>4807.8067300305574</v>
      </c>
      <c r="EZ52" s="21">
        <f t="shared" si="77"/>
        <v>4759.7286627302519</v>
      </c>
      <c r="FA52" s="21">
        <f t="shared" si="77"/>
        <v>4712.1313761029496</v>
      </c>
      <c r="FB52" s="21">
        <f t="shared" si="77"/>
        <v>4665.0100623419203</v>
      </c>
      <c r="FC52" s="21">
        <f t="shared" si="77"/>
        <v>4618.3599617185009</v>
      </c>
      <c r="FD52" s="21">
        <f t="shared" si="77"/>
        <v>4572.176362101316</v>
      </c>
      <c r="FE52" s="21">
        <f t="shared" si="77"/>
        <v>4526.4545984803026</v>
      </c>
      <c r="FF52" s="21">
        <f t="shared" si="77"/>
        <v>4481.1900524954999</v>
      </c>
      <c r="FG52" s="21">
        <f t="shared" si="77"/>
        <v>4436.3781519705444</v>
      </c>
      <c r="FH52" s="21">
        <f t="shared" si="77"/>
        <v>4392.0143704508391</v>
      </c>
      <c r="FI52" s="21">
        <f t="shared" si="77"/>
        <v>4348.0942267463306</v>
      </c>
      <c r="FJ52" s="21">
        <f t="shared" si="77"/>
        <v>4304.6132844788672</v>
      </c>
      <c r="FK52" s="21">
        <f t="shared" si="77"/>
        <v>4261.5671516340781</v>
      </c>
      <c r="FL52" s="21">
        <f t="shared" si="77"/>
        <v>4218.9514801177374</v>
      </c>
      <c r="FM52" s="21">
        <f t="shared" si="77"/>
        <v>4176.7619653165602</v>
      </c>
      <c r="FN52" s="21">
        <f t="shared" ref="FN52:HH52" si="78">FM52*(1+$AR$55)</f>
        <v>4134.9943456633946</v>
      </c>
      <c r="FO52" s="21">
        <f t="shared" si="78"/>
        <v>4093.6444022067608</v>
      </c>
      <c r="FP52" s="21">
        <f t="shared" si="78"/>
        <v>4052.7079581846933</v>
      </c>
      <c r="FQ52" s="21">
        <f t="shared" si="78"/>
        <v>4012.1808786028464</v>
      </c>
      <c r="FR52" s="21">
        <f t="shared" si="78"/>
        <v>3972.059069816818</v>
      </c>
      <c r="FS52" s="21">
        <f t="shared" si="78"/>
        <v>3932.33847911865</v>
      </c>
      <c r="FT52" s="21">
        <f t="shared" si="78"/>
        <v>3893.0150943274634</v>
      </c>
      <c r="FU52" s="21">
        <f t="shared" si="78"/>
        <v>3854.0849433841886</v>
      </c>
      <c r="FV52" s="21">
        <f t="shared" si="78"/>
        <v>3815.5440939503465</v>
      </c>
      <c r="FW52" s="21">
        <f t="shared" si="78"/>
        <v>3777.388653010843</v>
      </c>
      <c r="FX52" s="21">
        <f t="shared" si="78"/>
        <v>3739.6147664807345</v>
      </c>
      <c r="FY52" s="21">
        <f t="shared" si="78"/>
        <v>3702.2186188159271</v>
      </c>
      <c r="FZ52" s="21">
        <f t="shared" si="78"/>
        <v>3665.196432627768</v>
      </c>
      <c r="GA52" s="21">
        <f t="shared" si="78"/>
        <v>3628.5444683014903</v>
      </c>
      <c r="GB52" s="21">
        <f t="shared" si="78"/>
        <v>3592.2590236184751</v>
      </c>
      <c r="GC52" s="21">
        <f t="shared" si="78"/>
        <v>3556.3364333822901</v>
      </c>
      <c r="GD52" s="21">
        <f t="shared" si="78"/>
        <v>3520.7730690484673</v>
      </c>
      <c r="GE52" s="21">
        <f t="shared" si="78"/>
        <v>3485.5653383579825</v>
      </c>
      <c r="GF52" s="21">
        <f t="shared" si="78"/>
        <v>3450.7096849744025</v>
      </c>
      <c r="GG52" s="21">
        <f t="shared" si="78"/>
        <v>3416.2025881246586</v>
      </c>
      <c r="GH52" s="21">
        <f t="shared" si="78"/>
        <v>3382.0405622434118</v>
      </c>
      <c r="GI52" s="21">
        <f t="shared" si="78"/>
        <v>3348.2201566209778</v>
      </c>
      <c r="GJ52" s="21">
        <f t="shared" si="78"/>
        <v>3314.737955054768</v>
      </c>
      <c r="GK52" s="21">
        <f t="shared" si="78"/>
        <v>3281.5905755042204</v>
      </c>
      <c r="GL52" s="21">
        <f t="shared" si="78"/>
        <v>3248.774669749178</v>
      </c>
      <c r="GM52" s="21">
        <f t="shared" si="78"/>
        <v>3216.2869230516862</v>
      </c>
      <c r="GN52" s="21">
        <f t="shared" si="78"/>
        <v>3184.1240538211691</v>
      </c>
      <c r="GO52" s="21">
        <f t="shared" si="78"/>
        <v>3152.2828132829572</v>
      </c>
      <c r="GP52" s="21">
        <f t="shared" si="78"/>
        <v>3120.7599851501277</v>
      </c>
      <c r="GQ52" s="21">
        <f t="shared" si="78"/>
        <v>3089.5523852986262</v>
      </c>
      <c r="GR52" s="21">
        <f t="shared" si="78"/>
        <v>3058.6568614456401</v>
      </c>
      <c r="GS52" s="21">
        <f t="shared" si="78"/>
        <v>3028.0702928311835</v>
      </c>
      <c r="GT52" s="21">
        <f t="shared" si="78"/>
        <v>2997.7895899028717</v>
      </c>
      <c r="GU52" s="21">
        <f t="shared" si="78"/>
        <v>2967.8116940038431</v>
      </c>
      <c r="GV52" s="21">
        <f t="shared" si="78"/>
        <v>2938.1335770638048</v>
      </c>
      <c r="GW52" s="21">
        <f t="shared" si="78"/>
        <v>2908.7522412931667</v>
      </c>
      <c r="GX52" s="21">
        <f t="shared" si="78"/>
        <v>2879.6647188802349</v>
      </c>
      <c r="GY52" s="21">
        <f t="shared" si="78"/>
        <v>2850.8680716914323</v>
      </c>
      <c r="GZ52" s="21">
        <f t="shared" si="78"/>
        <v>2822.3593909745177</v>
      </c>
      <c r="HA52" s="21">
        <f t="shared" si="78"/>
        <v>2794.1357970647728</v>
      </c>
      <c r="HB52" s="21">
        <f t="shared" si="78"/>
        <v>2766.1944390941248</v>
      </c>
      <c r="HC52" s="21">
        <f t="shared" si="78"/>
        <v>2738.5324947031836</v>
      </c>
      <c r="HD52" s="21">
        <f t="shared" si="78"/>
        <v>2711.1471697561519</v>
      </c>
      <c r="HE52" s="21">
        <f t="shared" si="78"/>
        <v>2684.0356980585902</v>
      </c>
      <c r="HF52" s="21">
        <f t="shared" si="78"/>
        <v>2657.1953410780043</v>
      </c>
      <c r="HG52" s="21">
        <f t="shared" si="78"/>
        <v>2630.6233876672241</v>
      </c>
      <c r="HH52" s="21">
        <f t="shared" si="78"/>
        <v>2604.3171537905519</v>
      </c>
      <c r="HI52" s="21">
        <f>HH52*(1+$AR$55)</f>
        <v>2578.2739822526464</v>
      </c>
      <c r="HJ52" s="21">
        <f t="shared" ref="HJ52:JU52" si="79">HI52*(1+$AR$55)</f>
        <v>2552.4912424301201</v>
      </c>
      <c r="HK52" s="21">
        <f t="shared" si="79"/>
        <v>2526.9663300058187</v>
      </c>
      <c r="HL52" s="21">
        <f t="shared" si="79"/>
        <v>2501.6966667057604</v>
      </c>
      <c r="HM52" s="21">
        <f t="shared" si="79"/>
        <v>2476.6797000387028</v>
      </c>
      <c r="HN52" s="21">
        <f t="shared" si="79"/>
        <v>2451.9129030383156</v>
      </c>
      <c r="HO52" s="21">
        <f t="shared" si="79"/>
        <v>2427.3937740079323</v>
      </c>
      <c r="HP52" s="21">
        <f t="shared" si="79"/>
        <v>2403.1198362678529</v>
      </c>
      <c r="HQ52" s="21">
        <f t="shared" si="79"/>
        <v>2379.0886379051744</v>
      </c>
      <c r="HR52" s="21">
        <f t="shared" si="79"/>
        <v>2355.2977515261227</v>
      </c>
      <c r="HS52" s="21">
        <f t="shared" si="79"/>
        <v>2331.7447740108614</v>
      </c>
      <c r="HT52" s="21">
        <f t="shared" si="79"/>
        <v>2308.4273262707529</v>
      </c>
      <c r="HU52" s="21">
        <f t="shared" si="79"/>
        <v>2285.3430530080454</v>
      </c>
      <c r="HV52" s="21">
        <f t="shared" si="79"/>
        <v>2262.489622477965</v>
      </c>
      <c r="HW52" s="21">
        <f t="shared" si="79"/>
        <v>2239.8647262531854</v>
      </c>
      <c r="HX52" s="21">
        <f t="shared" si="79"/>
        <v>2217.4660789906534</v>
      </c>
      <c r="HY52" s="21">
        <f t="shared" si="79"/>
        <v>2195.2914182007466</v>
      </c>
      <c r="HZ52" s="21">
        <f t="shared" si="79"/>
        <v>2173.3385040187391</v>
      </c>
      <c r="IA52" s="21">
        <f t="shared" si="79"/>
        <v>2151.6051189785517</v>
      </c>
      <c r="IB52" s="21">
        <f t="shared" si="79"/>
        <v>2130.089067788766</v>
      </c>
      <c r="IC52" s="21">
        <f t="shared" si="79"/>
        <v>2108.7881771108782</v>
      </c>
      <c r="ID52" s="21">
        <f t="shared" si="79"/>
        <v>2087.7002953397696</v>
      </c>
      <c r="IE52" s="21">
        <f t="shared" si="79"/>
        <v>2066.823292386372</v>
      </c>
      <c r="IF52" s="21">
        <f t="shared" si="79"/>
        <v>2046.1550594625082</v>
      </c>
      <c r="IG52" s="21">
        <f t="shared" si="79"/>
        <v>2025.6935088678831</v>
      </c>
      <c r="IH52" s="21">
        <f t="shared" si="79"/>
        <v>2005.4365737792043</v>
      </c>
      <c r="II52" s="21">
        <f t="shared" si="79"/>
        <v>1985.3822080414122</v>
      </c>
      <c r="IJ52" s="21">
        <f t="shared" si="79"/>
        <v>1965.5283859609981</v>
      </c>
      <c r="IK52" s="21">
        <f t="shared" si="79"/>
        <v>1945.873102101388</v>
      </c>
      <c r="IL52" s="21">
        <f t="shared" si="79"/>
        <v>1926.4143710803742</v>
      </c>
      <c r="IM52" s="21">
        <f t="shared" si="79"/>
        <v>1907.1502273695703</v>
      </c>
      <c r="IN52" s="21">
        <f t="shared" si="79"/>
        <v>1888.0787250958747</v>
      </c>
      <c r="IO52" s="21">
        <f t="shared" si="79"/>
        <v>1869.1979378449159</v>
      </c>
      <c r="IP52" s="21">
        <f t="shared" si="79"/>
        <v>1850.5059584664668</v>
      </c>
      <c r="IQ52" s="21">
        <f t="shared" si="79"/>
        <v>1832.0008988818022</v>
      </c>
      <c r="IR52" s="21">
        <f t="shared" si="79"/>
        <v>1813.6808898929842</v>
      </c>
      <c r="IS52" s="21">
        <f t="shared" si="79"/>
        <v>1795.5440809940544</v>
      </c>
      <c r="IT52" s="21">
        <f t="shared" si="79"/>
        <v>1777.588640184114</v>
      </c>
      <c r="IU52" s="21">
        <f t="shared" si="79"/>
        <v>1759.8127537822727</v>
      </c>
      <c r="IV52" s="21">
        <f t="shared" si="79"/>
        <v>1742.2146262444498</v>
      </c>
      <c r="IW52" s="21">
        <f t="shared" si="79"/>
        <v>1724.7924799820053</v>
      </c>
      <c r="IX52" s="21">
        <f t="shared" si="79"/>
        <v>1707.5445551821851</v>
      </c>
      <c r="IY52" s="21">
        <f t="shared" si="79"/>
        <v>1690.4691096303634</v>
      </c>
      <c r="IZ52" s="21">
        <f t="shared" si="79"/>
        <v>1673.5644185340598</v>
      </c>
      <c r="JA52" s="21">
        <f t="shared" si="79"/>
        <v>1656.8287743487192</v>
      </c>
      <c r="JB52" s="21">
        <f t="shared" si="79"/>
        <v>1640.260486605232</v>
      </c>
      <c r="JC52" s="21">
        <f t="shared" si="79"/>
        <v>1623.8578817391797</v>
      </c>
      <c r="JD52" s="21">
        <f t="shared" si="79"/>
        <v>1607.6193029217879</v>
      </c>
      <c r="JE52" s="21">
        <f t="shared" si="79"/>
        <v>1591.5431098925701</v>
      </c>
      <c r="JF52" s="21">
        <f t="shared" si="79"/>
        <v>1575.6276787936445</v>
      </c>
      <c r="JG52" s="21">
        <f t="shared" si="79"/>
        <v>1559.871402005708</v>
      </c>
      <c r="JH52" s="21">
        <f t="shared" si="79"/>
        <v>1544.2726879856509</v>
      </c>
      <c r="JI52" s="21">
        <f t="shared" si="79"/>
        <v>1528.8299611057944</v>
      </c>
      <c r="JJ52" s="21">
        <f t="shared" si="79"/>
        <v>1513.5416614947364</v>
      </c>
      <c r="JK52" s="21">
        <f t="shared" si="79"/>
        <v>1498.406244879789</v>
      </c>
      <c r="JL52" s="21">
        <f t="shared" si="79"/>
        <v>1483.4221824309911</v>
      </c>
      <c r="JM52" s="21">
        <f t="shared" si="79"/>
        <v>1468.5879606066812</v>
      </c>
      <c r="JN52" s="21">
        <f t="shared" si="79"/>
        <v>1453.9020810006143</v>
      </c>
      <c r="JO52" s="21">
        <f t="shared" si="79"/>
        <v>1439.3630601906082</v>
      </c>
      <c r="JP52" s="21">
        <f t="shared" si="79"/>
        <v>1424.969429588702</v>
      </c>
      <c r="JQ52" s="21">
        <f t="shared" si="79"/>
        <v>1410.7197352928149</v>
      </c>
      <c r="JR52" s="21">
        <f t="shared" si="79"/>
        <v>1396.6125379398868</v>
      </c>
      <c r="JS52" s="21">
        <f t="shared" si="79"/>
        <v>1382.646412560488</v>
      </c>
      <c r="JT52" s="21">
        <f t="shared" si="79"/>
        <v>1368.8199484348831</v>
      </c>
      <c r="JU52" s="21">
        <f t="shared" si="79"/>
        <v>1355.1317489505343</v>
      </c>
      <c r="JV52" s="21">
        <f t="shared" ref="JV52:JZ52" si="80">JU52*(1+$AR$55)</f>
        <v>1341.5804314610289</v>
      </c>
      <c r="JW52" s="21">
        <f t="shared" si="80"/>
        <v>1328.1646271464185</v>
      </c>
      <c r="JX52" s="21">
        <f t="shared" si="80"/>
        <v>1314.8829808749542</v>
      </c>
      <c r="JY52" s="21">
        <f t="shared" si="80"/>
        <v>1301.7341510662047</v>
      </c>
      <c r="JZ52" s="21">
        <f t="shared" si="80"/>
        <v>1288.7168095555426</v>
      </c>
      <c r="KA52" s="21">
        <f>JZ52*(1+$AR$55)</f>
        <v>1275.8296414599872</v>
      </c>
      <c r="KB52" s="21">
        <f t="shared" ref="KB52:MM52" si="81">KA52*(1+$AR$55)</f>
        <v>1263.0713450453873</v>
      </c>
      <c r="KC52" s="21">
        <f t="shared" si="81"/>
        <v>1250.4406315949334</v>
      </c>
      <c r="KD52" s="21">
        <f t="shared" si="81"/>
        <v>1237.936225278984</v>
      </c>
      <c r="KE52" s="21">
        <f t="shared" si="81"/>
        <v>1225.5568630261942</v>
      </c>
      <c r="KF52" s="21">
        <f t="shared" si="81"/>
        <v>1213.3012943959322</v>
      </c>
      <c r="KG52" s="21">
        <f t="shared" si="81"/>
        <v>1201.1682814519729</v>
      </c>
      <c r="KH52" s="21">
        <f t="shared" si="81"/>
        <v>1189.1565986374533</v>
      </c>
      <c r="KI52" s="21">
        <f t="shared" si="81"/>
        <v>1177.2650326510786</v>
      </c>
      <c r="KJ52" s="21">
        <f t="shared" si="81"/>
        <v>1165.4923823245679</v>
      </c>
      <c r="KK52" s="21">
        <f t="shared" si="81"/>
        <v>1153.8374585013221</v>
      </c>
      <c r="KL52" s="21">
        <f t="shared" si="81"/>
        <v>1142.2990839163087</v>
      </c>
      <c r="KM52" s="21">
        <f t="shared" si="81"/>
        <v>1130.8760930771457</v>
      </c>
      <c r="KN52" s="21">
        <f t="shared" si="81"/>
        <v>1119.5673321463742</v>
      </c>
      <c r="KO52" s="21">
        <f t="shared" si="81"/>
        <v>1108.3716588249104</v>
      </c>
      <c r="KP52" s="21">
        <f t="shared" si="81"/>
        <v>1097.2879422366611</v>
      </c>
      <c r="KQ52" s="21">
        <f t="shared" si="81"/>
        <v>1086.3150628142946</v>
      </c>
      <c r="KR52" s="21">
        <f t="shared" si="81"/>
        <v>1075.4519121861517</v>
      </c>
      <c r="KS52" s="21">
        <f t="shared" si="81"/>
        <v>1064.6973930642903</v>
      </c>
      <c r="KT52" s="21">
        <f t="shared" si="81"/>
        <v>1054.0504191336474</v>
      </c>
      <c r="KU52" s="21">
        <f t="shared" si="81"/>
        <v>1043.5099149423108</v>
      </c>
      <c r="KV52" s="21">
        <f t="shared" si="81"/>
        <v>1033.0748157928876</v>
      </c>
      <c r="KW52" s="21">
        <f t="shared" si="81"/>
        <v>1022.7440676349588</v>
      </c>
      <c r="KX52" s="21">
        <f t="shared" si="81"/>
        <v>1012.5166269586092</v>
      </c>
      <c r="KY52" s="21">
        <f t="shared" si="81"/>
        <v>1002.3914606890231</v>
      </c>
      <c r="KZ52" s="21">
        <f t="shared" si="81"/>
        <v>992.36754608213289</v>
      </c>
      <c r="LA52" s="21">
        <f t="shared" si="81"/>
        <v>982.44387062131159</v>
      </c>
      <c r="LB52" s="21">
        <f t="shared" si="81"/>
        <v>972.61943191509852</v>
      </c>
      <c r="LC52" s="21">
        <f t="shared" si="81"/>
        <v>962.89323759594754</v>
      </c>
      <c r="LD52" s="21">
        <f t="shared" si="81"/>
        <v>953.26430521998805</v>
      </c>
      <c r="LE52" s="21">
        <f t="shared" si="81"/>
        <v>943.73166216778816</v>
      </c>
      <c r="LF52" s="21">
        <f t="shared" si="81"/>
        <v>934.29434554611032</v>
      </c>
      <c r="LG52" s="21">
        <f t="shared" si="81"/>
        <v>924.95140209064925</v>
      </c>
      <c r="LH52" s="21">
        <f t="shared" si="81"/>
        <v>915.70188806974272</v>
      </c>
      <c r="LI52" s="21">
        <f t="shared" si="81"/>
        <v>906.54486918904524</v>
      </c>
      <c r="LJ52" s="21">
        <f t="shared" si="81"/>
        <v>897.47942049715482</v>
      </c>
      <c r="LK52" s="21">
        <f t="shared" si="81"/>
        <v>888.50462629218327</v>
      </c>
      <c r="LL52" s="21">
        <f t="shared" si="81"/>
        <v>879.61958002926144</v>
      </c>
      <c r="LM52" s="21">
        <f t="shared" si="81"/>
        <v>870.82338422896885</v>
      </c>
      <c r="LN52" s="21">
        <f t="shared" si="81"/>
        <v>862.11515038667915</v>
      </c>
      <c r="LO52" s="21">
        <f t="shared" si="81"/>
        <v>853.49399888281232</v>
      </c>
      <c r="LP52" s="21">
        <f t="shared" si="81"/>
        <v>844.95905889398421</v>
      </c>
      <c r="LQ52" s="21">
        <f t="shared" si="81"/>
        <v>836.50946830504438</v>
      </c>
      <c r="LR52" s="21">
        <f t="shared" si="81"/>
        <v>828.14437362199396</v>
      </c>
      <c r="LS52" s="21">
        <f t="shared" si="81"/>
        <v>819.86292988577407</v>
      </c>
      <c r="LT52" s="21">
        <f t="shared" si="81"/>
        <v>811.66430058691628</v>
      </c>
      <c r="LU52" s="21">
        <f t="shared" si="81"/>
        <v>803.54765758104713</v>
      </c>
      <c r="LV52" s="21">
        <f t="shared" si="81"/>
        <v>795.5121810052367</v>
      </c>
      <c r="LW52" s="21">
        <f t="shared" si="81"/>
        <v>787.55705919518437</v>
      </c>
      <c r="LX52" s="21">
        <f t="shared" si="81"/>
        <v>779.68148860323254</v>
      </c>
      <c r="LY52" s="21">
        <f t="shared" si="81"/>
        <v>771.88467371720026</v>
      </c>
      <c r="LZ52" s="21">
        <f t="shared" si="81"/>
        <v>764.16582698002821</v>
      </c>
      <c r="MA52" s="21">
        <f t="shared" si="81"/>
        <v>756.52416871022797</v>
      </c>
      <c r="MB52" s="21">
        <f t="shared" si="81"/>
        <v>748.95892702312574</v>
      </c>
      <c r="MC52" s="21">
        <f t="shared" si="81"/>
        <v>741.46933775289449</v>
      </c>
      <c r="MD52" s="21">
        <f t="shared" si="81"/>
        <v>734.05464437536557</v>
      </c>
      <c r="ME52" s="21">
        <f t="shared" si="81"/>
        <v>726.71409793161195</v>
      </c>
      <c r="MF52" s="21">
        <f t="shared" si="81"/>
        <v>719.44695695229586</v>
      </c>
      <c r="MG52" s="21">
        <f t="shared" si="81"/>
        <v>712.25248738277287</v>
      </c>
      <c r="MH52" s="21">
        <f t="shared" si="81"/>
        <v>705.12996250894514</v>
      </c>
      <c r="MI52" s="21">
        <f t="shared" si="81"/>
        <v>698.07866288385571</v>
      </c>
      <c r="MJ52" s="21">
        <f t="shared" si="81"/>
        <v>691.09787625501713</v>
      </c>
      <c r="MK52" s="21">
        <f t="shared" si="81"/>
        <v>684.18689749246698</v>
      </c>
      <c r="ML52" s="21">
        <f t="shared" si="81"/>
        <v>677.34502851754235</v>
      </c>
      <c r="MM52" s="21">
        <f t="shared" si="81"/>
        <v>670.57157823236696</v>
      </c>
      <c r="MN52" s="21">
        <f t="shared" ref="MN52:NV52" si="82">MM52*(1+$AR$55)</f>
        <v>663.86586245004332</v>
      </c>
      <c r="MO52" s="21">
        <f t="shared" si="82"/>
        <v>657.22720382554292</v>
      </c>
      <c r="MP52" s="21">
        <f t="shared" si="82"/>
        <v>650.65493178728752</v>
      </c>
      <c r="MQ52" s="21">
        <f t="shared" si="82"/>
        <v>644.14838246941463</v>
      </c>
      <c r="MR52" s="21">
        <f t="shared" si="82"/>
        <v>637.70689864472047</v>
      </c>
      <c r="MS52" s="21">
        <f t="shared" si="82"/>
        <v>631.3298296582733</v>
      </c>
      <c r="MT52" s="21">
        <f t="shared" si="82"/>
        <v>625.01653136169057</v>
      </c>
      <c r="MU52" s="21">
        <f t="shared" si="82"/>
        <v>618.76636604807368</v>
      </c>
      <c r="MV52" s="21">
        <f t="shared" si="82"/>
        <v>612.5787023875929</v>
      </c>
      <c r="MW52" s="21">
        <f t="shared" si="82"/>
        <v>606.45291536371701</v>
      </c>
      <c r="MX52" s="21">
        <f t="shared" si="82"/>
        <v>600.38838621007983</v>
      </c>
      <c r="MY52" s="21">
        <f t="shared" si="82"/>
        <v>594.38450234797904</v>
      </c>
      <c r="MZ52" s="21">
        <f t="shared" si="82"/>
        <v>588.44065732449928</v>
      </c>
      <c r="NA52" s="21">
        <f t="shared" si="82"/>
        <v>582.55625075125431</v>
      </c>
      <c r="NB52" s="21">
        <f t="shared" si="82"/>
        <v>576.73068824374172</v>
      </c>
      <c r="NC52" s="21">
        <f t="shared" si="82"/>
        <v>570.9633813613043</v>
      </c>
      <c r="ND52" s="21">
        <f t="shared" si="82"/>
        <v>565.2537475476912</v>
      </c>
      <c r="NE52" s="21">
        <f t="shared" si="82"/>
        <v>559.60121007221426</v>
      </c>
      <c r="NF52" s="21">
        <f t="shared" si="82"/>
        <v>554.00519797149207</v>
      </c>
      <c r="NG52" s="21">
        <f t="shared" si="82"/>
        <v>548.46514599177715</v>
      </c>
      <c r="NH52" s="21">
        <f t="shared" si="82"/>
        <v>542.98049453185934</v>
      </c>
      <c r="NI52" s="21">
        <f t="shared" si="82"/>
        <v>537.55068958654078</v>
      </c>
      <c r="NJ52" s="21">
        <f t="shared" si="82"/>
        <v>532.17518269067534</v>
      </c>
      <c r="NK52" s="21">
        <f t="shared" si="82"/>
        <v>526.85343086376861</v>
      </c>
      <c r="NL52" s="21">
        <f t="shared" si="82"/>
        <v>521.58489655513097</v>
      </c>
      <c r="NM52" s="21">
        <f t="shared" si="82"/>
        <v>516.36904758957962</v>
      </c>
      <c r="NN52" s="21">
        <f t="shared" si="82"/>
        <v>511.20535711368382</v>
      </c>
      <c r="NO52" s="21">
        <f t="shared" si="82"/>
        <v>506.09330354254695</v>
      </c>
      <c r="NP52" s="21">
        <f t="shared" si="82"/>
        <v>501.03237050712147</v>
      </c>
      <c r="NQ52" s="21">
        <f t="shared" si="82"/>
        <v>496.02204680205023</v>
      </c>
      <c r="NR52" s="21">
        <f t="shared" si="82"/>
        <v>491.06182633402972</v>
      </c>
      <c r="NS52" s="21">
        <f t="shared" si="82"/>
        <v>486.15120807068939</v>
      </c>
      <c r="NT52" s="21">
        <f t="shared" si="82"/>
        <v>481.28969598998248</v>
      </c>
      <c r="NU52" s="21">
        <f t="shared" si="82"/>
        <v>476.47679903008265</v>
      </c>
      <c r="NV52" s="21">
        <f t="shared" si="82"/>
        <v>471.71203103978183</v>
      </c>
    </row>
    <row r="53" spans="1:386" x14ac:dyDescent="0.2">
      <c r="B53" s="1" t="s">
        <v>3</v>
      </c>
      <c r="C53" s="2">
        <v>1708.9</v>
      </c>
      <c r="D53" s="2">
        <v>1693.2</v>
      </c>
      <c r="E53" s="2">
        <v>1686.3</v>
      </c>
      <c r="F53" s="2">
        <v>1678.6</v>
      </c>
      <c r="G53" s="2">
        <v>1676.9</v>
      </c>
      <c r="H53" s="2">
        <v>1660.9</v>
      </c>
      <c r="I53" s="2">
        <v>1641.2</v>
      </c>
      <c r="J53" s="2">
        <v>1641.2</v>
      </c>
      <c r="K53" s="2">
        <v>1634.4</v>
      </c>
      <c r="L53" s="2">
        <v>1620.7</v>
      </c>
      <c r="M53" s="2">
        <v>1609.6</v>
      </c>
      <c r="N53" s="2">
        <v>1607.5</v>
      </c>
      <c r="O53" s="2">
        <v>1597.5</v>
      </c>
      <c r="P53" s="2">
        <v>1594.4</v>
      </c>
      <c r="Q53" s="2">
        <v>1591.6</v>
      </c>
      <c r="R53" s="2">
        <v>1555.7</v>
      </c>
      <c r="S53" s="2">
        <v>1593.3</v>
      </c>
      <c r="T53" s="2">
        <v>1609.5</v>
      </c>
      <c r="U53" s="2">
        <v>1616.9</v>
      </c>
      <c r="V53" s="2">
        <v>1614.9</v>
      </c>
      <c r="W53" s="2">
        <v>1619.6</v>
      </c>
      <c r="X53" s="2">
        <v>1617.4</v>
      </c>
      <c r="Y53" s="2">
        <v>1610.7</v>
      </c>
      <c r="Z53" s="2">
        <v>1595</v>
      </c>
      <c r="AF53" s="2">
        <f>F53</f>
        <v>1678.6</v>
      </c>
      <c r="AG53" s="2">
        <f>J53</f>
        <v>1641.2</v>
      </c>
      <c r="AH53" s="2">
        <f>N53</f>
        <v>1607.5</v>
      </c>
      <c r="AI53" s="2">
        <f>R53</f>
        <v>1555.7</v>
      </c>
      <c r="AJ53" s="2">
        <f>V53</f>
        <v>1614.9</v>
      </c>
      <c r="AK53" s="2">
        <f>Z53</f>
        <v>1595</v>
      </c>
      <c r="AL53" s="2">
        <f t="shared" ref="AL53:AN53" si="83">AK53*0.99</f>
        <v>1579.05</v>
      </c>
      <c r="AM53" s="2">
        <f t="shared" si="83"/>
        <v>1563.2594999999999</v>
      </c>
      <c r="AN53" s="2">
        <f t="shared" si="83"/>
        <v>1547.6269049999999</v>
      </c>
    </row>
    <row r="54" spans="1:386" x14ac:dyDescent="0.2">
      <c r="B54" s="1" t="s">
        <v>31</v>
      </c>
      <c r="C54" s="13">
        <f t="shared" ref="C54:S54" si="84">C52/C53</f>
        <v>0.73087951313710575</v>
      </c>
      <c r="D54" s="13">
        <f t="shared" si="84"/>
        <v>0.49728325064965745</v>
      </c>
      <c r="E54" s="13">
        <f t="shared" si="84"/>
        <v>0.67662930676629307</v>
      </c>
      <c r="F54" s="13">
        <f t="shared" si="84"/>
        <v>0.60050041701417856</v>
      </c>
      <c r="G54" s="13">
        <f t="shared" si="84"/>
        <v>0.56652155763611423</v>
      </c>
      <c r="H54" s="13">
        <f t="shared" si="84"/>
        <v>0.46179782045878737</v>
      </c>
      <c r="I54" s="13">
        <f t="shared" si="84"/>
        <v>0.2022910065805508</v>
      </c>
      <c r="J54" s="13">
        <f t="shared" si="84"/>
        <v>0.69278576651230805</v>
      </c>
      <c r="K54" s="13">
        <f t="shared" si="84"/>
        <v>0.66813509544787075</v>
      </c>
      <c r="L54" s="13">
        <f t="shared" si="84"/>
        <v>0.52261368544456099</v>
      </c>
      <c r="M54" s="13">
        <f t="shared" si="84"/>
        <v>0.68402087475149109</v>
      </c>
      <c r="N54" s="13">
        <f t="shared" si="84"/>
        <v>0.61524105754276825</v>
      </c>
      <c r="O54" s="13">
        <f t="shared" si="84"/>
        <v>0.85571205007824724</v>
      </c>
      <c r="P54" s="13">
        <f t="shared" si="84"/>
        <v>0.69932262920220767</v>
      </c>
      <c r="Q54" s="13">
        <f t="shared" si="84"/>
        <v>0.53216888665493844</v>
      </c>
      <c r="R54" s="13">
        <f t="shared" si="84"/>
        <v>-0.50780998907244324</v>
      </c>
      <c r="S54" s="13">
        <f t="shared" si="84"/>
        <v>0.95273959706270006</v>
      </c>
      <c r="T54" s="13">
        <f t="shared" ref="T54:Z54" si="85">T52/T53</f>
        <v>0.77726001863932903</v>
      </c>
      <c r="U54" s="13">
        <f t="shared" si="85"/>
        <v>0.89615931721194875</v>
      </c>
      <c r="V54" s="13">
        <f t="shared" si="85"/>
        <v>0.93442318409808656</v>
      </c>
      <c r="W54" s="13">
        <f t="shared" si="85"/>
        <v>1.1570758211904175</v>
      </c>
      <c r="X54" s="13">
        <f t="shared" si="85"/>
        <v>0.82663534067021138</v>
      </c>
      <c r="Y54" s="13">
        <f t="shared" si="85"/>
        <v>0.8667039175513751</v>
      </c>
      <c r="Z54" s="13">
        <f t="shared" si="85"/>
        <v>0.90219435736677112</v>
      </c>
      <c r="AF54" s="13">
        <f>AF52/AF53</f>
        <v>2.5259144525199573</v>
      </c>
      <c r="AG54" s="13">
        <f t="shared" ref="AG54:AN54" si="86">AG52/AG53</f>
        <v>1.941262490860346</v>
      </c>
      <c r="AH54" s="13">
        <f t="shared" si="86"/>
        <v>2.5063763608087091</v>
      </c>
      <c r="AI54" s="13">
        <f t="shared" si="86"/>
        <v>1.6320627370315612</v>
      </c>
      <c r="AJ54" s="13">
        <f>AJ52/AJ53</f>
        <v>3.5463496191714654</v>
      </c>
      <c r="AK54" s="13">
        <f>AK52/AK53</f>
        <v>3.7905956112852666</v>
      </c>
      <c r="AL54" s="13">
        <f t="shared" si="86"/>
        <v>5.7452194040720643</v>
      </c>
      <c r="AM54" s="13">
        <f t="shared" si="86"/>
        <v>7.6700764517983053</v>
      </c>
      <c r="AN54" s="13">
        <f t="shared" si="86"/>
        <v>9.868095667301672</v>
      </c>
    </row>
    <row r="55" spans="1:386" x14ac:dyDescent="0.2">
      <c r="AQ55" s="1" t="s">
        <v>59</v>
      </c>
      <c r="AR55" s="4">
        <v>-0.01</v>
      </c>
    </row>
    <row r="56" spans="1:386" x14ac:dyDescent="0.2">
      <c r="B56" s="42" t="s">
        <v>90</v>
      </c>
      <c r="C56" s="2">
        <f>C52+C51-C49+C48</f>
        <v>1350</v>
      </c>
      <c r="D56" s="2">
        <f>D52+D51-D49+D48</f>
        <v>1147</v>
      </c>
      <c r="E56" s="2">
        <f>E52+E51-E49+E48</f>
        <v>1430</v>
      </c>
      <c r="F56" s="2">
        <f>F52+F51-F49+F48</f>
        <v>1214</v>
      </c>
      <c r="G56" s="2">
        <f>G52+G51+G49+G48</f>
        <v>1106</v>
      </c>
      <c r="H56" s="2">
        <f>H52+H51+H49+H48</f>
        <v>910</v>
      </c>
      <c r="I56" s="2">
        <f>I52+I51+I49+I48</f>
        <v>453</v>
      </c>
      <c r="J56" s="2">
        <f>J52+J51+J49+J48</f>
        <v>1258</v>
      </c>
      <c r="K56" s="2">
        <f>K52+K51+K49+K48</f>
        <v>1334</v>
      </c>
      <c r="L56" s="2">
        <f>L52+L51-L49+L48</f>
        <v>1059</v>
      </c>
      <c r="M56" s="2">
        <f>M52+M51-M49+M48</f>
        <v>1358</v>
      </c>
      <c r="N56" s="2">
        <f>N52+N51-N49+N48</f>
        <v>1283</v>
      </c>
      <c r="O56" s="2">
        <f>O52+O51-O49+O48</f>
        <v>1609</v>
      </c>
      <c r="P56" s="2">
        <f>P52+P51-P49+P48</f>
        <v>1302</v>
      </c>
      <c r="Q56" s="2">
        <f>Q52+Q51+Q49+Q48</f>
        <v>1190</v>
      </c>
      <c r="R56" s="2">
        <f>R52-R51-R49+R48</f>
        <v>-642</v>
      </c>
      <c r="S56" s="2">
        <f>S52+S51-S49+S48</f>
        <v>1794</v>
      </c>
      <c r="T56" s="2">
        <f>T52+T51+T49+T48</f>
        <v>1580</v>
      </c>
      <c r="U56" s="2">
        <f>U52+U51-U49+U48</f>
        <v>1722</v>
      </c>
      <c r="V56" s="2">
        <f>V52+V51-V49+V48</f>
        <v>1921</v>
      </c>
      <c r="W56" s="2">
        <f>W52+W51-W49+W48</f>
        <v>2202</v>
      </c>
      <c r="X56" s="2">
        <f>X52+X51-X49+X48</f>
        <v>1658</v>
      </c>
      <c r="Y56" s="2">
        <f>Y52+Y51-Y49+Y48</f>
        <v>1817</v>
      </c>
      <c r="Z56" s="2">
        <f>Z52-Z51+Z49+Z48</f>
        <v>1598</v>
      </c>
      <c r="AF56" s="2">
        <f>SUM(C56:F56)</f>
        <v>5141</v>
      </c>
      <c r="AG56" s="2">
        <f>SUM(G56:J56)</f>
        <v>3727</v>
      </c>
      <c r="AH56" s="2">
        <f>SUM(K56:N56)</f>
        <v>5034</v>
      </c>
      <c r="AI56" s="2">
        <f>SUM(O56:R56)</f>
        <v>3459</v>
      </c>
      <c r="AJ56" s="2">
        <f>SUM(S56:V56)</f>
        <v>7017</v>
      </c>
      <c r="AK56" s="2">
        <f>SUM(W56:Z56)</f>
        <v>7275</v>
      </c>
      <c r="AQ56" s="1" t="s">
        <v>60</v>
      </c>
      <c r="AR56" s="22">
        <f>WACC!C18</f>
        <v>5.7392137020953742E-2</v>
      </c>
    </row>
    <row r="57" spans="1:386" x14ac:dyDescent="0.2">
      <c r="B57" s="42" t="s">
        <v>91</v>
      </c>
      <c r="G57" s="4">
        <f>G56/C56-1</f>
        <v>-0.18074074074074076</v>
      </c>
      <c r="H57" s="4">
        <f t="shared" ref="H57:Z57" si="87">H56/D56-1</f>
        <v>-0.20662598081952921</v>
      </c>
      <c r="I57" s="4">
        <f t="shared" si="87"/>
        <v>-0.68321678321678325</v>
      </c>
      <c r="J57" s="4">
        <f t="shared" si="87"/>
        <v>3.6243822075782584E-2</v>
      </c>
      <c r="K57" s="4">
        <f t="shared" si="87"/>
        <v>0.20614828209764924</v>
      </c>
      <c r="L57" s="4">
        <f t="shared" si="87"/>
        <v>0.16373626373626382</v>
      </c>
      <c r="M57" s="4">
        <f t="shared" si="87"/>
        <v>1.9977924944812364</v>
      </c>
      <c r="N57" s="4">
        <f t="shared" si="87"/>
        <v>1.9872813990461147E-2</v>
      </c>
      <c r="O57" s="4">
        <f t="shared" si="87"/>
        <v>0.20614692653673172</v>
      </c>
      <c r="P57" s="4">
        <f t="shared" si="87"/>
        <v>0.22946175637393762</v>
      </c>
      <c r="Q57" s="4">
        <f t="shared" si="87"/>
        <v>-0.12371134020618557</v>
      </c>
      <c r="R57" s="4">
        <f t="shared" si="87"/>
        <v>-1.5003897116134062</v>
      </c>
      <c r="S57" s="4">
        <f t="shared" si="87"/>
        <v>0.11497824735860784</v>
      </c>
      <c r="T57" s="4">
        <f t="shared" si="87"/>
        <v>0.21351766513056836</v>
      </c>
      <c r="U57" s="4">
        <f t="shared" si="87"/>
        <v>0.44705882352941173</v>
      </c>
      <c r="V57" s="4">
        <f t="shared" si="87"/>
        <v>-3.9922118380062304</v>
      </c>
      <c r="W57" s="4">
        <f t="shared" si="87"/>
        <v>0.22742474916387967</v>
      </c>
      <c r="X57" s="4">
        <f t="shared" si="87"/>
        <v>4.9367088607594978E-2</v>
      </c>
      <c r="Y57" s="4">
        <f t="shared" si="87"/>
        <v>5.5168408826945514E-2</v>
      </c>
      <c r="Z57" s="4">
        <f t="shared" si="87"/>
        <v>-0.16814159292035402</v>
      </c>
      <c r="AG57" s="4">
        <f>AG56/AF56-1</f>
        <v>-0.27504376580431822</v>
      </c>
      <c r="AH57" s="4">
        <f t="shared" ref="AH57:AK57" si="88">AH56/AG56-1</f>
        <v>0.35068419640461501</v>
      </c>
      <c r="AI57" s="4">
        <f t="shared" si="88"/>
        <v>-0.31287246722288442</v>
      </c>
      <c r="AJ57" s="4">
        <f t="shared" si="88"/>
        <v>1.028620988725065</v>
      </c>
      <c r="AK57" s="4">
        <f t="shared" si="88"/>
        <v>3.6767849508337003E-2</v>
      </c>
      <c r="AQ57" s="1" t="s">
        <v>61</v>
      </c>
      <c r="AR57" s="23">
        <f>NPV(AR56,AK52:NV52)</f>
        <v>215656.09631595403</v>
      </c>
    </row>
    <row r="58" spans="1:386" x14ac:dyDescent="0.2">
      <c r="AQ58" s="1" t="s">
        <v>62</v>
      </c>
      <c r="AR58" s="2">
        <f>Main!C7-Main!C8</f>
        <v>4049</v>
      </c>
    </row>
    <row r="59" spans="1:386" x14ac:dyDescent="0.2">
      <c r="B59" s="1" t="s">
        <v>32</v>
      </c>
      <c r="G59" s="4">
        <f t="shared" ref="G59:Y59" si="89">G41/C41-1</f>
        <v>9.9326785123055039E-4</v>
      </c>
      <c r="H59" s="4">
        <f t="shared" si="89"/>
        <v>4.5721271393643015E-2</v>
      </c>
      <c r="I59" s="4">
        <f t="shared" si="89"/>
        <v>6.5464895635673592E-2</v>
      </c>
      <c r="J59" s="4">
        <f t="shared" si="89"/>
        <v>0.12815489224386312</v>
      </c>
      <c r="K59" s="4">
        <f t="shared" si="89"/>
        <v>9.6802646085997868E-2</v>
      </c>
      <c r="L59" s="4">
        <f t="shared" si="89"/>
        <v>9.586158522328736E-2</v>
      </c>
      <c r="M59" s="4">
        <f t="shared" si="89"/>
        <v>6.9790739091718512E-2</v>
      </c>
      <c r="N59" s="4">
        <f t="shared" si="89"/>
        <v>4.0351414853406986E-2</v>
      </c>
      <c r="O59" s="4">
        <f t="shared" si="89"/>
        <v>7.1572175311620523E-2</v>
      </c>
      <c r="P59" s="4">
        <f t="shared" si="89"/>
        <v>0.10155749946660975</v>
      </c>
      <c r="Q59" s="4">
        <f t="shared" si="89"/>
        <v>5.1295390698158361E-2</v>
      </c>
      <c r="R59" s="4">
        <f t="shared" si="89"/>
        <v>-0.38010604870384912</v>
      </c>
      <c r="S59" s="4">
        <f t="shared" si="89"/>
        <v>-6.1913696060037493E-3</v>
      </c>
      <c r="T59" s="4">
        <f t="shared" si="89"/>
        <v>8.8804958357544095E-2</v>
      </c>
      <c r="U59" s="4">
        <f t="shared" si="89"/>
        <v>2.5039588281868586E-2</v>
      </c>
      <c r="V59" s="4">
        <f t="shared" si="89"/>
        <v>0.95533027086963407</v>
      </c>
      <c r="W59" s="4">
        <f t="shared" si="89"/>
        <v>0.15612610911836899</v>
      </c>
      <c r="X59" s="4">
        <f t="shared" si="89"/>
        <v>1.0139642444187524E-2</v>
      </c>
      <c r="Y59" s="4">
        <f t="shared" si="89"/>
        <v>4.9628270734768831E-2</v>
      </c>
      <c r="Z59" s="4">
        <f>Z41/V41-1</f>
        <v>-8.9112119248218047E-3</v>
      </c>
      <c r="AG59" s="4">
        <f>AG41/AF41-1</f>
        <v>5.95924308588065E-2</v>
      </c>
      <c r="AH59" s="4">
        <f t="shared" ref="AH59:AN59" si="90">AH41/AG41-1</f>
        <v>7.4731433909388079E-2</v>
      </c>
      <c r="AI59" s="4">
        <f t="shared" si="90"/>
        <v>-4.3817266150267153E-2</v>
      </c>
      <c r="AJ59" s="4">
        <f t="shared" si="90"/>
        <v>0.19076009945726269</v>
      </c>
      <c r="AK59" s="4">
        <f t="shared" si="90"/>
        <v>4.8767344739323759E-2</v>
      </c>
      <c r="AL59" s="4">
        <f t="shared" si="90"/>
        <v>0.1399999999999999</v>
      </c>
      <c r="AM59" s="4">
        <f t="shared" si="90"/>
        <v>0.10000000000000009</v>
      </c>
      <c r="AN59" s="4">
        <f t="shared" si="90"/>
        <v>0.10000000000000009</v>
      </c>
      <c r="AQ59" s="2" t="s">
        <v>63</v>
      </c>
      <c r="AR59" s="2">
        <f>AR57+AR58</f>
        <v>219705.09631595403</v>
      </c>
    </row>
    <row r="60" spans="1:386" x14ac:dyDescent="0.2">
      <c r="B60" s="1" t="s">
        <v>33</v>
      </c>
      <c r="G60" s="4">
        <f t="shared" ref="G60:R60" si="91">G42/C42-1</f>
        <v>3.4426893479141407E-2</v>
      </c>
      <c r="H60" s="4">
        <f t="shared" si="91"/>
        <v>6.8361086765994727E-2</v>
      </c>
      <c r="I60" s="4">
        <f t="shared" si="91"/>
        <v>0.15570269115762492</v>
      </c>
      <c r="J60" s="4">
        <f t="shared" si="91"/>
        <v>0.11475072105480022</v>
      </c>
      <c r="K60" s="4">
        <f t="shared" si="91"/>
        <v>8.6726703210650014E-2</v>
      </c>
      <c r="L60" s="4">
        <f t="shared" si="91"/>
        <v>8.059885151763746E-2</v>
      </c>
      <c r="M60" s="4">
        <f t="shared" si="91"/>
        <v>-2.5688412493069634E-2</v>
      </c>
      <c r="N60" s="4">
        <f t="shared" si="91"/>
        <v>2.5873221216041298E-2</v>
      </c>
      <c r="O60" s="4">
        <f t="shared" si="91"/>
        <v>4.2875157629256089E-2</v>
      </c>
      <c r="P60" s="4">
        <f t="shared" si="91"/>
        <v>9.7361928259631858E-2</v>
      </c>
      <c r="Q60" s="4">
        <f t="shared" si="91"/>
        <v>6.8095599393019679E-2</v>
      </c>
      <c r="R60" s="4">
        <f t="shared" si="91"/>
        <v>-0.28661502431994235</v>
      </c>
      <c r="S60" s="4">
        <f t="shared" ref="S60" si="92">S42/O42-1</f>
        <v>1.1055449991362876E-2</v>
      </c>
      <c r="T60" s="4">
        <f t="shared" ref="T60:Z60" si="93">T42/P42-1</f>
        <v>0.10619162919405056</v>
      </c>
      <c r="U60" s="4">
        <f t="shared" si="93"/>
        <v>1.2431184514296589E-3</v>
      </c>
      <c r="V60" s="4">
        <f t="shared" si="93"/>
        <v>0.68914141414141405</v>
      </c>
      <c r="W60" s="4">
        <f t="shared" si="93"/>
        <v>0.1194259354177345</v>
      </c>
      <c r="X60" s="4">
        <f t="shared" si="93"/>
        <v>-3.9399624765478425E-2</v>
      </c>
      <c r="Y60" s="4">
        <f t="shared" si="93"/>
        <v>2.9443064916637063E-2</v>
      </c>
      <c r="Z60" s="4">
        <f t="shared" si="93"/>
        <v>6.2789654656898453E-3</v>
      </c>
      <c r="AG60" s="4">
        <f t="shared" ref="AG60:AN60" si="94">AG42/AF42-1</f>
        <v>9.2866897783380642E-2</v>
      </c>
      <c r="AH60" s="4">
        <f t="shared" si="94"/>
        <v>4.0228780159569322E-2</v>
      </c>
      <c r="AI60" s="4">
        <f t="shared" si="94"/>
        <v>-2.2224275747354749E-2</v>
      </c>
      <c r="AJ60" s="4">
        <f t="shared" si="94"/>
        <v>0.16132690671959171</v>
      </c>
      <c r="AK60" s="4">
        <f t="shared" si="94"/>
        <v>2.6652018229166741E-2</v>
      </c>
      <c r="AL60" s="4">
        <f t="shared" si="94"/>
        <v>5.0000000000000044E-2</v>
      </c>
      <c r="AM60" s="4">
        <f t="shared" si="94"/>
        <v>5.0000000000000044E-2</v>
      </c>
      <c r="AN60" s="4">
        <f t="shared" si="94"/>
        <v>5.0000000000000044E-2</v>
      </c>
      <c r="AQ60" s="2" t="s">
        <v>64</v>
      </c>
      <c r="AR60" s="13">
        <f>AR59/Main!C5</f>
        <v>136.40348687896815</v>
      </c>
    </row>
    <row r="61" spans="1:386" x14ac:dyDescent="0.2">
      <c r="B61" s="1" t="s">
        <v>34</v>
      </c>
      <c r="G61" s="4">
        <f t="shared" ref="G61:Z61" si="95">G46/C46-1</f>
        <v>-1.4152571625819843E-2</v>
      </c>
      <c r="H61" s="4">
        <f t="shared" si="95"/>
        <v>0.10499001996007995</v>
      </c>
      <c r="I61" s="4">
        <f t="shared" si="95"/>
        <v>0.25</v>
      </c>
      <c r="J61" s="4">
        <f t="shared" si="95"/>
        <v>0.1707317073170731</v>
      </c>
      <c r="K61" s="4">
        <f t="shared" si="95"/>
        <v>7.247899159663862E-2</v>
      </c>
      <c r="L61" s="4">
        <f t="shared" si="95"/>
        <v>0.13511560693641611</v>
      </c>
      <c r="M61" s="4">
        <f t="shared" si="95"/>
        <v>-9.2948717948717618E-3</v>
      </c>
      <c r="N61" s="4">
        <f t="shared" si="95"/>
        <v>9.1666666666666563E-2</v>
      </c>
      <c r="O61" s="4">
        <f t="shared" si="95"/>
        <v>8.6516487104146167E-2</v>
      </c>
      <c r="P61" s="4">
        <f t="shared" si="95"/>
        <v>5.7924888605983549E-2</v>
      </c>
      <c r="Q61" s="4">
        <f t="shared" si="95"/>
        <v>6.2115820122937482E-2</v>
      </c>
      <c r="R61" s="4">
        <f t="shared" si="95"/>
        <v>-6.312389900176163E-2</v>
      </c>
      <c r="S61" s="4">
        <f t="shared" si="95"/>
        <v>-0.10606971153846156</v>
      </c>
      <c r="T61" s="4">
        <f t="shared" si="95"/>
        <v>-1.7148014440433235E-2</v>
      </c>
      <c r="U61" s="4">
        <f t="shared" si="95"/>
        <v>-7.3713067316478864E-2</v>
      </c>
      <c r="V61" s="4">
        <f t="shared" si="95"/>
        <v>0.17267314321529303</v>
      </c>
      <c r="W61" s="4">
        <f t="shared" si="95"/>
        <v>0.20067226890756307</v>
      </c>
      <c r="X61" s="4">
        <f t="shared" si="95"/>
        <v>0.15059687786960518</v>
      </c>
      <c r="Y61" s="4">
        <f t="shared" si="95"/>
        <v>0.13054916146004603</v>
      </c>
      <c r="Z61" s="4">
        <f t="shared" si="95"/>
        <v>7.8300374131480499E-2</v>
      </c>
      <c r="AG61" s="4">
        <f>AG46/AF46-1</f>
        <v>0.12316576730095607</v>
      </c>
      <c r="AH61" s="4">
        <f t="shared" ref="AH61:AN61" si="96">AH46/AG46-1</f>
        <v>7.0633850303438939E-2</v>
      </c>
      <c r="AI61" s="4">
        <f t="shared" si="96"/>
        <v>3.3380569988978204E-2</v>
      </c>
      <c r="AJ61" s="4">
        <f t="shared" si="96"/>
        <v>-7.6946518360505589E-3</v>
      </c>
      <c r="AK61" s="4">
        <f t="shared" si="96"/>
        <v>0.13658349328214969</v>
      </c>
      <c r="AL61" s="4">
        <f t="shared" si="96"/>
        <v>3.0000000000000027E-2</v>
      </c>
      <c r="AM61" s="4">
        <f t="shared" si="96"/>
        <v>2.0000000000000018E-2</v>
      </c>
      <c r="AN61" s="4">
        <f t="shared" si="96"/>
        <v>2.0000000000000018E-2</v>
      </c>
      <c r="AQ61" s="2" t="s">
        <v>65</v>
      </c>
      <c r="AR61" s="13">
        <f>Main!C4</f>
        <v>105.74</v>
      </c>
    </row>
    <row r="62" spans="1:386" ht="15" x14ac:dyDescent="0.25">
      <c r="B62" s="1" t="s">
        <v>35</v>
      </c>
      <c r="G62" s="4">
        <f t="shared" ref="G62:U62" si="97">G47/C47-1</f>
        <v>-9.7879282218597097E-2</v>
      </c>
      <c r="H62" s="4">
        <f t="shared" si="97"/>
        <v>-0.18091809180918095</v>
      </c>
      <c r="I62" s="4">
        <f t="shared" si="97"/>
        <v>-0.63875598086124397</v>
      </c>
      <c r="J62" s="4">
        <f t="shared" si="97"/>
        <v>8.6355785837651133E-2</v>
      </c>
      <c r="K62" s="4">
        <f t="shared" si="97"/>
        <v>0.20614828209764924</v>
      </c>
      <c r="L62" s="4">
        <f t="shared" si="97"/>
        <v>5.8241758241758257E-2</v>
      </c>
      <c r="M62" s="4">
        <f t="shared" si="97"/>
        <v>1.7549668874172184</v>
      </c>
      <c r="N62" s="4">
        <f t="shared" si="97"/>
        <v>-2.4642289348171698E-2</v>
      </c>
      <c r="O62" s="4">
        <f t="shared" si="97"/>
        <v>0.156671664167916</v>
      </c>
      <c r="P62" s="4">
        <f t="shared" si="97"/>
        <v>0.26687435098650059</v>
      </c>
      <c r="Q62" s="4">
        <f t="shared" si="97"/>
        <v>-4.647435897435892E-2</v>
      </c>
      <c r="R62" s="4">
        <f t="shared" si="97"/>
        <v>-1.6829665851670743</v>
      </c>
      <c r="S62" s="4">
        <f t="shared" si="97"/>
        <v>0.14452365521710964</v>
      </c>
      <c r="T62" s="4">
        <f t="shared" si="97"/>
        <v>0.29508196721311486</v>
      </c>
      <c r="U62" s="4">
        <f t="shared" si="97"/>
        <v>0.41008403361344548</v>
      </c>
      <c r="V62" s="4">
        <f t="shared" ref="V62" si="98">V47/R47-1</f>
        <v>-3.2828162291169449</v>
      </c>
      <c r="W62" s="4">
        <f>W47/S47-1</f>
        <v>0.20271800679501695</v>
      </c>
      <c r="X62" s="4">
        <f>X47/T47-1</f>
        <v>-7.9746835443037956E-2</v>
      </c>
      <c r="Y62" s="4">
        <f>Y47/U47-1</f>
        <v>-2.9201430274135909E-2</v>
      </c>
      <c r="Z62" s="4">
        <f>Z47/V47-1</f>
        <v>-0.23261892315734445</v>
      </c>
      <c r="AG62" s="4">
        <f>AG47/AF47-1</f>
        <v>-0.21520320067382603</v>
      </c>
      <c r="AH62" s="4">
        <f t="shared" ref="AH62:AN62" si="99">AH47/AG47-1</f>
        <v>0.2803863697343707</v>
      </c>
      <c r="AI62" s="4">
        <f t="shared" si="99"/>
        <v>-0.34723386420787927</v>
      </c>
      <c r="AJ62" s="4">
        <f t="shared" si="99"/>
        <v>1.2269662921348314</v>
      </c>
      <c r="AK62" s="4">
        <f t="shared" si="99"/>
        <v>-3.7768487818941932E-2</v>
      </c>
      <c r="AL62" s="4">
        <f t="shared" si="99"/>
        <v>0.7241543071161034</v>
      </c>
      <c r="AM62" s="4">
        <f t="shared" si="99"/>
        <v>0.32109104132254407</v>
      </c>
      <c r="AN62" s="4">
        <f t="shared" si="99"/>
        <v>0.27331567905907073</v>
      </c>
      <c r="AQ62" s="21" t="s">
        <v>66</v>
      </c>
      <c r="AR62" s="6">
        <f>AR60/AR61-1</f>
        <v>0.28998947303733846</v>
      </c>
    </row>
    <row r="63" spans="1:386" x14ac:dyDescent="0.2">
      <c r="B63" s="1" t="s">
        <v>36</v>
      </c>
      <c r="G63" s="4">
        <f t="shared" ref="G63:J63" si="100">G52/C52-1</f>
        <v>-0.23939151321056851</v>
      </c>
      <c r="H63" s="4">
        <f>H52/D52-1</f>
        <v>-8.9073634204275498E-2</v>
      </c>
      <c r="I63" s="4">
        <f t="shared" si="100"/>
        <v>-0.70902716914986852</v>
      </c>
      <c r="J63" s="4">
        <f t="shared" si="100"/>
        <v>0.12797619047619047</v>
      </c>
      <c r="K63" s="4">
        <f>K52/G52-1</f>
        <v>0.14947368421052643</v>
      </c>
      <c r="L63" s="4">
        <f t="shared" ref="L63:V63" si="101">L52/H52-1</f>
        <v>0.10430247718383301</v>
      </c>
      <c r="M63" s="4">
        <f t="shared" si="101"/>
        <v>2.3162650602409638</v>
      </c>
      <c r="N63" s="4">
        <f t="shared" si="101"/>
        <v>-0.13016710642040452</v>
      </c>
      <c r="O63" s="4">
        <f t="shared" si="101"/>
        <v>0.25183150183150182</v>
      </c>
      <c r="P63" s="4">
        <f t="shared" si="101"/>
        <v>0.31641086186540734</v>
      </c>
      <c r="Q63" s="4">
        <f t="shared" si="101"/>
        <v>-0.23069936421435056</v>
      </c>
      <c r="R63" s="4">
        <f t="shared" si="101"/>
        <v>-1.7987866531850354</v>
      </c>
      <c r="S63" s="4">
        <f t="shared" si="101"/>
        <v>0.11046086320409665</v>
      </c>
      <c r="T63" s="4">
        <f t="shared" si="101"/>
        <v>0.12197309417040358</v>
      </c>
      <c r="U63" s="4">
        <f t="shared" si="101"/>
        <v>0.71074380165289264</v>
      </c>
      <c r="V63" s="4">
        <f t="shared" si="101"/>
        <v>-2.910126582278481</v>
      </c>
      <c r="W63" s="4">
        <f t="shared" ref="W63:W65" si="102">W52/S52-1</f>
        <v>0.23451910408432153</v>
      </c>
      <c r="X63" s="4">
        <f t="shared" ref="X63:X65" si="103">X52/T52-1</f>
        <v>6.8745003996802501E-2</v>
      </c>
      <c r="Y63" s="4">
        <f t="shared" ref="Y63:Y65" si="104">Y52/U52-1</f>
        <v>-3.6576949620427901E-2</v>
      </c>
      <c r="Z63" s="4">
        <f t="shared" ref="Z63:Z65" si="105">Z52/V52-1</f>
        <v>-4.6388336646785988E-2</v>
      </c>
      <c r="AG63" s="4">
        <f>AG52/AF52-1</f>
        <v>-0.24858490566037739</v>
      </c>
      <c r="AH63" s="4">
        <f t="shared" ref="AH63:AN63" si="106">AH52/AG52-1</f>
        <v>0.26459510357815441</v>
      </c>
      <c r="AI63" s="4">
        <f t="shared" si="106"/>
        <v>-0.36981881360138991</v>
      </c>
      <c r="AJ63" s="4">
        <f t="shared" si="106"/>
        <v>1.2556124458448208</v>
      </c>
      <c r="AK63" s="4">
        <f t="shared" si="106"/>
        <v>5.5701065130085547E-2</v>
      </c>
      <c r="AL63" s="4">
        <f t="shared" si="106"/>
        <v>0.50049432682765338</v>
      </c>
      <c r="AM63" s="4">
        <f t="shared" si="106"/>
        <v>0.3216859362931086</v>
      </c>
      <c r="AN63" s="4">
        <f t="shared" si="106"/>
        <v>0.2737049978606334</v>
      </c>
    </row>
    <row r="64" spans="1:386" x14ac:dyDescent="0.2">
      <c r="B64" s="1" t="s">
        <v>37</v>
      </c>
      <c r="G64" s="4">
        <f t="shared" ref="G64:K64" si="107">G53/C53-1</f>
        <v>-1.8725495933056391E-2</v>
      </c>
      <c r="H64" s="4">
        <f t="shared" si="107"/>
        <v>-1.9076305220883549E-2</v>
      </c>
      <c r="I64" s="4">
        <f t="shared" si="107"/>
        <v>-2.6744944553163674E-2</v>
      </c>
      <c r="J64" s="4">
        <f t="shared" si="107"/>
        <v>-2.2280471821756187E-2</v>
      </c>
      <c r="K64" s="4">
        <f t="shared" si="107"/>
        <v>-2.5344385473194619E-2</v>
      </c>
      <c r="L64" s="4">
        <f t="shared" ref="L64:V64" si="108">L53/H53-1</f>
        <v>-2.4203744957553175E-2</v>
      </c>
      <c r="M64" s="4">
        <f>M53/I53-1</f>
        <v>-1.9254204240799488E-2</v>
      </c>
      <c r="N64" s="4">
        <f t="shared" si="108"/>
        <v>-2.0533755788447516E-2</v>
      </c>
      <c r="O64" s="4">
        <f t="shared" si="108"/>
        <v>-2.2577092511013253E-2</v>
      </c>
      <c r="P64" s="4">
        <f t="shared" si="108"/>
        <v>-1.6227555994323462E-2</v>
      </c>
      <c r="Q64" s="4">
        <f t="shared" si="108"/>
        <v>-1.118290258449306E-2</v>
      </c>
      <c r="R64" s="4">
        <f t="shared" si="108"/>
        <v>-3.2223950233281506E-2</v>
      </c>
      <c r="S64" s="4">
        <f t="shared" si="108"/>
        <v>-2.6291079812207352E-3</v>
      </c>
      <c r="T64" s="4">
        <f t="shared" si="108"/>
        <v>9.4706472654288998E-3</v>
      </c>
      <c r="U64" s="4">
        <f t="shared" si="108"/>
        <v>1.5895953757225634E-2</v>
      </c>
      <c r="V64" s="4">
        <f t="shared" si="108"/>
        <v>3.805360930770707E-2</v>
      </c>
      <c r="W64" s="4">
        <f t="shared" si="102"/>
        <v>1.6506621477436756E-2</v>
      </c>
      <c r="X64" s="4">
        <f t="shared" si="103"/>
        <v>4.9083566324945593E-3</v>
      </c>
      <c r="Y64" s="4">
        <f t="shared" si="104"/>
        <v>-3.8344981136743117E-3</v>
      </c>
      <c r="Z64" s="4">
        <f t="shared" si="105"/>
        <v>-1.2322744442380351E-2</v>
      </c>
      <c r="AG64" s="4">
        <f>AG53/AF53-1</f>
        <v>-2.2280471821756187E-2</v>
      </c>
      <c r="AH64" s="4">
        <f t="shared" ref="AH64:AN64" si="109">AH53/AG53-1</f>
        <v>-2.0533755788447516E-2</v>
      </c>
      <c r="AI64" s="4">
        <f t="shared" si="109"/>
        <v>-3.2223950233281506E-2</v>
      </c>
      <c r="AJ64" s="4">
        <f t="shared" si="109"/>
        <v>3.805360930770707E-2</v>
      </c>
      <c r="AK64" s="4">
        <f t="shared" si="109"/>
        <v>-1.2322744442380351E-2</v>
      </c>
      <c r="AL64" s="4">
        <f t="shared" si="109"/>
        <v>-1.0000000000000009E-2</v>
      </c>
      <c r="AM64" s="4">
        <f t="shared" si="109"/>
        <v>-1.0000000000000009E-2</v>
      </c>
      <c r="AN64" s="4">
        <f t="shared" si="109"/>
        <v>-1.0000000000000009E-2</v>
      </c>
    </row>
    <row r="65" spans="2:44" x14ac:dyDescent="0.2">
      <c r="B65" s="1" t="s">
        <v>38</v>
      </c>
      <c r="G65" s="4">
        <f t="shared" ref="G65:K65" si="110">G54/C54-1</f>
        <v>-0.22487694968426297</v>
      </c>
      <c r="H65" s="4">
        <f t="shared" si="110"/>
        <v>-7.135858717242427E-2</v>
      </c>
      <c r="I65" s="4">
        <f t="shared" si="110"/>
        <v>-0.70103126696162765</v>
      </c>
      <c r="J65" s="4">
        <f t="shared" si="110"/>
        <v>0.15368074173369073</v>
      </c>
      <c r="K65" s="4">
        <f t="shared" si="110"/>
        <v>0.17936393848056276</v>
      </c>
      <c r="L65" s="4">
        <f t="shared" ref="L65:V65" si="111">L54/H54-1</f>
        <v>0.13169370293985838</v>
      </c>
      <c r="M65" s="4">
        <f>M54/I54-1</f>
        <v>2.3813706615727326</v>
      </c>
      <c r="N65" s="4">
        <f t="shared" si="111"/>
        <v>-0.1119317294290314</v>
      </c>
      <c r="O65" s="4">
        <f t="shared" si="111"/>
        <v>0.28074704638084924</v>
      </c>
      <c r="P65" s="4">
        <f t="shared" si="111"/>
        <v>0.33812536617239419</v>
      </c>
      <c r="Q65" s="4">
        <f t="shared" si="111"/>
        <v>-0.22199905544070042</v>
      </c>
      <c r="R65" s="4">
        <f t="shared" si="111"/>
        <v>-1.8253837790029852</v>
      </c>
      <c r="S65" s="4">
        <f t="shared" si="111"/>
        <v>0.11338808069324324</v>
      </c>
      <c r="T65" s="4">
        <f t="shared" si="111"/>
        <v>0.11144697194488451</v>
      </c>
      <c r="U65" s="4">
        <f t="shared" si="111"/>
        <v>0.68397540646344468</v>
      </c>
      <c r="V65" s="4">
        <f t="shared" si="111"/>
        <v>-2.8401039841789792</v>
      </c>
      <c r="W65" s="4">
        <f t="shared" si="102"/>
        <v>0.21447227002812408</v>
      </c>
      <c r="X65" s="4">
        <f t="shared" si="103"/>
        <v>6.3524844771147171E-2</v>
      </c>
      <c r="Y65" s="4">
        <f t="shared" si="104"/>
        <v>-3.2868485652989277E-2</v>
      </c>
      <c r="Z65" s="4">
        <f t="shared" si="105"/>
        <v>-3.4490611191783538E-2</v>
      </c>
      <c r="AG65" s="4">
        <f>AG54/AF54-1</f>
        <v>-0.23146150538722254</v>
      </c>
      <c r="AH65" s="4">
        <f t="shared" ref="AH65:AN65" si="112">AH54/AG54-1</f>
        <v>0.29110636640277887</v>
      </c>
      <c r="AI65" s="4">
        <f t="shared" si="112"/>
        <v>-0.34883572852364486</v>
      </c>
      <c r="AJ65" s="4">
        <f t="shared" si="112"/>
        <v>1.1729248139208543</v>
      </c>
      <c r="AK65" s="4">
        <f t="shared" si="112"/>
        <v>6.8872507886254208E-2</v>
      </c>
      <c r="AL65" s="4">
        <f t="shared" si="112"/>
        <v>0.51565083517944799</v>
      </c>
      <c r="AM65" s="4">
        <f t="shared" si="112"/>
        <v>0.33503629928596834</v>
      </c>
      <c r="AN65" s="4">
        <f t="shared" si="112"/>
        <v>0.2865707049097308</v>
      </c>
      <c r="AQ65" s="1"/>
      <c r="AR65" s="23"/>
    </row>
    <row r="66" spans="2:44" x14ac:dyDescent="0.2">
      <c r="B66" s="1" t="s">
        <v>39</v>
      </c>
      <c r="C66" s="4">
        <f t="shared" ref="C66:R66" si="113">C43/C41</f>
        <v>0.45502703895817237</v>
      </c>
      <c r="D66" s="4">
        <f t="shared" si="113"/>
        <v>0.44205378973105136</v>
      </c>
      <c r="E66" s="4">
        <f t="shared" si="113"/>
        <v>0.44473434535104367</v>
      </c>
      <c r="F66" s="4">
        <f t="shared" si="113"/>
        <v>0.44059006569090697</v>
      </c>
      <c r="G66" s="4">
        <f t="shared" si="113"/>
        <v>0.43682469680264607</v>
      </c>
      <c r="H66" s="4">
        <f t="shared" si="113"/>
        <v>0.42997428103811081</v>
      </c>
      <c r="I66" s="4">
        <f t="shared" si="113"/>
        <v>0.39770703472840607</v>
      </c>
      <c r="J66" s="4">
        <f t="shared" si="113"/>
        <v>0.44723669424864643</v>
      </c>
      <c r="K66" s="4">
        <f t="shared" si="113"/>
        <v>0.44199839163650984</v>
      </c>
      <c r="L66" s="4">
        <f t="shared" si="113"/>
        <v>0.43791337742692554</v>
      </c>
      <c r="M66" s="4">
        <f t="shared" si="113"/>
        <v>0.45146186661117471</v>
      </c>
      <c r="N66" s="4">
        <f t="shared" si="113"/>
        <v>0.45492930086410055</v>
      </c>
      <c r="O66" s="4">
        <f t="shared" si="113"/>
        <v>0.45694183864915572</v>
      </c>
      <c r="P66" s="4">
        <f t="shared" si="113"/>
        <v>0.4400542320356382</v>
      </c>
      <c r="Q66" s="4">
        <f t="shared" si="113"/>
        <v>0.44269596199524941</v>
      </c>
      <c r="R66" s="4">
        <f t="shared" si="113"/>
        <v>0.37272295263741484</v>
      </c>
      <c r="S66" s="4">
        <f>S43/S41</f>
        <v>0.44751746271474419</v>
      </c>
      <c r="T66" s="4">
        <f t="shared" ref="T66:V66" si="114">T43/T41</f>
        <v>0.43111269234190164</v>
      </c>
      <c r="U66" s="4">
        <f t="shared" si="114"/>
        <v>0.45563387081201118</v>
      </c>
      <c r="V66" s="4">
        <f t="shared" si="114"/>
        <v>0.45811730395333766</v>
      </c>
      <c r="W66" s="4">
        <f t="shared" ref="W66:Y66" si="115">W43/W41</f>
        <v>0.46505551926845201</v>
      </c>
      <c r="X66" s="4">
        <f t="shared" si="115"/>
        <v>0.45901206304481817</v>
      </c>
      <c r="Y66" s="4">
        <f t="shared" si="115"/>
        <v>0.4661024744733695</v>
      </c>
      <c r="Z66" s="4">
        <f>Z43/Z41</f>
        <v>0.44981199934608468</v>
      </c>
      <c r="AF66" s="4">
        <f>AF43/AF41</f>
        <v>0.445764192139738</v>
      </c>
      <c r="AG66" s="4">
        <f t="shared" ref="AG66:AN66" si="116">AG43/AG41</f>
        <v>0.42835948017693765</v>
      </c>
      <c r="AH66" s="4">
        <f t="shared" si="116"/>
        <v>0.44671114860546568</v>
      </c>
      <c r="AI66" s="4">
        <f t="shared" si="116"/>
        <v>0.43421650669732376</v>
      </c>
      <c r="AJ66" s="4">
        <f t="shared" si="116"/>
        <v>0.44820153576721</v>
      </c>
      <c r="AK66" s="4">
        <f t="shared" si="116"/>
        <v>0.45983729394134021</v>
      </c>
      <c r="AL66" s="4">
        <f t="shared" si="116"/>
        <v>0.50248171810386588</v>
      </c>
      <c r="AM66" s="4">
        <f t="shared" si="116"/>
        <v>0.52509618546278103</v>
      </c>
      <c r="AN66" s="4">
        <f t="shared" si="116"/>
        <v>0.54668272248720007</v>
      </c>
    </row>
    <row r="67" spans="2:44" x14ac:dyDescent="0.2">
      <c r="B67" s="1" t="s">
        <v>40</v>
      </c>
      <c r="C67" s="4">
        <f t="shared" ref="C67:R67" si="117">C47/C41</f>
        <v>0.13530515395651693</v>
      </c>
      <c r="D67" s="4">
        <f t="shared" si="117"/>
        <v>0.13581907090464548</v>
      </c>
      <c r="E67" s="4">
        <f t="shared" si="117"/>
        <v>0.14871916508538899</v>
      </c>
      <c r="F67" s="4">
        <f t="shared" si="117"/>
        <v>0.13345626368560562</v>
      </c>
      <c r="G67" s="4">
        <f t="shared" si="117"/>
        <v>0.12194046306504962</v>
      </c>
      <c r="H67" s="4">
        <f t="shared" si="117"/>
        <v>0.10638297872340426</v>
      </c>
      <c r="I67" s="4">
        <f t="shared" si="117"/>
        <v>5.0422974176313445E-2</v>
      </c>
      <c r="J67" s="4">
        <f t="shared" si="117"/>
        <v>0.12851159464705281</v>
      </c>
      <c r="K67" s="4">
        <f t="shared" si="117"/>
        <v>0.13409730599115399</v>
      </c>
      <c r="L67" s="4">
        <f t="shared" si="117"/>
        <v>0.10273095796885001</v>
      </c>
      <c r="M67" s="4">
        <f t="shared" si="117"/>
        <v>0.12985121215274165</v>
      </c>
      <c r="N67" s="4">
        <f t="shared" si="117"/>
        <v>0.12048311076197958</v>
      </c>
      <c r="O67" s="4">
        <f t="shared" si="117"/>
        <v>0.14474671669793621</v>
      </c>
      <c r="P67" s="4">
        <f t="shared" si="117"/>
        <v>0.11814836335463877</v>
      </c>
      <c r="Q67" s="4">
        <f t="shared" si="117"/>
        <v>0.11777513855898654</v>
      </c>
      <c r="R67" s="4">
        <f t="shared" si="117"/>
        <v>-0.13274196103278948</v>
      </c>
      <c r="S67" s="4">
        <f>S47/S41</f>
        <v>0.16669813101755709</v>
      </c>
      <c r="T67" s="4">
        <f t="shared" ref="T67:V67" si="118">T47/T41</f>
        <v>0.14053188650716</v>
      </c>
      <c r="U67" s="4">
        <f t="shared" si="118"/>
        <v>0.16201602780728011</v>
      </c>
      <c r="V67" s="4">
        <f t="shared" si="118"/>
        <v>0.15497407647440051</v>
      </c>
      <c r="W67" s="4">
        <f t="shared" ref="W67:Y67" si="119">W47/W41</f>
        <v>0.17341606792945788</v>
      </c>
      <c r="X67" s="4">
        <f t="shared" si="119"/>
        <v>0.12802676763229726</v>
      </c>
      <c r="Y67" s="4">
        <f t="shared" si="119"/>
        <v>0.14984822003495538</v>
      </c>
      <c r="Z67" s="4">
        <f>Z47/Z41</f>
        <v>0.11999346084682033</v>
      </c>
      <c r="AF67" s="4">
        <f>AF47/AF41</f>
        <v>0.13825327510917029</v>
      </c>
      <c r="AG67" s="4">
        <f t="shared" ref="AG67:AN67" si="120">AG47/AG41</f>
        <v>0.10239854933098881</v>
      </c>
      <c r="AH67" s="4">
        <f t="shared" si="120"/>
        <v>0.12199299537285579</v>
      </c>
      <c r="AI67" s="4">
        <f t="shared" si="120"/>
        <v>8.3282089671951443E-2</v>
      </c>
      <c r="AJ67" s="4">
        <f t="shared" si="120"/>
        <v>0.15575463649018814</v>
      </c>
      <c r="AK67" s="4">
        <f t="shared" si="120"/>
        <v>0.14290301862556198</v>
      </c>
      <c r="AL67" s="4">
        <f t="shared" si="120"/>
        <v>0.21612882023083813</v>
      </c>
      <c r="AM67" s="4">
        <f t="shared" si="120"/>
        <v>0.25956895288960985</v>
      </c>
      <c r="AN67" s="4">
        <f t="shared" si="120"/>
        <v>0.30046656137389594</v>
      </c>
    </row>
    <row r="68" spans="2:44" x14ac:dyDescent="0.2">
      <c r="B68" s="1" t="s">
        <v>29</v>
      </c>
      <c r="C68" s="4">
        <f t="shared" ref="C68:R68" si="121">C51/C50</f>
        <v>2.4980483996877439E-2</v>
      </c>
      <c r="D68" s="4">
        <f t="shared" si="121"/>
        <v>0.24416517055655296</v>
      </c>
      <c r="E68" s="4">
        <f t="shared" si="121"/>
        <v>0.13756613756613756</v>
      </c>
      <c r="F68" s="4">
        <f t="shared" si="121"/>
        <v>0.13698630136986301</v>
      </c>
      <c r="G68" s="4">
        <f t="shared" si="121"/>
        <v>0.11380597014925373</v>
      </c>
      <c r="H68" s="4">
        <f t="shared" si="121"/>
        <v>0.12741751990898748</v>
      </c>
      <c r="I68" s="4">
        <f t="shared" si="121"/>
        <v>0.19024390243902439</v>
      </c>
      <c r="J68" s="4">
        <f t="shared" si="121"/>
        <v>6.4197530864197536E-2</v>
      </c>
      <c r="K68" s="4">
        <f t="shared" si="121"/>
        <v>0.14015748031496064</v>
      </c>
      <c r="L68" s="4">
        <f t="shared" si="121"/>
        <v>0.15045135406218657</v>
      </c>
      <c r="M68" s="4">
        <f t="shared" si="121"/>
        <v>0.14717273431448488</v>
      </c>
      <c r="N68" s="4">
        <f t="shared" si="121"/>
        <v>0.20434432823813356</v>
      </c>
      <c r="O68" s="4">
        <f t="shared" si="121"/>
        <v>0.12427930813581038</v>
      </c>
      <c r="P68" s="4">
        <f t="shared" si="121"/>
        <v>0.10728582866293035</v>
      </c>
      <c r="Q68" s="4">
        <f t="shared" si="121"/>
        <v>3.8592508513053347E-2</v>
      </c>
      <c r="R68" s="4">
        <f t="shared" si="121"/>
        <v>1.7412935323383085E-2</v>
      </c>
      <c r="S68" s="4">
        <f>S51/S50</f>
        <v>0.11486880466472303</v>
      </c>
      <c r="T68" s="4">
        <f t="shared" ref="T68:V68" si="122">T51/T50</f>
        <v>0.1407967032967033</v>
      </c>
      <c r="U68" s="4">
        <f t="shared" si="122"/>
        <v>0.11430317848410758</v>
      </c>
      <c r="V68" s="4">
        <f t="shared" si="122"/>
        <v>0.18608414239482202</v>
      </c>
      <c r="W68" s="4">
        <f t="shared" ref="W68:Z68" si="123">W51/W50</f>
        <v>0.11016144349477683</v>
      </c>
      <c r="X68" s="4">
        <f t="shared" si="123"/>
        <v>0.10926049300466356</v>
      </c>
      <c r="Y68" s="4">
        <f t="shared" si="123"/>
        <v>0.16407185628742516</v>
      </c>
      <c r="Z68" s="4">
        <f t="shared" si="123"/>
        <v>-4.730713245997089E-2</v>
      </c>
      <c r="AF68" s="4">
        <f>AF51/AF41</f>
        <v>1.8806404657933044E-2</v>
      </c>
      <c r="AG68" s="4">
        <f t="shared" ref="AG68:AN68" si="124">AG51/AG41</f>
        <v>1.0715168832596093E-2</v>
      </c>
      <c r="AH68" s="4">
        <f t="shared" si="124"/>
        <v>1.9735664800470384E-2</v>
      </c>
      <c r="AI68" s="4">
        <f t="shared" si="124"/>
        <v>9.3040665187284436E-3</v>
      </c>
      <c r="AJ68" s="4">
        <f t="shared" si="124"/>
        <v>2.0970856347388746E-2</v>
      </c>
      <c r="AK68" s="4">
        <f t="shared" si="124"/>
        <v>1.2952258616998502E-2</v>
      </c>
      <c r="AL68" s="4">
        <f t="shared" si="124"/>
        <v>4.528767084699542E-2</v>
      </c>
      <c r="AM68" s="4">
        <f t="shared" si="124"/>
        <v>5.4414616041768421E-2</v>
      </c>
      <c r="AN68" s="4">
        <f t="shared" si="124"/>
        <v>6.3007425826425295E-2</v>
      </c>
    </row>
  </sheetData>
  <phoneticPr fontId="8" type="noConversion"/>
  <conditionalFormatting sqref="AR62">
    <cfRule type="cellIs" dxfId="3" priority="1" operator="lessThan">
      <formula>0</formula>
    </cfRule>
    <cfRule type="cellIs" dxfId="2"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1A39B-BB86-4E9F-93B8-35BCFC8E1D33}">
  <dimension ref="B3:I15"/>
  <sheetViews>
    <sheetView workbookViewId="0">
      <selection activeCell="G24" sqref="G24"/>
    </sheetView>
  </sheetViews>
  <sheetFormatPr defaultRowHeight="15" x14ac:dyDescent="0.25"/>
  <cols>
    <col min="2" max="2" width="5.28515625" bestFit="1" customWidth="1"/>
    <col min="3" max="3" width="16" bestFit="1" customWidth="1"/>
    <col min="4" max="4" width="10.140625" customWidth="1"/>
    <col min="5" max="5" width="21.7109375" bestFit="1" customWidth="1"/>
    <col min="8" max="8" width="21.5703125" bestFit="1" customWidth="1"/>
    <col min="9" max="9" width="7.28515625" bestFit="1" customWidth="1"/>
  </cols>
  <sheetData>
    <row r="3" spans="2:9" x14ac:dyDescent="0.25">
      <c r="B3" s="24" t="s">
        <v>67</v>
      </c>
      <c r="C3" s="25" t="s">
        <v>68</v>
      </c>
      <c r="D3" s="25" t="s">
        <v>69</v>
      </c>
      <c r="E3" s="26" t="s">
        <v>70</v>
      </c>
      <c r="F3" s="1"/>
      <c r="G3" s="1"/>
      <c r="H3" s="43" t="s">
        <v>71</v>
      </c>
      <c r="I3" s="44"/>
    </row>
    <row r="4" spans="2:9" x14ac:dyDescent="0.25">
      <c r="B4" s="27">
        <v>1</v>
      </c>
      <c r="C4" s="28">
        <f t="shared" ref="C4:C14" si="0">1/(1+$I$7)^B4</f>
        <v>0.94421930059787973</v>
      </c>
      <c r="D4" s="29">
        <f>I4</f>
        <v>1.1000000000000001</v>
      </c>
      <c r="E4" s="30">
        <f t="shared" ref="E4:E14" si="1">C4*D4</f>
        <v>1.0386412306576678</v>
      </c>
      <c r="F4" s="1"/>
      <c r="G4" s="1"/>
      <c r="H4" s="7" t="s">
        <v>72</v>
      </c>
      <c r="I4" s="30">
        <v>1.1000000000000001</v>
      </c>
    </row>
    <row r="5" spans="2:9" x14ac:dyDescent="0.25">
      <c r="B5" s="27">
        <v>2</v>
      </c>
      <c r="C5" s="28">
        <f t="shared" si="0"/>
        <v>0.8915500876215493</v>
      </c>
      <c r="D5" s="28">
        <f t="shared" ref="D5:D13" si="2">D4*(1+$I$5)</f>
        <v>1.32</v>
      </c>
      <c r="E5" s="30">
        <f t="shared" si="1"/>
        <v>1.1768461156604451</v>
      </c>
      <c r="F5" s="1"/>
      <c r="G5" s="1"/>
      <c r="H5" s="10" t="s">
        <v>73</v>
      </c>
      <c r="I5" s="31">
        <v>0.2</v>
      </c>
    </row>
    <row r="6" spans="2:9" x14ac:dyDescent="0.25">
      <c r="B6" s="27">
        <v>3</v>
      </c>
      <c r="C6" s="28">
        <f t="shared" si="0"/>
        <v>0.84181880018199751</v>
      </c>
      <c r="D6" s="28">
        <f t="shared" si="2"/>
        <v>1.5840000000000001</v>
      </c>
      <c r="E6" s="30">
        <f t="shared" si="1"/>
        <v>1.3334409794882842</v>
      </c>
      <c r="F6" s="1"/>
      <c r="G6" s="1"/>
      <c r="H6" s="10" t="s">
        <v>74</v>
      </c>
      <c r="I6" s="31">
        <v>0.01</v>
      </c>
    </row>
    <row r="7" spans="2:9" x14ac:dyDescent="0.25">
      <c r="B7" s="27">
        <v>4</v>
      </c>
      <c r="C7" s="28">
        <f t="shared" si="0"/>
        <v>0.79486155873799225</v>
      </c>
      <c r="D7" s="28">
        <f t="shared" si="2"/>
        <v>1.9008</v>
      </c>
      <c r="E7" s="30">
        <f t="shared" si="1"/>
        <v>1.5108728508491758</v>
      </c>
      <c r="F7" s="1"/>
      <c r="G7" s="1"/>
      <c r="H7" s="16" t="s">
        <v>75</v>
      </c>
      <c r="I7" s="32">
        <f>WACC!C16</f>
        <v>5.9075999999999997E-2</v>
      </c>
    </row>
    <row r="8" spans="2:9" x14ac:dyDescent="0.25">
      <c r="B8" s="27">
        <v>5</v>
      </c>
      <c r="C8" s="28">
        <f t="shared" si="0"/>
        <v>0.7505236250637275</v>
      </c>
      <c r="D8" s="28">
        <f t="shared" si="2"/>
        <v>2.2809599999999999</v>
      </c>
      <c r="E8" s="30">
        <f t="shared" si="1"/>
        <v>1.7119143678253599</v>
      </c>
      <c r="F8" s="1"/>
      <c r="G8" s="1"/>
      <c r="H8" s="45"/>
      <c r="I8" s="46"/>
    </row>
    <row r="9" spans="2:9" x14ac:dyDescent="0.25">
      <c r="B9" s="27">
        <v>6</v>
      </c>
      <c r="C9" s="28">
        <f t="shared" si="0"/>
        <v>0.70865889233985813</v>
      </c>
      <c r="D9" s="28">
        <f t="shared" si="2"/>
        <v>2.7371519999999996</v>
      </c>
      <c r="E9" s="30">
        <f t="shared" si="1"/>
        <v>1.9397071044858269</v>
      </c>
      <c r="F9" s="1"/>
      <c r="G9" s="1"/>
      <c r="H9" s="33" t="s">
        <v>76</v>
      </c>
      <c r="I9" s="34">
        <f>D13*(1+I6)/(I7-I6)</f>
        <v>116.80894879517479</v>
      </c>
    </row>
    <row r="10" spans="2:9" x14ac:dyDescent="0.25">
      <c r="B10" s="27">
        <v>7</v>
      </c>
      <c r="C10" s="28">
        <f t="shared" si="0"/>
        <v>0.66912940368760898</v>
      </c>
      <c r="D10" s="28">
        <f t="shared" si="2"/>
        <v>3.2845823999999992</v>
      </c>
      <c r="E10" s="30">
        <f t="shared" si="1"/>
        <v>2.1978106626748151</v>
      </c>
      <c r="F10" s="1"/>
      <c r="G10" s="1"/>
      <c r="H10" s="10" t="s">
        <v>64</v>
      </c>
      <c r="I10" s="30">
        <f>SUM(E4:E14)</f>
        <v>85.214997010984092</v>
      </c>
    </row>
    <row r="11" spans="2:9" x14ac:dyDescent="0.25">
      <c r="B11" s="27">
        <v>8</v>
      </c>
      <c r="C11" s="28">
        <f t="shared" si="0"/>
        <v>0.63180489755939062</v>
      </c>
      <c r="D11" s="28">
        <f t="shared" si="2"/>
        <v>3.9414988799999988</v>
      </c>
      <c r="E11" s="30">
        <f t="shared" si="1"/>
        <v>2.490258296108852</v>
      </c>
      <c r="F11" s="1"/>
      <c r="G11" s="1"/>
      <c r="H11" s="10" t="s">
        <v>77</v>
      </c>
      <c r="I11" s="35">
        <f>Main!C4</f>
        <v>105.74</v>
      </c>
    </row>
    <row r="12" spans="2:9" x14ac:dyDescent="0.25">
      <c r="B12" s="27">
        <v>9</v>
      </c>
      <c r="C12" s="28">
        <f t="shared" si="0"/>
        <v>0.59656237848784288</v>
      </c>
      <c r="D12" s="28">
        <f t="shared" si="2"/>
        <v>4.729798655999998</v>
      </c>
      <c r="E12" s="30">
        <f t="shared" si="1"/>
        <v>2.8216199359919614</v>
      </c>
      <c r="F12" s="1"/>
      <c r="G12" s="1"/>
      <c r="H12" s="16" t="s">
        <v>66</v>
      </c>
      <c r="I12" s="32">
        <f>I10/I11-1</f>
        <v>-0.19410821816735302</v>
      </c>
    </row>
    <row r="13" spans="2:9" x14ac:dyDescent="0.25">
      <c r="B13" s="27">
        <v>10</v>
      </c>
      <c r="C13" s="28">
        <f t="shared" si="0"/>
        <v>0.5632857117787986</v>
      </c>
      <c r="D13" s="28">
        <f t="shared" si="2"/>
        <v>5.6757583871999975</v>
      </c>
      <c r="E13" s="30">
        <f t="shared" si="1"/>
        <v>3.1970736030184366</v>
      </c>
      <c r="F13" s="1"/>
      <c r="G13" s="1"/>
      <c r="H13" s="1"/>
      <c r="I13" s="1"/>
    </row>
    <row r="14" spans="2:9" x14ac:dyDescent="0.25">
      <c r="B14" s="36">
        <v>10</v>
      </c>
      <c r="C14" s="37">
        <f t="shared" si="0"/>
        <v>0.5632857117787986</v>
      </c>
      <c r="D14" s="37">
        <f>I9</f>
        <v>116.80894879517479</v>
      </c>
      <c r="E14" s="38">
        <f t="shared" si="1"/>
        <v>65.796811864223272</v>
      </c>
      <c r="F14" s="1"/>
      <c r="G14" s="1"/>
      <c r="H14" s="1"/>
      <c r="I14" s="1"/>
    </row>
    <row r="15" spans="2:9" x14ac:dyDescent="0.25">
      <c r="B15" s="1"/>
      <c r="C15" s="1"/>
      <c r="D15" s="1"/>
      <c r="E15" s="1"/>
      <c r="F15" s="1"/>
      <c r="G15" s="1"/>
      <c r="H15" s="1"/>
      <c r="I15" s="1"/>
    </row>
  </sheetData>
  <mergeCells count="2">
    <mergeCell ref="H3:I3"/>
    <mergeCell ref="H8:I8"/>
  </mergeCells>
  <conditionalFormatting sqref="I12">
    <cfRule type="cellIs" dxfId="1" priority="1" operator="lessThan">
      <formula>0</formula>
    </cfRule>
    <cfRule type="cellIs" dxfId="0" priority="2" operator="greater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C7D2-E78F-45BD-A606-12D107F1324A}">
  <dimension ref="B3:D18"/>
  <sheetViews>
    <sheetView workbookViewId="0">
      <selection activeCell="C10" sqref="C10"/>
    </sheetView>
  </sheetViews>
  <sheetFormatPr defaultRowHeight="14.25" x14ac:dyDescent="0.2"/>
  <cols>
    <col min="1" max="1" width="9.140625" style="1"/>
    <col min="2" max="2" width="16.140625" style="1" bestFit="1" customWidth="1"/>
    <col min="3" max="3" width="8.42578125" style="1" bestFit="1" customWidth="1"/>
    <col min="4" max="4" width="17.85546875" style="1" bestFit="1" customWidth="1"/>
    <col min="5" max="16384" width="9.140625" style="1"/>
  </cols>
  <sheetData>
    <row r="3" spans="2:4" x14ac:dyDescent="0.2">
      <c r="B3" s="1" t="s">
        <v>7</v>
      </c>
      <c r="C3" s="2">
        <f>Main!C8</f>
        <v>9418</v>
      </c>
    </row>
    <row r="4" spans="2:4" x14ac:dyDescent="0.2">
      <c r="B4" s="1" t="s">
        <v>9</v>
      </c>
      <c r="C4" s="2">
        <f>Main!C6</f>
        <v>170315.41800000001</v>
      </c>
    </row>
    <row r="5" spans="2:4" x14ac:dyDescent="0.2">
      <c r="B5" s="1" t="s">
        <v>10</v>
      </c>
      <c r="C5" s="2">
        <f>+C3+C4</f>
        <v>179733.41800000001</v>
      </c>
    </row>
    <row r="6" spans="2:4" x14ac:dyDescent="0.2">
      <c r="B6" s="1" t="s">
        <v>11</v>
      </c>
      <c r="C6" s="3">
        <f>C3/C5</f>
        <v>5.2399826948152733E-2</v>
      </c>
    </row>
    <row r="7" spans="2:4" x14ac:dyDescent="0.2">
      <c r="B7" s="1" t="s">
        <v>12</v>
      </c>
      <c r="C7" s="3">
        <f>C4/C5</f>
        <v>0.94760017305184729</v>
      </c>
    </row>
    <row r="9" spans="2:4" x14ac:dyDescent="0.2">
      <c r="B9" s="1" t="s">
        <v>13</v>
      </c>
      <c r="C9" s="4">
        <f>AVERAGE(DCF!AF68:AJ68)</f>
        <v>1.5906432231423344E-2</v>
      </c>
      <c r="D9" s="1" t="s">
        <v>79</v>
      </c>
    </row>
    <row r="10" spans="2:4" x14ac:dyDescent="0.2">
      <c r="B10" s="1" t="s">
        <v>14</v>
      </c>
      <c r="C10" s="2">
        <v>262</v>
      </c>
      <c r="D10" s="40" t="s">
        <v>85</v>
      </c>
    </row>
    <row r="11" spans="2:4" x14ac:dyDescent="0.2">
      <c r="B11" s="1" t="s">
        <v>15</v>
      </c>
      <c r="C11" s="3">
        <f>(C10*(1-C9))/C3</f>
        <v>2.7376567716645473E-2</v>
      </c>
    </row>
    <row r="13" spans="2:4" x14ac:dyDescent="0.2">
      <c r="B13" s="1" t="s">
        <v>16</v>
      </c>
      <c r="C13" s="3">
        <f>'[1]T-Bond Yields'!$C$7</f>
        <v>2.92E-2</v>
      </c>
    </row>
    <row r="14" spans="2:4" x14ac:dyDescent="0.2">
      <c r="B14" s="1" t="s">
        <v>17</v>
      </c>
      <c r="C14" s="1">
        <v>0.97</v>
      </c>
      <c r="D14" s="40" t="s">
        <v>86</v>
      </c>
    </row>
    <row r="15" spans="2:4" x14ac:dyDescent="0.2">
      <c r="B15" s="1" t="s">
        <v>18</v>
      </c>
      <c r="C15" s="4">
        <v>0.06</v>
      </c>
      <c r="D15" s="1" t="s">
        <v>19</v>
      </c>
    </row>
    <row r="16" spans="2:4" x14ac:dyDescent="0.2">
      <c r="B16" s="1" t="s">
        <v>20</v>
      </c>
      <c r="C16" s="3">
        <f>(C13+C14*(C15-C13))</f>
        <v>5.9075999999999997E-2</v>
      </c>
    </row>
    <row r="18" spans="2:3" ht="15" x14ac:dyDescent="0.25">
      <c r="B18" s="5" t="s">
        <v>21</v>
      </c>
      <c r="C18" s="6">
        <f>(C7*C16)+(C6*C11)*(1-C9)</f>
        <v>5.7392137020953742E-2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DCF</vt:lpstr>
      <vt:lpstr>DDM</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William S</cp:lastModifiedBy>
  <dcterms:created xsi:type="dcterms:W3CDTF">2020-12-14T19:14:35Z</dcterms:created>
  <dcterms:modified xsi:type="dcterms:W3CDTF">2022-09-04T15:22:38Z</dcterms:modified>
</cp:coreProperties>
</file>